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046"/>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HQ10 .A2 1984</t>
        </is>
      </c>
      <c r="C2" t="inlineStr">
        <is>
          <t>0                      HQ 0010000A  2           1984</t>
        </is>
      </c>
      <c r="D2" t="inlineStr">
        <is>
          <t>Family life education : homework for parents and teens / Nancy Abbey-Harris.</t>
        </is>
      </c>
      <c r="F2" t="inlineStr">
        <is>
          <t>No</t>
        </is>
      </c>
      <c r="G2" t="inlineStr">
        <is>
          <t>1</t>
        </is>
      </c>
      <c r="H2" t="inlineStr">
        <is>
          <t>No</t>
        </is>
      </c>
      <c r="I2" t="inlineStr">
        <is>
          <t>No</t>
        </is>
      </c>
      <c r="J2" t="inlineStr">
        <is>
          <t>0</t>
        </is>
      </c>
      <c r="K2" t="inlineStr">
        <is>
          <t>Abbey-Harris, Nancy.</t>
        </is>
      </c>
      <c r="L2" t="inlineStr">
        <is>
          <t>Santa Cruz, Calif. : Network Publications, 1984.</t>
        </is>
      </c>
      <c r="M2" t="inlineStr">
        <is>
          <t>1984</t>
        </is>
      </c>
      <c r="O2" t="inlineStr">
        <is>
          <t>eng</t>
        </is>
      </c>
      <c r="P2" t="inlineStr">
        <is>
          <t>cau</t>
        </is>
      </c>
      <c r="R2" t="inlineStr">
        <is>
          <t xml:space="preserve">HQ </t>
        </is>
      </c>
      <c r="S2" t="n">
        <v>3</v>
      </c>
      <c r="T2" t="n">
        <v>3</v>
      </c>
      <c r="U2" t="inlineStr">
        <is>
          <t>1997-11-05</t>
        </is>
      </c>
      <c r="V2" t="inlineStr">
        <is>
          <t>1997-11-05</t>
        </is>
      </c>
      <c r="W2" t="inlineStr">
        <is>
          <t>1992-10-16</t>
        </is>
      </c>
      <c r="X2" t="inlineStr">
        <is>
          <t>1992-10-16</t>
        </is>
      </c>
      <c r="Y2" t="n">
        <v>24</v>
      </c>
      <c r="Z2" t="n">
        <v>21</v>
      </c>
      <c r="AA2" t="n">
        <v>22</v>
      </c>
      <c r="AB2" t="n">
        <v>1</v>
      </c>
      <c r="AC2" t="n">
        <v>1</v>
      </c>
      <c r="AD2" t="n">
        <v>0</v>
      </c>
      <c r="AE2" t="n">
        <v>0</v>
      </c>
      <c r="AF2" t="n">
        <v>0</v>
      </c>
      <c r="AG2" t="n">
        <v>0</v>
      </c>
      <c r="AH2" t="n">
        <v>0</v>
      </c>
      <c r="AI2" t="n">
        <v>0</v>
      </c>
      <c r="AJ2" t="n">
        <v>0</v>
      </c>
      <c r="AK2" t="n">
        <v>0</v>
      </c>
      <c r="AL2" t="n">
        <v>0</v>
      </c>
      <c r="AM2" t="n">
        <v>0</v>
      </c>
      <c r="AN2" t="n">
        <v>0</v>
      </c>
      <c r="AO2" t="n">
        <v>0</v>
      </c>
      <c r="AP2" t="inlineStr">
        <is>
          <t>No</t>
        </is>
      </c>
      <c r="AQ2" t="inlineStr">
        <is>
          <t>No</t>
        </is>
      </c>
      <c r="AS2">
        <f>HYPERLINK("https://creighton-primo.hosted.exlibrisgroup.com/primo-explore/search?tab=default_tab&amp;search_scope=EVERYTHING&amp;vid=01CRU&amp;lang=en_US&amp;offset=0&amp;query=any,contains,991000493849702656","Catalog Record")</f>
        <v/>
      </c>
      <c r="AT2">
        <f>HYPERLINK("http://www.worldcat.org/oclc/11122718","WorldCat Record")</f>
        <v/>
      </c>
      <c r="AU2" t="inlineStr">
        <is>
          <t>3935664:eng</t>
        </is>
      </c>
      <c r="AV2" t="inlineStr">
        <is>
          <t>11122718</t>
        </is>
      </c>
      <c r="AW2" t="inlineStr">
        <is>
          <t>991000493849702656</t>
        </is>
      </c>
      <c r="AX2" t="inlineStr">
        <is>
          <t>991000493849702656</t>
        </is>
      </c>
      <c r="AY2" t="inlineStr">
        <is>
          <t>2263270590002656</t>
        </is>
      </c>
      <c r="AZ2" t="inlineStr">
        <is>
          <t>BOOK</t>
        </is>
      </c>
      <c r="BB2" t="inlineStr">
        <is>
          <t>9780941816113</t>
        </is>
      </c>
      <c r="BC2" t="inlineStr">
        <is>
          <t>32285001357903</t>
        </is>
      </c>
      <c r="BD2" t="inlineStr">
        <is>
          <t>893345710</t>
        </is>
      </c>
    </row>
    <row r="3">
      <c r="A3" t="inlineStr">
        <is>
          <t>No</t>
        </is>
      </c>
      <c r="B3" t="inlineStr">
        <is>
          <t>HQ10 .B44</t>
        </is>
      </c>
      <c r="C3" t="inlineStr">
        <is>
          <t>0                      HQ 0010000B  44</t>
        </is>
      </c>
      <c r="D3" t="inlineStr">
        <is>
          <t>The family bond : marriage, love, and sex in America / [by] Leonard Benson.</t>
        </is>
      </c>
      <c r="F3" t="inlineStr">
        <is>
          <t>No</t>
        </is>
      </c>
      <c r="G3" t="inlineStr">
        <is>
          <t>1</t>
        </is>
      </c>
      <c r="H3" t="inlineStr">
        <is>
          <t>No</t>
        </is>
      </c>
      <c r="I3" t="inlineStr">
        <is>
          <t>No</t>
        </is>
      </c>
      <c r="J3" t="inlineStr">
        <is>
          <t>0</t>
        </is>
      </c>
      <c r="K3" t="inlineStr">
        <is>
          <t>Benson, Leonard G., 1925-</t>
        </is>
      </c>
      <c r="L3" t="inlineStr">
        <is>
          <t>New York : Random House, [1971]</t>
        </is>
      </c>
      <c r="M3" t="inlineStr">
        <is>
          <t>1971</t>
        </is>
      </c>
      <c r="N3" t="inlineStr">
        <is>
          <t>[1st ed.]</t>
        </is>
      </c>
      <c r="O3" t="inlineStr">
        <is>
          <t>eng</t>
        </is>
      </c>
      <c r="P3" t="inlineStr">
        <is>
          <t>nyu</t>
        </is>
      </c>
      <c r="R3" t="inlineStr">
        <is>
          <t xml:space="preserve">HQ </t>
        </is>
      </c>
      <c r="S3" t="n">
        <v>8</v>
      </c>
      <c r="T3" t="n">
        <v>8</v>
      </c>
      <c r="U3" t="inlineStr">
        <is>
          <t>1997-04-14</t>
        </is>
      </c>
      <c r="V3" t="inlineStr">
        <is>
          <t>1997-04-14</t>
        </is>
      </c>
      <c r="W3" t="inlineStr">
        <is>
          <t>1990-04-04</t>
        </is>
      </c>
      <c r="X3" t="inlineStr">
        <is>
          <t>1990-04-04</t>
        </is>
      </c>
      <c r="Y3" t="n">
        <v>432</v>
      </c>
      <c r="Z3" t="n">
        <v>365</v>
      </c>
      <c r="AA3" t="n">
        <v>370</v>
      </c>
      <c r="AB3" t="n">
        <v>9</v>
      </c>
      <c r="AC3" t="n">
        <v>9</v>
      </c>
      <c r="AD3" t="n">
        <v>22</v>
      </c>
      <c r="AE3" t="n">
        <v>22</v>
      </c>
      <c r="AF3" t="n">
        <v>7</v>
      </c>
      <c r="AG3" t="n">
        <v>7</v>
      </c>
      <c r="AH3" t="n">
        <v>2</v>
      </c>
      <c r="AI3" t="n">
        <v>2</v>
      </c>
      <c r="AJ3" t="n">
        <v>9</v>
      </c>
      <c r="AK3" t="n">
        <v>9</v>
      </c>
      <c r="AL3" t="n">
        <v>7</v>
      </c>
      <c r="AM3" t="n">
        <v>7</v>
      </c>
      <c r="AN3" t="n">
        <v>0</v>
      </c>
      <c r="AO3" t="n">
        <v>0</v>
      </c>
      <c r="AP3" t="inlineStr">
        <is>
          <t>No</t>
        </is>
      </c>
      <c r="AQ3" t="inlineStr">
        <is>
          <t>Yes</t>
        </is>
      </c>
      <c r="AR3">
        <f>HYPERLINK("http://catalog.hathitrust.org/Record/007471857","HathiTrust Record")</f>
        <v/>
      </c>
      <c r="AS3">
        <f>HYPERLINK("https://creighton-primo.hosted.exlibrisgroup.com/primo-explore/search?tab=default_tab&amp;search_scope=EVERYTHING&amp;vid=01CRU&amp;lang=en_US&amp;offset=0&amp;query=any,contains,991001266329702656","Catalog Record")</f>
        <v/>
      </c>
      <c r="AT3">
        <f>HYPERLINK("http://www.worldcat.org/oclc/210051","WorldCat Record")</f>
        <v/>
      </c>
      <c r="AU3" t="inlineStr">
        <is>
          <t>502782623:eng</t>
        </is>
      </c>
      <c r="AV3" t="inlineStr">
        <is>
          <t>210051</t>
        </is>
      </c>
      <c r="AW3" t="inlineStr">
        <is>
          <t>991001266329702656</t>
        </is>
      </c>
      <c r="AX3" t="inlineStr">
        <is>
          <t>991001266329702656</t>
        </is>
      </c>
      <c r="AY3" t="inlineStr">
        <is>
          <t>2261961900002656</t>
        </is>
      </c>
      <c r="AZ3" t="inlineStr">
        <is>
          <t>BOOK</t>
        </is>
      </c>
      <c r="BB3" t="inlineStr">
        <is>
          <t>9780394316581</t>
        </is>
      </c>
      <c r="BC3" t="inlineStr">
        <is>
          <t>32285000101674</t>
        </is>
      </c>
      <c r="BD3" t="inlineStr">
        <is>
          <t>893602478</t>
        </is>
      </c>
    </row>
    <row r="4">
      <c r="A4" t="inlineStr">
        <is>
          <t>No</t>
        </is>
      </c>
      <c r="B4" t="inlineStr">
        <is>
          <t>HQ10 .C27 1991</t>
        </is>
      </c>
      <c r="C4" t="inlineStr">
        <is>
          <t>0                      HQ 0010000C  27          1991</t>
        </is>
      </c>
      <c r="D4" t="inlineStr">
        <is>
          <t>Marriages and families : coping with change / [edited by] Leonard Cargan.</t>
        </is>
      </c>
      <c r="F4" t="inlineStr">
        <is>
          <t>No</t>
        </is>
      </c>
      <c r="G4" t="inlineStr">
        <is>
          <t>1</t>
        </is>
      </c>
      <c r="H4" t="inlineStr">
        <is>
          <t>No</t>
        </is>
      </c>
      <c r="I4" t="inlineStr">
        <is>
          <t>No</t>
        </is>
      </c>
      <c r="J4" t="inlineStr">
        <is>
          <t>0</t>
        </is>
      </c>
      <c r="L4" t="inlineStr">
        <is>
          <t>Englewood Cliffs, N.J. : Prentice Hall, c1991.</t>
        </is>
      </c>
      <c r="M4" t="inlineStr">
        <is>
          <t>1991</t>
        </is>
      </c>
      <c r="N4" t="inlineStr">
        <is>
          <t>2nd ed.</t>
        </is>
      </c>
      <c r="O4" t="inlineStr">
        <is>
          <t>eng</t>
        </is>
      </c>
      <c r="P4" t="inlineStr">
        <is>
          <t>nju</t>
        </is>
      </c>
      <c r="R4" t="inlineStr">
        <is>
          <t xml:space="preserve">HQ </t>
        </is>
      </c>
      <c r="S4" t="n">
        <v>22</v>
      </c>
      <c r="T4" t="n">
        <v>22</v>
      </c>
      <c r="U4" t="inlineStr">
        <is>
          <t>2006-03-12</t>
        </is>
      </c>
      <c r="V4" t="inlineStr">
        <is>
          <t>2006-03-12</t>
        </is>
      </c>
      <c r="W4" t="inlineStr">
        <is>
          <t>1992-03-06</t>
        </is>
      </c>
      <c r="X4" t="inlineStr">
        <is>
          <t>1992-03-06</t>
        </is>
      </c>
      <c r="Y4" t="n">
        <v>86</v>
      </c>
      <c r="Z4" t="n">
        <v>64</v>
      </c>
      <c r="AA4" t="n">
        <v>64</v>
      </c>
      <c r="AB4" t="n">
        <v>1</v>
      </c>
      <c r="AC4" t="n">
        <v>1</v>
      </c>
      <c r="AD4" t="n">
        <v>1</v>
      </c>
      <c r="AE4" t="n">
        <v>1</v>
      </c>
      <c r="AF4" t="n">
        <v>0</v>
      </c>
      <c r="AG4" t="n">
        <v>0</v>
      </c>
      <c r="AH4" t="n">
        <v>0</v>
      </c>
      <c r="AI4" t="n">
        <v>0</v>
      </c>
      <c r="AJ4" t="n">
        <v>1</v>
      </c>
      <c r="AK4" t="n">
        <v>1</v>
      </c>
      <c r="AL4" t="n">
        <v>0</v>
      </c>
      <c r="AM4" t="n">
        <v>0</v>
      </c>
      <c r="AN4" t="n">
        <v>0</v>
      </c>
      <c r="AO4" t="n">
        <v>0</v>
      </c>
      <c r="AP4" t="inlineStr">
        <is>
          <t>No</t>
        </is>
      </c>
      <c r="AQ4" t="inlineStr">
        <is>
          <t>No</t>
        </is>
      </c>
      <c r="AS4">
        <f>HYPERLINK("https://creighton-primo.hosted.exlibrisgroup.com/primo-explore/search?tab=default_tab&amp;search_scope=EVERYTHING&amp;vid=01CRU&amp;lang=en_US&amp;offset=0&amp;query=any,contains,991001756789702656","Catalog Record")</f>
        <v/>
      </c>
      <c r="AT4">
        <f>HYPERLINK("http://www.worldcat.org/oclc/22210335","WorldCat Record")</f>
        <v/>
      </c>
      <c r="AU4" t="inlineStr">
        <is>
          <t>23955001:eng</t>
        </is>
      </c>
      <c r="AV4" t="inlineStr">
        <is>
          <t>22210335</t>
        </is>
      </c>
      <c r="AW4" t="inlineStr">
        <is>
          <t>991001756789702656</t>
        </is>
      </c>
      <c r="AX4" t="inlineStr">
        <is>
          <t>991001756789702656</t>
        </is>
      </c>
      <c r="AY4" t="inlineStr">
        <is>
          <t>2262026850002656</t>
        </is>
      </c>
      <c r="AZ4" t="inlineStr">
        <is>
          <t>BOOK</t>
        </is>
      </c>
      <c r="BB4" t="inlineStr">
        <is>
          <t>9780135587928</t>
        </is>
      </c>
      <c r="BC4" t="inlineStr">
        <is>
          <t>32285000939040</t>
        </is>
      </c>
      <c r="BD4" t="inlineStr">
        <is>
          <t>893426825</t>
        </is>
      </c>
    </row>
    <row r="5">
      <c r="A5" t="inlineStr">
        <is>
          <t>No</t>
        </is>
      </c>
      <c r="B5" t="inlineStr">
        <is>
          <t>HQ10 .C35</t>
        </is>
      </c>
      <c r="C5" t="inlineStr">
        <is>
          <t>0                      HQ 0010000C  35</t>
        </is>
      </c>
      <c r="D5" t="inlineStr">
        <is>
          <t>I count--you count : the "do it ourselves" marriage counseling and enrichment book / by George Calden ; foreword by David R. Mace.</t>
        </is>
      </c>
      <c r="F5" t="inlineStr">
        <is>
          <t>No</t>
        </is>
      </c>
      <c r="G5" t="inlineStr">
        <is>
          <t>1</t>
        </is>
      </c>
      <c r="H5" t="inlineStr">
        <is>
          <t>No</t>
        </is>
      </c>
      <c r="I5" t="inlineStr">
        <is>
          <t>No</t>
        </is>
      </c>
      <c r="J5" t="inlineStr">
        <is>
          <t>0</t>
        </is>
      </c>
      <c r="K5" t="inlineStr">
        <is>
          <t>Calden, George, 1915-</t>
        </is>
      </c>
      <c r="L5" t="inlineStr">
        <is>
          <t>Niles, Ill. : Argus Communications, c1976.</t>
        </is>
      </c>
      <c r="M5" t="inlineStr">
        <is>
          <t>1976</t>
        </is>
      </c>
      <c r="N5" t="inlineStr">
        <is>
          <t>1st ed.</t>
        </is>
      </c>
      <c r="O5" t="inlineStr">
        <is>
          <t>eng</t>
        </is>
      </c>
      <c r="P5" t="inlineStr">
        <is>
          <t>ilu</t>
        </is>
      </c>
      <c r="R5" t="inlineStr">
        <is>
          <t xml:space="preserve">HQ </t>
        </is>
      </c>
      <c r="S5" t="n">
        <v>9</v>
      </c>
      <c r="T5" t="n">
        <v>9</v>
      </c>
      <c r="U5" t="inlineStr">
        <is>
          <t>1997-03-24</t>
        </is>
      </c>
      <c r="V5" t="inlineStr">
        <is>
          <t>1997-03-24</t>
        </is>
      </c>
      <c r="W5" t="inlineStr">
        <is>
          <t>1992-11-05</t>
        </is>
      </c>
      <c r="X5" t="inlineStr">
        <is>
          <t>1992-11-05</t>
        </is>
      </c>
      <c r="Y5" t="n">
        <v>74</v>
      </c>
      <c r="Z5" t="n">
        <v>59</v>
      </c>
      <c r="AA5" t="n">
        <v>59</v>
      </c>
      <c r="AB5" t="n">
        <v>1</v>
      </c>
      <c r="AC5" t="n">
        <v>1</v>
      </c>
      <c r="AD5" t="n">
        <v>2</v>
      </c>
      <c r="AE5" t="n">
        <v>2</v>
      </c>
      <c r="AF5" t="n">
        <v>0</v>
      </c>
      <c r="AG5" t="n">
        <v>0</v>
      </c>
      <c r="AH5" t="n">
        <v>1</v>
      </c>
      <c r="AI5" t="n">
        <v>1</v>
      </c>
      <c r="AJ5" t="n">
        <v>1</v>
      </c>
      <c r="AK5" t="n">
        <v>1</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HYPERLINK("https://creighton-primo.hosted.exlibrisgroup.com/primo-explore/search?tab=default_tab&amp;search_scope=EVERYTHING&amp;vid=01CRU&amp;lang=en_US&amp;offset=0&amp;query=any,contains,991004136919702656","Catalog Record")</f>
        <v/>
      </c>
      <c r="AT5">
        <f>HYPERLINK("http://www.worldcat.org/oclc/2489325","WorldCat Record")</f>
        <v/>
      </c>
      <c r="AU5" t="inlineStr">
        <is>
          <t>5610551146:eng</t>
        </is>
      </c>
      <c r="AV5" t="inlineStr">
        <is>
          <t>2489325</t>
        </is>
      </c>
      <c r="AW5" t="inlineStr">
        <is>
          <t>991004136919702656</t>
        </is>
      </c>
      <c r="AX5" t="inlineStr">
        <is>
          <t>991004136919702656</t>
        </is>
      </c>
      <c r="AY5" t="inlineStr">
        <is>
          <t>2259833500002656</t>
        </is>
      </c>
      <c r="AZ5" t="inlineStr">
        <is>
          <t>BOOK</t>
        </is>
      </c>
      <c r="BB5" t="inlineStr">
        <is>
          <t>9780913592649</t>
        </is>
      </c>
      <c r="BC5" t="inlineStr">
        <is>
          <t>32285001362580</t>
        </is>
      </c>
      <c r="BD5" t="inlineStr">
        <is>
          <t>893259360</t>
        </is>
      </c>
    </row>
    <row r="6">
      <c r="A6" t="inlineStr">
        <is>
          <t>No</t>
        </is>
      </c>
      <c r="B6" t="inlineStr">
        <is>
          <t>HQ10 .C37 1989</t>
        </is>
      </c>
      <c r="C6" t="inlineStr">
        <is>
          <t>0                      HQ 0010000C  37          1989</t>
        </is>
      </c>
      <c r="D6" t="inlineStr">
        <is>
          <t>Faithful to each other forever : a Catholic handbook of pastoral help for marriage preparation.</t>
        </is>
      </c>
      <c r="F6" t="inlineStr">
        <is>
          <t>No</t>
        </is>
      </c>
      <c r="G6" t="inlineStr">
        <is>
          <t>1</t>
        </is>
      </c>
      <c r="H6" t="inlineStr">
        <is>
          <t>No</t>
        </is>
      </c>
      <c r="I6" t="inlineStr">
        <is>
          <t>No</t>
        </is>
      </c>
      <c r="J6" t="inlineStr">
        <is>
          <t>0</t>
        </is>
      </c>
      <c r="K6" t="inlineStr">
        <is>
          <t>Catholic Church. National Conference of Catholic Bishops. Bishops' Committee for Pastoral Research and Practices.</t>
        </is>
      </c>
      <c r="L6" t="inlineStr">
        <is>
          <t>Washington, D.C. : United States Catholic Conference, c1989.</t>
        </is>
      </c>
      <c r="M6" t="inlineStr">
        <is>
          <t>1989</t>
        </is>
      </c>
      <c r="O6" t="inlineStr">
        <is>
          <t>eng</t>
        </is>
      </c>
      <c r="P6" t="inlineStr">
        <is>
          <t>dcu</t>
        </is>
      </c>
      <c r="Q6" t="inlineStr">
        <is>
          <t>Publication / Office of Publishing and Promotion Services, United States Catholic Conference ; no. 252-7</t>
        </is>
      </c>
      <c r="R6" t="inlineStr">
        <is>
          <t xml:space="preserve">HQ </t>
        </is>
      </c>
      <c r="S6" t="n">
        <v>10</v>
      </c>
      <c r="T6" t="n">
        <v>10</v>
      </c>
      <c r="U6" t="inlineStr">
        <is>
          <t>1999-06-30</t>
        </is>
      </c>
      <c r="V6" t="inlineStr">
        <is>
          <t>1999-06-30</t>
        </is>
      </c>
      <c r="W6" t="inlineStr">
        <is>
          <t>1990-07-24</t>
        </is>
      </c>
      <c r="X6" t="inlineStr">
        <is>
          <t>1990-07-24</t>
        </is>
      </c>
      <c r="Y6" t="n">
        <v>109</v>
      </c>
      <c r="Z6" t="n">
        <v>98</v>
      </c>
      <c r="AA6" t="n">
        <v>98</v>
      </c>
      <c r="AB6" t="n">
        <v>2</v>
      </c>
      <c r="AC6" t="n">
        <v>2</v>
      </c>
      <c r="AD6" t="n">
        <v>11</v>
      </c>
      <c r="AE6" t="n">
        <v>11</v>
      </c>
      <c r="AF6" t="n">
        <v>2</v>
      </c>
      <c r="AG6" t="n">
        <v>2</v>
      </c>
      <c r="AH6" t="n">
        <v>2</v>
      </c>
      <c r="AI6" t="n">
        <v>2</v>
      </c>
      <c r="AJ6" t="n">
        <v>9</v>
      </c>
      <c r="AK6" t="n">
        <v>9</v>
      </c>
      <c r="AL6" t="n">
        <v>1</v>
      </c>
      <c r="AM6" t="n">
        <v>1</v>
      </c>
      <c r="AN6" t="n">
        <v>0</v>
      </c>
      <c r="AO6" t="n">
        <v>0</v>
      </c>
      <c r="AP6" t="inlineStr">
        <is>
          <t>No</t>
        </is>
      </c>
      <c r="AQ6" t="inlineStr">
        <is>
          <t>No</t>
        </is>
      </c>
      <c r="AS6">
        <f>HYPERLINK("https://creighton-primo.hosted.exlibrisgroup.com/primo-explore/search?tab=default_tab&amp;search_scope=EVERYTHING&amp;vid=01CRU&amp;lang=en_US&amp;offset=0&amp;query=any,contains,991001511169702656","Catalog Record")</f>
        <v/>
      </c>
      <c r="AT6">
        <f>HYPERLINK("http://www.worldcat.org/oclc/20170603","WorldCat Record")</f>
        <v/>
      </c>
      <c r="AU6" t="inlineStr">
        <is>
          <t>21438831:eng</t>
        </is>
      </c>
      <c r="AV6" t="inlineStr">
        <is>
          <t>20170603</t>
        </is>
      </c>
      <c r="AW6" t="inlineStr">
        <is>
          <t>991001511169702656</t>
        </is>
      </c>
      <c r="AX6" t="inlineStr">
        <is>
          <t>991001511169702656</t>
        </is>
      </c>
      <c r="AY6" t="inlineStr">
        <is>
          <t>2255291980002656</t>
        </is>
      </c>
      <c r="AZ6" t="inlineStr">
        <is>
          <t>BOOK</t>
        </is>
      </c>
      <c r="BB6" t="inlineStr">
        <is>
          <t>9781555862527</t>
        </is>
      </c>
      <c r="BC6" t="inlineStr">
        <is>
          <t>32285000247824</t>
        </is>
      </c>
      <c r="BD6" t="inlineStr">
        <is>
          <t>893528969</t>
        </is>
      </c>
    </row>
    <row r="7">
      <c r="A7" t="inlineStr">
        <is>
          <t>No</t>
        </is>
      </c>
      <c r="B7" t="inlineStr">
        <is>
          <t>HQ10 .D47 1982</t>
        </is>
      </c>
      <c r="C7" t="inlineStr">
        <is>
          <t>0                      HQ 0010000D  47          1982</t>
        </is>
      </c>
      <c r="D7" t="inlineStr">
        <is>
          <t>Family life education : resources for the elementary classroom grades 4,5,6 / Lynne Ann DeSpelder, Albert Lee Strickland ; edited by Nancy Abbey-Harris, Steven Bignell, Mari Lynch.</t>
        </is>
      </c>
      <c r="F7" t="inlineStr">
        <is>
          <t>No</t>
        </is>
      </c>
      <c r="G7" t="inlineStr">
        <is>
          <t>1</t>
        </is>
      </c>
      <c r="H7" t="inlineStr">
        <is>
          <t>No</t>
        </is>
      </c>
      <c r="I7" t="inlineStr">
        <is>
          <t>No</t>
        </is>
      </c>
      <c r="J7" t="inlineStr">
        <is>
          <t>0</t>
        </is>
      </c>
      <c r="K7" t="inlineStr">
        <is>
          <t>DeSpelder, Lynne Ann, 1944-</t>
        </is>
      </c>
      <c r="L7" t="inlineStr">
        <is>
          <t>Santa Cruz, Calif. : Network Publications, c1982.</t>
        </is>
      </c>
      <c r="M7" t="inlineStr">
        <is>
          <t>1982</t>
        </is>
      </c>
      <c r="O7" t="inlineStr">
        <is>
          <t>eng</t>
        </is>
      </c>
      <c r="P7" t="inlineStr">
        <is>
          <t>cau</t>
        </is>
      </c>
      <c r="R7" t="inlineStr">
        <is>
          <t xml:space="preserve">HQ </t>
        </is>
      </c>
      <c r="S7" t="n">
        <v>3</v>
      </c>
      <c r="T7" t="n">
        <v>3</v>
      </c>
      <c r="U7" t="inlineStr">
        <is>
          <t>1997-11-05</t>
        </is>
      </c>
      <c r="V7" t="inlineStr">
        <is>
          <t>1997-11-05</t>
        </is>
      </c>
      <c r="W7" t="inlineStr">
        <is>
          <t>1992-10-16</t>
        </is>
      </c>
      <c r="X7" t="inlineStr">
        <is>
          <t>1992-10-16</t>
        </is>
      </c>
      <c r="Y7" t="n">
        <v>72</v>
      </c>
      <c r="Z7" t="n">
        <v>65</v>
      </c>
      <c r="AA7" t="n">
        <v>65</v>
      </c>
      <c r="AB7" t="n">
        <v>1</v>
      </c>
      <c r="AC7" t="n">
        <v>1</v>
      </c>
      <c r="AD7" t="n">
        <v>0</v>
      </c>
      <c r="AE7" t="n">
        <v>0</v>
      </c>
      <c r="AF7" t="n">
        <v>0</v>
      </c>
      <c r="AG7" t="n">
        <v>0</v>
      </c>
      <c r="AH7" t="n">
        <v>0</v>
      </c>
      <c r="AI7" t="n">
        <v>0</v>
      </c>
      <c r="AJ7" t="n">
        <v>0</v>
      </c>
      <c r="AK7" t="n">
        <v>0</v>
      </c>
      <c r="AL7" t="n">
        <v>0</v>
      </c>
      <c r="AM7" t="n">
        <v>0</v>
      </c>
      <c r="AN7" t="n">
        <v>0</v>
      </c>
      <c r="AO7" t="n">
        <v>0</v>
      </c>
      <c r="AP7" t="inlineStr">
        <is>
          <t>No</t>
        </is>
      </c>
      <c r="AQ7" t="inlineStr">
        <is>
          <t>No</t>
        </is>
      </c>
      <c r="AS7">
        <f>HYPERLINK("https://creighton-primo.hosted.exlibrisgroup.com/primo-explore/search?tab=default_tab&amp;search_scope=EVERYTHING&amp;vid=01CRU&amp;lang=en_US&amp;offset=0&amp;query=any,contains,991000199239702656","Catalog Record")</f>
        <v/>
      </c>
      <c r="AT7">
        <f>HYPERLINK("http://www.worldcat.org/oclc/9454212","WorldCat Record")</f>
        <v/>
      </c>
      <c r="AU7" t="inlineStr">
        <is>
          <t>43171662:eng</t>
        </is>
      </c>
      <c r="AV7" t="inlineStr">
        <is>
          <t>9454212</t>
        </is>
      </c>
      <c r="AW7" t="inlineStr">
        <is>
          <t>991000199239702656</t>
        </is>
      </c>
      <c r="AX7" t="inlineStr">
        <is>
          <t>991000199239702656</t>
        </is>
      </c>
      <c r="AY7" t="inlineStr">
        <is>
          <t>2266766350002656</t>
        </is>
      </c>
      <c r="AZ7" t="inlineStr">
        <is>
          <t>BOOK</t>
        </is>
      </c>
      <c r="BB7" t="inlineStr">
        <is>
          <t>9780941816069</t>
        </is>
      </c>
      <c r="BC7" t="inlineStr">
        <is>
          <t>32285001357937</t>
        </is>
      </c>
      <c r="BD7" t="inlineStr">
        <is>
          <t>893695663</t>
        </is>
      </c>
    </row>
    <row r="8">
      <c r="A8" t="inlineStr">
        <is>
          <t>No</t>
        </is>
      </c>
      <c r="B8" t="inlineStr">
        <is>
          <t>HQ10 .F7</t>
        </is>
      </c>
      <c r="C8" t="inlineStr">
        <is>
          <t>0                      HQ 0010000F  7</t>
        </is>
      </c>
      <c r="D8" t="inlineStr">
        <is>
          <t>Marital crisis and short-term counseling : a casebook / Dorothy R. Freeman.</t>
        </is>
      </c>
      <c r="F8" t="inlineStr">
        <is>
          <t>No</t>
        </is>
      </c>
      <c r="G8" t="inlineStr">
        <is>
          <t>1</t>
        </is>
      </c>
      <c r="H8" t="inlineStr">
        <is>
          <t>No</t>
        </is>
      </c>
      <c r="I8" t="inlineStr">
        <is>
          <t>No</t>
        </is>
      </c>
      <c r="J8" t="inlineStr">
        <is>
          <t>0</t>
        </is>
      </c>
      <c r="K8" t="inlineStr">
        <is>
          <t>Freeman, Dorothy R. (Dorothy Ruth)</t>
        </is>
      </c>
      <c r="L8" t="inlineStr">
        <is>
          <t>New York : Free Press ; London : Collier Macmillan, c1982.</t>
        </is>
      </c>
      <c r="M8" t="inlineStr">
        <is>
          <t>1982</t>
        </is>
      </c>
      <c r="O8" t="inlineStr">
        <is>
          <t>eng</t>
        </is>
      </c>
      <c r="P8" t="inlineStr">
        <is>
          <t>nyu</t>
        </is>
      </c>
      <c r="R8" t="inlineStr">
        <is>
          <t xml:space="preserve">HQ </t>
        </is>
      </c>
      <c r="S8" t="n">
        <v>17</v>
      </c>
      <c r="T8" t="n">
        <v>17</v>
      </c>
      <c r="U8" t="inlineStr">
        <is>
          <t>2005-03-21</t>
        </is>
      </c>
      <c r="V8" t="inlineStr">
        <is>
          <t>2005-03-21</t>
        </is>
      </c>
      <c r="W8" t="inlineStr">
        <is>
          <t>1990-07-24</t>
        </is>
      </c>
      <c r="X8" t="inlineStr">
        <is>
          <t>1990-07-24</t>
        </is>
      </c>
      <c r="Y8" t="n">
        <v>401</v>
      </c>
      <c r="Z8" t="n">
        <v>318</v>
      </c>
      <c r="AA8" t="n">
        <v>319</v>
      </c>
      <c r="AB8" t="n">
        <v>3</v>
      </c>
      <c r="AC8" t="n">
        <v>3</v>
      </c>
      <c r="AD8" t="n">
        <v>16</v>
      </c>
      <c r="AE8" t="n">
        <v>16</v>
      </c>
      <c r="AF8" t="n">
        <v>7</v>
      </c>
      <c r="AG8" t="n">
        <v>7</v>
      </c>
      <c r="AH8" t="n">
        <v>4</v>
      </c>
      <c r="AI8" t="n">
        <v>4</v>
      </c>
      <c r="AJ8" t="n">
        <v>7</v>
      </c>
      <c r="AK8" t="n">
        <v>7</v>
      </c>
      <c r="AL8" t="n">
        <v>2</v>
      </c>
      <c r="AM8" t="n">
        <v>2</v>
      </c>
      <c r="AN8" t="n">
        <v>0</v>
      </c>
      <c r="AO8" t="n">
        <v>0</v>
      </c>
      <c r="AP8" t="inlineStr">
        <is>
          <t>No</t>
        </is>
      </c>
      <c r="AQ8" t="inlineStr">
        <is>
          <t>Yes</t>
        </is>
      </c>
      <c r="AR8">
        <f>HYPERLINK("http://catalog.hathitrust.org/Record/004398713","HathiTrust Record")</f>
        <v/>
      </c>
      <c r="AS8">
        <f>HYPERLINK("https://creighton-primo.hosted.exlibrisgroup.com/primo-explore/search?tab=default_tab&amp;search_scope=EVERYTHING&amp;vid=01CRU&amp;lang=en_US&amp;offset=0&amp;query=any,contains,991005156859702656","Catalog Record")</f>
        <v/>
      </c>
      <c r="AT8">
        <f>HYPERLINK("http://www.worldcat.org/oclc/7740870","WorldCat Record")</f>
        <v/>
      </c>
      <c r="AU8" t="inlineStr">
        <is>
          <t>836676989:eng</t>
        </is>
      </c>
      <c r="AV8" t="inlineStr">
        <is>
          <t>7740870</t>
        </is>
      </c>
      <c r="AW8" t="inlineStr">
        <is>
          <t>991005156859702656</t>
        </is>
      </c>
      <c r="AX8" t="inlineStr">
        <is>
          <t>991005156859702656</t>
        </is>
      </c>
      <c r="AY8" t="inlineStr">
        <is>
          <t>2264225220002656</t>
        </is>
      </c>
      <c r="AZ8" t="inlineStr">
        <is>
          <t>BOOK</t>
        </is>
      </c>
      <c r="BB8" t="inlineStr">
        <is>
          <t>9780029106808</t>
        </is>
      </c>
      <c r="BC8" t="inlineStr">
        <is>
          <t>32285000247832</t>
        </is>
      </c>
      <c r="BD8" t="inlineStr">
        <is>
          <t>893688692</t>
        </is>
      </c>
    </row>
    <row r="9">
      <c r="A9" t="inlineStr">
        <is>
          <t>No</t>
        </is>
      </c>
      <c r="B9" t="inlineStr">
        <is>
          <t>HQ10 .G724 2001</t>
        </is>
      </c>
      <c r="C9" t="inlineStr">
        <is>
          <t>0                      HQ 0010000G  724         2001</t>
        </is>
      </c>
      <c r="D9" t="inlineStr">
        <is>
          <t>Methods of family research / Theodore N. Greenstein.</t>
        </is>
      </c>
      <c r="F9" t="inlineStr">
        <is>
          <t>No</t>
        </is>
      </c>
      <c r="G9" t="inlineStr">
        <is>
          <t>1</t>
        </is>
      </c>
      <c r="H9" t="inlineStr">
        <is>
          <t>No</t>
        </is>
      </c>
      <c r="I9" t="inlineStr">
        <is>
          <t>No</t>
        </is>
      </c>
      <c r="J9" t="inlineStr">
        <is>
          <t>0</t>
        </is>
      </c>
      <c r="K9" t="inlineStr">
        <is>
          <t>Greenstein, Theodore N.</t>
        </is>
      </c>
      <c r="L9" t="inlineStr">
        <is>
          <t>Thousand Oaks : Sage Publications, Inc., c2001.</t>
        </is>
      </c>
      <c r="M9" t="inlineStr">
        <is>
          <t>2001</t>
        </is>
      </c>
      <c r="O9" t="inlineStr">
        <is>
          <t>eng</t>
        </is>
      </c>
      <c r="P9" t="inlineStr">
        <is>
          <t>cau</t>
        </is>
      </c>
      <c r="R9" t="inlineStr">
        <is>
          <t xml:space="preserve">HQ </t>
        </is>
      </c>
      <c r="S9" t="n">
        <v>1</v>
      </c>
      <c r="T9" t="n">
        <v>1</v>
      </c>
      <c r="U9" t="inlineStr">
        <is>
          <t>2004-09-13</t>
        </is>
      </c>
      <c r="V9" t="inlineStr">
        <is>
          <t>2004-09-13</t>
        </is>
      </c>
      <c r="W9" t="inlineStr">
        <is>
          <t>2004-09-13</t>
        </is>
      </c>
      <c r="X9" t="inlineStr">
        <is>
          <t>2004-09-13</t>
        </is>
      </c>
      <c r="Y9" t="n">
        <v>297</v>
      </c>
      <c r="Z9" t="n">
        <v>222</v>
      </c>
      <c r="AA9" t="n">
        <v>699</v>
      </c>
      <c r="AB9" t="n">
        <v>3</v>
      </c>
      <c r="AC9" t="n">
        <v>7</v>
      </c>
      <c r="AD9" t="n">
        <v>9</v>
      </c>
      <c r="AE9" t="n">
        <v>27</v>
      </c>
      <c r="AF9" t="n">
        <v>2</v>
      </c>
      <c r="AG9" t="n">
        <v>8</v>
      </c>
      <c r="AH9" t="n">
        <v>2</v>
      </c>
      <c r="AI9" t="n">
        <v>7</v>
      </c>
      <c r="AJ9" t="n">
        <v>3</v>
      </c>
      <c r="AK9" t="n">
        <v>12</v>
      </c>
      <c r="AL9" t="n">
        <v>2</v>
      </c>
      <c r="AM9" t="n">
        <v>6</v>
      </c>
      <c r="AN9" t="n">
        <v>0</v>
      </c>
      <c r="AO9" t="n">
        <v>0</v>
      </c>
      <c r="AP9" t="inlineStr">
        <is>
          <t>No</t>
        </is>
      </c>
      <c r="AQ9" t="inlineStr">
        <is>
          <t>Yes</t>
        </is>
      </c>
      <c r="AR9">
        <f>HYPERLINK("http://catalog.hathitrust.org/Record/004167881","HathiTrust Record")</f>
        <v/>
      </c>
      <c r="AS9">
        <f>HYPERLINK("https://creighton-primo.hosted.exlibrisgroup.com/primo-explore/search?tab=default_tab&amp;search_scope=EVERYTHING&amp;vid=01CRU&amp;lang=en_US&amp;offset=0&amp;query=any,contains,991004364899702656","Catalog Record")</f>
        <v/>
      </c>
      <c r="AT9">
        <f>HYPERLINK("http://www.worldcat.org/oclc/45136781","WorldCat Record")</f>
        <v/>
      </c>
      <c r="AU9" t="inlineStr">
        <is>
          <t>3627598:eng</t>
        </is>
      </c>
      <c r="AV9" t="inlineStr">
        <is>
          <t>45136781</t>
        </is>
      </c>
      <c r="AW9" t="inlineStr">
        <is>
          <t>991004364899702656</t>
        </is>
      </c>
      <c r="AX9" t="inlineStr">
        <is>
          <t>991004364899702656</t>
        </is>
      </c>
      <c r="AY9" t="inlineStr">
        <is>
          <t>2255677420002656</t>
        </is>
      </c>
      <c r="AZ9" t="inlineStr">
        <is>
          <t>BOOK</t>
        </is>
      </c>
      <c r="BB9" t="inlineStr">
        <is>
          <t>9780761919483</t>
        </is>
      </c>
      <c r="BC9" t="inlineStr">
        <is>
          <t>32285004986237</t>
        </is>
      </c>
      <c r="BD9" t="inlineStr">
        <is>
          <t>893343750</t>
        </is>
      </c>
    </row>
    <row r="10">
      <c r="A10" t="inlineStr">
        <is>
          <t>No</t>
        </is>
      </c>
      <c r="B10" t="inlineStr">
        <is>
          <t>HQ10 .K55</t>
        </is>
      </c>
      <c r="C10" t="inlineStr">
        <is>
          <t>0                      HQ 0010000K  55</t>
        </is>
      </c>
      <c r="D10" t="inlineStr">
        <is>
          <t>Counseling in marital and sexual problems : a physician's handbook / edited by Richard H. Klemer.</t>
        </is>
      </c>
      <c r="F10" t="inlineStr">
        <is>
          <t>No</t>
        </is>
      </c>
      <c r="G10" t="inlineStr">
        <is>
          <t>1</t>
        </is>
      </c>
      <c r="H10" t="inlineStr">
        <is>
          <t>No</t>
        </is>
      </c>
      <c r="I10" t="inlineStr">
        <is>
          <t>No</t>
        </is>
      </c>
      <c r="J10" t="inlineStr">
        <is>
          <t>0</t>
        </is>
      </c>
      <c r="K10" t="inlineStr">
        <is>
          <t>Klemer, Richard H. editor.</t>
        </is>
      </c>
      <c r="L10" t="inlineStr">
        <is>
          <t>Baltimore : Williams &amp; Wilkins, 1965.</t>
        </is>
      </c>
      <c r="M10" t="inlineStr">
        <is>
          <t>1965</t>
        </is>
      </c>
      <c r="O10" t="inlineStr">
        <is>
          <t>eng</t>
        </is>
      </c>
      <c r="P10" t="inlineStr">
        <is>
          <t>mdu</t>
        </is>
      </c>
      <c r="R10" t="inlineStr">
        <is>
          <t xml:space="preserve">HQ </t>
        </is>
      </c>
      <c r="S10" t="n">
        <v>10</v>
      </c>
      <c r="T10" t="n">
        <v>10</v>
      </c>
      <c r="U10" t="inlineStr">
        <is>
          <t>1999-02-14</t>
        </is>
      </c>
      <c r="V10" t="inlineStr">
        <is>
          <t>1999-02-14</t>
        </is>
      </c>
      <c r="W10" t="inlineStr">
        <is>
          <t>1994-09-27</t>
        </is>
      </c>
      <c r="X10" t="inlineStr">
        <is>
          <t>1994-09-27</t>
        </is>
      </c>
      <c r="Y10" t="n">
        <v>331</v>
      </c>
      <c r="Z10" t="n">
        <v>274</v>
      </c>
      <c r="AA10" t="n">
        <v>299</v>
      </c>
      <c r="AB10" t="n">
        <v>5</v>
      </c>
      <c r="AC10" t="n">
        <v>5</v>
      </c>
      <c r="AD10" t="n">
        <v>11</v>
      </c>
      <c r="AE10" t="n">
        <v>13</v>
      </c>
      <c r="AF10" t="n">
        <v>4</v>
      </c>
      <c r="AG10" t="n">
        <v>5</v>
      </c>
      <c r="AH10" t="n">
        <v>1</v>
      </c>
      <c r="AI10" t="n">
        <v>2</v>
      </c>
      <c r="AJ10" t="n">
        <v>5</v>
      </c>
      <c r="AK10" t="n">
        <v>6</v>
      </c>
      <c r="AL10" t="n">
        <v>4</v>
      </c>
      <c r="AM10" t="n">
        <v>4</v>
      </c>
      <c r="AN10" t="n">
        <v>0</v>
      </c>
      <c r="AO10" t="n">
        <v>0</v>
      </c>
      <c r="AP10" t="inlineStr">
        <is>
          <t>No</t>
        </is>
      </c>
      <c r="AQ10" t="inlineStr">
        <is>
          <t>Yes</t>
        </is>
      </c>
      <c r="AR10">
        <f>HYPERLINK("http://catalog.hathitrust.org/Record/001108240","HathiTrust Record")</f>
        <v/>
      </c>
      <c r="AS10">
        <f>HYPERLINK("https://creighton-primo.hosted.exlibrisgroup.com/primo-explore/search?tab=default_tab&amp;search_scope=EVERYTHING&amp;vid=01CRU&amp;lang=en_US&amp;offset=0&amp;query=any,contains,991005254659702656","Catalog Record")</f>
        <v/>
      </c>
      <c r="AT10">
        <f>HYPERLINK("http://www.worldcat.org/oclc/174291","WorldCat Record")</f>
        <v/>
      </c>
      <c r="AU10" t="inlineStr">
        <is>
          <t>1305381:eng</t>
        </is>
      </c>
      <c r="AV10" t="inlineStr">
        <is>
          <t>174291</t>
        </is>
      </c>
      <c r="AW10" t="inlineStr">
        <is>
          <t>991005254659702656</t>
        </is>
      </c>
      <c r="AX10" t="inlineStr">
        <is>
          <t>991005254659702656</t>
        </is>
      </c>
      <c r="AY10" t="inlineStr">
        <is>
          <t>2266576540002656</t>
        </is>
      </c>
      <c r="AZ10" t="inlineStr">
        <is>
          <t>BOOK</t>
        </is>
      </c>
      <c r="BC10" t="inlineStr">
        <is>
          <t>32285001952612</t>
        </is>
      </c>
      <c r="BD10" t="inlineStr">
        <is>
          <t>893720075</t>
        </is>
      </c>
    </row>
    <row r="11">
      <c r="A11" t="inlineStr">
        <is>
          <t>No</t>
        </is>
      </c>
      <c r="B11" t="inlineStr">
        <is>
          <t>HQ10 .K56</t>
        </is>
      </c>
      <c r="C11" t="inlineStr">
        <is>
          <t>0                      HQ 0010000K  56</t>
        </is>
      </c>
      <c r="D11" t="inlineStr">
        <is>
          <t>Teaching about family relationships / Richard H. Klemer, Rebecca M. Smith.</t>
        </is>
      </c>
      <c r="F11" t="inlineStr">
        <is>
          <t>No</t>
        </is>
      </c>
      <c r="G11" t="inlineStr">
        <is>
          <t>1</t>
        </is>
      </c>
      <c r="H11" t="inlineStr">
        <is>
          <t>No</t>
        </is>
      </c>
      <c r="I11" t="inlineStr">
        <is>
          <t>No</t>
        </is>
      </c>
      <c r="J11" t="inlineStr">
        <is>
          <t>0</t>
        </is>
      </c>
      <c r="K11" t="inlineStr">
        <is>
          <t>Klemer, Richard H.</t>
        </is>
      </c>
      <c r="L11" t="inlineStr">
        <is>
          <t>Minneapolis : Burgess Pub. Co., [1975]</t>
        </is>
      </c>
      <c r="M11" t="inlineStr">
        <is>
          <t>1975</t>
        </is>
      </c>
      <c r="O11" t="inlineStr">
        <is>
          <t>eng</t>
        </is>
      </c>
      <c r="P11" t="inlineStr">
        <is>
          <t>mnu</t>
        </is>
      </c>
      <c r="R11" t="inlineStr">
        <is>
          <t xml:space="preserve">HQ </t>
        </is>
      </c>
      <c r="S11" t="n">
        <v>2</v>
      </c>
      <c r="T11" t="n">
        <v>2</v>
      </c>
      <c r="U11" t="inlineStr">
        <is>
          <t>1998-10-10</t>
        </is>
      </c>
      <c r="V11" t="inlineStr">
        <is>
          <t>1998-10-10</t>
        </is>
      </c>
      <c r="W11" t="inlineStr">
        <is>
          <t>1997-08-07</t>
        </is>
      </c>
      <c r="X11" t="inlineStr">
        <is>
          <t>1997-08-07</t>
        </is>
      </c>
      <c r="Y11" t="n">
        <v>232</v>
      </c>
      <c r="Z11" t="n">
        <v>187</v>
      </c>
      <c r="AA11" t="n">
        <v>187</v>
      </c>
      <c r="AB11" t="n">
        <v>4</v>
      </c>
      <c r="AC11" t="n">
        <v>4</v>
      </c>
      <c r="AD11" t="n">
        <v>5</v>
      </c>
      <c r="AE11" t="n">
        <v>5</v>
      </c>
      <c r="AF11" t="n">
        <v>0</v>
      </c>
      <c r="AG11" t="n">
        <v>0</v>
      </c>
      <c r="AH11" t="n">
        <v>0</v>
      </c>
      <c r="AI11" t="n">
        <v>0</v>
      </c>
      <c r="AJ11" t="n">
        <v>2</v>
      </c>
      <c r="AK11" t="n">
        <v>2</v>
      </c>
      <c r="AL11" t="n">
        <v>3</v>
      </c>
      <c r="AM11" t="n">
        <v>3</v>
      </c>
      <c r="AN11" t="n">
        <v>0</v>
      </c>
      <c r="AO11" t="n">
        <v>0</v>
      </c>
      <c r="AP11" t="inlineStr">
        <is>
          <t>No</t>
        </is>
      </c>
      <c r="AQ11" t="inlineStr">
        <is>
          <t>No</t>
        </is>
      </c>
      <c r="AS11">
        <f>HYPERLINK("https://creighton-primo.hosted.exlibrisgroup.com/primo-explore/search?tab=default_tab&amp;search_scope=EVERYTHING&amp;vid=01CRU&amp;lang=en_US&amp;offset=0&amp;query=any,contains,991003690869702656","Catalog Record")</f>
        <v/>
      </c>
      <c r="AT11">
        <f>HYPERLINK("http://www.worldcat.org/oclc/1322139","WorldCat Record")</f>
        <v/>
      </c>
      <c r="AU11" t="inlineStr">
        <is>
          <t>2200595:eng</t>
        </is>
      </c>
      <c r="AV11" t="inlineStr">
        <is>
          <t>1322139</t>
        </is>
      </c>
      <c r="AW11" t="inlineStr">
        <is>
          <t>991003690869702656</t>
        </is>
      </c>
      <c r="AX11" t="inlineStr">
        <is>
          <t>991003690869702656</t>
        </is>
      </c>
      <c r="AY11" t="inlineStr">
        <is>
          <t>2254986000002656</t>
        </is>
      </c>
      <c r="AZ11" t="inlineStr">
        <is>
          <t>BOOK</t>
        </is>
      </c>
      <c r="BB11" t="inlineStr">
        <is>
          <t>9780808719915</t>
        </is>
      </c>
      <c r="BC11" t="inlineStr">
        <is>
          <t>32285003087490</t>
        </is>
      </c>
      <c r="BD11" t="inlineStr">
        <is>
          <t>893445786</t>
        </is>
      </c>
    </row>
    <row r="12">
      <c r="A12" t="inlineStr">
        <is>
          <t>No</t>
        </is>
      </c>
      <c r="B12" t="inlineStr">
        <is>
          <t>HQ10 .L44 1985</t>
        </is>
      </c>
      <c r="C12" t="inlineStr">
        <is>
          <t>0                      HQ 0010000L  44          1985</t>
        </is>
      </c>
      <c r="D12" t="inlineStr">
        <is>
          <t>Family mediation practice / John Allen Lemmon.</t>
        </is>
      </c>
      <c r="F12" t="inlineStr">
        <is>
          <t>No</t>
        </is>
      </c>
      <c r="G12" t="inlineStr">
        <is>
          <t>1</t>
        </is>
      </c>
      <c r="H12" t="inlineStr">
        <is>
          <t>No</t>
        </is>
      </c>
      <c r="I12" t="inlineStr">
        <is>
          <t>No</t>
        </is>
      </c>
      <c r="J12" t="inlineStr">
        <is>
          <t>0</t>
        </is>
      </c>
      <c r="K12" t="inlineStr">
        <is>
          <t>Lemmon, John.</t>
        </is>
      </c>
      <c r="L12" t="inlineStr">
        <is>
          <t>New York : Free Press, c1985.</t>
        </is>
      </c>
      <c r="M12" t="inlineStr">
        <is>
          <t>1985</t>
        </is>
      </c>
      <c r="O12" t="inlineStr">
        <is>
          <t>eng</t>
        </is>
      </c>
      <c r="P12" t="inlineStr">
        <is>
          <t>nyu</t>
        </is>
      </c>
      <c r="R12" t="inlineStr">
        <is>
          <t xml:space="preserve">HQ </t>
        </is>
      </c>
      <c r="S12" t="n">
        <v>6</v>
      </c>
      <c r="T12" t="n">
        <v>6</v>
      </c>
      <c r="U12" t="inlineStr">
        <is>
          <t>1996-03-04</t>
        </is>
      </c>
      <c r="V12" t="inlineStr">
        <is>
          <t>1996-03-04</t>
        </is>
      </c>
      <c r="W12" t="inlineStr">
        <is>
          <t>1992-10-16</t>
        </is>
      </c>
      <c r="X12" t="inlineStr">
        <is>
          <t>1992-10-16</t>
        </is>
      </c>
      <c r="Y12" t="n">
        <v>383</v>
      </c>
      <c r="Z12" t="n">
        <v>337</v>
      </c>
      <c r="AA12" t="n">
        <v>355</v>
      </c>
      <c r="AB12" t="n">
        <v>3</v>
      </c>
      <c r="AC12" t="n">
        <v>3</v>
      </c>
      <c r="AD12" t="n">
        <v>19</v>
      </c>
      <c r="AE12" t="n">
        <v>19</v>
      </c>
      <c r="AF12" t="n">
        <v>4</v>
      </c>
      <c r="AG12" t="n">
        <v>4</v>
      </c>
      <c r="AH12" t="n">
        <v>3</v>
      </c>
      <c r="AI12" t="n">
        <v>3</v>
      </c>
      <c r="AJ12" t="n">
        <v>8</v>
      </c>
      <c r="AK12" t="n">
        <v>8</v>
      </c>
      <c r="AL12" t="n">
        <v>2</v>
      </c>
      <c r="AM12" t="n">
        <v>2</v>
      </c>
      <c r="AN12" t="n">
        <v>6</v>
      </c>
      <c r="AO12" t="n">
        <v>6</v>
      </c>
      <c r="AP12" t="inlineStr">
        <is>
          <t>No</t>
        </is>
      </c>
      <c r="AQ12" t="inlineStr">
        <is>
          <t>Yes</t>
        </is>
      </c>
      <c r="AR12">
        <f>HYPERLINK("http://catalog.hathitrust.org/Record/000610801","HathiTrust Record")</f>
        <v/>
      </c>
      <c r="AS12">
        <f>HYPERLINK("https://creighton-primo.hosted.exlibrisgroup.com/primo-explore/search?tab=default_tab&amp;search_scope=EVERYTHING&amp;vid=01CRU&amp;lang=en_US&amp;offset=0&amp;query=any,contains,991000593389702656","Catalog Record")</f>
        <v/>
      </c>
      <c r="AT12">
        <f>HYPERLINK("http://www.worldcat.org/oclc/11787083","WorldCat Record")</f>
        <v/>
      </c>
      <c r="AU12" t="inlineStr">
        <is>
          <t>4657521:eng</t>
        </is>
      </c>
      <c r="AV12" t="inlineStr">
        <is>
          <t>11787083</t>
        </is>
      </c>
      <c r="AW12" t="inlineStr">
        <is>
          <t>991000593389702656</t>
        </is>
      </c>
      <c r="AX12" t="inlineStr">
        <is>
          <t>991000593389702656</t>
        </is>
      </c>
      <c r="AY12" t="inlineStr">
        <is>
          <t>2269311120002656</t>
        </is>
      </c>
      <c r="AZ12" t="inlineStr">
        <is>
          <t>BOOK</t>
        </is>
      </c>
      <c r="BB12" t="inlineStr">
        <is>
          <t>9780029185506</t>
        </is>
      </c>
      <c r="BC12" t="inlineStr">
        <is>
          <t>32285001357952</t>
        </is>
      </c>
      <c r="BD12" t="inlineStr">
        <is>
          <t>893231242</t>
        </is>
      </c>
    </row>
    <row r="13">
      <c r="A13" t="inlineStr">
        <is>
          <t>No</t>
        </is>
      </c>
      <c r="B13" t="inlineStr">
        <is>
          <t>HQ10 .L45 1980</t>
        </is>
      </c>
      <c r="C13" t="inlineStr">
        <is>
          <t>0                      HQ 0010000L  45          1980</t>
        </is>
      </c>
      <c r="D13" t="inlineStr">
        <is>
          <t>Marriage in a changing world / Gerald R. Leslie, Elizabeth McLaughlin Leslie.</t>
        </is>
      </c>
      <c r="F13" t="inlineStr">
        <is>
          <t>No</t>
        </is>
      </c>
      <c r="G13" t="inlineStr">
        <is>
          <t>1</t>
        </is>
      </c>
      <c r="H13" t="inlineStr">
        <is>
          <t>No</t>
        </is>
      </c>
      <c r="I13" t="inlineStr">
        <is>
          <t>No</t>
        </is>
      </c>
      <c r="J13" t="inlineStr">
        <is>
          <t>0</t>
        </is>
      </c>
      <c r="K13" t="inlineStr">
        <is>
          <t>Leslie, Gerald R.</t>
        </is>
      </c>
      <c r="L13" t="inlineStr">
        <is>
          <t>New York : Wiley, c1980.</t>
        </is>
      </c>
      <c r="M13" t="inlineStr">
        <is>
          <t>1980</t>
        </is>
      </c>
      <c r="N13" t="inlineStr">
        <is>
          <t>2d ed.</t>
        </is>
      </c>
      <c r="O13" t="inlineStr">
        <is>
          <t>eng</t>
        </is>
      </c>
      <c r="P13" t="inlineStr">
        <is>
          <t>nyu</t>
        </is>
      </c>
      <c r="R13" t="inlineStr">
        <is>
          <t xml:space="preserve">HQ </t>
        </is>
      </c>
      <c r="S13" t="n">
        <v>4</v>
      </c>
      <c r="T13" t="n">
        <v>4</v>
      </c>
      <c r="U13" t="inlineStr">
        <is>
          <t>1994-03-24</t>
        </is>
      </c>
      <c r="V13" t="inlineStr">
        <is>
          <t>1994-03-24</t>
        </is>
      </c>
      <c r="W13" t="inlineStr">
        <is>
          <t>1990-07-24</t>
        </is>
      </c>
      <c r="X13" t="inlineStr">
        <is>
          <t>1990-07-24</t>
        </is>
      </c>
      <c r="Y13" t="n">
        <v>174</v>
      </c>
      <c r="Z13" t="n">
        <v>114</v>
      </c>
      <c r="AA13" t="n">
        <v>243</v>
      </c>
      <c r="AB13" t="n">
        <v>1</v>
      </c>
      <c r="AC13" t="n">
        <v>3</v>
      </c>
      <c r="AD13" t="n">
        <v>2</v>
      </c>
      <c r="AE13" t="n">
        <v>9</v>
      </c>
      <c r="AF13" t="n">
        <v>1</v>
      </c>
      <c r="AG13" t="n">
        <v>2</v>
      </c>
      <c r="AH13" t="n">
        <v>1</v>
      </c>
      <c r="AI13" t="n">
        <v>1</v>
      </c>
      <c r="AJ13" t="n">
        <v>0</v>
      </c>
      <c r="AK13" t="n">
        <v>5</v>
      </c>
      <c r="AL13" t="n">
        <v>0</v>
      </c>
      <c r="AM13" t="n">
        <v>2</v>
      </c>
      <c r="AN13" t="n">
        <v>0</v>
      </c>
      <c r="AO13" t="n">
        <v>0</v>
      </c>
      <c r="AP13" t="inlineStr">
        <is>
          <t>No</t>
        </is>
      </c>
      <c r="AQ13" t="inlineStr">
        <is>
          <t>No</t>
        </is>
      </c>
      <c r="AS13">
        <f>HYPERLINK("https://creighton-primo.hosted.exlibrisgroup.com/primo-explore/search?tab=default_tab&amp;search_scope=EVERYTHING&amp;vid=01CRU&amp;lang=en_US&amp;offset=0&amp;query=any,contains,991004783389702656","Catalog Record")</f>
        <v/>
      </c>
      <c r="AT13">
        <f>HYPERLINK("http://www.worldcat.org/oclc/5126247","WorldCat Record")</f>
        <v/>
      </c>
      <c r="AU13" t="inlineStr">
        <is>
          <t>488844:eng</t>
        </is>
      </c>
      <c r="AV13" t="inlineStr">
        <is>
          <t>5126247</t>
        </is>
      </c>
      <c r="AW13" t="inlineStr">
        <is>
          <t>991004783389702656</t>
        </is>
      </c>
      <c r="AX13" t="inlineStr">
        <is>
          <t>991004783389702656</t>
        </is>
      </c>
      <c r="AY13" t="inlineStr">
        <is>
          <t>2267880290002656</t>
        </is>
      </c>
      <c r="AZ13" t="inlineStr">
        <is>
          <t>BOOK</t>
        </is>
      </c>
      <c r="BB13" t="inlineStr">
        <is>
          <t>9780471055938</t>
        </is>
      </c>
      <c r="BC13" t="inlineStr">
        <is>
          <t>32285000247857</t>
        </is>
      </c>
      <c r="BD13" t="inlineStr">
        <is>
          <t>893895480</t>
        </is>
      </c>
    </row>
    <row r="14">
      <c r="A14" t="inlineStr">
        <is>
          <t>No</t>
        </is>
      </c>
      <c r="B14" t="inlineStr">
        <is>
          <t>HQ10 .M3</t>
        </is>
      </c>
      <c r="C14" t="inlineStr">
        <is>
          <t>0                      HQ 0010000M  3</t>
        </is>
      </c>
      <c r="D14" t="inlineStr">
        <is>
          <t>Marriage and counseling / editor John M. Whiteley.</t>
        </is>
      </c>
      <c r="F14" t="inlineStr">
        <is>
          <t>No</t>
        </is>
      </c>
      <c r="G14" t="inlineStr">
        <is>
          <t>1</t>
        </is>
      </c>
      <c r="H14" t="inlineStr">
        <is>
          <t>No</t>
        </is>
      </c>
      <c r="I14" t="inlineStr">
        <is>
          <t>No</t>
        </is>
      </c>
      <c r="J14" t="inlineStr">
        <is>
          <t>0</t>
        </is>
      </c>
      <c r="L14" t="inlineStr">
        <is>
          <t>St. Louis, Mo. : Division of Counseling Psychology, American Psychological Association, 1975.</t>
        </is>
      </c>
      <c r="M14" t="inlineStr">
        <is>
          <t>1975</t>
        </is>
      </c>
      <c r="O14" t="inlineStr">
        <is>
          <t>eng</t>
        </is>
      </c>
      <c r="P14" t="inlineStr">
        <is>
          <t>mou</t>
        </is>
      </c>
      <c r="Q14" t="inlineStr">
        <is>
          <t>The Counseling psychologist ; v. 5, no. 3, 1975 0011-0000</t>
        </is>
      </c>
      <c r="R14" t="inlineStr">
        <is>
          <t xml:space="preserve">HQ </t>
        </is>
      </c>
      <c r="S14" t="n">
        <v>3</v>
      </c>
      <c r="T14" t="n">
        <v>3</v>
      </c>
      <c r="U14" t="inlineStr">
        <is>
          <t>1997-03-24</t>
        </is>
      </c>
      <c r="V14" t="inlineStr">
        <is>
          <t>1997-03-24</t>
        </is>
      </c>
      <c r="W14" t="inlineStr">
        <is>
          <t>1992-10-16</t>
        </is>
      </c>
      <c r="X14" t="inlineStr">
        <is>
          <t>1992-10-16</t>
        </is>
      </c>
      <c r="Y14" t="n">
        <v>2</v>
      </c>
      <c r="Z14" t="n">
        <v>2</v>
      </c>
      <c r="AA14" t="n">
        <v>2</v>
      </c>
      <c r="AB14" t="n">
        <v>2</v>
      </c>
      <c r="AC14" t="n">
        <v>2</v>
      </c>
      <c r="AD14" t="n">
        <v>1</v>
      </c>
      <c r="AE14" t="n">
        <v>1</v>
      </c>
      <c r="AF14" t="n">
        <v>0</v>
      </c>
      <c r="AG14" t="n">
        <v>0</v>
      </c>
      <c r="AH14" t="n">
        <v>0</v>
      </c>
      <c r="AI14" t="n">
        <v>0</v>
      </c>
      <c r="AJ14" t="n">
        <v>0</v>
      </c>
      <c r="AK14" t="n">
        <v>0</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HYPERLINK("https://creighton-primo.hosted.exlibrisgroup.com/primo-explore/search?tab=default_tab&amp;search_scope=EVERYTHING&amp;vid=01CRU&amp;lang=en_US&amp;offset=0&amp;query=any,contains,991005072939702656","Catalog Record")</f>
        <v/>
      </c>
      <c r="AT14">
        <f>HYPERLINK("http://www.worldcat.org/oclc/7062356","WorldCat Record")</f>
        <v/>
      </c>
      <c r="AU14" t="inlineStr">
        <is>
          <t>24711705:eng</t>
        </is>
      </c>
      <c r="AV14" t="inlineStr">
        <is>
          <t>7062356</t>
        </is>
      </c>
      <c r="AW14" t="inlineStr">
        <is>
          <t>991005072939702656</t>
        </is>
      </c>
      <c r="AX14" t="inlineStr">
        <is>
          <t>991005072939702656</t>
        </is>
      </c>
      <c r="AY14" t="inlineStr">
        <is>
          <t>2267935450002656</t>
        </is>
      </c>
      <c r="AZ14" t="inlineStr">
        <is>
          <t>BOOK</t>
        </is>
      </c>
      <c r="BC14" t="inlineStr">
        <is>
          <t>32285001357960</t>
        </is>
      </c>
      <c r="BD14" t="inlineStr">
        <is>
          <t>893905208</t>
        </is>
      </c>
    </row>
    <row r="15">
      <c r="A15" t="inlineStr">
        <is>
          <t>No</t>
        </is>
      </c>
      <c r="B15" t="inlineStr">
        <is>
          <t>HQ10 .M3734</t>
        </is>
      </c>
      <c r="C15" t="inlineStr">
        <is>
          <t>0                      HQ 0010000M  3734</t>
        </is>
      </c>
      <c r="D15" t="inlineStr">
        <is>
          <t>Marriages and families : enrichment through communication / edited by Sherod Miller.</t>
        </is>
      </c>
      <c r="F15" t="inlineStr">
        <is>
          <t>No</t>
        </is>
      </c>
      <c r="G15" t="inlineStr">
        <is>
          <t>1</t>
        </is>
      </c>
      <c r="H15" t="inlineStr">
        <is>
          <t>No</t>
        </is>
      </c>
      <c r="I15" t="inlineStr">
        <is>
          <t>No</t>
        </is>
      </c>
      <c r="J15" t="inlineStr">
        <is>
          <t>0</t>
        </is>
      </c>
      <c r="L15" t="inlineStr">
        <is>
          <t>Beverly Hills, Calif. : Sage Publications, 1975.</t>
        </is>
      </c>
      <c r="M15" t="inlineStr">
        <is>
          <t>1975</t>
        </is>
      </c>
      <c r="O15" t="inlineStr">
        <is>
          <t>eng</t>
        </is>
      </c>
      <c r="P15" t="inlineStr">
        <is>
          <t>cau</t>
        </is>
      </c>
      <c r="Q15" t="inlineStr">
        <is>
          <t>Sage contemporary social science issues ; 20</t>
        </is>
      </c>
      <c r="R15" t="inlineStr">
        <is>
          <t xml:space="preserve">HQ </t>
        </is>
      </c>
      <c r="S15" t="n">
        <v>3</v>
      </c>
      <c r="T15" t="n">
        <v>3</v>
      </c>
      <c r="U15" t="inlineStr">
        <is>
          <t>1997-02-25</t>
        </is>
      </c>
      <c r="V15" t="inlineStr">
        <is>
          <t>1997-02-25</t>
        </is>
      </c>
      <c r="W15" t="inlineStr">
        <is>
          <t>1993-12-22</t>
        </is>
      </c>
      <c r="X15" t="inlineStr">
        <is>
          <t>1993-12-22</t>
        </is>
      </c>
      <c r="Y15" t="n">
        <v>365</v>
      </c>
      <c r="Z15" t="n">
        <v>299</v>
      </c>
      <c r="AA15" t="n">
        <v>306</v>
      </c>
      <c r="AB15" t="n">
        <v>4</v>
      </c>
      <c r="AC15" t="n">
        <v>4</v>
      </c>
      <c r="AD15" t="n">
        <v>15</v>
      </c>
      <c r="AE15" t="n">
        <v>15</v>
      </c>
      <c r="AF15" t="n">
        <v>6</v>
      </c>
      <c r="AG15" t="n">
        <v>6</v>
      </c>
      <c r="AH15" t="n">
        <v>1</v>
      </c>
      <c r="AI15" t="n">
        <v>1</v>
      </c>
      <c r="AJ15" t="n">
        <v>9</v>
      </c>
      <c r="AK15" t="n">
        <v>9</v>
      </c>
      <c r="AL15" t="n">
        <v>3</v>
      </c>
      <c r="AM15" t="n">
        <v>3</v>
      </c>
      <c r="AN15" t="n">
        <v>1</v>
      </c>
      <c r="AO15" t="n">
        <v>1</v>
      </c>
      <c r="AP15" t="inlineStr">
        <is>
          <t>No</t>
        </is>
      </c>
      <c r="AQ15" t="inlineStr">
        <is>
          <t>Yes</t>
        </is>
      </c>
      <c r="AR15">
        <f>HYPERLINK("http://catalog.hathitrust.org/Record/000701988","HathiTrust Record")</f>
        <v/>
      </c>
      <c r="AS15">
        <f>HYPERLINK("https://creighton-primo.hosted.exlibrisgroup.com/primo-explore/search?tab=default_tab&amp;search_scope=EVERYTHING&amp;vid=01CRU&amp;lang=en_US&amp;offset=0&amp;query=any,contains,991003976109702656","Catalog Record")</f>
        <v/>
      </c>
      <c r="AT15">
        <f>HYPERLINK("http://www.worldcat.org/oclc/2005417","WorldCat Record")</f>
        <v/>
      </c>
      <c r="AU15" t="inlineStr">
        <is>
          <t>836645179:eng</t>
        </is>
      </c>
      <c r="AV15" t="inlineStr">
        <is>
          <t>2005417</t>
        </is>
      </c>
      <c r="AW15" t="inlineStr">
        <is>
          <t>991003976109702656</t>
        </is>
      </c>
      <c r="AX15" t="inlineStr">
        <is>
          <t>991003976109702656</t>
        </is>
      </c>
      <c r="AY15" t="inlineStr">
        <is>
          <t>2262065860002656</t>
        </is>
      </c>
      <c r="AZ15" t="inlineStr">
        <is>
          <t>BOOK</t>
        </is>
      </c>
      <c r="BB15" t="inlineStr">
        <is>
          <t>9780803905696</t>
        </is>
      </c>
      <c r="BC15" t="inlineStr">
        <is>
          <t>32285001827079</t>
        </is>
      </c>
      <c r="BD15" t="inlineStr">
        <is>
          <t>893888177</t>
        </is>
      </c>
    </row>
    <row r="16">
      <c r="A16" t="inlineStr">
        <is>
          <t>No</t>
        </is>
      </c>
      <c r="B16" t="inlineStr">
        <is>
          <t>HQ10 .M39 1985</t>
        </is>
      </c>
      <c r="C16" t="inlineStr">
        <is>
          <t>0                      HQ 0010000M  39          1985</t>
        </is>
      </c>
      <c r="D16" t="inlineStr">
        <is>
          <t>Marriage and family : individuals and life cycles / Hamilton McCubbin, Barbara Blum Dahl.</t>
        </is>
      </c>
      <c r="F16" t="inlineStr">
        <is>
          <t>No</t>
        </is>
      </c>
      <c r="G16" t="inlineStr">
        <is>
          <t>1</t>
        </is>
      </c>
      <c r="H16" t="inlineStr">
        <is>
          <t>No</t>
        </is>
      </c>
      <c r="I16" t="inlineStr">
        <is>
          <t>No</t>
        </is>
      </c>
      <c r="J16" t="inlineStr">
        <is>
          <t>0</t>
        </is>
      </c>
      <c r="K16" t="inlineStr">
        <is>
          <t>McCubbin, Hamilton I.</t>
        </is>
      </c>
      <c r="L16" t="inlineStr">
        <is>
          <t>New York : Wiley, c1985.</t>
        </is>
      </c>
      <c r="M16" t="inlineStr">
        <is>
          <t>1985</t>
        </is>
      </c>
      <c r="O16" t="inlineStr">
        <is>
          <t>eng</t>
        </is>
      </c>
      <c r="P16" t="inlineStr">
        <is>
          <t>nyu</t>
        </is>
      </c>
      <c r="R16" t="inlineStr">
        <is>
          <t xml:space="preserve">HQ </t>
        </is>
      </c>
      <c r="S16" t="n">
        <v>9</v>
      </c>
      <c r="T16" t="n">
        <v>9</v>
      </c>
      <c r="U16" t="inlineStr">
        <is>
          <t>1998-10-10</t>
        </is>
      </c>
      <c r="V16" t="inlineStr">
        <is>
          <t>1998-10-10</t>
        </is>
      </c>
      <c r="W16" t="inlineStr">
        <is>
          <t>1990-03-23</t>
        </is>
      </c>
      <c r="X16" t="inlineStr">
        <is>
          <t>1990-03-23</t>
        </is>
      </c>
      <c r="Y16" t="n">
        <v>177</v>
      </c>
      <c r="Z16" t="n">
        <v>149</v>
      </c>
      <c r="AA16" t="n">
        <v>160</v>
      </c>
      <c r="AB16" t="n">
        <v>2</v>
      </c>
      <c r="AC16" t="n">
        <v>2</v>
      </c>
      <c r="AD16" t="n">
        <v>8</v>
      </c>
      <c r="AE16" t="n">
        <v>8</v>
      </c>
      <c r="AF16" t="n">
        <v>2</v>
      </c>
      <c r="AG16" t="n">
        <v>2</v>
      </c>
      <c r="AH16" t="n">
        <v>2</v>
      </c>
      <c r="AI16" t="n">
        <v>2</v>
      </c>
      <c r="AJ16" t="n">
        <v>5</v>
      </c>
      <c r="AK16" t="n">
        <v>5</v>
      </c>
      <c r="AL16" t="n">
        <v>1</v>
      </c>
      <c r="AM16" t="n">
        <v>1</v>
      </c>
      <c r="AN16" t="n">
        <v>0</v>
      </c>
      <c r="AO16" t="n">
        <v>0</v>
      </c>
      <c r="AP16" t="inlineStr">
        <is>
          <t>No</t>
        </is>
      </c>
      <c r="AQ16" t="inlineStr">
        <is>
          <t>No</t>
        </is>
      </c>
      <c r="AS16">
        <f>HYPERLINK("https://creighton-primo.hosted.exlibrisgroup.com/primo-explore/search?tab=default_tab&amp;search_scope=EVERYTHING&amp;vid=01CRU&amp;lang=en_US&amp;offset=0&amp;query=any,contains,991000438089702656","Catalog Record")</f>
        <v/>
      </c>
      <c r="AT16">
        <f>HYPERLINK("http://www.worldcat.org/oclc/10800412","WorldCat Record")</f>
        <v/>
      </c>
      <c r="AU16" t="inlineStr">
        <is>
          <t>2836386:eng</t>
        </is>
      </c>
      <c r="AV16" t="inlineStr">
        <is>
          <t>10800412</t>
        </is>
      </c>
      <c r="AW16" t="inlineStr">
        <is>
          <t>991000438089702656</t>
        </is>
      </c>
      <c r="AX16" t="inlineStr">
        <is>
          <t>991000438089702656</t>
        </is>
      </c>
      <c r="AY16" t="inlineStr">
        <is>
          <t>2270655950002656</t>
        </is>
      </c>
      <c r="AZ16" t="inlineStr">
        <is>
          <t>BOOK</t>
        </is>
      </c>
      <c r="BB16" t="inlineStr">
        <is>
          <t>9780471098287</t>
        </is>
      </c>
      <c r="BC16" t="inlineStr">
        <is>
          <t>32285000095751</t>
        </is>
      </c>
      <c r="BD16" t="inlineStr">
        <is>
          <t>893339543</t>
        </is>
      </c>
    </row>
    <row r="17">
      <c r="A17" t="inlineStr">
        <is>
          <t>No</t>
        </is>
      </c>
      <c r="B17" t="inlineStr">
        <is>
          <t>HQ10 .P35</t>
        </is>
      </c>
      <c r="C17" t="inlineStr">
        <is>
          <t>0                      HQ 0010000P  35</t>
        </is>
      </c>
      <c r="D17" t="inlineStr">
        <is>
          <t>Family decision making : an ecosystem approach / Beatrice Paolucci, Olive A. Hall, Nancy W. Axinn.</t>
        </is>
      </c>
      <c r="F17" t="inlineStr">
        <is>
          <t>No</t>
        </is>
      </c>
      <c r="G17" t="inlineStr">
        <is>
          <t>1</t>
        </is>
      </c>
      <c r="H17" t="inlineStr">
        <is>
          <t>No</t>
        </is>
      </c>
      <c r="I17" t="inlineStr">
        <is>
          <t>No</t>
        </is>
      </c>
      <c r="J17" t="inlineStr">
        <is>
          <t>0</t>
        </is>
      </c>
      <c r="K17" t="inlineStr">
        <is>
          <t>Paolucci, Beatrice.</t>
        </is>
      </c>
      <c r="L17" t="inlineStr">
        <is>
          <t>New York : Wiley, c1977.</t>
        </is>
      </c>
      <c r="M17" t="inlineStr">
        <is>
          <t>1977</t>
        </is>
      </c>
      <c r="O17" t="inlineStr">
        <is>
          <t>eng</t>
        </is>
      </c>
      <c r="P17" t="inlineStr">
        <is>
          <t>nyu</t>
        </is>
      </c>
      <c r="R17" t="inlineStr">
        <is>
          <t xml:space="preserve">HQ </t>
        </is>
      </c>
      <c r="S17" t="n">
        <v>0</v>
      </c>
      <c r="T17" t="n">
        <v>0</v>
      </c>
      <c r="U17" t="inlineStr">
        <is>
          <t>2006-10-09</t>
        </is>
      </c>
      <c r="V17" t="inlineStr">
        <is>
          <t>2006-10-09</t>
        </is>
      </c>
      <c r="W17" t="inlineStr">
        <is>
          <t>1995-04-12</t>
        </is>
      </c>
      <c r="X17" t="inlineStr">
        <is>
          <t>1995-04-12</t>
        </is>
      </c>
      <c r="Y17" t="n">
        <v>291</v>
      </c>
      <c r="Z17" t="n">
        <v>195</v>
      </c>
      <c r="AA17" t="n">
        <v>195</v>
      </c>
      <c r="AB17" t="n">
        <v>3</v>
      </c>
      <c r="AC17" t="n">
        <v>3</v>
      </c>
      <c r="AD17" t="n">
        <v>5</v>
      </c>
      <c r="AE17" t="n">
        <v>5</v>
      </c>
      <c r="AF17" t="n">
        <v>1</v>
      </c>
      <c r="AG17" t="n">
        <v>1</v>
      </c>
      <c r="AH17" t="n">
        <v>0</v>
      </c>
      <c r="AI17" t="n">
        <v>0</v>
      </c>
      <c r="AJ17" t="n">
        <v>3</v>
      </c>
      <c r="AK17" t="n">
        <v>3</v>
      </c>
      <c r="AL17" t="n">
        <v>2</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HYPERLINK("https://creighton-primo.hosted.exlibrisgroup.com/primo-explore/search?tab=default_tab&amp;search_scope=EVERYTHING&amp;vid=01CRU&amp;lang=en_US&amp;offset=0&amp;query=any,contains,991004157299702656","Catalog Record")</f>
        <v/>
      </c>
      <c r="AT17">
        <f>HYPERLINK("http://www.worldcat.org/oclc/2542394","WorldCat Record")</f>
        <v/>
      </c>
      <c r="AU17" t="inlineStr">
        <is>
          <t>375509781:eng</t>
        </is>
      </c>
      <c r="AV17" t="inlineStr">
        <is>
          <t>2542394</t>
        </is>
      </c>
      <c r="AW17" t="inlineStr">
        <is>
          <t>991004157299702656</t>
        </is>
      </c>
      <c r="AX17" t="inlineStr">
        <is>
          <t>991004157299702656</t>
        </is>
      </c>
      <c r="AY17" t="inlineStr">
        <is>
          <t>2271952720002656</t>
        </is>
      </c>
      <c r="AZ17" t="inlineStr">
        <is>
          <t>BOOK</t>
        </is>
      </c>
      <c r="BB17" t="inlineStr">
        <is>
          <t>9780471658382</t>
        </is>
      </c>
      <c r="BC17" t="inlineStr">
        <is>
          <t>32285002026705</t>
        </is>
      </c>
      <c r="BD17" t="inlineStr">
        <is>
          <t>893228994</t>
        </is>
      </c>
    </row>
    <row r="18">
      <c r="A18" t="inlineStr">
        <is>
          <t>No</t>
        </is>
      </c>
      <c r="B18" t="inlineStr">
        <is>
          <t>HQ10 .S7</t>
        </is>
      </c>
      <c r="C18" t="inlineStr">
        <is>
          <t>0                      HQ 0010000S  7</t>
        </is>
      </c>
      <c r="D18" t="inlineStr">
        <is>
          <t>Premarital counseling / Robert F. Stahmann, William J. Hiebert.</t>
        </is>
      </c>
      <c r="F18" t="inlineStr">
        <is>
          <t>No</t>
        </is>
      </c>
      <c r="G18" t="inlineStr">
        <is>
          <t>1</t>
        </is>
      </c>
      <c r="H18" t="inlineStr">
        <is>
          <t>No</t>
        </is>
      </c>
      <c r="I18" t="inlineStr">
        <is>
          <t>No</t>
        </is>
      </c>
      <c r="J18" t="inlineStr">
        <is>
          <t>0</t>
        </is>
      </c>
      <c r="K18" t="inlineStr">
        <is>
          <t>Stahmann, Robert F.</t>
        </is>
      </c>
      <c r="L18" t="inlineStr">
        <is>
          <t>Lexington, Mass. : Lexington Books, c1980.</t>
        </is>
      </c>
      <c r="M18" t="inlineStr">
        <is>
          <t>1980</t>
        </is>
      </c>
      <c r="O18" t="inlineStr">
        <is>
          <t>eng</t>
        </is>
      </c>
      <c r="P18" t="inlineStr">
        <is>
          <t>mau</t>
        </is>
      </c>
      <c r="R18" t="inlineStr">
        <is>
          <t xml:space="preserve">HQ </t>
        </is>
      </c>
      <c r="S18" t="n">
        <v>25</v>
      </c>
      <c r="T18" t="n">
        <v>25</v>
      </c>
      <c r="U18" t="inlineStr">
        <is>
          <t>1999-06-30</t>
        </is>
      </c>
      <c r="V18" t="inlineStr">
        <is>
          <t>1999-06-30</t>
        </is>
      </c>
      <c r="W18" t="inlineStr">
        <is>
          <t>1990-02-20</t>
        </is>
      </c>
      <c r="X18" t="inlineStr">
        <is>
          <t>1990-02-20</t>
        </is>
      </c>
      <c r="Y18" t="n">
        <v>389</v>
      </c>
      <c r="Z18" t="n">
        <v>323</v>
      </c>
      <c r="AA18" t="n">
        <v>636</v>
      </c>
      <c r="AB18" t="n">
        <v>4</v>
      </c>
      <c r="AC18" t="n">
        <v>8</v>
      </c>
      <c r="AD18" t="n">
        <v>13</v>
      </c>
      <c r="AE18" t="n">
        <v>27</v>
      </c>
      <c r="AF18" t="n">
        <v>7</v>
      </c>
      <c r="AG18" t="n">
        <v>12</v>
      </c>
      <c r="AH18" t="n">
        <v>1</v>
      </c>
      <c r="AI18" t="n">
        <v>4</v>
      </c>
      <c r="AJ18" t="n">
        <v>5</v>
      </c>
      <c r="AK18" t="n">
        <v>11</v>
      </c>
      <c r="AL18" t="n">
        <v>3</v>
      </c>
      <c r="AM18" t="n">
        <v>6</v>
      </c>
      <c r="AN18" t="n">
        <v>0</v>
      </c>
      <c r="AO18" t="n">
        <v>0</v>
      </c>
      <c r="AP18" t="inlineStr">
        <is>
          <t>No</t>
        </is>
      </c>
      <c r="AQ18" t="inlineStr">
        <is>
          <t>Yes</t>
        </is>
      </c>
      <c r="AR18">
        <f>HYPERLINK("http://catalog.hathitrust.org/Record/000475352","HathiTrust Record")</f>
        <v/>
      </c>
      <c r="AS18">
        <f>HYPERLINK("https://creighton-primo.hosted.exlibrisgroup.com/primo-explore/search?tab=default_tab&amp;search_scope=EVERYTHING&amp;vid=01CRU&amp;lang=en_US&amp;offset=0&amp;query=any,contains,991004832859702656","Catalog Record")</f>
        <v/>
      </c>
      <c r="AT18">
        <f>HYPERLINK("http://www.worldcat.org/oclc/5414963","WorldCat Record")</f>
        <v/>
      </c>
      <c r="AU18" t="inlineStr">
        <is>
          <t>17381459:eng</t>
        </is>
      </c>
      <c r="AV18" t="inlineStr">
        <is>
          <t>5414963</t>
        </is>
      </c>
      <c r="AW18" t="inlineStr">
        <is>
          <t>991004832859702656</t>
        </is>
      </c>
      <c r="AX18" t="inlineStr">
        <is>
          <t>991004832859702656</t>
        </is>
      </c>
      <c r="AY18" t="inlineStr">
        <is>
          <t>2257775110002656</t>
        </is>
      </c>
      <c r="AZ18" t="inlineStr">
        <is>
          <t>BOOK</t>
        </is>
      </c>
      <c r="BB18" t="inlineStr">
        <is>
          <t>9780669027266</t>
        </is>
      </c>
      <c r="BC18" t="inlineStr">
        <is>
          <t>32285000057249</t>
        </is>
      </c>
      <c r="BD18" t="inlineStr">
        <is>
          <t>893619133</t>
        </is>
      </c>
    </row>
    <row r="19">
      <c r="A19" t="inlineStr">
        <is>
          <t>No</t>
        </is>
      </c>
      <c r="B19" t="inlineStr">
        <is>
          <t>HQ10 .S75</t>
        </is>
      </c>
      <c r="C19" t="inlineStr">
        <is>
          <t>0                      HQ 0010000S  75</t>
        </is>
      </c>
      <c r="D19" t="inlineStr">
        <is>
          <t>Practical family and marriage counseling.</t>
        </is>
      </c>
      <c r="F19" t="inlineStr">
        <is>
          <t>No</t>
        </is>
      </c>
      <c r="G19" t="inlineStr">
        <is>
          <t>1</t>
        </is>
      </c>
      <c r="H19" t="inlineStr">
        <is>
          <t>No</t>
        </is>
      </c>
      <c r="I19" t="inlineStr">
        <is>
          <t>No</t>
        </is>
      </c>
      <c r="J19" t="inlineStr">
        <is>
          <t>0</t>
        </is>
      </c>
      <c r="K19" t="inlineStr">
        <is>
          <t>Stein, Calvert, 1903-</t>
        </is>
      </c>
      <c r="L19" t="inlineStr">
        <is>
          <t>Springfield, Ill. : Thomas, [1969]</t>
        </is>
      </c>
      <c r="M19" t="inlineStr">
        <is>
          <t>1969</t>
        </is>
      </c>
      <c r="O19" t="inlineStr">
        <is>
          <t>eng</t>
        </is>
      </c>
      <c r="P19" t="inlineStr">
        <is>
          <t>ilu</t>
        </is>
      </c>
      <c r="R19" t="inlineStr">
        <is>
          <t xml:space="preserve">HQ </t>
        </is>
      </c>
      <c r="S19" t="n">
        <v>7</v>
      </c>
      <c r="T19" t="n">
        <v>7</v>
      </c>
      <c r="U19" t="inlineStr">
        <is>
          <t>1997-11-02</t>
        </is>
      </c>
      <c r="V19" t="inlineStr">
        <is>
          <t>1997-11-02</t>
        </is>
      </c>
      <c r="W19" t="inlineStr">
        <is>
          <t>1994-03-16</t>
        </is>
      </c>
      <c r="X19" t="inlineStr">
        <is>
          <t>1994-03-16</t>
        </is>
      </c>
      <c r="Y19" t="n">
        <v>227</v>
      </c>
      <c r="Z19" t="n">
        <v>201</v>
      </c>
      <c r="AA19" t="n">
        <v>204</v>
      </c>
      <c r="AB19" t="n">
        <v>3</v>
      </c>
      <c r="AC19" t="n">
        <v>3</v>
      </c>
      <c r="AD19" t="n">
        <v>7</v>
      </c>
      <c r="AE19" t="n">
        <v>7</v>
      </c>
      <c r="AF19" t="n">
        <v>4</v>
      </c>
      <c r="AG19" t="n">
        <v>4</v>
      </c>
      <c r="AH19" t="n">
        <v>0</v>
      </c>
      <c r="AI19" t="n">
        <v>0</v>
      </c>
      <c r="AJ19" t="n">
        <v>3</v>
      </c>
      <c r="AK19" t="n">
        <v>3</v>
      </c>
      <c r="AL19" t="n">
        <v>2</v>
      </c>
      <c r="AM19" t="n">
        <v>2</v>
      </c>
      <c r="AN19" t="n">
        <v>0</v>
      </c>
      <c r="AO19" t="n">
        <v>0</v>
      </c>
      <c r="AP19" t="inlineStr">
        <is>
          <t>No</t>
        </is>
      </c>
      <c r="AQ19" t="inlineStr">
        <is>
          <t>Yes</t>
        </is>
      </c>
      <c r="AR19">
        <f>HYPERLINK("http://catalog.hathitrust.org/Record/000976756","HathiTrust Record")</f>
        <v/>
      </c>
      <c r="AS19">
        <f>HYPERLINK("https://creighton-primo.hosted.exlibrisgroup.com/primo-explore/search?tab=default_tab&amp;search_scope=EVERYTHING&amp;vid=01CRU&amp;lang=en_US&amp;offset=0&amp;query=any,contains,991000073399702656","Catalog Record")</f>
        <v/>
      </c>
      <c r="AT19">
        <f>HYPERLINK("http://www.worldcat.org/oclc/29240","WorldCat Record")</f>
        <v/>
      </c>
      <c r="AU19" t="inlineStr">
        <is>
          <t>1174747:eng</t>
        </is>
      </c>
      <c r="AV19" t="inlineStr">
        <is>
          <t>29240</t>
        </is>
      </c>
      <c r="AW19" t="inlineStr">
        <is>
          <t>991000073399702656</t>
        </is>
      </c>
      <c r="AX19" t="inlineStr">
        <is>
          <t>991000073399702656</t>
        </is>
      </c>
      <c r="AY19" t="inlineStr">
        <is>
          <t>2266356870002656</t>
        </is>
      </c>
      <c r="AZ19" t="inlineStr">
        <is>
          <t>BOOK</t>
        </is>
      </c>
      <c r="BC19" t="inlineStr">
        <is>
          <t>32285001853760</t>
        </is>
      </c>
      <c r="BD19" t="inlineStr">
        <is>
          <t>893701811</t>
        </is>
      </c>
    </row>
    <row r="20">
      <c r="A20" t="inlineStr">
        <is>
          <t>No</t>
        </is>
      </c>
      <c r="B20" t="inlineStr">
        <is>
          <t>HQ10.5.U6 C87 1985</t>
        </is>
      </c>
      <c r="C20" t="inlineStr">
        <is>
          <t>0                      HQ 0010500U  6                  C  87          1985</t>
        </is>
      </c>
      <c r="D20" t="inlineStr">
        <is>
          <t>Current controversies in marriage and family / edited by Harold Feldman &amp; Margaret Feldman.</t>
        </is>
      </c>
      <c r="F20" t="inlineStr">
        <is>
          <t>No</t>
        </is>
      </c>
      <c r="G20" t="inlineStr">
        <is>
          <t>1</t>
        </is>
      </c>
      <c r="H20" t="inlineStr">
        <is>
          <t>No</t>
        </is>
      </c>
      <c r="I20" t="inlineStr">
        <is>
          <t>No</t>
        </is>
      </c>
      <c r="J20" t="inlineStr">
        <is>
          <t>0</t>
        </is>
      </c>
      <c r="L20" t="inlineStr">
        <is>
          <t>Beverly Hill : Sage Publications, c1985.</t>
        </is>
      </c>
      <c r="M20" t="inlineStr">
        <is>
          <t>1985</t>
        </is>
      </c>
      <c r="O20" t="inlineStr">
        <is>
          <t>eng</t>
        </is>
      </c>
      <c r="P20" t="inlineStr">
        <is>
          <t>cau</t>
        </is>
      </c>
      <c r="R20" t="inlineStr">
        <is>
          <t xml:space="preserve">HQ </t>
        </is>
      </c>
      <c r="S20" t="n">
        <v>10</v>
      </c>
      <c r="T20" t="n">
        <v>10</v>
      </c>
      <c r="U20" t="inlineStr">
        <is>
          <t>2005-03-29</t>
        </is>
      </c>
      <c r="V20" t="inlineStr">
        <is>
          <t>2005-03-29</t>
        </is>
      </c>
      <c r="W20" t="inlineStr">
        <is>
          <t>1992-02-01</t>
        </is>
      </c>
      <c r="X20" t="inlineStr">
        <is>
          <t>1992-02-01</t>
        </is>
      </c>
      <c r="Y20" t="n">
        <v>365</v>
      </c>
      <c r="Z20" t="n">
        <v>275</v>
      </c>
      <c r="AA20" t="n">
        <v>284</v>
      </c>
      <c r="AB20" t="n">
        <v>2</v>
      </c>
      <c r="AC20" t="n">
        <v>2</v>
      </c>
      <c r="AD20" t="n">
        <v>8</v>
      </c>
      <c r="AE20" t="n">
        <v>8</v>
      </c>
      <c r="AF20" t="n">
        <v>5</v>
      </c>
      <c r="AG20" t="n">
        <v>5</v>
      </c>
      <c r="AH20" t="n">
        <v>1</v>
      </c>
      <c r="AI20" t="n">
        <v>1</v>
      </c>
      <c r="AJ20" t="n">
        <v>5</v>
      </c>
      <c r="AK20" t="n">
        <v>5</v>
      </c>
      <c r="AL20" t="n">
        <v>1</v>
      </c>
      <c r="AM20" t="n">
        <v>1</v>
      </c>
      <c r="AN20" t="n">
        <v>0</v>
      </c>
      <c r="AO20" t="n">
        <v>0</v>
      </c>
      <c r="AP20" t="inlineStr">
        <is>
          <t>No</t>
        </is>
      </c>
      <c r="AQ20" t="inlineStr">
        <is>
          <t>Yes</t>
        </is>
      </c>
      <c r="AR20">
        <f>HYPERLINK("http://catalog.hathitrust.org/Record/000608781","HathiTrust Record")</f>
        <v/>
      </c>
      <c r="AS20">
        <f>HYPERLINK("https://creighton-primo.hosted.exlibrisgroup.com/primo-explore/search?tab=default_tab&amp;search_scope=EVERYTHING&amp;vid=01CRU&amp;lang=en_US&amp;offset=0&amp;query=any,contains,991000578999702656","Catalog Record")</f>
        <v/>
      </c>
      <c r="AT20">
        <f>HYPERLINK("http://www.worldcat.org/oclc/11726030","WorldCat Record")</f>
        <v/>
      </c>
      <c r="AU20" t="inlineStr">
        <is>
          <t>354059127:eng</t>
        </is>
      </c>
      <c r="AV20" t="inlineStr">
        <is>
          <t>11726030</t>
        </is>
      </c>
      <c r="AW20" t="inlineStr">
        <is>
          <t>991000578999702656</t>
        </is>
      </c>
      <c r="AX20" t="inlineStr">
        <is>
          <t>991000578999702656</t>
        </is>
      </c>
      <c r="AY20" t="inlineStr">
        <is>
          <t>2255502830002656</t>
        </is>
      </c>
      <c r="AZ20" t="inlineStr">
        <is>
          <t>BOOK</t>
        </is>
      </c>
      <c r="BB20" t="inlineStr">
        <is>
          <t>9780803924413</t>
        </is>
      </c>
      <c r="BC20" t="inlineStr">
        <is>
          <t>32285000933548</t>
        </is>
      </c>
      <c r="BD20" t="inlineStr">
        <is>
          <t>893614310</t>
        </is>
      </c>
    </row>
    <row r="21">
      <c r="A21" t="inlineStr">
        <is>
          <t>No</t>
        </is>
      </c>
      <c r="B21" t="inlineStr">
        <is>
          <t>HQ1019.U6 F87 1984</t>
        </is>
      </c>
      <c r="C21" t="inlineStr">
        <is>
          <t>0                      HQ 1019000U  6                  F  87          1984</t>
        </is>
      </c>
      <c r="D21" t="inlineStr">
        <is>
          <t>Recycling the family : remarriage after divorce / Frank F. Furstenberg, Jr., Graham B. Spanier.</t>
        </is>
      </c>
      <c r="F21" t="inlineStr">
        <is>
          <t>No</t>
        </is>
      </c>
      <c r="G21" t="inlineStr">
        <is>
          <t>1</t>
        </is>
      </c>
      <c r="H21" t="inlineStr">
        <is>
          <t>No</t>
        </is>
      </c>
      <c r="I21" t="inlineStr">
        <is>
          <t>No</t>
        </is>
      </c>
      <c r="J21" t="inlineStr">
        <is>
          <t>0</t>
        </is>
      </c>
      <c r="K21" t="inlineStr">
        <is>
          <t>Furstenberg, Frank F.</t>
        </is>
      </c>
      <c r="L21" t="inlineStr">
        <is>
          <t>Beverly Hills, Calif. : Sage Publications, c1984.</t>
        </is>
      </c>
      <c r="M21" t="inlineStr">
        <is>
          <t>1984</t>
        </is>
      </c>
      <c r="O21" t="inlineStr">
        <is>
          <t>eng</t>
        </is>
      </c>
      <c r="P21" t="inlineStr">
        <is>
          <t>cau</t>
        </is>
      </c>
      <c r="R21" t="inlineStr">
        <is>
          <t xml:space="preserve">HQ </t>
        </is>
      </c>
      <c r="S21" t="n">
        <v>6</v>
      </c>
      <c r="T21" t="n">
        <v>6</v>
      </c>
      <c r="U21" t="inlineStr">
        <is>
          <t>1997-11-17</t>
        </is>
      </c>
      <c r="V21" t="inlineStr">
        <is>
          <t>1997-11-17</t>
        </is>
      </c>
      <c r="W21" t="inlineStr">
        <is>
          <t>1993-03-09</t>
        </is>
      </c>
      <c r="X21" t="inlineStr">
        <is>
          <t>1993-03-09</t>
        </is>
      </c>
      <c r="Y21" t="n">
        <v>505</v>
      </c>
      <c r="Z21" t="n">
        <v>411</v>
      </c>
      <c r="AA21" t="n">
        <v>480</v>
      </c>
      <c r="AB21" t="n">
        <v>3</v>
      </c>
      <c r="AC21" t="n">
        <v>3</v>
      </c>
      <c r="AD21" t="n">
        <v>16</v>
      </c>
      <c r="AE21" t="n">
        <v>16</v>
      </c>
      <c r="AF21" t="n">
        <v>5</v>
      </c>
      <c r="AG21" t="n">
        <v>5</v>
      </c>
      <c r="AH21" t="n">
        <v>5</v>
      </c>
      <c r="AI21" t="n">
        <v>5</v>
      </c>
      <c r="AJ21" t="n">
        <v>9</v>
      </c>
      <c r="AK21" t="n">
        <v>9</v>
      </c>
      <c r="AL21" t="n">
        <v>2</v>
      </c>
      <c r="AM21" t="n">
        <v>2</v>
      </c>
      <c r="AN21" t="n">
        <v>0</v>
      </c>
      <c r="AO21" t="n">
        <v>0</v>
      </c>
      <c r="AP21" t="inlineStr">
        <is>
          <t>No</t>
        </is>
      </c>
      <c r="AQ21" t="inlineStr">
        <is>
          <t>Yes</t>
        </is>
      </c>
      <c r="AR21">
        <f>HYPERLINK("http://catalog.hathitrust.org/Record/000783730","HathiTrust Record")</f>
        <v/>
      </c>
      <c r="AS21">
        <f>HYPERLINK("https://creighton-primo.hosted.exlibrisgroup.com/primo-explore/search?tab=default_tab&amp;search_scope=EVERYTHING&amp;vid=01CRU&amp;lang=en_US&amp;offset=0&amp;query=any,contains,991000332739702656","Catalog Record")</f>
        <v/>
      </c>
      <c r="AT21">
        <f>HYPERLINK("http://www.worldcat.org/oclc/10208053","WorldCat Record")</f>
        <v/>
      </c>
      <c r="AU21" t="inlineStr">
        <is>
          <t>2890390:eng</t>
        </is>
      </c>
      <c r="AV21" t="inlineStr">
        <is>
          <t>10208053</t>
        </is>
      </c>
      <c r="AW21" t="inlineStr">
        <is>
          <t>991000332739702656</t>
        </is>
      </c>
      <c r="AX21" t="inlineStr">
        <is>
          <t>991000332739702656</t>
        </is>
      </c>
      <c r="AY21" t="inlineStr">
        <is>
          <t>2266399630002656</t>
        </is>
      </c>
      <c r="AZ21" t="inlineStr">
        <is>
          <t>BOOK</t>
        </is>
      </c>
      <c r="BB21" t="inlineStr">
        <is>
          <t>9780803922600</t>
        </is>
      </c>
      <c r="BC21" t="inlineStr">
        <is>
          <t>32285001571404</t>
        </is>
      </c>
      <c r="BD21" t="inlineStr">
        <is>
          <t>893784135</t>
        </is>
      </c>
    </row>
    <row r="22">
      <c r="A22" t="inlineStr">
        <is>
          <t>No</t>
        </is>
      </c>
      <c r="B22" t="inlineStr">
        <is>
          <t>HQ1019.U6 G36 1994</t>
        </is>
      </c>
      <c r="C22" t="inlineStr">
        <is>
          <t>0                      HQ 1019000U  6                  G  36          1994</t>
        </is>
      </c>
      <c r="D22" t="inlineStr">
        <is>
          <t>Remarried family relationships / Lawrence H. Ganong, Marilyn Coleman.</t>
        </is>
      </c>
      <c r="F22" t="inlineStr">
        <is>
          <t>No</t>
        </is>
      </c>
      <c r="G22" t="inlineStr">
        <is>
          <t>1</t>
        </is>
      </c>
      <c r="H22" t="inlineStr">
        <is>
          <t>No</t>
        </is>
      </c>
      <c r="I22" t="inlineStr">
        <is>
          <t>No</t>
        </is>
      </c>
      <c r="J22" t="inlineStr">
        <is>
          <t>0</t>
        </is>
      </c>
      <c r="K22" t="inlineStr">
        <is>
          <t>Ganong, Lawrence H.</t>
        </is>
      </c>
      <c r="L22" t="inlineStr">
        <is>
          <t>Thousand Oaks : Sage Publications, c1994.</t>
        </is>
      </c>
      <c r="M22" t="inlineStr">
        <is>
          <t>1994</t>
        </is>
      </c>
      <c r="O22" t="inlineStr">
        <is>
          <t>eng</t>
        </is>
      </c>
      <c r="P22" t="inlineStr">
        <is>
          <t>cau</t>
        </is>
      </c>
      <c r="Q22" t="inlineStr">
        <is>
          <t>Sage series on close relationships</t>
        </is>
      </c>
      <c r="R22" t="inlineStr">
        <is>
          <t xml:space="preserve">HQ </t>
        </is>
      </c>
      <c r="S22" t="n">
        <v>4</v>
      </c>
      <c r="T22" t="n">
        <v>4</v>
      </c>
      <c r="U22" t="inlineStr">
        <is>
          <t>1997-11-17</t>
        </is>
      </c>
      <c r="V22" t="inlineStr">
        <is>
          <t>1997-11-17</t>
        </is>
      </c>
      <c r="W22" t="inlineStr">
        <is>
          <t>1995-04-19</t>
        </is>
      </c>
      <c r="X22" t="inlineStr">
        <is>
          <t>1995-04-19</t>
        </is>
      </c>
      <c r="Y22" t="n">
        <v>432</v>
      </c>
      <c r="Z22" t="n">
        <v>345</v>
      </c>
      <c r="AA22" t="n">
        <v>352</v>
      </c>
      <c r="AB22" t="n">
        <v>6</v>
      </c>
      <c r="AC22" t="n">
        <v>6</v>
      </c>
      <c r="AD22" t="n">
        <v>23</v>
      </c>
      <c r="AE22" t="n">
        <v>23</v>
      </c>
      <c r="AF22" t="n">
        <v>9</v>
      </c>
      <c r="AG22" t="n">
        <v>9</v>
      </c>
      <c r="AH22" t="n">
        <v>4</v>
      </c>
      <c r="AI22" t="n">
        <v>4</v>
      </c>
      <c r="AJ22" t="n">
        <v>11</v>
      </c>
      <c r="AK22" t="n">
        <v>11</v>
      </c>
      <c r="AL22" t="n">
        <v>5</v>
      </c>
      <c r="AM22" t="n">
        <v>5</v>
      </c>
      <c r="AN22" t="n">
        <v>0</v>
      </c>
      <c r="AO22" t="n">
        <v>0</v>
      </c>
      <c r="AP22" t="inlineStr">
        <is>
          <t>No</t>
        </is>
      </c>
      <c r="AQ22" t="inlineStr">
        <is>
          <t>Yes</t>
        </is>
      </c>
      <c r="AR22">
        <f>HYPERLINK("http://catalog.hathitrust.org/Record/002878879","HathiTrust Record")</f>
        <v/>
      </c>
      <c r="AS22">
        <f>HYPERLINK("https://creighton-primo.hosted.exlibrisgroup.com/primo-explore/search?tab=default_tab&amp;search_scope=EVERYTHING&amp;vid=01CRU&amp;lang=en_US&amp;offset=0&amp;query=any,contains,991002307279702656","Catalog Record")</f>
        <v/>
      </c>
      <c r="AT22">
        <f>HYPERLINK("http://www.worldcat.org/oclc/29913832","WorldCat Record")</f>
        <v/>
      </c>
      <c r="AU22" t="inlineStr">
        <is>
          <t>31923694:eng</t>
        </is>
      </c>
      <c r="AV22" t="inlineStr">
        <is>
          <t>29913832</t>
        </is>
      </c>
      <c r="AW22" t="inlineStr">
        <is>
          <t>991002307279702656</t>
        </is>
      </c>
      <c r="AX22" t="inlineStr">
        <is>
          <t>991002307279702656</t>
        </is>
      </c>
      <c r="AY22" t="inlineStr">
        <is>
          <t>2256153090002656</t>
        </is>
      </c>
      <c r="AZ22" t="inlineStr">
        <is>
          <t>BOOK</t>
        </is>
      </c>
      <c r="BB22" t="inlineStr">
        <is>
          <t>9780803951228</t>
        </is>
      </c>
      <c r="BC22" t="inlineStr">
        <is>
          <t>32285002019486</t>
        </is>
      </c>
      <c r="BD22" t="inlineStr">
        <is>
          <t>893415056</t>
        </is>
      </c>
    </row>
    <row r="23">
      <c r="A23" t="inlineStr">
        <is>
          <t>No</t>
        </is>
      </c>
      <c r="B23" t="inlineStr">
        <is>
          <t>HQ1021 .C7</t>
        </is>
      </c>
      <c r="C23" t="inlineStr">
        <is>
          <t>0                      HQ 1021000C  7</t>
        </is>
      </c>
      <c r="D23" t="inlineStr">
        <is>
          <t>L'Église primitive face au divorce ; du premier au cinquième siècle / par Henri Crouzel.</t>
        </is>
      </c>
      <c r="F23" t="inlineStr">
        <is>
          <t>No</t>
        </is>
      </c>
      <c r="G23" t="inlineStr">
        <is>
          <t>1</t>
        </is>
      </c>
      <c r="H23" t="inlineStr">
        <is>
          <t>No</t>
        </is>
      </c>
      <c r="I23" t="inlineStr">
        <is>
          <t>No</t>
        </is>
      </c>
      <c r="J23" t="inlineStr">
        <is>
          <t>0</t>
        </is>
      </c>
      <c r="K23" t="inlineStr">
        <is>
          <t>Crouzel, Henri.</t>
        </is>
      </c>
      <c r="L23" t="inlineStr">
        <is>
          <t>Paris : Beauchesne, 1971.</t>
        </is>
      </c>
      <c r="M23" t="inlineStr">
        <is>
          <t>1971</t>
        </is>
      </c>
      <c r="O23" t="inlineStr">
        <is>
          <t>fre</t>
        </is>
      </c>
      <c r="P23" t="inlineStr">
        <is>
          <t>___</t>
        </is>
      </c>
      <c r="Q23" t="inlineStr">
        <is>
          <t>Théologie historique ; 13</t>
        </is>
      </c>
      <c r="R23" t="inlineStr">
        <is>
          <t xml:space="preserve">HQ </t>
        </is>
      </c>
      <c r="S23" t="n">
        <v>1</v>
      </c>
      <c r="T23" t="n">
        <v>1</v>
      </c>
      <c r="U23" t="inlineStr">
        <is>
          <t>2007-10-26</t>
        </is>
      </c>
      <c r="V23" t="inlineStr">
        <is>
          <t>2007-10-26</t>
        </is>
      </c>
      <c r="W23" t="inlineStr">
        <is>
          <t>1991-09-03</t>
        </is>
      </c>
      <c r="X23" t="inlineStr">
        <is>
          <t>1991-09-03</t>
        </is>
      </c>
      <c r="Y23" t="n">
        <v>171</v>
      </c>
      <c r="Z23" t="n">
        <v>102</v>
      </c>
      <c r="AA23" t="n">
        <v>107</v>
      </c>
      <c r="AB23" t="n">
        <v>1</v>
      </c>
      <c r="AC23" t="n">
        <v>1</v>
      </c>
      <c r="AD23" t="n">
        <v>13</v>
      </c>
      <c r="AE23" t="n">
        <v>13</v>
      </c>
      <c r="AF23" t="n">
        <v>1</v>
      </c>
      <c r="AG23" t="n">
        <v>1</v>
      </c>
      <c r="AH23" t="n">
        <v>4</v>
      </c>
      <c r="AI23" t="n">
        <v>4</v>
      </c>
      <c r="AJ23" t="n">
        <v>10</v>
      </c>
      <c r="AK23" t="n">
        <v>10</v>
      </c>
      <c r="AL23" t="n">
        <v>0</v>
      </c>
      <c r="AM23" t="n">
        <v>0</v>
      </c>
      <c r="AN23" t="n">
        <v>0</v>
      </c>
      <c r="AO23" t="n">
        <v>0</v>
      </c>
      <c r="AP23" t="inlineStr">
        <is>
          <t>No</t>
        </is>
      </c>
      <c r="AQ23" t="inlineStr">
        <is>
          <t>Yes</t>
        </is>
      </c>
      <c r="AR23">
        <f>HYPERLINK("http://catalog.hathitrust.org/Record/102070877","HathiTrust Record")</f>
        <v/>
      </c>
      <c r="AS23">
        <f>HYPERLINK("https://creighton-primo.hosted.exlibrisgroup.com/primo-explore/search?tab=default_tab&amp;search_scope=EVERYTHING&amp;vid=01CRU&amp;lang=en_US&amp;offset=0&amp;query=any,contains,991002278859702656","Catalog Record")</f>
        <v/>
      </c>
      <c r="AT23">
        <f>HYPERLINK("http://www.worldcat.org/oclc/310669","WorldCat Record")</f>
        <v/>
      </c>
      <c r="AU23" t="inlineStr">
        <is>
          <t>809646274:fre</t>
        </is>
      </c>
      <c r="AV23" t="inlineStr">
        <is>
          <t>310669</t>
        </is>
      </c>
      <c r="AW23" t="inlineStr">
        <is>
          <t>991002278859702656</t>
        </is>
      </c>
      <c r="AX23" t="inlineStr">
        <is>
          <t>991002278859702656</t>
        </is>
      </c>
      <c r="AY23" t="inlineStr">
        <is>
          <t>2259770150002656</t>
        </is>
      </c>
      <c r="AZ23" t="inlineStr">
        <is>
          <t>BOOK</t>
        </is>
      </c>
      <c r="BC23" t="inlineStr">
        <is>
          <t>32285000734367</t>
        </is>
      </c>
      <c r="BD23" t="inlineStr">
        <is>
          <t>893691433</t>
        </is>
      </c>
    </row>
    <row r="24">
      <c r="A24" t="inlineStr">
        <is>
          <t>No</t>
        </is>
      </c>
      <c r="B24" t="inlineStr">
        <is>
          <t>HQ1024 .O4</t>
        </is>
      </c>
      <c r="C24" t="inlineStr">
        <is>
          <t>0                      HQ 1024000O  4</t>
        </is>
      </c>
      <c r="D24" t="inlineStr">
        <is>
          <t>The laws of marriage simply explained according to the new code / by Joseph M. O'Hara.</t>
        </is>
      </c>
      <c r="F24" t="inlineStr">
        <is>
          <t>No</t>
        </is>
      </c>
      <c r="G24" t="inlineStr">
        <is>
          <t>1</t>
        </is>
      </c>
      <c r="H24" t="inlineStr">
        <is>
          <t>No</t>
        </is>
      </c>
      <c r="I24" t="inlineStr">
        <is>
          <t>No</t>
        </is>
      </c>
      <c r="J24" t="inlineStr">
        <is>
          <t>0</t>
        </is>
      </c>
      <c r="K24" t="inlineStr">
        <is>
          <t>O'Hara, Joseph M. (Joseph Michael), 1884-</t>
        </is>
      </c>
      <c r="L24" t="inlineStr">
        <is>
          <t>Philadelphia, P. Reilly, 1918.</t>
        </is>
      </c>
      <c r="M24" t="inlineStr">
        <is>
          <t>1918</t>
        </is>
      </c>
      <c r="O24" t="inlineStr">
        <is>
          <t>eng</t>
        </is>
      </c>
      <c r="P24" t="inlineStr">
        <is>
          <t>pau</t>
        </is>
      </c>
      <c r="R24" t="inlineStr">
        <is>
          <t xml:space="preserve">HQ </t>
        </is>
      </c>
      <c r="S24" t="n">
        <v>2</v>
      </c>
      <c r="T24" t="n">
        <v>2</v>
      </c>
      <c r="U24" t="inlineStr">
        <is>
          <t>2005-11-29</t>
        </is>
      </c>
      <c r="V24" t="inlineStr">
        <is>
          <t>2005-11-29</t>
        </is>
      </c>
      <c r="W24" t="inlineStr">
        <is>
          <t>1997-03-04</t>
        </is>
      </c>
      <c r="X24" t="inlineStr">
        <is>
          <t>1997-03-04</t>
        </is>
      </c>
      <c r="Y24" t="n">
        <v>27</v>
      </c>
      <c r="Z24" t="n">
        <v>26</v>
      </c>
      <c r="AA24" t="n">
        <v>308</v>
      </c>
      <c r="AB24" t="n">
        <v>2</v>
      </c>
      <c r="AC24" t="n">
        <v>5</v>
      </c>
      <c r="AD24" t="n">
        <v>5</v>
      </c>
      <c r="AE24" t="n">
        <v>22</v>
      </c>
      <c r="AF24" t="n">
        <v>0</v>
      </c>
      <c r="AG24" t="n">
        <v>6</v>
      </c>
      <c r="AH24" t="n">
        <v>1</v>
      </c>
      <c r="AI24" t="n">
        <v>4</v>
      </c>
      <c r="AJ24" t="n">
        <v>3</v>
      </c>
      <c r="AK24" t="n">
        <v>6</v>
      </c>
      <c r="AL24" t="n">
        <v>0</v>
      </c>
      <c r="AM24" t="n">
        <v>2</v>
      </c>
      <c r="AN24" t="n">
        <v>1</v>
      </c>
      <c r="AO24" t="n">
        <v>7</v>
      </c>
      <c r="AP24" t="inlineStr">
        <is>
          <t>No</t>
        </is>
      </c>
      <c r="AQ24" t="inlineStr">
        <is>
          <t>No</t>
        </is>
      </c>
      <c r="AS24">
        <f>HYPERLINK("https://creighton-primo.hosted.exlibrisgroup.com/primo-explore/search?tab=default_tab&amp;search_scope=EVERYTHING&amp;vid=01CRU&amp;lang=en_US&amp;offset=0&amp;query=any,contains,991004833369702656","Catalog Record")</f>
        <v/>
      </c>
      <c r="AT24">
        <f>HYPERLINK("http://www.worldcat.org/oclc/5422368","WorldCat Record")</f>
        <v/>
      </c>
      <c r="AU24" t="inlineStr">
        <is>
          <t>10258731:eng</t>
        </is>
      </c>
      <c r="AV24" t="inlineStr">
        <is>
          <t>5422368</t>
        </is>
      </c>
      <c r="AW24" t="inlineStr">
        <is>
          <t>991004833369702656</t>
        </is>
      </c>
      <c r="AX24" t="inlineStr">
        <is>
          <t>991004833369702656</t>
        </is>
      </c>
      <c r="AY24" t="inlineStr">
        <is>
          <t>2262187820002656</t>
        </is>
      </c>
      <c r="AZ24" t="inlineStr">
        <is>
          <t>BOOK</t>
        </is>
      </c>
      <c r="BC24" t="inlineStr">
        <is>
          <t>32285002464070</t>
        </is>
      </c>
      <c r="BD24" t="inlineStr">
        <is>
          <t>893418073</t>
        </is>
      </c>
    </row>
    <row r="25">
      <c r="A25" t="inlineStr">
        <is>
          <t>No</t>
        </is>
      </c>
      <c r="B25" t="inlineStr">
        <is>
          <t>HQ1024 .V4</t>
        </is>
      </c>
      <c r="C25" t="inlineStr">
        <is>
          <t>0                      HQ 1024000V  4</t>
        </is>
      </c>
      <c r="D25" t="inlineStr">
        <is>
          <t>What is marriage? A catechism arranged according to the encyclical "Casti connubii" of Pope Pius XI, by A. Vermeersch, translated by T. Lincoln Bouscaren.</t>
        </is>
      </c>
      <c r="F25" t="inlineStr">
        <is>
          <t>No</t>
        </is>
      </c>
      <c r="G25" t="inlineStr">
        <is>
          <t>1</t>
        </is>
      </c>
      <c r="H25" t="inlineStr">
        <is>
          <t>Yes</t>
        </is>
      </c>
      <c r="I25" t="inlineStr">
        <is>
          <t>No</t>
        </is>
      </c>
      <c r="J25" t="inlineStr">
        <is>
          <t>0</t>
        </is>
      </c>
      <c r="K25" t="inlineStr">
        <is>
          <t>Vermeersch, A. (Arthur), 1858-1936.</t>
        </is>
      </c>
      <c r="L25" t="inlineStr">
        <is>
          <t>New York, The America Press [c1932]</t>
        </is>
      </c>
      <c r="M25" t="inlineStr">
        <is>
          <t>1932</t>
        </is>
      </c>
      <c r="O25" t="inlineStr">
        <is>
          <t>eng</t>
        </is>
      </c>
      <c r="P25" t="inlineStr">
        <is>
          <t>nyu</t>
        </is>
      </c>
      <c r="R25" t="inlineStr">
        <is>
          <t xml:space="preserve">HQ </t>
        </is>
      </c>
      <c r="S25" t="n">
        <v>1</v>
      </c>
      <c r="T25" t="n">
        <v>1</v>
      </c>
      <c r="U25" t="inlineStr">
        <is>
          <t>2002-09-13</t>
        </is>
      </c>
      <c r="V25" t="inlineStr">
        <is>
          <t>2002-09-13</t>
        </is>
      </c>
      <c r="W25" t="inlineStr">
        <is>
          <t>1997-08-14</t>
        </is>
      </c>
      <c r="X25" t="inlineStr">
        <is>
          <t>1997-08-14</t>
        </is>
      </c>
      <c r="Y25" t="n">
        <v>44</v>
      </c>
      <c r="Z25" t="n">
        <v>39</v>
      </c>
      <c r="AA25" t="n">
        <v>39</v>
      </c>
      <c r="AB25" t="n">
        <v>2</v>
      </c>
      <c r="AC25" t="n">
        <v>2</v>
      </c>
      <c r="AD25" t="n">
        <v>8</v>
      </c>
      <c r="AE25" t="n">
        <v>8</v>
      </c>
      <c r="AF25" t="n">
        <v>1</v>
      </c>
      <c r="AG25" t="n">
        <v>1</v>
      </c>
      <c r="AH25" t="n">
        <v>2</v>
      </c>
      <c r="AI25" t="n">
        <v>2</v>
      </c>
      <c r="AJ25" t="n">
        <v>7</v>
      </c>
      <c r="AK25" t="n">
        <v>7</v>
      </c>
      <c r="AL25" t="n">
        <v>0</v>
      </c>
      <c r="AM25" t="n">
        <v>0</v>
      </c>
      <c r="AN25" t="n">
        <v>0</v>
      </c>
      <c r="AO25" t="n">
        <v>0</v>
      </c>
      <c r="AP25" t="inlineStr">
        <is>
          <t>No</t>
        </is>
      </c>
      <c r="AQ25" t="inlineStr">
        <is>
          <t>No</t>
        </is>
      </c>
      <c r="AS25">
        <f>HYPERLINK("https://creighton-primo.hosted.exlibrisgroup.com/primo-explore/search?tab=default_tab&amp;search_scope=EVERYTHING&amp;vid=01CRU&amp;lang=en_US&amp;offset=0&amp;query=any,contains,991001775499702656","Catalog Record")</f>
        <v/>
      </c>
      <c r="AT25">
        <f>HYPERLINK("http://www.worldcat.org/oclc/2823975","WorldCat Record")</f>
        <v/>
      </c>
      <c r="AU25" t="inlineStr">
        <is>
          <t>6305823:eng</t>
        </is>
      </c>
      <c r="AV25" t="inlineStr">
        <is>
          <t>2823975</t>
        </is>
      </c>
      <c r="AW25" t="inlineStr">
        <is>
          <t>991001775499702656</t>
        </is>
      </c>
      <c r="AX25" t="inlineStr">
        <is>
          <t>991001775499702656</t>
        </is>
      </c>
      <c r="AY25" t="inlineStr">
        <is>
          <t>2257013790002656</t>
        </is>
      </c>
      <c r="AZ25" t="inlineStr">
        <is>
          <t>BOOK</t>
        </is>
      </c>
      <c r="BC25" t="inlineStr">
        <is>
          <t>32285003103057</t>
        </is>
      </c>
      <c r="BD25" t="inlineStr">
        <is>
          <t>893703312</t>
        </is>
      </c>
    </row>
    <row r="26">
      <c r="A26" t="inlineStr">
        <is>
          <t>No</t>
        </is>
      </c>
      <c r="B26" t="inlineStr">
        <is>
          <t>HQ1031 .A494 2002</t>
        </is>
      </c>
      <c r="C26" t="inlineStr">
        <is>
          <t>0                      HQ 1031000A  494         2002</t>
        </is>
      </c>
      <c r="D26" t="inlineStr">
        <is>
          <t>The American prejudice against color : William G. Allen, Mary King, Louisa May Alcott / edited with an introduction by Sarah Elbert.</t>
        </is>
      </c>
      <c r="F26" t="inlineStr">
        <is>
          <t>No</t>
        </is>
      </c>
      <c r="G26" t="inlineStr">
        <is>
          <t>1</t>
        </is>
      </c>
      <c r="H26" t="inlineStr">
        <is>
          <t>No</t>
        </is>
      </c>
      <c r="I26" t="inlineStr">
        <is>
          <t>No</t>
        </is>
      </c>
      <c r="J26" t="inlineStr">
        <is>
          <t>0</t>
        </is>
      </c>
      <c r="L26" t="inlineStr">
        <is>
          <t>Boston : Northeastern University Press, c2002.</t>
        </is>
      </c>
      <c r="M26" t="inlineStr">
        <is>
          <t>2002</t>
        </is>
      </c>
      <c r="O26" t="inlineStr">
        <is>
          <t>eng</t>
        </is>
      </c>
      <c r="P26" t="inlineStr">
        <is>
          <t>mau</t>
        </is>
      </c>
      <c r="R26" t="inlineStr">
        <is>
          <t xml:space="preserve">HQ </t>
        </is>
      </c>
      <c r="S26" t="n">
        <v>6</v>
      </c>
      <c r="T26" t="n">
        <v>6</v>
      </c>
      <c r="U26" t="inlineStr">
        <is>
          <t>2003-10-08</t>
        </is>
      </c>
      <c r="V26" t="inlineStr">
        <is>
          <t>2003-10-08</t>
        </is>
      </c>
      <c r="W26" t="inlineStr">
        <is>
          <t>2003-10-08</t>
        </is>
      </c>
      <c r="X26" t="inlineStr">
        <is>
          <t>2003-10-08</t>
        </is>
      </c>
      <c r="Y26" t="n">
        <v>230</v>
      </c>
      <c r="Z26" t="n">
        <v>212</v>
      </c>
      <c r="AA26" t="n">
        <v>213</v>
      </c>
      <c r="AB26" t="n">
        <v>1</v>
      </c>
      <c r="AC26" t="n">
        <v>1</v>
      </c>
      <c r="AD26" t="n">
        <v>14</v>
      </c>
      <c r="AE26" t="n">
        <v>14</v>
      </c>
      <c r="AF26" t="n">
        <v>4</v>
      </c>
      <c r="AG26" t="n">
        <v>4</v>
      </c>
      <c r="AH26" t="n">
        <v>5</v>
      </c>
      <c r="AI26" t="n">
        <v>5</v>
      </c>
      <c r="AJ26" t="n">
        <v>7</v>
      </c>
      <c r="AK26" t="n">
        <v>7</v>
      </c>
      <c r="AL26" t="n">
        <v>0</v>
      </c>
      <c r="AM26" t="n">
        <v>0</v>
      </c>
      <c r="AN26" t="n">
        <v>0</v>
      </c>
      <c r="AO26" t="n">
        <v>0</v>
      </c>
      <c r="AP26" t="inlineStr">
        <is>
          <t>No</t>
        </is>
      </c>
      <c r="AQ26" t="inlineStr">
        <is>
          <t>No</t>
        </is>
      </c>
      <c r="AS26">
        <f>HYPERLINK("https://creighton-primo.hosted.exlibrisgroup.com/primo-explore/search?tab=default_tab&amp;search_scope=EVERYTHING&amp;vid=01CRU&amp;lang=en_US&amp;offset=0&amp;query=any,contains,991004108369702656","Catalog Record")</f>
        <v/>
      </c>
      <c r="AT26">
        <f>HYPERLINK("http://www.worldcat.org/oclc/49529826","WorldCat Record")</f>
        <v/>
      </c>
      <c r="AU26" t="inlineStr">
        <is>
          <t>3944194942:eng</t>
        </is>
      </c>
      <c r="AV26" t="inlineStr">
        <is>
          <t>49529826</t>
        </is>
      </c>
      <c r="AW26" t="inlineStr">
        <is>
          <t>991004108369702656</t>
        </is>
      </c>
      <c r="AX26" t="inlineStr">
        <is>
          <t>991004108369702656</t>
        </is>
      </c>
      <c r="AY26" t="inlineStr">
        <is>
          <t>2255085700002656</t>
        </is>
      </c>
      <c r="AZ26" t="inlineStr">
        <is>
          <t>BOOK</t>
        </is>
      </c>
      <c r="BB26" t="inlineStr">
        <is>
          <t>9781555535452</t>
        </is>
      </c>
      <c r="BC26" t="inlineStr">
        <is>
          <t>32285004787296</t>
        </is>
      </c>
      <c r="BD26" t="inlineStr">
        <is>
          <t>893875687</t>
        </is>
      </c>
    </row>
    <row r="27">
      <c r="A27" t="inlineStr">
        <is>
          <t>No</t>
        </is>
      </c>
      <c r="B27" t="inlineStr">
        <is>
          <t>HQ1031 .B42</t>
        </is>
      </c>
      <c r="C27" t="inlineStr">
        <is>
          <t>0                      HQ 1031000B  42</t>
        </is>
      </c>
      <c r="D27" t="inlineStr">
        <is>
          <t>Jews and intermarriage : a study in personality and culture / by Louis A. Berman.</t>
        </is>
      </c>
      <c r="F27" t="inlineStr">
        <is>
          <t>No</t>
        </is>
      </c>
      <c r="G27" t="inlineStr">
        <is>
          <t>1</t>
        </is>
      </c>
      <c r="H27" t="inlineStr">
        <is>
          <t>No</t>
        </is>
      </c>
      <c r="I27" t="inlineStr">
        <is>
          <t>No</t>
        </is>
      </c>
      <c r="J27" t="inlineStr">
        <is>
          <t>0</t>
        </is>
      </c>
      <c r="K27" t="inlineStr">
        <is>
          <t>Berman, Louis Arthur.</t>
        </is>
      </c>
      <c r="L27" t="inlineStr">
        <is>
          <t>New York : T. Yoseloff, [1968]</t>
        </is>
      </c>
      <c r="M27" t="inlineStr">
        <is>
          <t>1968</t>
        </is>
      </c>
      <c r="O27" t="inlineStr">
        <is>
          <t>eng</t>
        </is>
      </c>
      <c r="P27" t="inlineStr">
        <is>
          <t>nyu</t>
        </is>
      </c>
      <c r="R27" t="inlineStr">
        <is>
          <t xml:space="preserve">HQ </t>
        </is>
      </c>
      <c r="S27" t="n">
        <v>6</v>
      </c>
      <c r="T27" t="n">
        <v>6</v>
      </c>
      <c r="U27" t="inlineStr">
        <is>
          <t>2003-10-06</t>
        </is>
      </c>
      <c r="V27" t="inlineStr">
        <is>
          <t>2003-10-06</t>
        </is>
      </c>
      <c r="W27" t="inlineStr">
        <is>
          <t>1992-04-14</t>
        </is>
      </c>
      <c r="X27" t="inlineStr">
        <is>
          <t>1992-04-14</t>
        </is>
      </c>
      <c r="Y27" t="n">
        <v>498</v>
      </c>
      <c r="Z27" t="n">
        <v>428</v>
      </c>
      <c r="AA27" t="n">
        <v>431</v>
      </c>
      <c r="AB27" t="n">
        <v>5</v>
      </c>
      <c r="AC27" t="n">
        <v>5</v>
      </c>
      <c r="AD27" t="n">
        <v>22</v>
      </c>
      <c r="AE27" t="n">
        <v>22</v>
      </c>
      <c r="AF27" t="n">
        <v>6</v>
      </c>
      <c r="AG27" t="n">
        <v>6</v>
      </c>
      <c r="AH27" t="n">
        <v>6</v>
      </c>
      <c r="AI27" t="n">
        <v>6</v>
      </c>
      <c r="AJ27" t="n">
        <v>9</v>
      </c>
      <c r="AK27" t="n">
        <v>9</v>
      </c>
      <c r="AL27" t="n">
        <v>4</v>
      </c>
      <c r="AM27" t="n">
        <v>4</v>
      </c>
      <c r="AN27" t="n">
        <v>0</v>
      </c>
      <c r="AO27" t="n">
        <v>0</v>
      </c>
      <c r="AP27" t="inlineStr">
        <is>
          <t>No</t>
        </is>
      </c>
      <c r="AQ27" t="inlineStr">
        <is>
          <t>Yes</t>
        </is>
      </c>
      <c r="AR27">
        <f>HYPERLINK("http://catalog.hathitrust.org/Record/001110236","HathiTrust Record")</f>
        <v/>
      </c>
      <c r="AS27">
        <f>HYPERLINK("https://creighton-primo.hosted.exlibrisgroup.com/primo-explore/search?tab=default_tab&amp;search_scope=EVERYTHING&amp;vid=01CRU&amp;lang=en_US&amp;offset=0&amp;query=any,contains,991002685429702656","Catalog Record")</f>
        <v/>
      </c>
      <c r="AT27">
        <f>HYPERLINK("http://www.worldcat.org/oclc/399924","WorldCat Record")</f>
        <v/>
      </c>
      <c r="AU27" t="inlineStr">
        <is>
          <t>422828602:eng</t>
        </is>
      </c>
      <c r="AV27" t="inlineStr">
        <is>
          <t>399924</t>
        </is>
      </c>
      <c r="AW27" t="inlineStr">
        <is>
          <t>991002685429702656</t>
        </is>
      </c>
      <c r="AX27" t="inlineStr">
        <is>
          <t>991002685429702656</t>
        </is>
      </c>
      <c r="AY27" t="inlineStr">
        <is>
          <t>2257883440002656</t>
        </is>
      </c>
      <c r="AZ27" t="inlineStr">
        <is>
          <t>BOOK</t>
        </is>
      </c>
      <c r="BC27" t="inlineStr">
        <is>
          <t>32285001060192</t>
        </is>
      </c>
      <c r="BD27" t="inlineStr">
        <is>
          <t>893792785</t>
        </is>
      </c>
    </row>
    <row r="28">
      <c r="A28" t="inlineStr">
        <is>
          <t>No</t>
        </is>
      </c>
      <c r="B28" t="inlineStr">
        <is>
          <t>HQ1031 .C73 1999</t>
        </is>
      </c>
      <c r="C28" t="inlineStr">
        <is>
          <t>0                      HQ 1031000C  73          1999</t>
        </is>
      </c>
      <c r="D28" t="inlineStr">
        <is>
          <t>Ministry to interchurch marriages : a national study / Center for Marriage and Family, Creighton University.</t>
        </is>
      </c>
      <c r="F28" t="inlineStr">
        <is>
          <t>No</t>
        </is>
      </c>
      <c r="G28" t="inlineStr">
        <is>
          <t>2</t>
        </is>
      </c>
      <c r="H28" t="inlineStr">
        <is>
          <t>No</t>
        </is>
      </c>
      <c r="I28" t="inlineStr">
        <is>
          <t>No</t>
        </is>
      </c>
      <c r="J28" t="inlineStr">
        <is>
          <t>0</t>
        </is>
      </c>
      <c r="K28" t="inlineStr">
        <is>
          <t>Creighton University. Center for Marriage and Family.</t>
        </is>
      </c>
      <c r="L28" t="inlineStr">
        <is>
          <t>Omaha, NE : The Center, 1999.</t>
        </is>
      </c>
      <c r="M28" t="inlineStr">
        <is>
          <t>1999</t>
        </is>
      </c>
      <c r="O28" t="inlineStr">
        <is>
          <t>eng</t>
        </is>
      </c>
      <c r="P28" t="inlineStr">
        <is>
          <t>nbu</t>
        </is>
      </c>
      <c r="R28" t="inlineStr">
        <is>
          <t xml:space="preserve">HQ </t>
        </is>
      </c>
      <c r="S28" t="n">
        <v>1</v>
      </c>
      <c r="T28" t="n">
        <v>1</v>
      </c>
      <c r="U28" t="inlineStr">
        <is>
          <t>2001-03-07</t>
        </is>
      </c>
      <c r="V28" t="inlineStr">
        <is>
          <t>2001-03-07</t>
        </is>
      </c>
      <c r="W28" t="inlineStr">
        <is>
          <t>2001-03-06</t>
        </is>
      </c>
      <c r="X28" t="inlineStr">
        <is>
          <t>2001-03-06</t>
        </is>
      </c>
      <c r="Y28" t="n">
        <v>9</v>
      </c>
      <c r="Z28" t="n">
        <v>8</v>
      </c>
      <c r="AA28" t="n">
        <v>8</v>
      </c>
      <c r="AB28" t="n">
        <v>1</v>
      </c>
      <c r="AC28" t="n">
        <v>1</v>
      </c>
      <c r="AD28" t="n">
        <v>2</v>
      </c>
      <c r="AE28" t="n">
        <v>2</v>
      </c>
      <c r="AF28" t="n">
        <v>1</v>
      </c>
      <c r="AG28" t="n">
        <v>1</v>
      </c>
      <c r="AH28" t="n">
        <v>1</v>
      </c>
      <c r="AI28" t="n">
        <v>1</v>
      </c>
      <c r="AJ28" t="n">
        <v>0</v>
      </c>
      <c r="AK28" t="n">
        <v>0</v>
      </c>
      <c r="AL28" t="n">
        <v>0</v>
      </c>
      <c r="AM28" t="n">
        <v>0</v>
      </c>
      <c r="AN28" t="n">
        <v>0</v>
      </c>
      <c r="AO28" t="n">
        <v>0</v>
      </c>
      <c r="AP28" t="inlineStr">
        <is>
          <t>No</t>
        </is>
      </c>
      <c r="AQ28" t="inlineStr">
        <is>
          <t>No</t>
        </is>
      </c>
      <c r="AS28">
        <f>HYPERLINK("https://creighton-primo.hosted.exlibrisgroup.com/primo-explore/search?tab=default_tab&amp;search_scope=EVERYTHING&amp;vid=01CRU&amp;lang=en_US&amp;offset=0&amp;query=any,contains,991003054519702656","Catalog Record")</f>
        <v/>
      </c>
      <c r="AT28">
        <f>HYPERLINK("http://www.worldcat.org/oclc/43676712","WorldCat Record")</f>
        <v/>
      </c>
      <c r="AU28" t="inlineStr">
        <is>
          <t>44571479:eng</t>
        </is>
      </c>
      <c r="AV28" t="inlineStr">
        <is>
          <t>43676712</t>
        </is>
      </c>
      <c r="AW28" t="inlineStr">
        <is>
          <t>991003054519702656</t>
        </is>
      </c>
      <c r="AX28" t="inlineStr">
        <is>
          <t>991003054519702656</t>
        </is>
      </c>
      <c r="AY28" t="inlineStr">
        <is>
          <t>2263035880002656</t>
        </is>
      </c>
      <c r="AZ28" t="inlineStr">
        <is>
          <t>BOOK</t>
        </is>
      </c>
      <c r="BC28" t="inlineStr">
        <is>
          <t>32285004299524</t>
        </is>
      </c>
      <c r="BD28" t="inlineStr">
        <is>
          <t>893511530</t>
        </is>
      </c>
    </row>
    <row r="29">
      <c r="A29" t="inlineStr">
        <is>
          <t>No</t>
        </is>
      </c>
      <c r="B29" t="inlineStr">
        <is>
          <t>HQ1031 .F4</t>
        </is>
      </c>
      <c r="C29" t="inlineStr">
        <is>
          <t>0                      HQ 1031000F  4</t>
        </is>
      </c>
      <c r="D29" t="inlineStr">
        <is>
          <t>Intermarriage and the future of the American Jew : proceedings of a conference.</t>
        </is>
      </c>
      <c r="F29" t="inlineStr">
        <is>
          <t>No</t>
        </is>
      </c>
      <c r="G29" t="inlineStr">
        <is>
          <t>1</t>
        </is>
      </c>
      <c r="H29" t="inlineStr">
        <is>
          <t>No</t>
        </is>
      </c>
      <c r="I29" t="inlineStr">
        <is>
          <t>No</t>
        </is>
      </c>
      <c r="J29" t="inlineStr">
        <is>
          <t>0</t>
        </is>
      </c>
      <c r="K29" t="inlineStr">
        <is>
          <t>Conference on Intermarriage (1964 : Long Beach, Calif.)</t>
        </is>
      </c>
      <c r="L29" t="inlineStr">
        <is>
          <t>New York : Commission on Synagogue Relations, Federation of Jewish Philanthropies, 1964.</t>
        </is>
      </c>
      <c r="M29" t="inlineStr">
        <is>
          <t>1964</t>
        </is>
      </c>
      <c r="O29" t="inlineStr">
        <is>
          <t>eng</t>
        </is>
      </c>
      <c r="P29" t="inlineStr">
        <is>
          <t>nyu</t>
        </is>
      </c>
      <c r="R29" t="inlineStr">
        <is>
          <t xml:space="preserve">HQ </t>
        </is>
      </c>
      <c r="S29" t="n">
        <v>7</v>
      </c>
      <c r="T29" t="n">
        <v>7</v>
      </c>
      <c r="U29" t="inlineStr">
        <is>
          <t>1997-12-01</t>
        </is>
      </c>
      <c r="V29" t="inlineStr">
        <is>
          <t>1997-12-01</t>
        </is>
      </c>
      <c r="W29" t="inlineStr">
        <is>
          <t>1992-04-14</t>
        </is>
      </c>
      <c r="X29" t="inlineStr">
        <is>
          <t>1992-04-14</t>
        </is>
      </c>
      <c r="Y29" t="n">
        <v>36</v>
      </c>
      <c r="Z29" t="n">
        <v>32</v>
      </c>
      <c r="AA29" t="n">
        <v>32</v>
      </c>
      <c r="AB29" t="n">
        <v>1</v>
      </c>
      <c r="AC29" t="n">
        <v>1</v>
      </c>
      <c r="AD29" t="n">
        <v>0</v>
      </c>
      <c r="AE29" t="n">
        <v>0</v>
      </c>
      <c r="AF29" t="n">
        <v>0</v>
      </c>
      <c r="AG29" t="n">
        <v>0</v>
      </c>
      <c r="AH29" t="n">
        <v>0</v>
      </c>
      <c r="AI29" t="n">
        <v>0</v>
      </c>
      <c r="AJ29" t="n">
        <v>0</v>
      </c>
      <c r="AK29" t="n">
        <v>0</v>
      </c>
      <c r="AL29" t="n">
        <v>0</v>
      </c>
      <c r="AM29" t="n">
        <v>0</v>
      </c>
      <c r="AN29" t="n">
        <v>0</v>
      </c>
      <c r="AO29" t="n">
        <v>0</v>
      </c>
      <c r="AP29" t="inlineStr">
        <is>
          <t>No</t>
        </is>
      </c>
      <c r="AQ29" t="inlineStr">
        <is>
          <t>No</t>
        </is>
      </c>
      <c r="AS29">
        <f>HYPERLINK("https://creighton-primo.hosted.exlibrisgroup.com/primo-explore/search?tab=default_tab&amp;search_scope=EVERYTHING&amp;vid=01CRU&amp;lang=en_US&amp;offset=0&amp;query=any,contains,991002887869702656","Catalog Record")</f>
        <v/>
      </c>
      <c r="AT29">
        <f>HYPERLINK("http://www.worldcat.org/oclc/509784","WorldCat Record")</f>
        <v/>
      </c>
      <c r="AU29" t="inlineStr">
        <is>
          <t>12398900:eng</t>
        </is>
      </c>
      <c r="AV29" t="inlineStr">
        <is>
          <t>509784</t>
        </is>
      </c>
      <c r="AW29" t="inlineStr">
        <is>
          <t>991002887869702656</t>
        </is>
      </c>
      <c r="AX29" t="inlineStr">
        <is>
          <t>991002887869702656</t>
        </is>
      </c>
      <c r="AY29" t="inlineStr">
        <is>
          <t>2261736550002656</t>
        </is>
      </c>
      <c r="AZ29" t="inlineStr">
        <is>
          <t>BOOK</t>
        </is>
      </c>
      <c r="BC29" t="inlineStr">
        <is>
          <t>32285001036663</t>
        </is>
      </c>
      <c r="BD29" t="inlineStr">
        <is>
          <t>893780354</t>
        </is>
      </c>
    </row>
    <row r="30">
      <c r="A30" t="inlineStr">
        <is>
          <t>No</t>
        </is>
      </c>
      <c r="B30" t="inlineStr">
        <is>
          <t>HQ1031 .G6</t>
        </is>
      </c>
      <c r="C30" t="inlineStr">
        <is>
          <t>0                      HQ 1031000G  6</t>
        </is>
      </c>
      <c r="D30" t="inlineStr">
        <is>
          <t>Intermarriage : interfaith, interracial, interethnic.</t>
        </is>
      </c>
      <c r="F30" t="inlineStr">
        <is>
          <t>No</t>
        </is>
      </c>
      <c r="G30" t="inlineStr">
        <is>
          <t>1</t>
        </is>
      </c>
      <c r="H30" t="inlineStr">
        <is>
          <t>No</t>
        </is>
      </c>
      <c r="I30" t="inlineStr">
        <is>
          <t>No</t>
        </is>
      </c>
      <c r="J30" t="inlineStr">
        <is>
          <t>0</t>
        </is>
      </c>
      <c r="K30" t="inlineStr">
        <is>
          <t>Gordon, Albert Isaac, 1903-1968.</t>
        </is>
      </c>
      <c r="L30" t="inlineStr">
        <is>
          <t>Boston : Beacon Press, [1964]</t>
        </is>
      </c>
      <c r="M30" t="inlineStr">
        <is>
          <t>1964</t>
        </is>
      </c>
      <c r="O30" t="inlineStr">
        <is>
          <t>eng</t>
        </is>
      </c>
      <c r="P30" t="inlineStr">
        <is>
          <t>mau</t>
        </is>
      </c>
      <c r="R30" t="inlineStr">
        <is>
          <t xml:space="preserve">HQ </t>
        </is>
      </c>
      <c r="S30" t="n">
        <v>20</v>
      </c>
      <c r="T30" t="n">
        <v>20</v>
      </c>
      <c r="U30" t="inlineStr">
        <is>
          <t>1999-11-16</t>
        </is>
      </c>
      <c r="V30" t="inlineStr">
        <is>
          <t>1999-11-16</t>
        </is>
      </c>
      <c r="W30" t="inlineStr">
        <is>
          <t>1995-03-27</t>
        </is>
      </c>
      <c r="X30" t="inlineStr">
        <is>
          <t>1995-03-27</t>
        </is>
      </c>
      <c r="Y30" t="n">
        <v>814</v>
      </c>
      <c r="Z30" t="n">
        <v>750</v>
      </c>
      <c r="AA30" t="n">
        <v>844</v>
      </c>
      <c r="AB30" t="n">
        <v>6</v>
      </c>
      <c r="AC30" t="n">
        <v>7</v>
      </c>
      <c r="AD30" t="n">
        <v>38</v>
      </c>
      <c r="AE30" t="n">
        <v>44</v>
      </c>
      <c r="AF30" t="n">
        <v>14</v>
      </c>
      <c r="AG30" t="n">
        <v>16</v>
      </c>
      <c r="AH30" t="n">
        <v>8</v>
      </c>
      <c r="AI30" t="n">
        <v>10</v>
      </c>
      <c r="AJ30" t="n">
        <v>19</v>
      </c>
      <c r="AK30" t="n">
        <v>22</v>
      </c>
      <c r="AL30" t="n">
        <v>5</v>
      </c>
      <c r="AM30" t="n">
        <v>6</v>
      </c>
      <c r="AN30" t="n">
        <v>2</v>
      </c>
      <c r="AO30" t="n">
        <v>2</v>
      </c>
      <c r="AP30" t="inlineStr">
        <is>
          <t>No</t>
        </is>
      </c>
      <c r="AQ30" t="inlineStr">
        <is>
          <t>Yes</t>
        </is>
      </c>
      <c r="AR30">
        <f>HYPERLINK("http://catalog.hathitrust.org/Record/000978646","HathiTrust Record")</f>
        <v/>
      </c>
      <c r="AS30">
        <f>HYPERLINK("https://creighton-primo.hosted.exlibrisgroup.com/primo-explore/search?tab=default_tab&amp;search_scope=EVERYTHING&amp;vid=01CRU&amp;lang=en_US&amp;offset=0&amp;query=any,contains,991003177839702656","Catalog Record")</f>
        <v/>
      </c>
      <c r="AT30">
        <f>HYPERLINK("http://www.worldcat.org/oclc/711109","WorldCat Record")</f>
        <v/>
      </c>
      <c r="AU30" t="inlineStr">
        <is>
          <t>1655921:eng</t>
        </is>
      </c>
      <c r="AV30" t="inlineStr">
        <is>
          <t>711109</t>
        </is>
      </c>
      <c r="AW30" t="inlineStr">
        <is>
          <t>991003177839702656</t>
        </is>
      </c>
      <c r="AX30" t="inlineStr">
        <is>
          <t>991003177839702656</t>
        </is>
      </c>
      <c r="AY30" t="inlineStr">
        <is>
          <t>2264094840002656</t>
        </is>
      </c>
      <c r="AZ30" t="inlineStr">
        <is>
          <t>BOOK</t>
        </is>
      </c>
      <c r="BC30" t="inlineStr">
        <is>
          <t>32285002014230</t>
        </is>
      </c>
      <c r="BD30" t="inlineStr">
        <is>
          <t>893880892</t>
        </is>
      </c>
    </row>
    <row r="31">
      <c r="A31" t="inlineStr">
        <is>
          <t>No</t>
        </is>
      </c>
      <c r="B31" t="inlineStr">
        <is>
          <t>HQ1031 .H3</t>
        </is>
      </c>
      <c r="C31" t="inlineStr">
        <is>
          <t>0                      HQ 1031000H  3</t>
        </is>
      </c>
      <c r="D31" t="inlineStr">
        <is>
          <t>Maori and Pakeha : a study of mixed marriages in New Zealand.</t>
        </is>
      </c>
      <c r="F31" t="inlineStr">
        <is>
          <t>No</t>
        </is>
      </c>
      <c r="G31" t="inlineStr">
        <is>
          <t>1</t>
        </is>
      </c>
      <c r="H31" t="inlineStr">
        <is>
          <t>No</t>
        </is>
      </c>
      <c r="I31" t="inlineStr">
        <is>
          <t>No</t>
        </is>
      </c>
      <c r="J31" t="inlineStr">
        <is>
          <t>0</t>
        </is>
      </c>
      <c r="K31" t="inlineStr">
        <is>
          <t>Harré, John.</t>
        </is>
      </c>
      <c r="L31" t="inlineStr">
        <is>
          <t>New York : Published for the Institute of Race Relations, London [by] F.A. Praeger, [1966]</t>
        </is>
      </c>
      <c r="M31" t="inlineStr">
        <is>
          <t>1966</t>
        </is>
      </c>
      <c r="O31" t="inlineStr">
        <is>
          <t>eng</t>
        </is>
      </c>
      <c r="P31" t="inlineStr">
        <is>
          <t>nyu</t>
        </is>
      </c>
      <c r="R31" t="inlineStr">
        <is>
          <t xml:space="preserve">HQ </t>
        </is>
      </c>
      <c r="S31" t="n">
        <v>4</v>
      </c>
      <c r="T31" t="n">
        <v>4</v>
      </c>
      <c r="U31" t="inlineStr">
        <is>
          <t>2000-10-24</t>
        </is>
      </c>
      <c r="V31" t="inlineStr">
        <is>
          <t>2000-10-24</t>
        </is>
      </c>
      <c r="W31" t="inlineStr">
        <is>
          <t>1995-01-27</t>
        </is>
      </c>
      <c r="X31" t="inlineStr">
        <is>
          <t>1995-01-27</t>
        </is>
      </c>
      <c r="Y31" t="n">
        <v>302</v>
      </c>
      <c r="Z31" t="n">
        <v>275</v>
      </c>
      <c r="AA31" t="n">
        <v>310</v>
      </c>
      <c r="AB31" t="n">
        <v>2</v>
      </c>
      <c r="AC31" t="n">
        <v>2</v>
      </c>
      <c r="AD31" t="n">
        <v>10</v>
      </c>
      <c r="AE31" t="n">
        <v>12</v>
      </c>
      <c r="AF31" t="n">
        <v>4</v>
      </c>
      <c r="AG31" t="n">
        <v>4</v>
      </c>
      <c r="AH31" t="n">
        <v>1</v>
      </c>
      <c r="AI31" t="n">
        <v>2</v>
      </c>
      <c r="AJ31" t="n">
        <v>5</v>
      </c>
      <c r="AK31" t="n">
        <v>7</v>
      </c>
      <c r="AL31" t="n">
        <v>1</v>
      </c>
      <c r="AM31" t="n">
        <v>1</v>
      </c>
      <c r="AN31" t="n">
        <v>0</v>
      </c>
      <c r="AO31" t="n">
        <v>0</v>
      </c>
      <c r="AP31" t="inlineStr">
        <is>
          <t>No</t>
        </is>
      </c>
      <c r="AQ31" t="inlineStr">
        <is>
          <t>No</t>
        </is>
      </c>
      <c r="AS31">
        <f>HYPERLINK("https://creighton-primo.hosted.exlibrisgroup.com/primo-explore/search?tab=default_tab&amp;search_scope=EVERYTHING&amp;vid=01CRU&amp;lang=en_US&amp;offset=0&amp;query=any,contains,991003931979702656","Catalog Record")</f>
        <v/>
      </c>
      <c r="AT31">
        <f>HYPERLINK("http://www.worldcat.org/oclc/1901659","WorldCat Record")</f>
        <v/>
      </c>
      <c r="AU31" t="inlineStr">
        <is>
          <t>907218134:eng</t>
        </is>
      </c>
      <c r="AV31" t="inlineStr">
        <is>
          <t>1901659</t>
        </is>
      </c>
      <c r="AW31" t="inlineStr">
        <is>
          <t>991003931979702656</t>
        </is>
      </c>
      <c r="AX31" t="inlineStr">
        <is>
          <t>991003931979702656</t>
        </is>
      </c>
      <c r="AY31" t="inlineStr">
        <is>
          <t>2256911580002656</t>
        </is>
      </c>
      <c r="AZ31" t="inlineStr">
        <is>
          <t>BOOK</t>
        </is>
      </c>
      <c r="BC31" t="inlineStr">
        <is>
          <t>32285001988012</t>
        </is>
      </c>
      <c r="BD31" t="inlineStr">
        <is>
          <t>893711957</t>
        </is>
      </c>
    </row>
    <row r="32">
      <c r="A32" t="inlineStr">
        <is>
          <t>No</t>
        </is>
      </c>
      <c r="B32" t="inlineStr">
        <is>
          <t>HQ1031 .H63</t>
        </is>
      </c>
      <c r="C32" t="inlineStr">
        <is>
          <t>0                      HQ 1031000H  63</t>
        </is>
      </c>
      <c r="D32" t="inlineStr">
        <is>
          <t>Empirical research on interfaith marriage in America / by Dean R. Hoge and Kathleen M. Ferry ; conducted by the United States Catholic Conference in conjunction with the Boys Town Center for the Study of Youth Development-The Catholic University of America.</t>
        </is>
      </c>
      <c r="F32" t="inlineStr">
        <is>
          <t>No</t>
        </is>
      </c>
      <c r="G32" t="inlineStr">
        <is>
          <t>1</t>
        </is>
      </c>
      <c r="H32" t="inlineStr">
        <is>
          <t>No</t>
        </is>
      </c>
      <c r="I32" t="inlineStr">
        <is>
          <t>No</t>
        </is>
      </c>
      <c r="J32" t="inlineStr">
        <is>
          <t>0</t>
        </is>
      </c>
      <c r="K32" t="inlineStr">
        <is>
          <t>Hoge, Dean R., 1937-2008.</t>
        </is>
      </c>
      <c r="L32" t="inlineStr">
        <is>
          <t>Washington, D.C. : United States Catholic Conference, c1981.</t>
        </is>
      </c>
      <c r="M32" t="inlineStr">
        <is>
          <t>1981</t>
        </is>
      </c>
      <c r="O32" t="inlineStr">
        <is>
          <t>eng</t>
        </is>
      </c>
      <c r="P32" t="inlineStr">
        <is>
          <t>dcu</t>
        </is>
      </c>
      <c r="R32" t="inlineStr">
        <is>
          <t xml:space="preserve">HQ </t>
        </is>
      </c>
      <c r="S32" t="n">
        <v>22</v>
      </c>
      <c r="T32" t="n">
        <v>22</v>
      </c>
      <c r="U32" t="inlineStr">
        <is>
          <t>1998-04-09</t>
        </is>
      </c>
      <c r="V32" t="inlineStr">
        <is>
          <t>1998-04-09</t>
        </is>
      </c>
      <c r="W32" t="inlineStr">
        <is>
          <t>1994-12-21</t>
        </is>
      </c>
      <c r="X32" t="inlineStr">
        <is>
          <t>1994-12-21</t>
        </is>
      </c>
      <c r="Y32" t="n">
        <v>83</v>
      </c>
      <c r="Z32" t="n">
        <v>74</v>
      </c>
      <c r="AA32" t="n">
        <v>74</v>
      </c>
      <c r="AB32" t="n">
        <v>1</v>
      </c>
      <c r="AC32" t="n">
        <v>1</v>
      </c>
      <c r="AD32" t="n">
        <v>12</v>
      </c>
      <c r="AE32" t="n">
        <v>12</v>
      </c>
      <c r="AF32" t="n">
        <v>3</v>
      </c>
      <c r="AG32" t="n">
        <v>3</v>
      </c>
      <c r="AH32" t="n">
        <v>3</v>
      </c>
      <c r="AI32" t="n">
        <v>3</v>
      </c>
      <c r="AJ32" t="n">
        <v>10</v>
      </c>
      <c r="AK32" t="n">
        <v>10</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HYPERLINK("https://creighton-primo.hosted.exlibrisgroup.com/primo-explore/search?tab=default_tab&amp;search_scope=EVERYTHING&amp;vid=01CRU&amp;lang=en_US&amp;offset=0&amp;query=any,contains,991005158099702656","Catalog Record")</f>
        <v/>
      </c>
      <c r="AT32">
        <f>HYPERLINK("http://www.worldcat.org/oclc/7756030","WorldCat Record")</f>
        <v/>
      </c>
      <c r="AU32" t="inlineStr">
        <is>
          <t>29301104:eng</t>
        </is>
      </c>
      <c r="AV32" t="inlineStr">
        <is>
          <t>7756030</t>
        </is>
      </c>
      <c r="AW32" t="inlineStr">
        <is>
          <t>991005158099702656</t>
        </is>
      </c>
      <c r="AX32" t="inlineStr">
        <is>
          <t>991005158099702656</t>
        </is>
      </c>
      <c r="AY32" t="inlineStr">
        <is>
          <t>2263537320002656</t>
        </is>
      </c>
      <c r="AZ32" t="inlineStr">
        <is>
          <t>BOOK</t>
        </is>
      </c>
      <c r="BC32" t="inlineStr">
        <is>
          <t>32285001778546</t>
        </is>
      </c>
      <c r="BD32" t="inlineStr">
        <is>
          <t>893412416</t>
        </is>
      </c>
    </row>
    <row r="33">
      <c r="A33" t="inlineStr">
        <is>
          <t>No</t>
        </is>
      </c>
      <c r="B33" t="inlineStr">
        <is>
          <t>HQ1031 .I568 2002</t>
        </is>
      </c>
      <c r="C33" t="inlineStr">
        <is>
          <t>0                      HQ 1031000I  568         2002</t>
        </is>
      </c>
      <c r="D33" t="inlineStr">
        <is>
          <t>Interchurch families : resources for ecumenical hope : Catholic/Reformed dialogue in the United States / edited by John C. Bush and Patrick R. Cooney.</t>
        </is>
      </c>
      <c r="F33" t="inlineStr">
        <is>
          <t>No</t>
        </is>
      </c>
      <c r="G33" t="inlineStr">
        <is>
          <t>1</t>
        </is>
      </c>
      <c r="H33" t="inlineStr">
        <is>
          <t>No</t>
        </is>
      </c>
      <c r="I33" t="inlineStr">
        <is>
          <t>No</t>
        </is>
      </c>
      <c r="J33" t="inlineStr">
        <is>
          <t>0</t>
        </is>
      </c>
      <c r="L33" t="inlineStr">
        <is>
          <t>Louisville, Ky. : Westminster John Knox Press ; Washington, D.C. : United States Conference of Catholic Bishops, c2002.</t>
        </is>
      </c>
      <c r="M33" t="inlineStr">
        <is>
          <t>2002</t>
        </is>
      </c>
      <c r="N33" t="inlineStr">
        <is>
          <t>1st ed.</t>
        </is>
      </c>
      <c r="O33" t="inlineStr">
        <is>
          <t>eng</t>
        </is>
      </c>
      <c r="P33" t="inlineStr">
        <is>
          <t>kyu</t>
        </is>
      </c>
      <c r="R33" t="inlineStr">
        <is>
          <t xml:space="preserve">HQ </t>
        </is>
      </c>
      <c r="S33" t="n">
        <v>1</v>
      </c>
      <c r="T33" t="n">
        <v>1</v>
      </c>
      <c r="U33" t="inlineStr">
        <is>
          <t>2002-04-22</t>
        </is>
      </c>
      <c r="V33" t="inlineStr">
        <is>
          <t>2002-04-22</t>
        </is>
      </c>
      <c r="W33" t="inlineStr">
        <is>
          <t>2002-04-08</t>
        </is>
      </c>
      <c r="X33" t="inlineStr">
        <is>
          <t>2002-04-08</t>
        </is>
      </c>
      <c r="Y33" t="n">
        <v>155</v>
      </c>
      <c r="Z33" t="n">
        <v>148</v>
      </c>
      <c r="AA33" t="n">
        <v>164</v>
      </c>
      <c r="AB33" t="n">
        <v>1</v>
      </c>
      <c r="AC33" t="n">
        <v>1</v>
      </c>
      <c r="AD33" t="n">
        <v>17</v>
      </c>
      <c r="AE33" t="n">
        <v>19</v>
      </c>
      <c r="AF33" t="n">
        <v>4</v>
      </c>
      <c r="AG33" t="n">
        <v>5</v>
      </c>
      <c r="AH33" t="n">
        <v>5</v>
      </c>
      <c r="AI33" t="n">
        <v>5</v>
      </c>
      <c r="AJ33" t="n">
        <v>12</v>
      </c>
      <c r="AK33" t="n">
        <v>13</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HYPERLINK("https://creighton-primo.hosted.exlibrisgroup.com/primo-explore/search?tab=default_tab&amp;search_scope=EVERYTHING&amp;vid=01CRU&amp;lang=en_US&amp;offset=0&amp;query=any,contains,991003780669702656","Catalog Record")</f>
        <v/>
      </c>
      <c r="AT33">
        <f>HYPERLINK("http://www.worldcat.org/oclc/48045938","WorldCat Record")</f>
        <v/>
      </c>
      <c r="AU33" t="inlineStr">
        <is>
          <t>763550573:eng</t>
        </is>
      </c>
      <c r="AV33" t="inlineStr">
        <is>
          <t>48045938</t>
        </is>
      </c>
      <c r="AW33" t="inlineStr">
        <is>
          <t>991003780669702656</t>
        </is>
      </c>
      <c r="AX33" t="inlineStr">
        <is>
          <t>991003780669702656</t>
        </is>
      </c>
      <c r="AY33" t="inlineStr">
        <is>
          <t>2270971120002656</t>
        </is>
      </c>
      <c r="AZ33" t="inlineStr">
        <is>
          <t>BOOK</t>
        </is>
      </c>
      <c r="BB33" t="inlineStr">
        <is>
          <t>9780664225629</t>
        </is>
      </c>
      <c r="BC33" t="inlineStr">
        <is>
          <t>32285004477369</t>
        </is>
      </c>
      <c r="BD33" t="inlineStr">
        <is>
          <t>893343005</t>
        </is>
      </c>
    </row>
    <row r="34">
      <c r="A34" t="inlineStr">
        <is>
          <t>No</t>
        </is>
      </c>
      <c r="B34" t="inlineStr">
        <is>
          <t>HQ1031 .J63 1980</t>
        </is>
      </c>
      <c r="C34" t="inlineStr">
        <is>
          <t>0                      HQ 1031000J  63          1980</t>
        </is>
      </c>
      <c r="D34" t="inlineStr">
        <is>
          <t>Religious assortative marriage in the United States / Robert Alan Johnson.</t>
        </is>
      </c>
      <c r="F34" t="inlineStr">
        <is>
          <t>No</t>
        </is>
      </c>
      <c r="G34" t="inlineStr">
        <is>
          <t>1</t>
        </is>
      </c>
      <c r="H34" t="inlineStr">
        <is>
          <t>No</t>
        </is>
      </c>
      <c r="I34" t="inlineStr">
        <is>
          <t>No</t>
        </is>
      </c>
      <c r="J34" t="inlineStr">
        <is>
          <t>0</t>
        </is>
      </c>
      <c r="K34" t="inlineStr">
        <is>
          <t>Johnson, Robert A. (Robert Alan), 1948-</t>
        </is>
      </c>
      <c r="L34" t="inlineStr">
        <is>
          <t>New York : Academic Press, c1980.</t>
        </is>
      </c>
      <c r="M34" t="inlineStr">
        <is>
          <t>1980</t>
        </is>
      </c>
      <c r="O34" t="inlineStr">
        <is>
          <t>eng</t>
        </is>
      </c>
      <c r="P34" t="inlineStr">
        <is>
          <t>nyu</t>
        </is>
      </c>
      <c r="Q34" t="inlineStr">
        <is>
          <t>Studies in population</t>
        </is>
      </c>
      <c r="R34" t="inlineStr">
        <is>
          <t xml:space="preserve">HQ </t>
        </is>
      </c>
      <c r="S34" t="n">
        <v>7</v>
      </c>
      <c r="T34" t="n">
        <v>7</v>
      </c>
      <c r="U34" t="inlineStr">
        <is>
          <t>2001-09-30</t>
        </is>
      </c>
      <c r="V34" t="inlineStr">
        <is>
          <t>2001-09-30</t>
        </is>
      </c>
      <c r="W34" t="inlineStr">
        <is>
          <t>1993-04-23</t>
        </is>
      </c>
      <c r="X34" t="inlineStr">
        <is>
          <t>1993-04-23</t>
        </is>
      </c>
      <c r="Y34" t="n">
        <v>284</v>
      </c>
      <c r="Z34" t="n">
        <v>228</v>
      </c>
      <c r="AA34" t="n">
        <v>267</v>
      </c>
      <c r="AB34" t="n">
        <v>2</v>
      </c>
      <c r="AC34" t="n">
        <v>3</v>
      </c>
      <c r="AD34" t="n">
        <v>8</v>
      </c>
      <c r="AE34" t="n">
        <v>12</v>
      </c>
      <c r="AF34" t="n">
        <v>1</v>
      </c>
      <c r="AG34" t="n">
        <v>3</v>
      </c>
      <c r="AH34" t="n">
        <v>3</v>
      </c>
      <c r="AI34" t="n">
        <v>5</v>
      </c>
      <c r="AJ34" t="n">
        <v>6</v>
      </c>
      <c r="AK34" t="n">
        <v>6</v>
      </c>
      <c r="AL34" t="n">
        <v>1</v>
      </c>
      <c r="AM34" t="n">
        <v>2</v>
      </c>
      <c r="AN34" t="n">
        <v>0</v>
      </c>
      <c r="AO34" t="n">
        <v>0</v>
      </c>
      <c r="AP34" t="inlineStr">
        <is>
          <t>No</t>
        </is>
      </c>
      <c r="AQ34" t="inlineStr">
        <is>
          <t>Yes</t>
        </is>
      </c>
      <c r="AR34">
        <f>HYPERLINK("http://catalog.hathitrust.org/Record/000608591","HathiTrust Record")</f>
        <v/>
      </c>
      <c r="AS34">
        <f>HYPERLINK("https://creighton-primo.hosted.exlibrisgroup.com/primo-explore/search?tab=default_tab&amp;search_scope=EVERYTHING&amp;vid=01CRU&amp;lang=en_US&amp;offset=0&amp;query=any,contains,991005061069702656","Catalog Record")</f>
        <v/>
      </c>
      <c r="AT34">
        <f>HYPERLINK("http://www.worldcat.org/oclc/6918359","WorldCat Record")</f>
        <v/>
      </c>
      <c r="AU34" t="inlineStr">
        <is>
          <t>351181055:eng</t>
        </is>
      </c>
      <c r="AV34" t="inlineStr">
        <is>
          <t>6918359</t>
        </is>
      </c>
      <c r="AW34" t="inlineStr">
        <is>
          <t>991005061069702656</t>
        </is>
      </c>
      <c r="AX34" t="inlineStr">
        <is>
          <t>991005061069702656</t>
        </is>
      </c>
      <c r="AY34" t="inlineStr">
        <is>
          <t>2265430890002656</t>
        </is>
      </c>
      <c r="AZ34" t="inlineStr">
        <is>
          <t>BOOK</t>
        </is>
      </c>
      <c r="BB34" t="inlineStr">
        <is>
          <t>9780123865502</t>
        </is>
      </c>
      <c r="BC34" t="inlineStr">
        <is>
          <t>32285001625010</t>
        </is>
      </c>
      <c r="BD34" t="inlineStr">
        <is>
          <t>893688530</t>
        </is>
      </c>
    </row>
    <row r="35">
      <c r="A35" t="inlineStr">
        <is>
          <t>No</t>
        </is>
      </c>
      <c r="B35" t="inlineStr">
        <is>
          <t>HQ1031 .K55 2000</t>
        </is>
      </c>
      <c r="C35" t="inlineStr">
        <is>
          <t>0                      HQ 1031000K  55          2000</t>
        </is>
      </c>
      <c r="D35" t="inlineStr">
        <is>
          <t>The half-Jewish book : a celebration / Daniel Klein &amp; Freke Vuijst.</t>
        </is>
      </c>
      <c r="F35" t="inlineStr">
        <is>
          <t>No</t>
        </is>
      </c>
      <c r="G35" t="inlineStr">
        <is>
          <t>1</t>
        </is>
      </c>
      <c r="H35" t="inlineStr">
        <is>
          <t>No</t>
        </is>
      </c>
      <c r="I35" t="inlineStr">
        <is>
          <t>No</t>
        </is>
      </c>
      <c r="J35" t="inlineStr">
        <is>
          <t>0</t>
        </is>
      </c>
      <c r="K35" t="inlineStr">
        <is>
          <t>Klein, Daniel M., 1939-</t>
        </is>
      </c>
      <c r="L35" t="inlineStr">
        <is>
          <t>New York : Villard, c2000.</t>
        </is>
      </c>
      <c r="M35" t="inlineStr">
        <is>
          <t>2000</t>
        </is>
      </c>
      <c r="N35" t="inlineStr">
        <is>
          <t>1st ed.</t>
        </is>
      </c>
      <c r="O35" t="inlineStr">
        <is>
          <t>eng</t>
        </is>
      </c>
      <c r="P35" t="inlineStr">
        <is>
          <t>nyu</t>
        </is>
      </c>
      <c r="R35" t="inlineStr">
        <is>
          <t xml:space="preserve">HQ </t>
        </is>
      </c>
      <c r="S35" t="n">
        <v>3</v>
      </c>
      <c r="T35" t="n">
        <v>3</v>
      </c>
      <c r="U35" t="inlineStr">
        <is>
          <t>2005-06-13</t>
        </is>
      </c>
      <c r="V35" t="inlineStr">
        <is>
          <t>2005-06-13</t>
        </is>
      </c>
      <c r="W35" t="inlineStr">
        <is>
          <t>2001-04-17</t>
        </is>
      </c>
      <c r="X35" t="inlineStr">
        <is>
          <t>2001-04-17</t>
        </is>
      </c>
      <c r="Y35" t="n">
        <v>127</v>
      </c>
      <c r="Z35" t="n">
        <v>120</v>
      </c>
      <c r="AA35" t="n">
        <v>126</v>
      </c>
      <c r="AB35" t="n">
        <v>1</v>
      </c>
      <c r="AC35" t="n">
        <v>1</v>
      </c>
      <c r="AD35" t="n">
        <v>0</v>
      </c>
      <c r="AE35" t="n">
        <v>0</v>
      </c>
      <c r="AF35" t="n">
        <v>0</v>
      </c>
      <c r="AG35" t="n">
        <v>0</v>
      </c>
      <c r="AH35" t="n">
        <v>0</v>
      </c>
      <c r="AI35" t="n">
        <v>0</v>
      </c>
      <c r="AJ35" t="n">
        <v>0</v>
      </c>
      <c r="AK35" t="n">
        <v>0</v>
      </c>
      <c r="AL35" t="n">
        <v>0</v>
      </c>
      <c r="AM35" t="n">
        <v>0</v>
      </c>
      <c r="AN35" t="n">
        <v>0</v>
      </c>
      <c r="AO35" t="n">
        <v>0</v>
      </c>
      <c r="AP35" t="inlineStr">
        <is>
          <t>No</t>
        </is>
      </c>
      <c r="AQ35" t="inlineStr">
        <is>
          <t>No</t>
        </is>
      </c>
      <c r="AS35">
        <f>HYPERLINK("https://creighton-primo.hosted.exlibrisgroup.com/primo-explore/search?tab=default_tab&amp;search_scope=EVERYTHING&amp;vid=01CRU&amp;lang=en_US&amp;offset=0&amp;query=any,contains,991003527439702656","Catalog Record")</f>
        <v/>
      </c>
      <c r="AT35">
        <f>HYPERLINK("http://www.worldcat.org/oclc/43864317","WorldCat Record")</f>
        <v/>
      </c>
      <c r="AU35" t="inlineStr">
        <is>
          <t>33170045:eng</t>
        </is>
      </c>
      <c r="AV35" t="inlineStr">
        <is>
          <t>43864317</t>
        </is>
      </c>
      <c r="AW35" t="inlineStr">
        <is>
          <t>991003527439702656</t>
        </is>
      </c>
      <c r="AX35" t="inlineStr">
        <is>
          <t>991003527439702656</t>
        </is>
      </c>
      <c r="AY35" t="inlineStr">
        <is>
          <t>2259139430002656</t>
        </is>
      </c>
      <c r="AZ35" t="inlineStr">
        <is>
          <t>BOOK</t>
        </is>
      </c>
      <c r="BB35" t="inlineStr">
        <is>
          <t>9780375503856</t>
        </is>
      </c>
      <c r="BC35" t="inlineStr">
        <is>
          <t>32285004312731</t>
        </is>
      </c>
      <c r="BD35" t="inlineStr">
        <is>
          <t>893435085</t>
        </is>
      </c>
    </row>
    <row r="36">
      <c r="A36" t="inlineStr">
        <is>
          <t>No</t>
        </is>
      </c>
      <c r="B36" t="inlineStr">
        <is>
          <t>HQ1031 .M38</t>
        </is>
      </c>
      <c r="C36" t="inlineStr">
        <is>
          <t>0                      HQ 1031000M  38</t>
        </is>
      </c>
      <c r="D36" t="inlineStr">
        <is>
          <t>Jewish-Gentile courtships : an exploratory study of social process.</t>
        </is>
      </c>
      <c r="F36" t="inlineStr">
        <is>
          <t>No</t>
        </is>
      </c>
      <c r="G36" t="inlineStr">
        <is>
          <t>1</t>
        </is>
      </c>
      <c r="H36" t="inlineStr">
        <is>
          <t>No</t>
        </is>
      </c>
      <c r="I36" t="inlineStr">
        <is>
          <t>No</t>
        </is>
      </c>
      <c r="J36" t="inlineStr">
        <is>
          <t>0</t>
        </is>
      </c>
      <c r="K36" t="inlineStr">
        <is>
          <t>Mayer, John E., 1921-</t>
        </is>
      </c>
      <c r="L36" t="inlineStr">
        <is>
          <t>[New York] : Free Press of Glencoe, [1961]</t>
        </is>
      </c>
      <c r="M36" t="inlineStr">
        <is>
          <t>1961</t>
        </is>
      </c>
      <c r="O36" t="inlineStr">
        <is>
          <t>eng</t>
        </is>
      </c>
      <c r="P36" t="inlineStr">
        <is>
          <t>nyu</t>
        </is>
      </c>
      <c r="R36" t="inlineStr">
        <is>
          <t xml:space="preserve">HQ </t>
        </is>
      </c>
      <c r="S36" t="n">
        <v>4</v>
      </c>
      <c r="T36" t="n">
        <v>4</v>
      </c>
      <c r="U36" t="inlineStr">
        <is>
          <t>1997-12-01</t>
        </is>
      </c>
      <c r="V36" t="inlineStr">
        <is>
          <t>1997-12-01</t>
        </is>
      </c>
      <c r="W36" t="inlineStr">
        <is>
          <t>1993-03-18</t>
        </is>
      </c>
      <c r="X36" t="inlineStr">
        <is>
          <t>1993-03-18</t>
        </is>
      </c>
      <c r="Y36" t="n">
        <v>501</v>
      </c>
      <c r="Z36" t="n">
        <v>469</v>
      </c>
      <c r="AA36" t="n">
        <v>529</v>
      </c>
      <c r="AB36" t="n">
        <v>5</v>
      </c>
      <c r="AC36" t="n">
        <v>5</v>
      </c>
      <c r="AD36" t="n">
        <v>20</v>
      </c>
      <c r="AE36" t="n">
        <v>25</v>
      </c>
      <c r="AF36" t="n">
        <v>6</v>
      </c>
      <c r="AG36" t="n">
        <v>9</v>
      </c>
      <c r="AH36" t="n">
        <v>4</v>
      </c>
      <c r="AI36" t="n">
        <v>6</v>
      </c>
      <c r="AJ36" t="n">
        <v>11</v>
      </c>
      <c r="AK36" t="n">
        <v>14</v>
      </c>
      <c r="AL36" t="n">
        <v>4</v>
      </c>
      <c r="AM36" t="n">
        <v>4</v>
      </c>
      <c r="AN36" t="n">
        <v>0</v>
      </c>
      <c r="AO36" t="n">
        <v>0</v>
      </c>
      <c r="AP36" t="inlineStr">
        <is>
          <t>No</t>
        </is>
      </c>
      <c r="AQ36" t="inlineStr">
        <is>
          <t>Yes</t>
        </is>
      </c>
      <c r="AR36">
        <f>HYPERLINK("http://catalog.hathitrust.org/Record/001110237","HathiTrust Record")</f>
        <v/>
      </c>
      <c r="AS36">
        <f>HYPERLINK("https://creighton-primo.hosted.exlibrisgroup.com/primo-explore/search?tab=default_tab&amp;search_scope=EVERYTHING&amp;vid=01CRU&amp;lang=en_US&amp;offset=0&amp;query=any,contains,991002037119702656","Catalog Record")</f>
        <v/>
      </c>
      <c r="AT36">
        <f>HYPERLINK("http://www.worldcat.org/oclc/260750","WorldCat Record")</f>
        <v/>
      </c>
      <c r="AU36" t="inlineStr">
        <is>
          <t>446378:eng</t>
        </is>
      </c>
      <c r="AV36" t="inlineStr">
        <is>
          <t>260750</t>
        </is>
      </c>
      <c r="AW36" t="inlineStr">
        <is>
          <t>991002037119702656</t>
        </is>
      </c>
      <c r="AX36" t="inlineStr">
        <is>
          <t>991002037119702656</t>
        </is>
      </c>
      <c r="AY36" t="inlineStr">
        <is>
          <t>2262612670002656</t>
        </is>
      </c>
      <c r="AZ36" t="inlineStr">
        <is>
          <t>BOOK</t>
        </is>
      </c>
      <c r="BC36" t="inlineStr">
        <is>
          <t>32285001575181</t>
        </is>
      </c>
      <c r="BD36" t="inlineStr">
        <is>
          <t>893615614</t>
        </is>
      </c>
    </row>
    <row r="37">
      <c r="A37" t="inlineStr">
        <is>
          <t>No</t>
        </is>
      </c>
      <c r="B37" t="inlineStr">
        <is>
          <t>HQ1031 .M395 1999</t>
        </is>
      </c>
      <c r="C37" t="inlineStr">
        <is>
          <t>0                      HQ 1031000M  395         1999</t>
        </is>
      </c>
      <c r="D37" t="inlineStr">
        <is>
          <t>Crossing the line : interracial couples in the South / Robert P. McNamara, Maria Tempenis, and Beth Walton.</t>
        </is>
      </c>
      <c r="F37" t="inlineStr">
        <is>
          <t>No</t>
        </is>
      </c>
      <c r="G37" t="inlineStr">
        <is>
          <t>1</t>
        </is>
      </c>
      <c r="H37" t="inlineStr">
        <is>
          <t>No</t>
        </is>
      </c>
      <c r="I37" t="inlineStr">
        <is>
          <t>No</t>
        </is>
      </c>
      <c r="J37" t="inlineStr">
        <is>
          <t>0</t>
        </is>
      </c>
      <c r="K37" t="inlineStr">
        <is>
          <t>McNamara, Robert P.</t>
        </is>
      </c>
      <c r="L37" t="inlineStr">
        <is>
          <t>Westport, Conn. : Greenwood Press, 1999.</t>
        </is>
      </c>
      <c r="M37" t="inlineStr">
        <is>
          <t>1999</t>
        </is>
      </c>
      <c r="O37" t="inlineStr">
        <is>
          <t>eng</t>
        </is>
      </c>
      <c r="P37" t="inlineStr">
        <is>
          <t>ctu</t>
        </is>
      </c>
      <c r="Q37" t="inlineStr">
        <is>
          <t>Contributions in sociology, 0084-9278 ; no. 125</t>
        </is>
      </c>
      <c r="R37" t="inlineStr">
        <is>
          <t xml:space="preserve">HQ </t>
        </is>
      </c>
      <c r="S37" t="n">
        <v>4</v>
      </c>
      <c r="T37" t="n">
        <v>4</v>
      </c>
      <c r="U37" t="inlineStr">
        <is>
          <t>2001-02-12</t>
        </is>
      </c>
      <c r="V37" t="inlineStr">
        <is>
          <t>2001-02-12</t>
        </is>
      </c>
      <c r="W37" t="inlineStr">
        <is>
          <t>1999-10-05</t>
        </is>
      </c>
      <c r="X37" t="inlineStr">
        <is>
          <t>1999-10-05</t>
        </is>
      </c>
      <c r="Y37" t="n">
        <v>324</v>
      </c>
      <c r="Z37" t="n">
        <v>300</v>
      </c>
      <c r="AA37" t="n">
        <v>677</v>
      </c>
      <c r="AB37" t="n">
        <v>4</v>
      </c>
      <c r="AC37" t="n">
        <v>7</v>
      </c>
      <c r="AD37" t="n">
        <v>14</v>
      </c>
      <c r="AE37" t="n">
        <v>21</v>
      </c>
      <c r="AF37" t="n">
        <v>3</v>
      </c>
      <c r="AG37" t="n">
        <v>7</v>
      </c>
      <c r="AH37" t="n">
        <v>5</v>
      </c>
      <c r="AI37" t="n">
        <v>6</v>
      </c>
      <c r="AJ37" t="n">
        <v>7</v>
      </c>
      <c r="AK37" t="n">
        <v>8</v>
      </c>
      <c r="AL37" t="n">
        <v>2</v>
      </c>
      <c r="AM37" t="n">
        <v>5</v>
      </c>
      <c r="AN37" t="n">
        <v>1</v>
      </c>
      <c r="AO37" t="n">
        <v>1</v>
      </c>
      <c r="AP37" t="inlineStr">
        <is>
          <t>No</t>
        </is>
      </c>
      <c r="AQ37" t="inlineStr">
        <is>
          <t>No</t>
        </is>
      </c>
      <c r="AS37">
        <f>HYPERLINK("https://creighton-primo.hosted.exlibrisgroup.com/primo-explore/search?tab=default_tab&amp;search_scope=EVERYTHING&amp;vid=01CRU&amp;lang=en_US&amp;offset=0&amp;query=any,contains,991002975689702656","Catalog Record")</f>
        <v/>
      </c>
      <c r="AT37">
        <f>HYPERLINK("http://www.worldcat.org/oclc/39897356","WorldCat Record")</f>
        <v/>
      </c>
      <c r="AU37" t="inlineStr">
        <is>
          <t>796329806:eng</t>
        </is>
      </c>
      <c r="AV37" t="inlineStr">
        <is>
          <t>39897356</t>
        </is>
      </c>
      <c r="AW37" t="inlineStr">
        <is>
          <t>991002975689702656</t>
        </is>
      </c>
      <c r="AX37" t="inlineStr">
        <is>
          <t>991002975689702656</t>
        </is>
      </c>
      <c r="AY37" t="inlineStr">
        <is>
          <t>2262062970002656</t>
        </is>
      </c>
      <c r="AZ37" t="inlineStr">
        <is>
          <t>BOOK</t>
        </is>
      </c>
      <c r="BB37" t="inlineStr">
        <is>
          <t>9780313309625</t>
        </is>
      </c>
      <c r="BC37" t="inlineStr">
        <is>
          <t>32285003592853</t>
        </is>
      </c>
      <c r="BD37" t="inlineStr">
        <is>
          <t>893886987</t>
        </is>
      </c>
    </row>
    <row r="38">
      <c r="A38" t="inlineStr">
        <is>
          <t>No</t>
        </is>
      </c>
      <c r="B38" t="inlineStr">
        <is>
          <t>HQ1031 .R648 2001</t>
        </is>
      </c>
      <c r="C38" t="inlineStr">
        <is>
          <t>0                      HQ 1031000R  648         2001</t>
        </is>
      </c>
      <c r="D38" t="inlineStr">
        <is>
          <t>Beloved strangers : interfaith families in nineteenth-century America / Anne C. Rose.</t>
        </is>
      </c>
      <c r="F38" t="inlineStr">
        <is>
          <t>No</t>
        </is>
      </c>
      <c r="G38" t="inlineStr">
        <is>
          <t>1</t>
        </is>
      </c>
      <c r="H38" t="inlineStr">
        <is>
          <t>No</t>
        </is>
      </c>
      <c r="I38" t="inlineStr">
        <is>
          <t>No</t>
        </is>
      </c>
      <c r="J38" t="inlineStr">
        <is>
          <t>0</t>
        </is>
      </c>
      <c r="K38" t="inlineStr">
        <is>
          <t>Rose, Anne C., 1950-</t>
        </is>
      </c>
      <c r="L38" t="inlineStr">
        <is>
          <t>Cambridge, Mass. : Harvard University Press, 2001.</t>
        </is>
      </c>
      <c r="M38" t="inlineStr">
        <is>
          <t>2001</t>
        </is>
      </c>
      <c r="O38" t="inlineStr">
        <is>
          <t>eng</t>
        </is>
      </c>
      <c r="P38" t="inlineStr">
        <is>
          <t>mau</t>
        </is>
      </c>
      <c r="R38" t="inlineStr">
        <is>
          <t xml:space="preserve">HQ </t>
        </is>
      </c>
      <c r="S38" t="n">
        <v>1</v>
      </c>
      <c r="T38" t="n">
        <v>1</v>
      </c>
      <c r="U38" t="inlineStr">
        <is>
          <t>2002-07-24</t>
        </is>
      </c>
      <c r="V38" t="inlineStr">
        <is>
          <t>2002-07-24</t>
        </is>
      </c>
      <c r="W38" t="inlineStr">
        <is>
          <t>2002-07-17</t>
        </is>
      </c>
      <c r="X38" t="inlineStr">
        <is>
          <t>2002-07-17</t>
        </is>
      </c>
      <c r="Y38" t="n">
        <v>531</v>
      </c>
      <c r="Z38" t="n">
        <v>485</v>
      </c>
      <c r="AA38" t="n">
        <v>498</v>
      </c>
      <c r="AB38" t="n">
        <v>6</v>
      </c>
      <c r="AC38" t="n">
        <v>6</v>
      </c>
      <c r="AD38" t="n">
        <v>31</v>
      </c>
      <c r="AE38" t="n">
        <v>31</v>
      </c>
      <c r="AF38" t="n">
        <v>13</v>
      </c>
      <c r="AG38" t="n">
        <v>13</v>
      </c>
      <c r="AH38" t="n">
        <v>7</v>
      </c>
      <c r="AI38" t="n">
        <v>7</v>
      </c>
      <c r="AJ38" t="n">
        <v>14</v>
      </c>
      <c r="AK38" t="n">
        <v>14</v>
      </c>
      <c r="AL38" t="n">
        <v>5</v>
      </c>
      <c r="AM38" t="n">
        <v>5</v>
      </c>
      <c r="AN38" t="n">
        <v>0</v>
      </c>
      <c r="AO38" t="n">
        <v>0</v>
      </c>
      <c r="AP38" t="inlineStr">
        <is>
          <t>No</t>
        </is>
      </c>
      <c r="AQ38" t="inlineStr">
        <is>
          <t>Yes</t>
        </is>
      </c>
      <c r="AR38">
        <f>HYPERLINK("http://catalog.hathitrust.org/Record/004207347","HathiTrust Record")</f>
        <v/>
      </c>
      <c r="AS38">
        <f>HYPERLINK("https://creighton-primo.hosted.exlibrisgroup.com/primo-explore/search?tab=default_tab&amp;search_scope=EVERYTHING&amp;vid=01CRU&amp;lang=en_US&amp;offset=0&amp;query=any,contains,991003835819702656","Catalog Record")</f>
        <v/>
      </c>
      <c r="AT38">
        <f>HYPERLINK("http://www.worldcat.org/oclc/46401979","WorldCat Record")</f>
        <v/>
      </c>
      <c r="AU38" t="inlineStr">
        <is>
          <t>328094133:eng</t>
        </is>
      </c>
      <c r="AV38" t="inlineStr">
        <is>
          <t>46401979</t>
        </is>
      </c>
      <c r="AW38" t="inlineStr">
        <is>
          <t>991003835819702656</t>
        </is>
      </c>
      <c r="AX38" t="inlineStr">
        <is>
          <t>991003835819702656</t>
        </is>
      </c>
      <c r="AY38" t="inlineStr">
        <is>
          <t>2263112910002656</t>
        </is>
      </c>
      <c r="AZ38" t="inlineStr">
        <is>
          <t>BOOK</t>
        </is>
      </c>
      <c r="BB38" t="inlineStr">
        <is>
          <t>9780674006409</t>
        </is>
      </c>
      <c r="BC38" t="inlineStr">
        <is>
          <t>32285004498605</t>
        </is>
      </c>
      <c r="BD38" t="inlineStr">
        <is>
          <t>893806273</t>
        </is>
      </c>
    </row>
    <row r="39">
      <c r="A39" t="inlineStr">
        <is>
          <t>No</t>
        </is>
      </c>
      <c r="B39" t="inlineStr">
        <is>
          <t>HQ1031 .S85 1973</t>
        </is>
      </c>
      <c r="C39" t="inlineStr">
        <is>
          <t>0                      HQ 1031000S  85          1973</t>
        </is>
      </c>
      <c r="D39" t="inlineStr">
        <is>
          <t>Interracial marriage : expectations and realities / edited and with notes and introductions by Irving R. Stuart and Lawrence Edwin Abt.</t>
        </is>
      </c>
      <c r="F39" t="inlineStr">
        <is>
          <t>No</t>
        </is>
      </c>
      <c r="G39" t="inlineStr">
        <is>
          <t>1</t>
        </is>
      </c>
      <c r="H39" t="inlineStr">
        <is>
          <t>No</t>
        </is>
      </c>
      <c r="I39" t="inlineStr">
        <is>
          <t>No</t>
        </is>
      </c>
      <c r="J39" t="inlineStr">
        <is>
          <t>0</t>
        </is>
      </c>
      <c r="K39" t="inlineStr">
        <is>
          <t>Stuart, Irving R.</t>
        </is>
      </c>
      <c r="L39" t="inlineStr">
        <is>
          <t>New York : Grossman Publishers, 1973.</t>
        </is>
      </c>
      <c r="M39" t="inlineStr">
        <is>
          <t>1973</t>
        </is>
      </c>
      <c r="O39" t="inlineStr">
        <is>
          <t>eng</t>
        </is>
      </c>
      <c r="P39" t="inlineStr">
        <is>
          <t>nyu</t>
        </is>
      </c>
      <c r="R39" t="inlineStr">
        <is>
          <t xml:space="preserve">HQ </t>
        </is>
      </c>
      <c r="S39" t="n">
        <v>17</v>
      </c>
      <c r="T39" t="n">
        <v>17</v>
      </c>
      <c r="U39" t="inlineStr">
        <is>
          <t>1999-12-15</t>
        </is>
      </c>
      <c r="V39" t="inlineStr">
        <is>
          <t>1999-12-15</t>
        </is>
      </c>
      <c r="W39" t="inlineStr">
        <is>
          <t>1994-08-29</t>
        </is>
      </c>
      <c r="X39" t="inlineStr">
        <is>
          <t>1994-08-29</t>
        </is>
      </c>
      <c r="Y39" t="n">
        <v>534</v>
      </c>
      <c r="Z39" t="n">
        <v>481</v>
      </c>
      <c r="AA39" t="n">
        <v>488</v>
      </c>
      <c r="AB39" t="n">
        <v>5</v>
      </c>
      <c r="AC39" t="n">
        <v>5</v>
      </c>
      <c r="AD39" t="n">
        <v>14</v>
      </c>
      <c r="AE39" t="n">
        <v>14</v>
      </c>
      <c r="AF39" t="n">
        <v>5</v>
      </c>
      <c r="AG39" t="n">
        <v>5</v>
      </c>
      <c r="AH39" t="n">
        <v>4</v>
      </c>
      <c r="AI39" t="n">
        <v>4</v>
      </c>
      <c r="AJ39" t="n">
        <v>6</v>
      </c>
      <c r="AK39" t="n">
        <v>6</v>
      </c>
      <c r="AL39" t="n">
        <v>3</v>
      </c>
      <c r="AM39" t="n">
        <v>3</v>
      </c>
      <c r="AN39" t="n">
        <v>0</v>
      </c>
      <c r="AO39" t="n">
        <v>0</v>
      </c>
      <c r="AP39" t="inlineStr">
        <is>
          <t>No</t>
        </is>
      </c>
      <c r="AQ39" t="inlineStr">
        <is>
          <t>Yes</t>
        </is>
      </c>
      <c r="AR39">
        <f>HYPERLINK("http://catalog.hathitrust.org/Record/007128412","HathiTrust Record")</f>
        <v/>
      </c>
      <c r="AS39">
        <f>HYPERLINK("https://creighton-primo.hosted.exlibrisgroup.com/primo-explore/search?tab=default_tab&amp;search_scope=EVERYTHING&amp;vid=01CRU&amp;lang=en_US&amp;offset=0&amp;query=any,contains,991003079289702656","Catalog Record")</f>
        <v/>
      </c>
      <c r="AT39">
        <f>HYPERLINK("http://www.worldcat.org/oclc/631947","WorldCat Record")</f>
        <v/>
      </c>
      <c r="AU39" t="inlineStr">
        <is>
          <t>1744371:eng</t>
        </is>
      </c>
      <c r="AV39" t="inlineStr">
        <is>
          <t>631947</t>
        </is>
      </c>
      <c r="AW39" t="inlineStr">
        <is>
          <t>991003079289702656</t>
        </is>
      </c>
      <c r="AX39" t="inlineStr">
        <is>
          <t>991003079289702656</t>
        </is>
      </c>
      <c r="AY39" t="inlineStr">
        <is>
          <t>2263153150002656</t>
        </is>
      </c>
      <c r="AZ39" t="inlineStr">
        <is>
          <t>BOOK</t>
        </is>
      </c>
      <c r="BB39" t="inlineStr">
        <is>
          <t>9780670400140</t>
        </is>
      </c>
      <c r="BC39" t="inlineStr">
        <is>
          <t>32285001938991</t>
        </is>
      </c>
      <c r="BD39" t="inlineStr">
        <is>
          <t>893530831</t>
        </is>
      </c>
    </row>
    <row r="40">
      <c r="A40" t="inlineStr">
        <is>
          <t>No</t>
        </is>
      </c>
      <c r="B40" t="inlineStr">
        <is>
          <t>HQ1031 .W35 1971</t>
        </is>
      </c>
      <c r="C40" t="inlineStr">
        <is>
          <t>0                      HQ 1031000W  35          1971</t>
        </is>
      </c>
      <c r="D40" t="inlineStr">
        <is>
          <t>Marriage in Black and white / [by] Joseph R. Washington, Jr.</t>
        </is>
      </c>
      <c r="F40" t="inlineStr">
        <is>
          <t>No</t>
        </is>
      </c>
      <c r="G40" t="inlineStr">
        <is>
          <t>1</t>
        </is>
      </c>
      <c r="H40" t="inlineStr">
        <is>
          <t>No</t>
        </is>
      </c>
      <c r="I40" t="inlineStr">
        <is>
          <t>No</t>
        </is>
      </c>
      <c r="J40" t="inlineStr">
        <is>
          <t>0</t>
        </is>
      </c>
      <c r="K40" t="inlineStr">
        <is>
          <t>Washington, Joseph R.</t>
        </is>
      </c>
      <c r="L40" t="inlineStr">
        <is>
          <t>Boston : Beacon Press, [1971, c1970]</t>
        </is>
      </c>
      <c r="M40" t="inlineStr">
        <is>
          <t>1971</t>
        </is>
      </c>
      <c r="O40" t="inlineStr">
        <is>
          <t>eng</t>
        </is>
      </c>
      <c r="P40" t="inlineStr">
        <is>
          <t>mau</t>
        </is>
      </c>
      <c r="R40" t="inlineStr">
        <is>
          <t xml:space="preserve">HQ </t>
        </is>
      </c>
      <c r="S40" t="n">
        <v>18</v>
      </c>
      <c r="T40" t="n">
        <v>18</v>
      </c>
      <c r="U40" t="inlineStr">
        <is>
          <t>2008-11-12</t>
        </is>
      </c>
      <c r="V40" t="inlineStr">
        <is>
          <t>2008-11-12</t>
        </is>
      </c>
      <c r="W40" t="inlineStr">
        <is>
          <t>1992-04-02</t>
        </is>
      </c>
      <c r="X40" t="inlineStr">
        <is>
          <t>1992-04-02</t>
        </is>
      </c>
      <c r="Y40" t="n">
        <v>532</v>
      </c>
      <c r="Z40" t="n">
        <v>518</v>
      </c>
      <c r="AA40" t="n">
        <v>689</v>
      </c>
      <c r="AB40" t="n">
        <v>4</v>
      </c>
      <c r="AC40" t="n">
        <v>4</v>
      </c>
      <c r="AD40" t="n">
        <v>19</v>
      </c>
      <c r="AE40" t="n">
        <v>26</v>
      </c>
      <c r="AF40" t="n">
        <v>9</v>
      </c>
      <c r="AG40" t="n">
        <v>12</v>
      </c>
      <c r="AH40" t="n">
        <v>6</v>
      </c>
      <c r="AI40" t="n">
        <v>7</v>
      </c>
      <c r="AJ40" t="n">
        <v>8</v>
      </c>
      <c r="AK40" t="n">
        <v>13</v>
      </c>
      <c r="AL40" t="n">
        <v>2</v>
      </c>
      <c r="AM40" t="n">
        <v>2</v>
      </c>
      <c r="AN40" t="n">
        <v>0</v>
      </c>
      <c r="AO40" t="n">
        <v>0</v>
      </c>
      <c r="AP40" t="inlineStr">
        <is>
          <t>No</t>
        </is>
      </c>
      <c r="AQ40" t="inlineStr">
        <is>
          <t>Yes</t>
        </is>
      </c>
      <c r="AR40">
        <f>HYPERLINK("http://catalog.hathitrust.org/Record/007127905","HathiTrust Record")</f>
        <v/>
      </c>
      <c r="AS40">
        <f>HYPERLINK("https://creighton-primo.hosted.exlibrisgroup.com/primo-explore/search?tab=default_tab&amp;search_scope=EVERYTHING&amp;vid=01CRU&amp;lang=en_US&amp;offset=0&amp;query=any,contains,991000821409702656","Catalog Record")</f>
        <v/>
      </c>
      <c r="AT40">
        <f>HYPERLINK("http://www.worldcat.org/oclc/145022","WorldCat Record")</f>
        <v/>
      </c>
      <c r="AU40" t="inlineStr">
        <is>
          <t>355314:eng</t>
        </is>
      </c>
      <c r="AV40" t="inlineStr">
        <is>
          <t>145022</t>
        </is>
      </c>
      <c r="AW40" t="inlineStr">
        <is>
          <t>991000821409702656</t>
        </is>
      </c>
      <c r="AX40" t="inlineStr">
        <is>
          <t>991000821409702656</t>
        </is>
      </c>
      <c r="AY40" t="inlineStr">
        <is>
          <t>2257707050002656</t>
        </is>
      </c>
      <c r="AZ40" t="inlineStr">
        <is>
          <t>BOOK</t>
        </is>
      </c>
      <c r="BB40" t="inlineStr">
        <is>
          <t>9780807041727</t>
        </is>
      </c>
      <c r="BC40" t="inlineStr">
        <is>
          <t>32285001032779</t>
        </is>
      </c>
      <c r="BD40" t="inlineStr">
        <is>
          <t>893231441</t>
        </is>
      </c>
    </row>
    <row r="41">
      <c r="A41" t="inlineStr">
        <is>
          <t>No</t>
        </is>
      </c>
      <c r="B41" t="inlineStr">
        <is>
          <t>HQ1032 .R66 1988</t>
        </is>
      </c>
      <c r="C41" t="inlineStr">
        <is>
          <t>0                      HQ 1032000R  66          1988</t>
        </is>
      </c>
      <c r="D41" t="inlineStr">
        <is>
          <t>Intercultural marriage : promises &amp; pitfalls / Dugan Romano.</t>
        </is>
      </c>
      <c r="F41" t="inlineStr">
        <is>
          <t>No</t>
        </is>
      </c>
      <c r="G41" t="inlineStr">
        <is>
          <t>1</t>
        </is>
      </c>
      <c r="H41" t="inlineStr">
        <is>
          <t>No</t>
        </is>
      </c>
      <c r="I41" t="inlineStr">
        <is>
          <t>No</t>
        </is>
      </c>
      <c r="J41" t="inlineStr">
        <is>
          <t>0</t>
        </is>
      </c>
      <c r="K41" t="inlineStr">
        <is>
          <t>Romano, Dugan.</t>
        </is>
      </c>
      <c r="L41" t="inlineStr">
        <is>
          <t>Yarmouth, ME : Intercultural Press, c1988.</t>
        </is>
      </c>
      <c r="M41" t="inlineStr">
        <is>
          <t>1988</t>
        </is>
      </c>
      <c r="O41" t="inlineStr">
        <is>
          <t>eng</t>
        </is>
      </c>
      <c r="P41" t="inlineStr">
        <is>
          <t>meu</t>
        </is>
      </c>
      <c r="R41" t="inlineStr">
        <is>
          <t xml:space="preserve">HQ </t>
        </is>
      </c>
      <c r="S41" t="n">
        <v>32</v>
      </c>
      <c r="T41" t="n">
        <v>32</v>
      </c>
      <c r="U41" t="inlineStr">
        <is>
          <t>2008-11-12</t>
        </is>
      </c>
      <c r="V41" t="inlineStr">
        <is>
          <t>2008-11-12</t>
        </is>
      </c>
      <c r="W41" t="inlineStr">
        <is>
          <t>1994-06-28</t>
        </is>
      </c>
      <c r="X41" t="inlineStr">
        <is>
          <t>1994-06-28</t>
        </is>
      </c>
      <c r="Y41" t="n">
        <v>479</v>
      </c>
      <c r="Z41" t="n">
        <v>412</v>
      </c>
      <c r="AA41" t="n">
        <v>1352</v>
      </c>
      <c r="AB41" t="n">
        <v>5</v>
      </c>
      <c r="AC41" t="n">
        <v>9</v>
      </c>
      <c r="AD41" t="n">
        <v>17</v>
      </c>
      <c r="AE41" t="n">
        <v>31</v>
      </c>
      <c r="AF41" t="n">
        <v>7</v>
      </c>
      <c r="AG41" t="n">
        <v>13</v>
      </c>
      <c r="AH41" t="n">
        <v>2</v>
      </c>
      <c r="AI41" t="n">
        <v>6</v>
      </c>
      <c r="AJ41" t="n">
        <v>7</v>
      </c>
      <c r="AK41" t="n">
        <v>12</v>
      </c>
      <c r="AL41" t="n">
        <v>4</v>
      </c>
      <c r="AM41" t="n">
        <v>8</v>
      </c>
      <c r="AN41" t="n">
        <v>0</v>
      </c>
      <c r="AO41" t="n">
        <v>0</v>
      </c>
      <c r="AP41" t="inlineStr">
        <is>
          <t>No</t>
        </is>
      </c>
      <c r="AQ41" t="inlineStr">
        <is>
          <t>No</t>
        </is>
      </c>
      <c r="AS41">
        <f>HYPERLINK("https://creighton-primo.hosted.exlibrisgroup.com/primo-explore/search?tab=default_tab&amp;search_scope=EVERYTHING&amp;vid=01CRU&amp;lang=en_US&amp;offset=0&amp;query=any,contains,991001347849702656","Catalog Record")</f>
        <v/>
      </c>
      <c r="AT41">
        <f>HYPERLINK("http://www.worldcat.org/oclc/18416552","WorldCat Record")</f>
        <v/>
      </c>
      <c r="AU41" t="inlineStr">
        <is>
          <t>799517053:eng</t>
        </is>
      </c>
      <c r="AV41" t="inlineStr">
        <is>
          <t>18416552</t>
        </is>
      </c>
      <c r="AW41" t="inlineStr">
        <is>
          <t>991001347849702656</t>
        </is>
      </c>
      <c r="AX41" t="inlineStr">
        <is>
          <t>991001347849702656</t>
        </is>
      </c>
      <c r="AY41" t="inlineStr">
        <is>
          <t>2259360260002656</t>
        </is>
      </c>
      <c r="AZ41" t="inlineStr">
        <is>
          <t>BOOK</t>
        </is>
      </c>
      <c r="BB41" t="inlineStr">
        <is>
          <t>9780933662711</t>
        </is>
      </c>
      <c r="BC41" t="inlineStr">
        <is>
          <t>32285001924876</t>
        </is>
      </c>
      <c r="BD41" t="inlineStr">
        <is>
          <t>893872479</t>
        </is>
      </c>
    </row>
    <row r="42">
      <c r="A42" t="inlineStr">
        <is>
          <t>No</t>
        </is>
      </c>
      <c r="B42" t="inlineStr">
        <is>
          <t>HQ1034.C2 B68 2002</t>
        </is>
      </c>
      <c r="C42" t="inlineStr">
        <is>
          <t>0                      HQ 1034000C  2                  B  68          2002</t>
        </is>
      </c>
      <c r="D42" t="inlineStr">
        <is>
          <t>Just married : gay marriage and the expansion of human rights / Kevin Bourassa and Joe Varnell.</t>
        </is>
      </c>
      <c r="F42" t="inlineStr">
        <is>
          <t>No</t>
        </is>
      </c>
      <c r="G42" t="inlineStr">
        <is>
          <t>1</t>
        </is>
      </c>
      <c r="H42" t="inlineStr">
        <is>
          <t>No</t>
        </is>
      </c>
      <c r="I42" t="inlineStr">
        <is>
          <t>No</t>
        </is>
      </c>
      <c r="J42" t="inlineStr">
        <is>
          <t>0</t>
        </is>
      </c>
      <c r="K42" t="inlineStr">
        <is>
          <t>Bourassa, Kevin.</t>
        </is>
      </c>
      <c r="L42" t="inlineStr">
        <is>
          <t>Madison, Wis. : University of Wisconsin Press, c2002.</t>
        </is>
      </c>
      <c r="M42" t="inlineStr">
        <is>
          <t>2002</t>
        </is>
      </c>
      <c r="O42" t="inlineStr">
        <is>
          <t>eng</t>
        </is>
      </c>
      <c r="P42" t="inlineStr">
        <is>
          <t>wiu</t>
        </is>
      </c>
      <c r="Q42" t="inlineStr">
        <is>
          <t>Living out</t>
        </is>
      </c>
      <c r="R42" t="inlineStr">
        <is>
          <t xml:space="preserve">HQ </t>
        </is>
      </c>
      <c r="S42" t="n">
        <v>11</v>
      </c>
      <c r="T42" t="n">
        <v>11</v>
      </c>
      <c r="U42" t="inlineStr">
        <is>
          <t>2005-10-10</t>
        </is>
      </c>
      <c r="V42" t="inlineStr">
        <is>
          <t>2005-10-10</t>
        </is>
      </c>
      <c r="W42" t="inlineStr">
        <is>
          <t>2002-08-05</t>
        </is>
      </c>
      <c r="X42" t="inlineStr">
        <is>
          <t>2002-08-05</t>
        </is>
      </c>
      <c r="Y42" t="n">
        <v>479</v>
      </c>
      <c r="Z42" t="n">
        <v>439</v>
      </c>
      <c r="AA42" t="n">
        <v>447</v>
      </c>
      <c r="AB42" t="n">
        <v>2</v>
      </c>
      <c r="AC42" t="n">
        <v>2</v>
      </c>
      <c r="AD42" t="n">
        <v>22</v>
      </c>
      <c r="AE42" t="n">
        <v>22</v>
      </c>
      <c r="AF42" t="n">
        <v>8</v>
      </c>
      <c r="AG42" t="n">
        <v>8</v>
      </c>
      <c r="AH42" t="n">
        <v>4</v>
      </c>
      <c r="AI42" t="n">
        <v>4</v>
      </c>
      <c r="AJ42" t="n">
        <v>7</v>
      </c>
      <c r="AK42" t="n">
        <v>7</v>
      </c>
      <c r="AL42" t="n">
        <v>1</v>
      </c>
      <c r="AM42" t="n">
        <v>1</v>
      </c>
      <c r="AN42" t="n">
        <v>5</v>
      </c>
      <c r="AO42" t="n">
        <v>5</v>
      </c>
      <c r="AP42" t="inlineStr">
        <is>
          <t>No</t>
        </is>
      </c>
      <c r="AQ42" t="inlineStr">
        <is>
          <t>Yes</t>
        </is>
      </c>
      <c r="AR42">
        <f>HYPERLINK("http://catalog.hathitrust.org/Record/005539555","HathiTrust Record")</f>
        <v/>
      </c>
      <c r="AS42">
        <f>HYPERLINK("https://creighton-primo.hosted.exlibrisgroup.com/primo-explore/search?tab=default_tab&amp;search_scope=EVERYTHING&amp;vid=01CRU&amp;lang=en_US&amp;offset=0&amp;query=any,contains,991003839579702656","Catalog Record")</f>
        <v/>
      </c>
      <c r="AT42">
        <f>HYPERLINK("http://www.worldcat.org/oclc/48876616","WorldCat Record")</f>
        <v/>
      </c>
      <c r="AU42" t="inlineStr">
        <is>
          <t>8334659:eng</t>
        </is>
      </c>
      <c r="AV42" t="inlineStr">
        <is>
          <t>48876616</t>
        </is>
      </c>
      <c r="AW42" t="inlineStr">
        <is>
          <t>991003839579702656</t>
        </is>
      </c>
      <c r="AX42" t="inlineStr">
        <is>
          <t>991003839579702656</t>
        </is>
      </c>
      <c r="AY42" t="inlineStr">
        <is>
          <t>2261062520002656</t>
        </is>
      </c>
      <c r="AZ42" t="inlineStr">
        <is>
          <t>BOOK</t>
        </is>
      </c>
      <c r="BB42" t="inlineStr">
        <is>
          <t>9780299178802</t>
        </is>
      </c>
      <c r="BC42" t="inlineStr">
        <is>
          <t>32285004641659</t>
        </is>
      </c>
      <c r="BD42" t="inlineStr">
        <is>
          <t>893349205</t>
        </is>
      </c>
    </row>
    <row r="43">
      <c r="A43" t="inlineStr">
        <is>
          <t>No</t>
        </is>
      </c>
      <c r="B43" t="inlineStr">
        <is>
          <t>HQ1034.S7 D4 2009</t>
        </is>
      </c>
      <c r="C43" t="inlineStr">
        <is>
          <t>0                      HQ 1034000S  7                  D  4           2009</t>
        </is>
      </c>
      <c r="D43" t="inlineStr">
        <is>
          <t>El hombre endiosado / Álvaro Delgado Gal.</t>
        </is>
      </c>
      <c r="F43" t="inlineStr">
        <is>
          <t>No</t>
        </is>
      </c>
      <c r="G43" t="inlineStr">
        <is>
          <t>1</t>
        </is>
      </c>
      <c r="H43" t="inlineStr">
        <is>
          <t>No</t>
        </is>
      </c>
      <c r="I43" t="inlineStr">
        <is>
          <t>No</t>
        </is>
      </c>
      <c r="J43" t="inlineStr">
        <is>
          <t>0</t>
        </is>
      </c>
      <c r="K43" t="inlineStr">
        <is>
          <t>Delgado-Gal, Alvaro.</t>
        </is>
      </c>
      <c r="L43" t="inlineStr">
        <is>
          <t>Madrid : Trotta, 2009.</t>
        </is>
      </c>
      <c r="M43" t="inlineStr">
        <is>
          <t>2009</t>
        </is>
      </c>
      <c r="O43" t="inlineStr">
        <is>
          <t>spa</t>
        </is>
      </c>
      <c r="P43" t="inlineStr">
        <is>
          <t xml:space="preserve">sp </t>
        </is>
      </c>
      <c r="Q43" t="inlineStr">
        <is>
          <t>Estructuras y procesos. Filosofía</t>
        </is>
      </c>
      <c r="R43" t="inlineStr">
        <is>
          <t xml:space="preserve">HQ </t>
        </is>
      </c>
      <c r="S43" t="n">
        <v>1</v>
      </c>
      <c r="T43" t="n">
        <v>1</v>
      </c>
      <c r="U43" t="inlineStr">
        <is>
          <t>2010-03-04</t>
        </is>
      </c>
      <c r="V43" t="inlineStr">
        <is>
          <t>2010-03-04</t>
        </is>
      </c>
      <c r="W43" t="inlineStr">
        <is>
          <t>2010-03-04</t>
        </is>
      </c>
      <c r="X43" t="inlineStr">
        <is>
          <t>2010-03-04</t>
        </is>
      </c>
      <c r="Y43" t="n">
        <v>8</v>
      </c>
      <c r="Z43" t="n">
        <v>2</v>
      </c>
      <c r="AA43" t="n">
        <v>85</v>
      </c>
      <c r="AB43" t="n">
        <v>1</v>
      </c>
      <c r="AC43" t="n">
        <v>1</v>
      </c>
      <c r="AD43" t="n">
        <v>0</v>
      </c>
      <c r="AE43" t="n">
        <v>2</v>
      </c>
      <c r="AF43" t="n">
        <v>0</v>
      </c>
      <c r="AG43" t="n">
        <v>1</v>
      </c>
      <c r="AH43" t="n">
        <v>0</v>
      </c>
      <c r="AI43" t="n">
        <v>1</v>
      </c>
      <c r="AJ43" t="n">
        <v>0</v>
      </c>
      <c r="AK43" t="n">
        <v>1</v>
      </c>
      <c r="AL43" t="n">
        <v>0</v>
      </c>
      <c r="AM43" t="n">
        <v>0</v>
      </c>
      <c r="AN43" t="n">
        <v>0</v>
      </c>
      <c r="AO43" t="n">
        <v>0</v>
      </c>
      <c r="AP43" t="inlineStr">
        <is>
          <t>No</t>
        </is>
      </c>
      <c r="AQ43" t="inlineStr">
        <is>
          <t>No</t>
        </is>
      </c>
      <c r="AS43">
        <f>HYPERLINK("https://creighton-primo.hosted.exlibrisgroup.com/primo-explore/search?tab=default_tab&amp;search_scope=EVERYTHING&amp;vid=01CRU&amp;lang=en_US&amp;offset=0&amp;query=any,contains,991005369239702656","Catalog Record")</f>
        <v/>
      </c>
      <c r="AT43">
        <f>HYPERLINK("http://www.worldcat.org/oclc/316970371","WorldCat Record")</f>
        <v/>
      </c>
      <c r="AU43" t="inlineStr">
        <is>
          <t>466368084:spa</t>
        </is>
      </c>
      <c r="AV43" t="inlineStr">
        <is>
          <t>316970371</t>
        </is>
      </c>
      <c r="AW43" t="inlineStr">
        <is>
          <t>991005369239702656</t>
        </is>
      </c>
      <c r="AX43" t="inlineStr">
        <is>
          <t>991005369239702656</t>
        </is>
      </c>
      <c r="AY43" t="inlineStr">
        <is>
          <t>2265120820002656</t>
        </is>
      </c>
      <c r="AZ43" t="inlineStr">
        <is>
          <t>BOOK</t>
        </is>
      </c>
      <c r="BB43" t="inlineStr">
        <is>
          <t>9788498790283</t>
        </is>
      </c>
      <c r="BC43" t="inlineStr">
        <is>
          <t>32285005577068</t>
        </is>
      </c>
      <c r="BD43" t="inlineStr">
        <is>
          <t>893351162</t>
        </is>
      </c>
    </row>
    <row r="44">
      <c r="A44" t="inlineStr">
        <is>
          <t>No</t>
        </is>
      </c>
      <c r="B44" t="inlineStr">
        <is>
          <t>HQ1034.U5 M62 2004</t>
        </is>
      </c>
      <c r="C44" t="inlineStr">
        <is>
          <t>0                      HQ 1034000U  5                  M  62          2004</t>
        </is>
      </c>
      <c r="D44" t="inlineStr">
        <is>
          <t>Civil wars : a battle for gay marriage / David Moats.</t>
        </is>
      </c>
      <c r="F44" t="inlineStr">
        <is>
          <t>No</t>
        </is>
      </c>
      <c r="G44" t="inlineStr">
        <is>
          <t>1</t>
        </is>
      </c>
      <c r="H44" t="inlineStr">
        <is>
          <t>Yes</t>
        </is>
      </c>
      <c r="I44" t="inlineStr">
        <is>
          <t>No</t>
        </is>
      </c>
      <c r="J44" t="inlineStr">
        <is>
          <t>0</t>
        </is>
      </c>
      <c r="K44" t="inlineStr">
        <is>
          <t>Moats, David.</t>
        </is>
      </c>
      <c r="L44" t="inlineStr">
        <is>
          <t>Orlando : Harcourt, c2004.</t>
        </is>
      </c>
      <c r="M44" t="inlineStr">
        <is>
          <t>2004</t>
        </is>
      </c>
      <c r="N44" t="inlineStr">
        <is>
          <t>1st ed.</t>
        </is>
      </c>
      <c r="O44" t="inlineStr">
        <is>
          <t>eng</t>
        </is>
      </c>
      <c r="P44" t="inlineStr">
        <is>
          <t>flu</t>
        </is>
      </c>
      <c r="R44" t="inlineStr">
        <is>
          <t xml:space="preserve">HQ </t>
        </is>
      </c>
      <c r="S44" t="n">
        <v>5</v>
      </c>
      <c r="T44" t="n">
        <v>5</v>
      </c>
      <c r="U44" t="inlineStr">
        <is>
          <t>2008-04-09</t>
        </is>
      </c>
      <c r="V44" t="inlineStr">
        <is>
          <t>2008-04-09</t>
        </is>
      </c>
      <c r="W44" t="inlineStr">
        <is>
          <t>2004-03-08</t>
        </is>
      </c>
      <c r="X44" t="inlineStr">
        <is>
          <t>2004-04-13</t>
        </is>
      </c>
      <c r="Y44" t="n">
        <v>1411</v>
      </c>
      <c r="Z44" t="n">
        <v>1365</v>
      </c>
      <c r="AA44" t="n">
        <v>1455</v>
      </c>
      <c r="AB44" t="n">
        <v>8</v>
      </c>
      <c r="AC44" t="n">
        <v>8</v>
      </c>
      <c r="AD44" t="n">
        <v>43</v>
      </c>
      <c r="AE44" t="n">
        <v>44</v>
      </c>
      <c r="AF44" t="n">
        <v>16</v>
      </c>
      <c r="AG44" t="n">
        <v>16</v>
      </c>
      <c r="AH44" t="n">
        <v>6</v>
      </c>
      <c r="AI44" t="n">
        <v>6</v>
      </c>
      <c r="AJ44" t="n">
        <v>16</v>
      </c>
      <c r="AK44" t="n">
        <v>17</v>
      </c>
      <c r="AL44" t="n">
        <v>5</v>
      </c>
      <c r="AM44" t="n">
        <v>5</v>
      </c>
      <c r="AN44" t="n">
        <v>7</v>
      </c>
      <c r="AO44" t="n">
        <v>7</v>
      </c>
      <c r="AP44" t="inlineStr">
        <is>
          <t>No</t>
        </is>
      </c>
      <c r="AQ44" t="inlineStr">
        <is>
          <t>Yes</t>
        </is>
      </c>
      <c r="AR44">
        <f>HYPERLINK("http://catalog.hathitrust.org/Record/004365610","HathiTrust Record")</f>
        <v/>
      </c>
      <c r="AS44">
        <f>HYPERLINK("https://creighton-primo.hosted.exlibrisgroup.com/primo-explore/search?tab=default_tab&amp;search_scope=EVERYTHING&amp;vid=01CRU&amp;lang=en_US&amp;offset=0&amp;query=any,contains,991001726169702656","Catalog Record")</f>
        <v/>
      </c>
      <c r="AT44">
        <f>HYPERLINK("http://www.worldcat.org/oclc/53000250","WorldCat Record")</f>
        <v/>
      </c>
      <c r="AU44" t="inlineStr">
        <is>
          <t>1856191978:eng</t>
        </is>
      </c>
      <c r="AV44" t="inlineStr">
        <is>
          <t>53000250</t>
        </is>
      </c>
      <c r="AW44" t="inlineStr">
        <is>
          <t>991001726169702656</t>
        </is>
      </c>
      <c r="AX44" t="inlineStr">
        <is>
          <t>991001726169702656</t>
        </is>
      </c>
      <c r="AY44" t="inlineStr">
        <is>
          <t>2272179860002656</t>
        </is>
      </c>
      <c r="AZ44" t="inlineStr">
        <is>
          <t>BOOK</t>
        </is>
      </c>
      <c r="BB44" t="inlineStr">
        <is>
          <t>9780151010172</t>
        </is>
      </c>
      <c r="BC44" t="inlineStr">
        <is>
          <t>32285004892476</t>
        </is>
      </c>
      <c r="BD44" t="inlineStr">
        <is>
          <t>893534658</t>
        </is>
      </c>
    </row>
    <row r="45">
      <c r="A45" t="inlineStr">
        <is>
          <t>No</t>
        </is>
      </c>
      <c r="B45" t="inlineStr">
        <is>
          <t>HQ1034.U5 P55 2006</t>
        </is>
      </c>
      <c r="C45" t="inlineStr">
        <is>
          <t>0                      HQ 1034000U  5                  P  55          2006</t>
        </is>
      </c>
      <c r="D45" t="inlineStr">
        <is>
          <t>America's struggle for same-sex marriage / Daniel R. Pinello.</t>
        </is>
      </c>
      <c r="F45" t="inlineStr">
        <is>
          <t>No</t>
        </is>
      </c>
      <c r="G45" t="inlineStr">
        <is>
          <t>1</t>
        </is>
      </c>
      <c r="H45" t="inlineStr">
        <is>
          <t>No</t>
        </is>
      </c>
      <c r="I45" t="inlineStr">
        <is>
          <t>No</t>
        </is>
      </c>
      <c r="J45" t="inlineStr">
        <is>
          <t>0</t>
        </is>
      </c>
      <c r="K45" t="inlineStr">
        <is>
          <t>Pinello, Daniel R.</t>
        </is>
      </c>
      <c r="L45" t="inlineStr">
        <is>
          <t>Cambridge ; New York : Cambridge University Press, 2006.</t>
        </is>
      </c>
      <c r="M45" t="inlineStr">
        <is>
          <t>2006</t>
        </is>
      </c>
      <c r="O45" t="inlineStr">
        <is>
          <t>eng</t>
        </is>
      </c>
      <c r="P45" t="inlineStr">
        <is>
          <t>enk</t>
        </is>
      </c>
      <c r="R45" t="inlineStr">
        <is>
          <t xml:space="preserve">HQ </t>
        </is>
      </c>
      <c r="S45" t="n">
        <v>1</v>
      </c>
      <c r="T45" t="n">
        <v>1</v>
      </c>
      <c r="U45" t="inlineStr">
        <is>
          <t>2006-08-01</t>
        </is>
      </c>
      <c r="V45" t="inlineStr">
        <is>
          <t>2006-08-01</t>
        </is>
      </c>
      <c r="W45" t="inlineStr">
        <is>
          <t>2006-08-01</t>
        </is>
      </c>
      <c r="X45" t="inlineStr">
        <is>
          <t>2006-08-01</t>
        </is>
      </c>
      <c r="Y45" t="n">
        <v>967</v>
      </c>
      <c r="Z45" t="n">
        <v>881</v>
      </c>
      <c r="AA45" t="n">
        <v>881</v>
      </c>
      <c r="AB45" t="n">
        <v>9</v>
      </c>
      <c r="AC45" t="n">
        <v>9</v>
      </c>
      <c r="AD45" t="n">
        <v>46</v>
      </c>
      <c r="AE45" t="n">
        <v>46</v>
      </c>
      <c r="AF45" t="n">
        <v>14</v>
      </c>
      <c r="AG45" t="n">
        <v>14</v>
      </c>
      <c r="AH45" t="n">
        <v>7</v>
      </c>
      <c r="AI45" t="n">
        <v>7</v>
      </c>
      <c r="AJ45" t="n">
        <v>11</v>
      </c>
      <c r="AK45" t="n">
        <v>11</v>
      </c>
      <c r="AL45" t="n">
        <v>8</v>
      </c>
      <c r="AM45" t="n">
        <v>8</v>
      </c>
      <c r="AN45" t="n">
        <v>12</v>
      </c>
      <c r="AO45" t="n">
        <v>12</v>
      </c>
      <c r="AP45" t="inlineStr">
        <is>
          <t>No</t>
        </is>
      </c>
      <c r="AQ45" t="inlineStr">
        <is>
          <t>No</t>
        </is>
      </c>
      <c r="AS45">
        <f>HYPERLINK("https://creighton-primo.hosted.exlibrisgroup.com/primo-explore/search?tab=default_tab&amp;search_scope=EVERYTHING&amp;vid=01CRU&amp;lang=en_US&amp;offset=0&amp;query=any,contains,991004864109702656","Catalog Record")</f>
        <v/>
      </c>
      <c r="AT45">
        <f>HYPERLINK("http://www.worldcat.org/oclc/62393129","WorldCat Record")</f>
        <v/>
      </c>
      <c r="AU45" t="inlineStr">
        <is>
          <t>5219229795:eng</t>
        </is>
      </c>
      <c r="AV45" t="inlineStr">
        <is>
          <t>62393129</t>
        </is>
      </c>
      <c r="AW45" t="inlineStr">
        <is>
          <t>991004864109702656</t>
        </is>
      </c>
      <c r="AX45" t="inlineStr">
        <is>
          <t>991004864109702656</t>
        </is>
      </c>
      <c r="AY45" t="inlineStr">
        <is>
          <t>2266362790002656</t>
        </is>
      </c>
      <c r="AZ45" t="inlineStr">
        <is>
          <t>BOOK</t>
        </is>
      </c>
      <c r="BB45" t="inlineStr">
        <is>
          <t>9780521613033</t>
        </is>
      </c>
      <c r="BC45" t="inlineStr">
        <is>
          <t>32285005199426</t>
        </is>
      </c>
      <c r="BD45" t="inlineStr">
        <is>
          <t>893319731</t>
        </is>
      </c>
    </row>
    <row r="46">
      <c r="A46" t="inlineStr">
        <is>
          <t>No</t>
        </is>
      </c>
      <c r="B46" t="inlineStr">
        <is>
          <t>HQ1034.U5 S58 2006</t>
        </is>
      </c>
      <c r="C46" t="inlineStr">
        <is>
          <t>0                      HQ 1034000U  5                  S  58          2006</t>
        </is>
      </c>
      <c r="D46" t="inlineStr">
        <is>
          <t>Gay marriage and democracy : equality for all / R. Claire Snyder.</t>
        </is>
      </c>
      <c r="F46" t="inlineStr">
        <is>
          <t>No</t>
        </is>
      </c>
      <c r="G46" t="inlineStr">
        <is>
          <t>1</t>
        </is>
      </c>
      <c r="H46" t="inlineStr">
        <is>
          <t>No</t>
        </is>
      </c>
      <c r="I46" t="inlineStr">
        <is>
          <t>No</t>
        </is>
      </c>
      <c r="J46" t="inlineStr">
        <is>
          <t>0</t>
        </is>
      </c>
      <c r="K46" t="inlineStr">
        <is>
          <t>Snyder, R. Claire, 1965-</t>
        </is>
      </c>
      <c r="L46" t="inlineStr">
        <is>
          <t>Lanham, Md. : Rowman &amp; Littlefield Publishers, c2006.</t>
        </is>
      </c>
      <c r="M46" t="inlineStr">
        <is>
          <t>2006</t>
        </is>
      </c>
      <c r="O46" t="inlineStr">
        <is>
          <t>eng</t>
        </is>
      </c>
      <c r="P46" t="inlineStr">
        <is>
          <t>mdu</t>
        </is>
      </c>
      <c r="Q46" t="inlineStr">
        <is>
          <t>Polemics</t>
        </is>
      </c>
      <c r="R46" t="inlineStr">
        <is>
          <t xml:space="preserve">HQ </t>
        </is>
      </c>
      <c r="S46" t="n">
        <v>4</v>
      </c>
      <c r="T46" t="n">
        <v>4</v>
      </c>
      <c r="U46" t="inlineStr">
        <is>
          <t>2009-04-14</t>
        </is>
      </c>
      <c r="V46" t="inlineStr">
        <is>
          <t>2009-04-14</t>
        </is>
      </c>
      <c r="W46" t="inlineStr">
        <is>
          <t>2008-03-11</t>
        </is>
      </c>
      <c r="X46" t="inlineStr">
        <is>
          <t>2008-03-11</t>
        </is>
      </c>
      <c r="Y46" t="n">
        <v>807</v>
      </c>
      <c r="Z46" t="n">
        <v>742</v>
      </c>
      <c r="AA46" t="n">
        <v>750</v>
      </c>
      <c r="AB46" t="n">
        <v>3</v>
      </c>
      <c r="AC46" t="n">
        <v>3</v>
      </c>
      <c r="AD46" t="n">
        <v>33</v>
      </c>
      <c r="AE46" t="n">
        <v>33</v>
      </c>
      <c r="AF46" t="n">
        <v>19</v>
      </c>
      <c r="AG46" t="n">
        <v>19</v>
      </c>
      <c r="AH46" t="n">
        <v>7</v>
      </c>
      <c r="AI46" t="n">
        <v>7</v>
      </c>
      <c r="AJ46" t="n">
        <v>13</v>
      </c>
      <c r="AK46" t="n">
        <v>13</v>
      </c>
      <c r="AL46" t="n">
        <v>2</v>
      </c>
      <c r="AM46" t="n">
        <v>2</v>
      </c>
      <c r="AN46" t="n">
        <v>2</v>
      </c>
      <c r="AO46" t="n">
        <v>2</v>
      </c>
      <c r="AP46" t="inlineStr">
        <is>
          <t>No</t>
        </is>
      </c>
      <c r="AQ46" t="inlineStr">
        <is>
          <t>Yes</t>
        </is>
      </c>
      <c r="AR46">
        <f>HYPERLINK("http://catalog.hathitrust.org/Record/005146729","HathiTrust Record")</f>
        <v/>
      </c>
      <c r="AS46">
        <f>HYPERLINK("https://creighton-primo.hosted.exlibrisgroup.com/primo-explore/search?tab=default_tab&amp;search_scope=EVERYTHING&amp;vid=01CRU&amp;lang=en_US&amp;offset=0&amp;query=any,contains,991005181739702656","Catalog Record")</f>
        <v/>
      </c>
      <c r="AT46">
        <f>HYPERLINK("http://www.worldcat.org/oclc/60798447","WorldCat Record")</f>
        <v/>
      </c>
      <c r="AU46" t="inlineStr">
        <is>
          <t>17305898:eng</t>
        </is>
      </c>
      <c r="AV46" t="inlineStr">
        <is>
          <t>60798447</t>
        </is>
      </c>
      <c r="AW46" t="inlineStr">
        <is>
          <t>991005181739702656</t>
        </is>
      </c>
      <c r="AX46" t="inlineStr">
        <is>
          <t>991005181739702656</t>
        </is>
      </c>
      <c r="AY46" t="inlineStr">
        <is>
          <t>2256838890002656</t>
        </is>
      </c>
      <c r="AZ46" t="inlineStr">
        <is>
          <t>BOOK</t>
        </is>
      </c>
      <c r="BB46" t="inlineStr">
        <is>
          <t>9780742527867</t>
        </is>
      </c>
      <c r="BC46" t="inlineStr">
        <is>
          <t>32285005396634</t>
        </is>
      </c>
      <c r="BD46" t="inlineStr">
        <is>
          <t>893701151</t>
        </is>
      </c>
    </row>
    <row r="47">
      <c r="A47" t="inlineStr">
        <is>
          <t>No</t>
        </is>
      </c>
      <c r="B47" t="inlineStr">
        <is>
          <t>HQ1035 .B57 2009</t>
        </is>
      </c>
      <c r="C47" t="inlineStr">
        <is>
          <t>0                      HQ 1035000B  57          2009</t>
        </is>
      </c>
      <c r="D47" t="inlineStr">
        <is>
          <t>Bisexuality and same-sex marriage / edited by M. Paz Galupo.</t>
        </is>
      </c>
      <c r="F47" t="inlineStr">
        <is>
          <t>No</t>
        </is>
      </c>
      <c r="G47" t="inlineStr">
        <is>
          <t>1</t>
        </is>
      </c>
      <c r="H47" t="inlineStr">
        <is>
          <t>No</t>
        </is>
      </c>
      <c r="I47" t="inlineStr">
        <is>
          <t>No</t>
        </is>
      </c>
      <c r="J47" t="inlineStr">
        <is>
          <t>0</t>
        </is>
      </c>
      <c r="L47" t="inlineStr">
        <is>
          <t>London ; New York : Routledge, 2009.</t>
        </is>
      </c>
      <c r="M47" t="inlineStr">
        <is>
          <t>2009</t>
        </is>
      </c>
      <c r="O47" t="inlineStr">
        <is>
          <t>eng</t>
        </is>
      </c>
      <c r="P47" t="inlineStr">
        <is>
          <t>enk</t>
        </is>
      </c>
      <c r="R47" t="inlineStr">
        <is>
          <t xml:space="preserve">HQ </t>
        </is>
      </c>
      <c r="S47" t="n">
        <v>1</v>
      </c>
      <c r="T47" t="n">
        <v>1</v>
      </c>
      <c r="U47" t="inlineStr">
        <is>
          <t>2009-05-20</t>
        </is>
      </c>
      <c r="V47" t="inlineStr">
        <is>
          <t>2009-05-20</t>
        </is>
      </c>
      <c r="W47" t="inlineStr">
        <is>
          <t>2009-05-20</t>
        </is>
      </c>
      <c r="X47" t="inlineStr">
        <is>
          <t>2009-05-20</t>
        </is>
      </c>
      <c r="Y47" t="n">
        <v>137</v>
      </c>
      <c r="Z47" t="n">
        <v>109</v>
      </c>
      <c r="AA47" t="n">
        <v>110</v>
      </c>
      <c r="AB47" t="n">
        <v>2</v>
      </c>
      <c r="AC47" t="n">
        <v>2</v>
      </c>
      <c r="AD47" t="n">
        <v>4</v>
      </c>
      <c r="AE47" t="n">
        <v>4</v>
      </c>
      <c r="AF47" t="n">
        <v>0</v>
      </c>
      <c r="AG47" t="n">
        <v>0</v>
      </c>
      <c r="AH47" t="n">
        <v>3</v>
      </c>
      <c r="AI47" t="n">
        <v>3</v>
      </c>
      <c r="AJ47" t="n">
        <v>2</v>
      </c>
      <c r="AK47" t="n">
        <v>2</v>
      </c>
      <c r="AL47" t="n">
        <v>1</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HYPERLINK("https://creighton-primo.hosted.exlibrisgroup.com/primo-explore/search?tab=default_tab&amp;search_scope=EVERYTHING&amp;vid=01CRU&amp;lang=en_US&amp;offset=0&amp;query=any,contains,991005313449702656","Catalog Record")</f>
        <v/>
      </c>
      <c r="AT47">
        <f>HYPERLINK("http://www.worldcat.org/oclc/144228854","WorldCat Record")</f>
        <v/>
      </c>
      <c r="AU47" t="inlineStr">
        <is>
          <t>103208530:eng</t>
        </is>
      </c>
      <c r="AV47" t="inlineStr">
        <is>
          <t>144228854</t>
        </is>
      </c>
      <c r="AW47" t="inlineStr">
        <is>
          <t>991005313449702656</t>
        </is>
      </c>
      <c r="AX47" t="inlineStr">
        <is>
          <t>991005313449702656</t>
        </is>
      </c>
      <c r="AY47" t="inlineStr">
        <is>
          <t>2268098590002656</t>
        </is>
      </c>
      <c r="AZ47" t="inlineStr">
        <is>
          <t>BOOK</t>
        </is>
      </c>
      <c r="BB47" t="inlineStr">
        <is>
          <t>9781560237761</t>
        </is>
      </c>
      <c r="BC47" t="inlineStr">
        <is>
          <t>32285005532626</t>
        </is>
      </c>
      <c r="BD47" t="inlineStr">
        <is>
          <t>893520823</t>
        </is>
      </c>
    </row>
    <row r="48">
      <c r="A48" t="inlineStr">
        <is>
          <t>No</t>
        </is>
      </c>
      <c r="B48" t="inlineStr">
        <is>
          <t>HQ1051 .B3 1977</t>
        </is>
      </c>
      <c r="C48" t="inlineStr">
        <is>
          <t>0                      HQ 1051000B  3           1977</t>
        </is>
      </c>
      <c r="D48" t="inlineStr">
        <is>
          <t>The mystery of love and marriage : a study in the theology of sexual relation / Derrick Sherwin Bailey.</t>
        </is>
      </c>
      <c r="F48" t="inlineStr">
        <is>
          <t>No</t>
        </is>
      </c>
      <c r="G48" t="inlineStr">
        <is>
          <t>1</t>
        </is>
      </c>
      <c r="H48" t="inlineStr">
        <is>
          <t>No</t>
        </is>
      </c>
      <c r="I48" t="inlineStr">
        <is>
          <t>No</t>
        </is>
      </c>
      <c r="J48" t="inlineStr">
        <is>
          <t>0</t>
        </is>
      </c>
      <c r="K48" t="inlineStr">
        <is>
          <t>Bailey, Derrick Sherwin, 1910-1984.</t>
        </is>
      </c>
      <c r="L48" t="inlineStr">
        <is>
          <t>Westport, Conn. : Greenwood Press, 1977, c1952.</t>
        </is>
      </c>
      <c r="M48" t="inlineStr">
        <is>
          <t>1977</t>
        </is>
      </c>
      <c r="O48" t="inlineStr">
        <is>
          <t>eng</t>
        </is>
      </c>
      <c r="P48" t="inlineStr">
        <is>
          <t>ctu</t>
        </is>
      </c>
      <c r="R48" t="inlineStr">
        <is>
          <t xml:space="preserve">HQ </t>
        </is>
      </c>
      <c r="S48" t="n">
        <v>12</v>
      </c>
      <c r="T48" t="n">
        <v>12</v>
      </c>
      <c r="U48" t="inlineStr">
        <is>
          <t>2007-09-21</t>
        </is>
      </c>
      <c r="V48" t="inlineStr">
        <is>
          <t>2007-09-21</t>
        </is>
      </c>
      <c r="W48" t="inlineStr">
        <is>
          <t>1993-04-23</t>
        </is>
      </c>
      <c r="X48" t="inlineStr">
        <is>
          <t>1993-04-23</t>
        </is>
      </c>
      <c r="Y48" t="n">
        <v>92</v>
      </c>
      <c r="Z48" t="n">
        <v>79</v>
      </c>
      <c r="AA48" t="n">
        <v>349</v>
      </c>
      <c r="AB48" t="n">
        <v>1</v>
      </c>
      <c r="AC48" t="n">
        <v>3</v>
      </c>
      <c r="AD48" t="n">
        <v>2</v>
      </c>
      <c r="AE48" t="n">
        <v>11</v>
      </c>
      <c r="AF48" t="n">
        <v>1</v>
      </c>
      <c r="AG48" t="n">
        <v>6</v>
      </c>
      <c r="AH48" t="n">
        <v>1</v>
      </c>
      <c r="AI48" t="n">
        <v>1</v>
      </c>
      <c r="AJ48" t="n">
        <v>1</v>
      </c>
      <c r="AK48" t="n">
        <v>4</v>
      </c>
      <c r="AL48" t="n">
        <v>0</v>
      </c>
      <c r="AM48" t="n">
        <v>2</v>
      </c>
      <c r="AN48" t="n">
        <v>0</v>
      </c>
      <c r="AO48" t="n">
        <v>0</v>
      </c>
      <c r="AP48" t="inlineStr">
        <is>
          <t>No</t>
        </is>
      </c>
      <c r="AQ48" t="inlineStr">
        <is>
          <t>Yes</t>
        </is>
      </c>
      <c r="AR48">
        <f>HYPERLINK("http://catalog.hathitrust.org/Record/102038686","HathiTrust Record")</f>
        <v/>
      </c>
      <c r="AS48">
        <f>HYPERLINK("https://creighton-primo.hosted.exlibrisgroup.com/primo-explore/search?tab=default_tab&amp;search_scope=EVERYTHING&amp;vid=01CRU&amp;lang=en_US&amp;offset=0&amp;query=any,contains,991004259739702656","Catalog Record")</f>
        <v/>
      </c>
      <c r="AT48">
        <f>HYPERLINK("http://www.worldcat.org/oclc/2837431","WorldCat Record")</f>
        <v/>
      </c>
      <c r="AU48" t="inlineStr">
        <is>
          <t>346128042:eng</t>
        </is>
      </c>
      <c r="AV48" t="inlineStr">
        <is>
          <t>2837431</t>
        </is>
      </c>
      <c r="AW48" t="inlineStr">
        <is>
          <t>991004259739702656</t>
        </is>
      </c>
      <c r="AX48" t="inlineStr">
        <is>
          <t>991004259739702656</t>
        </is>
      </c>
      <c r="AY48" t="inlineStr">
        <is>
          <t>2262188170002656</t>
        </is>
      </c>
      <c r="AZ48" t="inlineStr">
        <is>
          <t>BOOK</t>
        </is>
      </c>
      <c r="BB48" t="inlineStr">
        <is>
          <t>9780837195773</t>
        </is>
      </c>
      <c r="BC48" t="inlineStr">
        <is>
          <t>32285001625028</t>
        </is>
      </c>
      <c r="BD48" t="inlineStr">
        <is>
          <t>893349795</t>
        </is>
      </c>
    </row>
    <row r="49">
      <c r="A49" t="inlineStr">
        <is>
          <t>No</t>
        </is>
      </c>
      <c r="B49" t="inlineStr">
        <is>
          <t>HQ1051 .E5</t>
        </is>
      </c>
      <c r="C49" t="inlineStr">
        <is>
          <t>0                      HQ 1051000E  5</t>
        </is>
      </c>
      <c r="D49" t="inlineStr">
        <is>
          <t>A Christian view of sex and marriage / [by] Andrew R. Eickhoff.</t>
        </is>
      </c>
      <c r="F49" t="inlineStr">
        <is>
          <t>No</t>
        </is>
      </c>
      <c r="G49" t="inlineStr">
        <is>
          <t>1</t>
        </is>
      </c>
      <c r="H49" t="inlineStr">
        <is>
          <t>No</t>
        </is>
      </c>
      <c r="I49" t="inlineStr">
        <is>
          <t>No</t>
        </is>
      </c>
      <c r="J49" t="inlineStr">
        <is>
          <t>0</t>
        </is>
      </c>
      <c r="K49" t="inlineStr">
        <is>
          <t>Eickhoff, Andrew R., 1924-</t>
        </is>
      </c>
      <c r="L49" t="inlineStr">
        <is>
          <t>New York : Free Press, [1966]</t>
        </is>
      </c>
      <c r="M49" t="inlineStr">
        <is>
          <t>1966</t>
        </is>
      </c>
      <c r="O49" t="inlineStr">
        <is>
          <t>eng</t>
        </is>
      </c>
      <c r="P49" t="inlineStr">
        <is>
          <t>nyu</t>
        </is>
      </c>
      <c r="R49" t="inlineStr">
        <is>
          <t xml:space="preserve">HQ </t>
        </is>
      </c>
      <c r="S49" t="n">
        <v>11</v>
      </c>
      <c r="T49" t="n">
        <v>11</v>
      </c>
      <c r="U49" t="inlineStr">
        <is>
          <t>2005-11-29</t>
        </is>
      </c>
      <c r="V49" t="inlineStr">
        <is>
          <t>2005-11-29</t>
        </is>
      </c>
      <c r="W49" t="inlineStr">
        <is>
          <t>1990-09-18</t>
        </is>
      </c>
      <c r="X49" t="inlineStr">
        <is>
          <t>1990-09-18</t>
        </is>
      </c>
      <c r="Y49" t="n">
        <v>399</v>
      </c>
      <c r="Z49" t="n">
        <v>348</v>
      </c>
      <c r="AA49" t="n">
        <v>350</v>
      </c>
      <c r="AB49" t="n">
        <v>2</v>
      </c>
      <c r="AC49" t="n">
        <v>2</v>
      </c>
      <c r="AD49" t="n">
        <v>15</v>
      </c>
      <c r="AE49" t="n">
        <v>15</v>
      </c>
      <c r="AF49" t="n">
        <v>6</v>
      </c>
      <c r="AG49" t="n">
        <v>6</v>
      </c>
      <c r="AH49" t="n">
        <v>2</v>
      </c>
      <c r="AI49" t="n">
        <v>2</v>
      </c>
      <c r="AJ49" t="n">
        <v>8</v>
      </c>
      <c r="AK49" t="n">
        <v>8</v>
      </c>
      <c r="AL49" t="n">
        <v>1</v>
      </c>
      <c r="AM49" t="n">
        <v>1</v>
      </c>
      <c r="AN49" t="n">
        <v>0</v>
      </c>
      <c r="AO49" t="n">
        <v>0</v>
      </c>
      <c r="AP49" t="inlineStr">
        <is>
          <t>No</t>
        </is>
      </c>
      <c r="AQ49" t="inlineStr">
        <is>
          <t>Yes</t>
        </is>
      </c>
      <c r="AR49">
        <f>HYPERLINK("http://catalog.hathitrust.org/Record/000978658","HathiTrust Record")</f>
        <v/>
      </c>
      <c r="AS49">
        <f>HYPERLINK("https://creighton-primo.hosted.exlibrisgroup.com/primo-explore/search?tab=default_tab&amp;search_scope=EVERYTHING&amp;vid=01CRU&amp;lang=en_US&amp;offset=0&amp;query=any,contains,991003163659702656","Catalog Record")</f>
        <v/>
      </c>
      <c r="AT49">
        <f>HYPERLINK("http://www.worldcat.org/oclc/702255","WorldCat Record")</f>
        <v/>
      </c>
      <c r="AU49" t="inlineStr">
        <is>
          <t>1607868:eng</t>
        </is>
      </c>
      <c r="AV49" t="inlineStr">
        <is>
          <t>702255</t>
        </is>
      </c>
      <c r="AW49" t="inlineStr">
        <is>
          <t>991003163659702656</t>
        </is>
      </c>
      <c r="AX49" t="inlineStr">
        <is>
          <t>991003163659702656</t>
        </is>
      </c>
      <c r="AY49" t="inlineStr">
        <is>
          <t>2258056930002656</t>
        </is>
      </c>
      <c r="AZ49" t="inlineStr">
        <is>
          <t>BOOK</t>
        </is>
      </c>
      <c r="BC49" t="inlineStr">
        <is>
          <t>32285000304328</t>
        </is>
      </c>
      <c r="BD49" t="inlineStr">
        <is>
          <t>893880876</t>
        </is>
      </c>
    </row>
    <row r="50">
      <c r="A50" t="inlineStr">
        <is>
          <t>No</t>
        </is>
      </c>
      <c r="B50" t="inlineStr">
        <is>
          <t>HQ1051 .H313 1965</t>
        </is>
      </c>
      <c r="C50" t="inlineStr">
        <is>
          <t>0                      HQ 1051000H  313         1965</t>
        </is>
      </c>
      <c r="D50" t="inlineStr">
        <is>
          <t>Marriage in the modern world, by Bernard Häring. [Translated from the German by Geoffrey Stevens.</t>
        </is>
      </c>
      <c r="F50" t="inlineStr">
        <is>
          <t>No</t>
        </is>
      </c>
      <c r="G50" t="inlineStr">
        <is>
          <t>1</t>
        </is>
      </c>
      <c r="H50" t="inlineStr">
        <is>
          <t>No</t>
        </is>
      </c>
      <c r="I50" t="inlineStr">
        <is>
          <t>No</t>
        </is>
      </c>
      <c r="J50" t="inlineStr">
        <is>
          <t>0</t>
        </is>
      </c>
      <c r="K50" t="inlineStr">
        <is>
          <t>Häring, Bernhard, 1912-1998.</t>
        </is>
      </c>
      <c r="L50" t="inlineStr">
        <is>
          <t>Westminister, Md., Newman Press [1965]</t>
        </is>
      </c>
      <c r="M50" t="inlineStr">
        <is>
          <t>1965</t>
        </is>
      </c>
      <c r="O50" t="inlineStr">
        <is>
          <t>eng</t>
        </is>
      </c>
      <c r="P50" t="inlineStr">
        <is>
          <t>mdu</t>
        </is>
      </c>
      <c r="R50" t="inlineStr">
        <is>
          <t xml:space="preserve">HQ </t>
        </is>
      </c>
      <c r="S50" t="n">
        <v>4</v>
      </c>
      <c r="T50" t="n">
        <v>4</v>
      </c>
      <c r="U50" t="inlineStr">
        <is>
          <t>2004-12-04</t>
        </is>
      </c>
      <c r="V50" t="inlineStr">
        <is>
          <t>2004-12-04</t>
        </is>
      </c>
      <c r="W50" t="inlineStr">
        <is>
          <t>1997-08-14</t>
        </is>
      </c>
      <c r="X50" t="inlineStr">
        <is>
          <t>1997-08-14</t>
        </is>
      </c>
      <c r="Y50" t="n">
        <v>186</v>
      </c>
      <c r="Z50" t="n">
        <v>166</v>
      </c>
      <c r="AA50" t="n">
        <v>220</v>
      </c>
      <c r="AB50" t="n">
        <v>2</v>
      </c>
      <c r="AC50" t="n">
        <v>3</v>
      </c>
      <c r="AD50" t="n">
        <v>23</v>
      </c>
      <c r="AE50" t="n">
        <v>27</v>
      </c>
      <c r="AF50" t="n">
        <v>9</v>
      </c>
      <c r="AG50" t="n">
        <v>9</v>
      </c>
      <c r="AH50" t="n">
        <v>6</v>
      </c>
      <c r="AI50" t="n">
        <v>7</v>
      </c>
      <c r="AJ50" t="n">
        <v>16</v>
      </c>
      <c r="AK50" t="n">
        <v>19</v>
      </c>
      <c r="AL50" t="n">
        <v>0</v>
      </c>
      <c r="AM50" t="n">
        <v>1</v>
      </c>
      <c r="AN50" t="n">
        <v>0</v>
      </c>
      <c r="AO50" t="n">
        <v>0</v>
      </c>
      <c r="AP50" t="inlineStr">
        <is>
          <t>No</t>
        </is>
      </c>
      <c r="AQ50" t="inlineStr">
        <is>
          <t>No</t>
        </is>
      </c>
      <c r="AS50">
        <f>HYPERLINK("https://creighton-primo.hosted.exlibrisgroup.com/primo-explore/search?tab=default_tab&amp;search_scope=EVERYTHING&amp;vid=01CRU&amp;lang=en_US&amp;offset=0&amp;query=any,contains,991003895409702656","Catalog Record")</f>
        <v/>
      </c>
      <c r="AT50">
        <f>HYPERLINK("http://www.worldcat.org/oclc/1808094","WorldCat Record")</f>
        <v/>
      </c>
      <c r="AU50" t="inlineStr">
        <is>
          <t>3641153:eng</t>
        </is>
      </c>
      <c r="AV50" t="inlineStr">
        <is>
          <t>1808094</t>
        </is>
      </c>
      <c r="AW50" t="inlineStr">
        <is>
          <t>991003895409702656</t>
        </is>
      </c>
      <c r="AX50" t="inlineStr">
        <is>
          <t>991003895409702656</t>
        </is>
      </c>
      <c r="AY50" t="inlineStr">
        <is>
          <t>2272676190002656</t>
        </is>
      </c>
      <c r="AZ50" t="inlineStr">
        <is>
          <t>BOOK</t>
        </is>
      </c>
      <c r="BC50" t="inlineStr">
        <is>
          <t>32285003103073</t>
        </is>
      </c>
      <c r="BD50" t="inlineStr">
        <is>
          <t>893318544</t>
        </is>
      </c>
    </row>
    <row r="51">
      <c r="A51" t="inlineStr">
        <is>
          <t>No</t>
        </is>
      </c>
      <c r="B51" t="inlineStr">
        <is>
          <t>HQ1051 .L663 1964</t>
        </is>
      </c>
      <c r="C51" t="inlineStr">
        <is>
          <t>0                      HQ 1051000L  663         1964</t>
        </is>
      </c>
      <c r="D51" t="inlineStr">
        <is>
          <t>Love is forever / [by] Henri Daniel-Rops [and others]. Mary Pyle: translator.</t>
        </is>
      </c>
      <c r="F51" t="inlineStr">
        <is>
          <t>No</t>
        </is>
      </c>
      <c r="G51" t="inlineStr">
        <is>
          <t>1</t>
        </is>
      </c>
      <c r="H51" t="inlineStr">
        <is>
          <t>No</t>
        </is>
      </c>
      <c r="I51" t="inlineStr">
        <is>
          <t>No</t>
        </is>
      </c>
      <c r="J51" t="inlineStr">
        <is>
          <t>0</t>
        </is>
      </c>
      <c r="L51" t="inlineStr">
        <is>
          <t>[Chicago] : Scepter Books, [1964]</t>
        </is>
      </c>
      <c r="M51" t="inlineStr">
        <is>
          <t>1964</t>
        </is>
      </c>
      <c r="O51" t="inlineStr">
        <is>
          <t>eng</t>
        </is>
      </c>
      <c r="P51" t="inlineStr">
        <is>
          <t>ilu</t>
        </is>
      </c>
      <c r="R51" t="inlineStr">
        <is>
          <t xml:space="preserve">HQ </t>
        </is>
      </c>
      <c r="S51" t="n">
        <v>6</v>
      </c>
      <c r="T51" t="n">
        <v>6</v>
      </c>
      <c r="U51" t="inlineStr">
        <is>
          <t>1996-04-03</t>
        </is>
      </c>
      <c r="V51" t="inlineStr">
        <is>
          <t>1996-04-03</t>
        </is>
      </c>
      <c r="W51" t="inlineStr">
        <is>
          <t>1993-04-23</t>
        </is>
      </c>
      <c r="X51" t="inlineStr">
        <is>
          <t>1993-04-23</t>
        </is>
      </c>
      <c r="Y51" t="n">
        <v>53</v>
      </c>
      <c r="Z51" t="n">
        <v>51</v>
      </c>
      <c r="AA51" t="n">
        <v>56</v>
      </c>
      <c r="AB51" t="n">
        <v>1</v>
      </c>
      <c r="AC51" t="n">
        <v>1</v>
      </c>
      <c r="AD51" t="n">
        <v>9</v>
      </c>
      <c r="AE51" t="n">
        <v>9</v>
      </c>
      <c r="AF51" t="n">
        <v>2</v>
      </c>
      <c r="AG51" t="n">
        <v>2</v>
      </c>
      <c r="AH51" t="n">
        <v>1</v>
      </c>
      <c r="AI51" t="n">
        <v>1</v>
      </c>
      <c r="AJ51" t="n">
        <v>9</v>
      </c>
      <c r="AK51" t="n">
        <v>9</v>
      </c>
      <c r="AL51" t="n">
        <v>0</v>
      </c>
      <c r="AM51" t="n">
        <v>0</v>
      </c>
      <c r="AN51" t="n">
        <v>0</v>
      </c>
      <c r="AO51" t="n">
        <v>0</v>
      </c>
      <c r="AP51" t="inlineStr">
        <is>
          <t>No</t>
        </is>
      </c>
      <c r="AQ51" t="inlineStr">
        <is>
          <t>No</t>
        </is>
      </c>
      <c r="AS51">
        <f>HYPERLINK("https://creighton-primo.hosted.exlibrisgroup.com/primo-explore/search?tab=default_tab&amp;search_scope=EVERYTHING&amp;vid=01CRU&amp;lang=en_US&amp;offset=0&amp;query=any,contains,991003886509702656","Catalog Record")</f>
        <v/>
      </c>
      <c r="AT51">
        <f>HYPERLINK("http://www.worldcat.org/oclc/1738530","WorldCat Record")</f>
        <v/>
      </c>
      <c r="AU51" t="inlineStr">
        <is>
          <t>10162224038:eng</t>
        </is>
      </c>
      <c r="AV51" t="inlineStr">
        <is>
          <t>1738530</t>
        </is>
      </c>
      <c r="AW51" t="inlineStr">
        <is>
          <t>991003886509702656</t>
        </is>
      </c>
      <c r="AX51" t="inlineStr">
        <is>
          <t>991003886509702656</t>
        </is>
      </c>
      <c r="AY51" t="inlineStr">
        <is>
          <t>2271320460002656</t>
        </is>
      </c>
      <c r="AZ51" t="inlineStr">
        <is>
          <t>BOOK</t>
        </is>
      </c>
      <c r="BC51" t="inlineStr">
        <is>
          <t>32285001625036</t>
        </is>
      </c>
      <c r="BD51" t="inlineStr">
        <is>
          <t>893894283</t>
        </is>
      </c>
    </row>
    <row r="52">
      <c r="A52" t="inlineStr">
        <is>
          <t>No</t>
        </is>
      </c>
      <c r="B52" t="inlineStr">
        <is>
          <t>HQ1051 .S813 1962</t>
        </is>
      </c>
      <c r="C52" t="inlineStr">
        <is>
          <t>0                      HQ 1051000S  813         1962</t>
        </is>
      </c>
      <c r="D52" t="inlineStr">
        <is>
          <t>Love and control : the contemporary problem / by Léon Joseph Suenens.</t>
        </is>
      </c>
      <c r="F52" t="inlineStr">
        <is>
          <t>No</t>
        </is>
      </c>
      <c r="G52" t="inlineStr">
        <is>
          <t>1</t>
        </is>
      </c>
      <c r="H52" t="inlineStr">
        <is>
          <t>No</t>
        </is>
      </c>
      <c r="I52" t="inlineStr">
        <is>
          <t>No</t>
        </is>
      </c>
      <c r="J52" t="inlineStr">
        <is>
          <t>0</t>
        </is>
      </c>
      <c r="K52" t="inlineStr">
        <is>
          <t>Suenens, Léon Joseph, 1904-1996.</t>
        </is>
      </c>
      <c r="L52" t="inlineStr">
        <is>
          <t>Westminster, Md. : Newman Press, [1962, c1961]</t>
        </is>
      </c>
      <c r="M52" t="inlineStr">
        <is>
          <t>1962</t>
        </is>
      </c>
      <c r="N52" t="inlineStr">
        <is>
          <t>[2d rev. ed.]</t>
        </is>
      </c>
      <c r="O52" t="inlineStr">
        <is>
          <t>eng</t>
        </is>
      </c>
      <c r="P52" t="inlineStr">
        <is>
          <t>mdu</t>
        </is>
      </c>
      <c r="R52" t="inlineStr">
        <is>
          <t xml:space="preserve">HQ </t>
        </is>
      </c>
      <c r="S52" t="n">
        <v>1</v>
      </c>
      <c r="T52" t="n">
        <v>1</v>
      </c>
      <c r="U52" t="inlineStr">
        <is>
          <t>2002-03-27</t>
        </is>
      </c>
      <c r="V52" t="inlineStr">
        <is>
          <t>2002-03-27</t>
        </is>
      </c>
      <c r="W52" t="inlineStr">
        <is>
          <t>1993-04-23</t>
        </is>
      </c>
      <c r="X52" t="inlineStr">
        <is>
          <t>1993-04-23</t>
        </is>
      </c>
      <c r="Y52" t="n">
        <v>122</v>
      </c>
      <c r="Z52" t="n">
        <v>107</v>
      </c>
      <c r="AA52" t="n">
        <v>210</v>
      </c>
      <c r="AB52" t="n">
        <v>3</v>
      </c>
      <c r="AC52" t="n">
        <v>3</v>
      </c>
      <c r="AD52" t="n">
        <v>15</v>
      </c>
      <c r="AE52" t="n">
        <v>29</v>
      </c>
      <c r="AF52" t="n">
        <v>4</v>
      </c>
      <c r="AG52" t="n">
        <v>11</v>
      </c>
      <c r="AH52" t="n">
        <v>4</v>
      </c>
      <c r="AI52" t="n">
        <v>8</v>
      </c>
      <c r="AJ52" t="n">
        <v>10</v>
      </c>
      <c r="AK52" t="n">
        <v>22</v>
      </c>
      <c r="AL52" t="n">
        <v>0</v>
      </c>
      <c r="AM52" t="n">
        <v>0</v>
      </c>
      <c r="AN52" t="n">
        <v>0</v>
      </c>
      <c r="AO52" t="n">
        <v>0</v>
      </c>
      <c r="AP52" t="inlineStr">
        <is>
          <t>No</t>
        </is>
      </c>
      <c r="AQ52" t="inlineStr">
        <is>
          <t>No</t>
        </is>
      </c>
      <c r="AR52">
        <f>HYPERLINK("http://catalog.hathitrust.org/Record/006070273","HathiTrust Record")</f>
        <v/>
      </c>
      <c r="AS52">
        <f>HYPERLINK("https://creighton-primo.hosted.exlibrisgroup.com/primo-explore/search?tab=default_tab&amp;search_scope=EVERYTHING&amp;vid=01CRU&amp;lang=en_US&amp;offset=0&amp;query=any,contains,991004063219702656","Catalog Record")</f>
        <v/>
      </c>
      <c r="AT52">
        <f>HYPERLINK("http://www.worldcat.org/oclc/2278458","WorldCat Record")</f>
        <v/>
      </c>
      <c r="AU52" t="inlineStr">
        <is>
          <t>134566206:eng</t>
        </is>
      </c>
      <c r="AV52" t="inlineStr">
        <is>
          <t>2278458</t>
        </is>
      </c>
      <c r="AW52" t="inlineStr">
        <is>
          <t>991004063219702656</t>
        </is>
      </c>
      <c r="AX52" t="inlineStr">
        <is>
          <t>991004063219702656</t>
        </is>
      </c>
      <c r="AY52" t="inlineStr">
        <is>
          <t>2272117400002656</t>
        </is>
      </c>
      <c r="AZ52" t="inlineStr">
        <is>
          <t>BOOK</t>
        </is>
      </c>
      <c r="BC52" t="inlineStr">
        <is>
          <t>32285001625044</t>
        </is>
      </c>
      <c r="BD52" t="inlineStr">
        <is>
          <t>893624308</t>
        </is>
      </c>
    </row>
    <row r="53">
      <c r="A53" t="inlineStr">
        <is>
          <t>No</t>
        </is>
      </c>
      <c r="B53" t="inlineStr">
        <is>
          <t>HQ1058 .L66</t>
        </is>
      </c>
      <c r="C53" t="inlineStr">
        <is>
          <t>0                      HQ 1058000L  66</t>
        </is>
      </c>
      <c r="D53" t="inlineStr">
        <is>
          <t>Women as widows : support systems / Helena Znaniecka Lopata.</t>
        </is>
      </c>
      <c r="F53" t="inlineStr">
        <is>
          <t>No</t>
        </is>
      </c>
      <c r="G53" t="inlineStr">
        <is>
          <t>1</t>
        </is>
      </c>
      <c r="H53" t="inlineStr">
        <is>
          <t>No</t>
        </is>
      </c>
      <c r="I53" t="inlineStr">
        <is>
          <t>No</t>
        </is>
      </c>
      <c r="J53" t="inlineStr">
        <is>
          <t>0</t>
        </is>
      </c>
      <c r="K53" t="inlineStr">
        <is>
          <t>Lopata, Helena Znaniecka, 1925-2003.</t>
        </is>
      </c>
      <c r="L53" t="inlineStr">
        <is>
          <t>New York : Elsevier, c1979.</t>
        </is>
      </c>
      <c r="M53" t="inlineStr">
        <is>
          <t>1979</t>
        </is>
      </c>
      <c r="O53" t="inlineStr">
        <is>
          <t>eng</t>
        </is>
      </c>
      <c r="P53" t="inlineStr">
        <is>
          <t>nyu</t>
        </is>
      </c>
      <c r="R53" t="inlineStr">
        <is>
          <t xml:space="preserve">HQ </t>
        </is>
      </c>
      <c r="S53" t="n">
        <v>6</v>
      </c>
      <c r="T53" t="n">
        <v>6</v>
      </c>
      <c r="U53" t="inlineStr">
        <is>
          <t>2000-10-24</t>
        </is>
      </c>
      <c r="V53" t="inlineStr">
        <is>
          <t>2000-10-24</t>
        </is>
      </c>
      <c r="W53" t="inlineStr">
        <is>
          <t>1993-04-23</t>
        </is>
      </c>
      <c r="X53" t="inlineStr">
        <is>
          <t>1993-04-23</t>
        </is>
      </c>
      <c r="Y53" t="n">
        <v>807</v>
      </c>
      <c r="Z53" t="n">
        <v>714</v>
      </c>
      <c r="AA53" t="n">
        <v>747</v>
      </c>
      <c r="AB53" t="n">
        <v>5</v>
      </c>
      <c r="AC53" t="n">
        <v>5</v>
      </c>
      <c r="AD53" t="n">
        <v>30</v>
      </c>
      <c r="AE53" t="n">
        <v>31</v>
      </c>
      <c r="AF53" t="n">
        <v>13</v>
      </c>
      <c r="AG53" t="n">
        <v>14</v>
      </c>
      <c r="AH53" t="n">
        <v>7</v>
      </c>
      <c r="AI53" t="n">
        <v>7</v>
      </c>
      <c r="AJ53" t="n">
        <v>15</v>
      </c>
      <c r="AK53" t="n">
        <v>16</v>
      </c>
      <c r="AL53" t="n">
        <v>3</v>
      </c>
      <c r="AM53" t="n">
        <v>3</v>
      </c>
      <c r="AN53" t="n">
        <v>0</v>
      </c>
      <c r="AO53" t="n">
        <v>0</v>
      </c>
      <c r="AP53" t="inlineStr">
        <is>
          <t>No</t>
        </is>
      </c>
      <c r="AQ53" t="inlineStr">
        <is>
          <t>Yes</t>
        </is>
      </c>
      <c r="AR53">
        <f>HYPERLINK("http://catalog.hathitrust.org/Record/000256086","HathiTrust Record")</f>
        <v/>
      </c>
      <c r="AS53">
        <f>HYPERLINK("https://creighton-primo.hosted.exlibrisgroup.com/primo-explore/search?tab=default_tab&amp;search_scope=EVERYTHING&amp;vid=01CRU&amp;lang=en_US&amp;offset=0&amp;query=any,contains,991004654069702656","Catalog Record")</f>
        <v/>
      </c>
      <c r="AT53">
        <f>HYPERLINK("http://www.worldcat.org/oclc/4494788","WorldCat Record")</f>
        <v/>
      </c>
      <c r="AU53" t="inlineStr">
        <is>
          <t>889455878:eng</t>
        </is>
      </c>
      <c r="AV53" t="inlineStr">
        <is>
          <t>4494788</t>
        </is>
      </c>
      <c r="AW53" t="inlineStr">
        <is>
          <t>991004654069702656</t>
        </is>
      </c>
      <c r="AX53" t="inlineStr">
        <is>
          <t>991004654069702656</t>
        </is>
      </c>
      <c r="AY53" t="inlineStr">
        <is>
          <t>2265366010002656</t>
        </is>
      </c>
      <c r="AZ53" t="inlineStr">
        <is>
          <t>BOOK</t>
        </is>
      </c>
      <c r="BB53" t="inlineStr">
        <is>
          <t>9780444990532</t>
        </is>
      </c>
      <c r="BC53" t="inlineStr">
        <is>
          <t>32285001625077</t>
        </is>
      </c>
      <c r="BD53" t="inlineStr">
        <is>
          <t>893350244</t>
        </is>
      </c>
    </row>
    <row r="54">
      <c r="A54" t="inlineStr">
        <is>
          <t>No</t>
        </is>
      </c>
      <c r="B54" t="inlineStr">
        <is>
          <t>HQ1058.5.A4 K57</t>
        </is>
      </c>
      <c r="C54" t="inlineStr">
        <is>
          <t>0                      HQ 1058500A  4                  K  57</t>
        </is>
      </c>
      <c r="D54" t="inlineStr">
        <is>
          <t>African widows : an empirical study of the problems of adapting Western Christian teachings on marriage to the leviratic custom for the care of widows in four rural African societies / Michael C. Kirwen.</t>
        </is>
      </c>
      <c r="F54" t="inlineStr">
        <is>
          <t>No</t>
        </is>
      </c>
      <c r="G54" t="inlineStr">
        <is>
          <t>1</t>
        </is>
      </c>
      <c r="H54" t="inlineStr">
        <is>
          <t>No</t>
        </is>
      </c>
      <c r="I54" t="inlineStr">
        <is>
          <t>No</t>
        </is>
      </c>
      <c r="J54" t="inlineStr">
        <is>
          <t>0</t>
        </is>
      </c>
      <c r="K54" t="inlineStr">
        <is>
          <t>Kirwen, Michael C.</t>
        </is>
      </c>
      <c r="L54" t="inlineStr">
        <is>
          <t>Maryknoll, N.Y. : Orbis Books, c1979.</t>
        </is>
      </c>
      <c r="M54" t="inlineStr">
        <is>
          <t>1979</t>
        </is>
      </c>
      <c r="O54" t="inlineStr">
        <is>
          <t>eng</t>
        </is>
      </c>
      <c r="P54" t="inlineStr">
        <is>
          <t>nyu</t>
        </is>
      </c>
      <c r="R54" t="inlineStr">
        <is>
          <t xml:space="preserve">HQ </t>
        </is>
      </c>
      <c r="S54" t="n">
        <v>4</v>
      </c>
      <c r="T54" t="n">
        <v>4</v>
      </c>
      <c r="U54" t="inlineStr">
        <is>
          <t>2001-04-18</t>
        </is>
      </c>
      <c r="V54" t="inlineStr">
        <is>
          <t>2001-04-18</t>
        </is>
      </c>
      <c r="W54" t="inlineStr">
        <is>
          <t>1993-04-23</t>
        </is>
      </c>
      <c r="X54" t="inlineStr">
        <is>
          <t>1993-04-23</t>
        </is>
      </c>
      <c r="Y54" t="n">
        <v>272</v>
      </c>
      <c r="Z54" t="n">
        <v>219</v>
      </c>
      <c r="AA54" t="n">
        <v>229</v>
      </c>
      <c r="AB54" t="n">
        <v>1</v>
      </c>
      <c r="AC54" t="n">
        <v>1</v>
      </c>
      <c r="AD54" t="n">
        <v>11</v>
      </c>
      <c r="AE54" t="n">
        <v>11</v>
      </c>
      <c r="AF54" t="n">
        <v>3</v>
      </c>
      <c r="AG54" t="n">
        <v>3</v>
      </c>
      <c r="AH54" t="n">
        <v>5</v>
      </c>
      <c r="AI54" t="n">
        <v>5</v>
      </c>
      <c r="AJ54" t="n">
        <v>8</v>
      </c>
      <c r="AK54" t="n">
        <v>8</v>
      </c>
      <c r="AL54" t="n">
        <v>0</v>
      </c>
      <c r="AM54" t="n">
        <v>0</v>
      </c>
      <c r="AN54" t="n">
        <v>0</v>
      </c>
      <c r="AO54" t="n">
        <v>0</v>
      </c>
      <c r="AP54" t="inlineStr">
        <is>
          <t>No</t>
        </is>
      </c>
      <c r="AQ54" t="inlineStr">
        <is>
          <t>Yes</t>
        </is>
      </c>
      <c r="AR54">
        <f>HYPERLINK("http://catalog.hathitrust.org/Record/101980077","HathiTrust Record")</f>
        <v/>
      </c>
      <c r="AS54">
        <f>HYPERLINK("https://creighton-primo.hosted.exlibrisgroup.com/primo-explore/search?tab=default_tab&amp;search_scope=EVERYTHING&amp;vid=01CRU&amp;lang=en_US&amp;offset=0&amp;query=any,contains,991004579369702656","Catalog Record")</f>
        <v/>
      </c>
      <c r="AT54">
        <f>HYPERLINK("http://www.worldcat.org/oclc/4056291","WorldCat Record")</f>
        <v/>
      </c>
      <c r="AU54" t="inlineStr">
        <is>
          <t>365458614:eng</t>
        </is>
      </c>
      <c r="AV54" t="inlineStr">
        <is>
          <t>4056291</t>
        </is>
      </c>
      <c r="AW54" t="inlineStr">
        <is>
          <t>991004579369702656</t>
        </is>
      </c>
      <c r="AX54" t="inlineStr">
        <is>
          <t>991004579369702656</t>
        </is>
      </c>
      <c r="AY54" t="inlineStr">
        <is>
          <t>2271976320002656</t>
        </is>
      </c>
      <c r="AZ54" t="inlineStr">
        <is>
          <t>BOOK</t>
        </is>
      </c>
      <c r="BB54" t="inlineStr">
        <is>
          <t>9780883440094</t>
        </is>
      </c>
      <c r="BC54" t="inlineStr">
        <is>
          <t>32285001625085</t>
        </is>
      </c>
      <c r="BD54" t="inlineStr">
        <is>
          <t>893869880</t>
        </is>
      </c>
    </row>
    <row r="55">
      <c r="A55" t="inlineStr">
        <is>
          <t>No</t>
        </is>
      </c>
      <c r="B55" t="inlineStr">
        <is>
          <t>HQ1058.5.D4 O94 1996</t>
        </is>
      </c>
      <c r="C55" t="inlineStr">
        <is>
          <t>0                      HQ 1058500D  4                  O  94          1996</t>
        </is>
      </c>
      <c r="D55" t="inlineStr">
        <is>
          <t>A world of widows / Margaret Owen.</t>
        </is>
      </c>
      <c r="F55" t="inlineStr">
        <is>
          <t>No</t>
        </is>
      </c>
      <c r="G55" t="inlineStr">
        <is>
          <t>1</t>
        </is>
      </c>
      <c r="H55" t="inlineStr">
        <is>
          <t>No</t>
        </is>
      </c>
      <c r="I55" t="inlineStr">
        <is>
          <t>No</t>
        </is>
      </c>
      <c r="J55" t="inlineStr">
        <is>
          <t>0</t>
        </is>
      </c>
      <c r="K55" t="inlineStr">
        <is>
          <t>Owen, Margaret, 1932-</t>
        </is>
      </c>
      <c r="L55" t="inlineStr">
        <is>
          <t>London ; Atlantic Highlands, NJ : Zed Books, 1996.</t>
        </is>
      </c>
      <c r="M55" t="inlineStr">
        <is>
          <t>1996</t>
        </is>
      </c>
      <c r="O55" t="inlineStr">
        <is>
          <t>eng</t>
        </is>
      </c>
      <c r="P55" t="inlineStr">
        <is>
          <t>enk</t>
        </is>
      </c>
      <c r="R55" t="inlineStr">
        <is>
          <t xml:space="preserve">HQ </t>
        </is>
      </c>
      <c r="S55" t="n">
        <v>2</v>
      </c>
      <c r="T55" t="n">
        <v>2</v>
      </c>
      <c r="U55" t="inlineStr">
        <is>
          <t>2001-02-09</t>
        </is>
      </c>
      <c r="V55" t="inlineStr">
        <is>
          <t>2001-02-09</t>
        </is>
      </c>
      <c r="W55" t="inlineStr">
        <is>
          <t>1998-01-16</t>
        </is>
      </c>
      <c r="X55" t="inlineStr">
        <is>
          <t>1998-01-16</t>
        </is>
      </c>
      <c r="Y55" t="n">
        <v>367</v>
      </c>
      <c r="Z55" t="n">
        <v>271</v>
      </c>
      <c r="AA55" t="n">
        <v>274</v>
      </c>
      <c r="AB55" t="n">
        <v>3</v>
      </c>
      <c r="AC55" t="n">
        <v>3</v>
      </c>
      <c r="AD55" t="n">
        <v>16</v>
      </c>
      <c r="AE55" t="n">
        <v>16</v>
      </c>
      <c r="AF55" t="n">
        <v>5</v>
      </c>
      <c r="AG55" t="n">
        <v>5</v>
      </c>
      <c r="AH55" t="n">
        <v>5</v>
      </c>
      <c r="AI55" t="n">
        <v>5</v>
      </c>
      <c r="AJ55" t="n">
        <v>11</v>
      </c>
      <c r="AK55" t="n">
        <v>11</v>
      </c>
      <c r="AL55" t="n">
        <v>2</v>
      </c>
      <c r="AM55" t="n">
        <v>2</v>
      </c>
      <c r="AN55" t="n">
        <v>0</v>
      </c>
      <c r="AO55" t="n">
        <v>0</v>
      </c>
      <c r="AP55" t="inlineStr">
        <is>
          <t>No</t>
        </is>
      </c>
      <c r="AQ55" t="inlineStr">
        <is>
          <t>No</t>
        </is>
      </c>
      <c r="AS55">
        <f>HYPERLINK("https://creighton-primo.hosted.exlibrisgroup.com/primo-explore/search?tab=default_tab&amp;search_scope=EVERYTHING&amp;vid=01CRU&amp;lang=en_US&amp;offset=0&amp;query=any,contains,991002633479702656","Catalog Record")</f>
        <v/>
      </c>
      <c r="AT55">
        <f>HYPERLINK("http://www.worldcat.org/oclc/34514997","WorldCat Record")</f>
        <v/>
      </c>
      <c r="AU55" t="inlineStr">
        <is>
          <t>44188406:eng</t>
        </is>
      </c>
      <c r="AV55" t="inlineStr">
        <is>
          <t>34514997</t>
        </is>
      </c>
      <c r="AW55" t="inlineStr">
        <is>
          <t>991002633479702656</t>
        </is>
      </c>
      <c r="AX55" t="inlineStr">
        <is>
          <t>991002633479702656</t>
        </is>
      </c>
      <c r="AY55" t="inlineStr">
        <is>
          <t>2256157940002656</t>
        </is>
      </c>
      <c r="AZ55" t="inlineStr">
        <is>
          <t>BOOK</t>
        </is>
      </c>
      <c r="BB55" t="inlineStr">
        <is>
          <t>9781856494199</t>
        </is>
      </c>
      <c r="BC55" t="inlineStr">
        <is>
          <t>32285003303848</t>
        </is>
      </c>
      <c r="BD55" t="inlineStr">
        <is>
          <t>893498345</t>
        </is>
      </c>
    </row>
    <row r="56">
      <c r="A56" t="inlineStr">
        <is>
          <t>No</t>
        </is>
      </c>
      <c r="B56" t="inlineStr">
        <is>
          <t>HQ1058.5.U5 F47</t>
        </is>
      </c>
      <c r="C56" t="inlineStr">
        <is>
          <t>0                      HQ 1058500U  5                  F  47</t>
        </is>
      </c>
      <c r="D56" t="inlineStr">
        <is>
          <t>The young widow : conflicts and guidelines / Tamara Ferguson, Austin H. Kutscher, and Lillian G. Kutscher.</t>
        </is>
      </c>
      <c r="F56" t="inlineStr">
        <is>
          <t>No</t>
        </is>
      </c>
      <c r="G56" t="inlineStr">
        <is>
          <t>1</t>
        </is>
      </c>
      <c r="H56" t="inlineStr">
        <is>
          <t>No</t>
        </is>
      </c>
      <c r="I56" t="inlineStr">
        <is>
          <t>No</t>
        </is>
      </c>
      <c r="J56" t="inlineStr">
        <is>
          <t>0</t>
        </is>
      </c>
      <c r="K56" t="inlineStr">
        <is>
          <t>Ferguson, Tamara.</t>
        </is>
      </c>
      <c r="L56" t="inlineStr">
        <is>
          <t>New York, N.Y. : Arno Press, 1981.</t>
        </is>
      </c>
      <c r="M56" t="inlineStr">
        <is>
          <t>1980</t>
        </is>
      </c>
      <c r="O56" t="inlineStr">
        <is>
          <t>eng</t>
        </is>
      </c>
      <c r="P56" t="inlineStr">
        <is>
          <t>nyu</t>
        </is>
      </c>
      <c r="R56" t="inlineStr">
        <is>
          <t xml:space="preserve">HQ </t>
        </is>
      </c>
      <c r="S56" t="n">
        <v>5</v>
      </c>
      <c r="T56" t="n">
        <v>5</v>
      </c>
      <c r="U56" t="inlineStr">
        <is>
          <t>2001-02-09</t>
        </is>
      </c>
      <c r="V56" t="inlineStr">
        <is>
          <t>2001-02-09</t>
        </is>
      </c>
      <c r="W56" t="inlineStr">
        <is>
          <t>1993-04-23</t>
        </is>
      </c>
      <c r="X56" t="inlineStr">
        <is>
          <t>1993-04-23</t>
        </is>
      </c>
      <c r="Y56" t="n">
        <v>68</v>
      </c>
      <c r="Z56" t="n">
        <v>55</v>
      </c>
      <c r="AA56" t="n">
        <v>58</v>
      </c>
      <c r="AB56" t="n">
        <v>2</v>
      </c>
      <c r="AC56" t="n">
        <v>2</v>
      </c>
      <c r="AD56" t="n">
        <v>1</v>
      </c>
      <c r="AE56" t="n">
        <v>1</v>
      </c>
      <c r="AF56" t="n">
        <v>0</v>
      </c>
      <c r="AG56" t="n">
        <v>0</v>
      </c>
      <c r="AH56" t="n">
        <v>0</v>
      </c>
      <c r="AI56" t="n">
        <v>0</v>
      </c>
      <c r="AJ56" t="n">
        <v>0</v>
      </c>
      <c r="AK56" t="n">
        <v>0</v>
      </c>
      <c r="AL56" t="n">
        <v>1</v>
      </c>
      <c r="AM56" t="n">
        <v>1</v>
      </c>
      <c r="AN56" t="n">
        <v>0</v>
      </c>
      <c r="AO56" t="n">
        <v>0</v>
      </c>
      <c r="AP56" t="inlineStr">
        <is>
          <t>No</t>
        </is>
      </c>
      <c r="AQ56" t="inlineStr">
        <is>
          <t>Yes</t>
        </is>
      </c>
      <c r="AR56">
        <f>HYPERLINK("http://catalog.hathitrust.org/Record/000475532","HathiTrust Record")</f>
        <v/>
      </c>
      <c r="AS56">
        <f>HYPERLINK("https://creighton-primo.hosted.exlibrisgroup.com/primo-explore/search?tab=default_tab&amp;search_scope=EVERYTHING&amp;vid=01CRU&amp;lang=en_US&amp;offset=0&amp;query=any,contains,991005040439702656","Catalog Record")</f>
        <v/>
      </c>
      <c r="AT56">
        <f>HYPERLINK("http://www.worldcat.org/oclc/6790196","WorldCat Record")</f>
        <v/>
      </c>
      <c r="AU56" t="inlineStr">
        <is>
          <t>427173536:eng</t>
        </is>
      </c>
      <c r="AV56" t="inlineStr">
        <is>
          <t>6790196</t>
        </is>
      </c>
      <c r="AW56" t="inlineStr">
        <is>
          <t>991005040439702656</t>
        </is>
      </c>
      <c r="AX56" t="inlineStr">
        <is>
          <t>991005040439702656</t>
        </is>
      </c>
      <c r="AY56" t="inlineStr">
        <is>
          <t>2271785920002656</t>
        </is>
      </c>
      <c r="AZ56" t="inlineStr">
        <is>
          <t>BOOK</t>
        </is>
      </c>
      <c r="BB56" t="inlineStr">
        <is>
          <t>9780405139352</t>
        </is>
      </c>
      <c r="BC56" t="inlineStr">
        <is>
          <t>32285001625093</t>
        </is>
      </c>
      <c r="BD56" t="inlineStr">
        <is>
          <t>893776737</t>
        </is>
      </c>
    </row>
    <row r="57">
      <c r="A57" t="inlineStr">
        <is>
          <t>No</t>
        </is>
      </c>
      <c r="B57" t="inlineStr">
        <is>
          <t>HQ1058.5.U5 F58</t>
        </is>
      </c>
      <c r="C57" t="inlineStr">
        <is>
          <t>0                      HQ 1058500U  5                  F  58</t>
        </is>
      </c>
      <c r="D57" t="inlineStr">
        <is>
          <t>The widow's guide to life : how to adjust/how to grow / Ida Fisher, Byron Lane.</t>
        </is>
      </c>
      <c r="F57" t="inlineStr">
        <is>
          <t>No</t>
        </is>
      </c>
      <c r="G57" t="inlineStr">
        <is>
          <t>1</t>
        </is>
      </c>
      <c r="H57" t="inlineStr">
        <is>
          <t>No</t>
        </is>
      </c>
      <c r="I57" t="inlineStr">
        <is>
          <t>No</t>
        </is>
      </c>
      <c r="J57" t="inlineStr">
        <is>
          <t>0</t>
        </is>
      </c>
      <c r="K57" t="inlineStr">
        <is>
          <t>Fisher, Ida.</t>
        </is>
      </c>
      <c r="L57" t="inlineStr">
        <is>
          <t>Englewood Cliffs, NJ : Prentice-Hall, c1981.</t>
        </is>
      </c>
      <c r="M57" t="inlineStr">
        <is>
          <t>1981</t>
        </is>
      </c>
      <c r="O57" t="inlineStr">
        <is>
          <t>eng</t>
        </is>
      </c>
      <c r="P57" t="inlineStr">
        <is>
          <t>nju</t>
        </is>
      </c>
      <c r="Q57" t="inlineStr">
        <is>
          <t>A Spectrum book</t>
        </is>
      </c>
      <c r="R57" t="inlineStr">
        <is>
          <t xml:space="preserve">HQ </t>
        </is>
      </c>
      <c r="S57" t="n">
        <v>2</v>
      </c>
      <c r="T57" t="n">
        <v>2</v>
      </c>
      <c r="U57" t="inlineStr">
        <is>
          <t>2000-10-09</t>
        </is>
      </c>
      <c r="V57" t="inlineStr">
        <is>
          <t>2000-10-09</t>
        </is>
      </c>
      <c r="W57" t="inlineStr">
        <is>
          <t>1993-04-23</t>
        </is>
      </c>
      <c r="X57" t="inlineStr">
        <is>
          <t>1993-04-23</t>
        </is>
      </c>
      <c r="Y57" t="n">
        <v>150</v>
      </c>
      <c r="Z57" t="n">
        <v>139</v>
      </c>
      <c r="AA57" t="n">
        <v>147</v>
      </c>
      <c r="AB57" t="n">
        <v>1</v>
      </c>
      <c r="AC57" t="n">
        <v>1</v>
      </c>
      <c r="AD57" t="n">
        <v>0</v>
      </c>
      <c r="AE57" t="n">
        <v>0</v>
      </c>
      <c r="AF57" t="n">
        <v>0</v>
      </c>
      <c r="AG57" t="n">
        <v>0</v>
      </c>
      <c r="AH57" t="n">
        <v>0</v>
      </c>
      <c r="AI57" t="n">
        <v>0</v>
      </c>
      <c r="AJ57" t="n">
        <v>0</v>
      </c>
      <c r="AK57" t="n">
        <v>0</v>
      </c>
      <c r="AL57" t="n">
        <v>0</v>
      </c>
      <c r="AM57" t="n">
        <v>0</v>
      </c>
      <c r="AN57" t="n">
        <v>0</v>
      </c>
      <c r="AO57" t="n">
        <v>0</v>
      </c>
      <c r="AP57" t="inlineStr">
        <is>
          <t>No</t>
        </is>
      </c>
      <c r="AQ57" t="inlineStr">
        <is>
          <t>No</t>
        </is>
      </c>
      <c r="AS57">
        <f>HYPERLINK("https://creighton-primo.hosted.exlibrisgroup.com/primo-explore/search?tab=default_tab&amp;search_scope=EVERYTHING&amp;vid=01CRU&amp;lang=en_US&amp;offset=0&amp;query=any,contains,991005088549702656","Catalog Record")</f>
        <v/>
      </c>
      <c r="AT57">
        <f>HYPERLINK("http://www.worldcat.org/oclc/7203514","WorldCat Record")</f>
        <v/>
      </c>
      <c r="AU57" t="inlineStr">
        <is>
          <t>412624:eng</t>
        </is>
      </c>
      <c r="AV57" t="inlineStr">
        <is>
          <t>7203514</t>
        </is>
      </c>
      <c r="AW57" t="inlineStr">
        <is>
          <t>991005088549702656</t>
        </is>
      </c>
      <c r="AX57" t="inlineStr">
        <is>
          <t>991005088549702656</t>
        </is>
      </c>
      <c r="AY57" t="inlineStr">
        <is>
          <t>2267718670002656</t>
        </is>
      </c>
      <c r="AZ57" t="inlineStr">
        <is>
          <t>BOOK</t>
        </is>
      </c>
      <c r="BB57" t="inlineStr">
        <is>
          <t>9780139594458</t>
        </is>
      </c>
      <c r="BC57" t="inlineStr">
        <is>
          <t>32285001625101</t>
        </is>
      </c>
      <c r="BD57" t="inlineStr">
        <is>
          <t>893424529</t>
        </is>
      </c>
    </row>
    <row r="58">
      <c r="A58" t="inlineStr">
        <is>
          <t>No</t>
        </is>
      </c>
      <c r="B58" t="inlineStr">
        <is>
          <t>HQ1059.4 .H86 2002</t>
        </is>
      </c>
      <c r="C58" t="inlineStr">
        <is>
          <t>0                      HQ 1059400H  86          2002</t>
        </is>
      </c>
      <c r="D58" t="inlineStr">
        <is>
          <t>Women at midlife : life experiences and implications for the helping professions / Ski Hunter, Sandra S. Sundel and Martin Sundel.</t>
        </is>
      </c>
      <c r="F58" t="inlineStr">
        <is>
          <t>No</t>
        </is>
      </c>
      <c r="G58" t="inlineStr">
        <is>
          <t>1</t>
        </is>
      </c>
      <c r="H58" t="inlineStr">
        <is>
          <t>No</t>
        </is>
      </c>
      <c r="I58" t="inlineStr">
        <is>
          <t>No</t>
        </is>
      </c>
      <c r="J58" t="inlineStr">
        <is>
          <t>0</t>
        </is>
      </c>
      <c r="K58" t="inlineStr">
        <is>
          <t>Hunter, Ski.</t>
        </is>
      </c>
      <c r="L58" t="inlineStr">
        <is>
          <t>Washington, DC : National Association of Social Workers, c2002.</t>
        </is>
      </c>
      <c r="M58" t="inlineStr">
        <is>
          <t>2002</t>
        </is>
      </c>
      <c r="O58" t="inlineStr">
        <is>
          <t>eng</t>
        </is>
      </c>
      <c r="P58" t="inlineStr">
        <is>
          <t>dcu</t>
        </is>
      </c>
      <c r="R58" t="inlineStr">
        <is>
          <t xml:space="preserve">HQ </t>
        </is>
      </c>
      <c r="S58" t="n">
        <v>1</v>
      </c>
      <c r="T58" t="n">
        <v>1</v>
      </c>
      <c r="U58" t="inlineStr">
        <is>
          <t>2003-11-12</t>
        </is>
      </c>
      <c r="V58" t="inlineStr">
        <is>
          <t>2003-11-12</t>
        </is>
      </c>
      <c r="W58" t="inlineStr">
        <is>
          <t>2003-11-12</t>
        </is>
      </c>
      <c r="X58" t="inlineStr">
        <is>
          <t>2003-11-12</t>
        </is>
      </c>
      <c r="Y58" t="n">
        <v>351</v>
      </c>
      <c r="Z58" t="n">
        <v>318</v>
      </c>
      <c r="AA58" t="n">
        <v>327</v>
      </c>
      <c r="AB58" t="n">
        <v>2</v>
      </c>
      <c r="AC58" t="n">
        <v>2</v>
      </c>
      <c r="AD58" t="n">
        <v>11</v>
      </c>
      <c r="AE58" t="n">
        <v>11</v>
      </c>
      <c r="AF58" t="n">
        <v>3</v>
      </c>
      <c r="AG58" t="n">
        <v>3</v>
      </c>
      <c r="AH58" t="n">
        <v>3</v>
      </c>
      <c r="AI58" t="n">
        <v>3</v>
      </c>
      <c r="AJ58" t="n">
        <v>7</v>
      </c>
      <c r="AK58" t="n">
        <v>7</v>
      </c>
      <c r="AL58" t="n">
        <v>1</v>
      </c>
      <c r="AM58" t="n">
        <v>1</v>
      </c>
      <c r="AN58" t="n">
        <v>0</v>
      </c>
      <c r="AO58" t="n">
        <v>0</v>
      </c>
      <c r="AP58" t="inlineStr">
        <is>
          <t>No</t>
        </is>
      </c>
      <c r="AQ58" t="inlineStr">
        <is>
          <t>Yes</t>
        </is>
      </c>
      <c r="AR58">
        <f>HYPERLINK("http://catalog.hathitrust.org/Record/003819725","HathiTrust Record")</f>
        <v/>
      </c>
      <c r="AS58">
        <f>HYPERLINK("https://creighton-primo.hosted.exlibrisgroup.com/primo-explore/search?tab=default_tab&amp;search_scope=EVERYTHING&amp;vid=01CRU&amp;lang=en_US&amp;offset=0&amp;query=any,contains,991004162809702656","Catalog Record")</f>
        <v/>
      </c>
      <c r="AT58">
        <f>HYPERLINK("http://www.worldcat.org/oclc/50764701","WorldCat Record")</f>
        <v/>
      </c>
      <c r="AU58" t="inlineStr">
        <is>
          <t>973329:eng</t>
        </is>
      </c>
      <c r="AV58" t="inlineStr">
        <is>
          <t>50764701</t>
        </is>
      </c>
      <c r="AW58" t="inlineStr">
        <is>
          <t>991004162809702656</t>
        </is>
      </c>
      <c r="AX58" t="inlineStr">
        <is>
          <t>991004162809702656</t>
        </is>
      </c>
      <c r="AY58" t="inlineStr">
        <is>
          <t>2265895680002656</t>
        </is>
      </c>
      <c r="AZ58" t="inlineStr">
        <is>
          <t>BOOK</t>
        </is>
      </c>
      <c r="BB58" t="inlineStr">
        <is>
          <t>9780871013514</t>
        </is>
      </c>
      <c r="BC58" t="inlineStr">
        <is>
          <t>32285004797246</t>
        </is>
      </c>
      <c r="BD58" t="inlineStr">
        <is>
          <t>893353258</t>
        </is>
      </c>
    </row>
    <row r="59">
      <c r="A59" t="inlineStr">
        <is>
          <t>No</t>
        </is>
      </c>
      <c r="B59" t="inlineStr">
        <is>
          <t>HQ1059.4 .K37 1987</t>
        </is>
      </c>
      <c r="C59" t="inlineStr">
        <is>
          <t>0                      HQ 1059400K  37          1987</t>
        </is>
      </c>
      <c r="D59" t="inlineStr">
        <is>
          <t>Fifty : midlife in perspective / Herant Katchadourian.</t>
        </is>
      </c>
      <c r="F59" t="inlineStr">
        <is>
          <t>No</t>
        </is>
      </c>
      <c r="G59" t="inlineStr">
        <is>
          <t>1</t>
        </is>
      </c>
      <c r="H59" t="inlineStr">
        <is>
          <t>No</t>
        </is>
      </c>
      <c r="I59" t="inlineStr">
        <is>
          <t>No</t>
        </is>
      </c>
      <c r="J59" t="inlineStr">
        <is>
          <t>0</t>
        </is>
      </c>
      <c r="K59" t="inlineStr">
        <is>
          <t>Katchadourian, Herant A.</t>
        </is>
      </c>
      <c r="L59" t="inlineStr">
        <is>
          <t>New York : W.H. Freeman, c1987.</t>
        </is>
      </c>
      <c r="M59" t="inlineStr">
        <is>
          <t>1987</t>
        </is>
      </c>
      <c r="O59" t="inlineStr">
        <is>
          <t>eng</t>
        </is>
      </c>
      <c r="P59" t="inlineStr">
        <is>
          <t>nyu</t>
        </is>
      </c>
      <c r="R59" t="inlineStr">
        <is>
          <t xml:space="preserve">HQ </t>
        </is>
      </c>
      <c r="S59" t="n">
        <v>3</v>
      </c>
      <c r="T59" t="n">
        <v>3</v>
      </c>
      <c r="U59" t="inlineStr">
        <is>
          <t>1995-11-30</t>
        </is>
      </c>
      <c r="V59" t="inlineStr">
        <is>
          <t>1995-11-30</t>
        </is>
      </c>
      <c r="W59" t="inlineStr">
        <is>
          <t>1992-08-12</t>
        </is>
      </c>
      <c r="X59" t="inlineStr">
        <is>
          <t>1992-08-12</t>
        </is>
      </c>
      <c r="Y59" t="n">
        <v>353</v>
      </c>
      <c r="Z59" t="n">
        <v>284</v>
      </c>
      <c r="AA59" t="n">
        <v>289</v>
      </c>
      <c r="AB59" t="n">
        <v>3</v>
      </c>
      <c r="AC59" t="n">
        <v>3</v>
      </c>
      <c r="AD59" t="n">
        <v>12</v>
      </c>
      <c r="AE59" t="n">
        <v>12</v>
      </c>
      <c r="AF59" t="n">
        <v>4</v>
      </c>
      <c r="AG59" t="n">
        <v>4</v>
      </c>
      <c r="AH59" t="n">
        <v>3</v>
      </c>
      <c r="AI59" t="n">
        <v>3</v>
      </c>
      <c r="AJ59" t="n">
        <v>8</v>
      </c>
      <c r="AK59" t="n">
        <v>8</v>
      </c>
      <c r="AL59" t="n">
        <v>2</v>
      </c>
      <c r="AM59" t="n">
        <v>2</v>
      </c>
      <c r="AN59" t="n">
        <v>0</v>
      </c>
      <c r="AO59" t="n">
        <v>0</v>
      </c>
      <c r="AP59" t="inlineStr">
        <is>
          <t>No</t>
        </is>
      </c>
      <c r="AQ59" t="inlineStr">
        <is>
          <t>No</t>
        </is>
      </c>
      <c r="AS59">
        <f>HYPERLINK("https://creighton-primo.hosted.exlibrisgroup.com/primo-explore/search?tab=default_tab&amp;search_scope=EVERYTHING&amp;vid=01CRU&amp;lang=en_US&amp;offset=0&amp;query=any,contains,991001020769702656","Catalog Record")</f>
        <v/>
      </c>
      <c r="AT59">
        <f>HYPERLINK("http://www.worldcat.org/oclc/15366915","WorldCat Record")</f>
        <v/>
      </c>
      <c r="AU59" t="inlineStr">
        <is>
          <t>288934024:eng</t>
        </is>
      </c>
      <c r="AV59" t="inlineStr">
        <is>
          <t>15366915</t>
        </is>
      </c>
      <c r="AW59" t="inlineStr">
        <is>
          <t>991001020769702656</t>
        </is>
      </c>
      <c r="AX59" t="inlineStr">
        <is>
          <t>991001020769702656</t>
        </is>
      </c>
      <c r="AY59" t="inlineStr">
        <is>
          <t>2260592320002656</t>
        </is>
      </c>
      <c r="AZ59" t="inlineStr">
        <is>
          <t>BOOK</t>
        </is>
      </c>
      <c r="BB59" t="inlineStr">
        <is>
          <t>9780716718673</t>
        </is>
      </c>
      <c r="BC59" t="inlineStr">
        <is>
          <t>32285001253854</t>
        </is>
      </c>
      <c r="BD59" t="inlineStr">
        <is>
          <t>893878549</t>
        </is>
      </c>
    </row>
    <row r="60">
      <c r="A60" t="inlineStr">
        <is>
          <t>No</t>
        </is>
      </c>
      <c r="B60" t="inlineStr">
        <is>
          <t>HQ1059.4 .V36 1985</t>
        </is>
      </c>
      <c r="C60" t="inlineStr">
        <is>
          <t>0                      HQ 1059400V  36          1985</t>
        </is>
      </c>
      <c r="D60" t="inlineStr">
        <is>
          <t>Midlife myths and realities / William H. Van Hoose.</t>
        </is>
      </c>
      <c r="F60" t="inlineStr">
        <is>
          <t>No</t>
        </is>
      </c>
      <c r="G60" t="inlineStr">
        <is>
          <t>1</t>
        </is>
      </c>
      <c r="H60" t="inlineStr">
        <is>
          <t>No</t>
        </is>
      </c>
      <c r="I60" t="inlineStr">
        <is>
          <t>No</t>
        </is>
      </c>
      <c r="J60" t="inlineStr">
        <is>
          <t>0</t>
        </is>
      </c>
      <c r="K60" t="inlineStr">
        <is>
          <t>Van Hoose, William H.</t>
        </is>
      </c>
      <c r="L60" t="inlineStr">
        <is>
          <t>Atlanta, Ga. : Humanics Ltd., c1985.</t>
        </is>
      </c>
      <c r="M60" t="inlineStr">
        <is>
          <t>1985</t>
        </is>
      </c>
      <c r="O60" t="inlineStr">
        <is>
          <t>eng</t>
        </is>
      </c>
      <c r="P60" t="inlineStr">
        <is>
          <t>gau</t>
        </is>
      </c>
      <c r="R60" t="inlineStr">
        <is>
          <t xml:space="preserve">HQ </t>
        </is>
      </c>
      <c r="S60" t="n">
        <v>10</v>
      </c>
      <c r="T60" t="n">
        <v>10</v>
      </c>
      <c r="U60" t="inlineStr">
        <is>
          <t>1997-02-03</t>
        </is>
      </c>
      <c r="V60" t="inlineStr">
        <is>
          <t>1997-02-03</t>
        </is>
      </c>
      <c r="W60" t="inlineStr">
        <is>
          <t>1992-04-06</t>
        </is>
      </c>
      <c r="X60" t="inlineStr">
        <is>
          <t>1992-04-06</t>
        </is>
      </c>
      <c r="Y60" t="n">
        <v>130</v>
      </c>
      <c r="Z60" t="n">
        <v>127</v>
      </c>
      <c r="AA60" t="n">
        <v>132</v>
      </c>
      <c r="AB60" t="n">
        <v>3</v>
      </c>
      <c r="AC60" t="n">
        <v>3</v>
      </c>
      <c r="AD60" t="n">
        <v>4</v>
      </c>
      <c r="AE60" t="n">
        <v>4</v>
      </c>
      <c r="AF60" t="n">
        <v>1</v>
      </c>
      <c r="AG60" t="n">
        <v>1</v>
      </c>
      <c r="AH60" t="n">
        <v>0</v>
      </c>
      <c r="AI60" t="n">
        <v>0</v>
      </c>
      <c r="AJ60" t="n">
        <v>2</v>
      </c>
      <c r="AK60" t="n">
        <v>2</v>
      </c>
      <c r="AL60" t="n">
        <v>2</v>
      </c>
      <c r="AM60" t="n">
        <v>2</v>
      </c>
      <c r="AN60" t="n">
        <v>0</v>
      </c>
      <c r="AO60" t="n">
        <v>0</v>
      </c>
      <c r="AP60" t="inlineStr">
        <is>
          <t>No</t>
        </is>
      </c>
      <c r="AQ60" t="inlineStr">
        <is>
          <t>No</t>
        </is>
      </c>
      <c r="AS60">
        <f>HYPERLINK("https://creighton-primo.hosted.exlibrisgroup.com/primo-explore/search?tab=default_tab&amp;search_scope=EVERYTHING&amp;vid=01CRU&amp;lang=en_US&amp;offset=0&amp;query=any,contains,991000530079702656","Catalog Record")</f>
        <v/>
      </c>
      <c r="AT60">
        <f>HYPERLINK("http://www.worldcat.org/oclc/11398044","WorldCat Record")</f>
        <v/>
      </c>
      <c r="AU60" t="inlineStr">
        <is>
          <t>4150324:eng</t>
        </is>
      </c>
      <c r="AV60" t="inlineStr">
        <is>
          <t>11398044</t>
        </is>
      </c>
      <c r="AW60" t="inlineStr">
        <is>
          <t>991000530079702656</t>
        </is>
      </c>
      <c r="AX60" t="inlineStr">
        <is>
          <t>991000530079702656</t>
        </is>
      </c>
      <c r="AY60" t="inlineStr">
        <is>
          <t>2270493450002656</t>
        </is>
      </c>
      <c r="AZ60" t="inlineStr">
        <is>
          <t>BOOK</t>
        </is>
      </c>
      <c r="BB60" t="inlineStr">
        <is>
          <t>9780893340810</t>
        </is>
      </c>
      <c r="BC60" t="inlineStr">
        <is>
          <t>32285001055366</t>
        </is>
      </c>
      <c r="BD60" t="inlineStr">
        <is>
          <t>893345747</t>
        </is>
      </c>
    </row>
    <row r="61">
      <c r="A61" t="inlineStr">
        <is>
          <t>No</t>
        </is>
      </c>
      <c r="B61" t="inlineStr">
        <is>
          <t>HQ1059.4 .W45 1998</t>
        </is>
      </c>
      <c r="C61" t="inlineStr">
        <is>
          <t>0                      HQ 1059400W  45          1998</t>
        </is>
      </c>
      <c r="D61" t="inlineStr">
        <is>
          <t>Welcome to middle age! : (and other cultural fictions) / edited by Richard A. Shweder.</t>
        </is>
      </c>
      <c r="F61" t="inlineStr">
        <is>
          <t>No</t>
        </is>
      </c>
      <c r="G61" t="inlineStr">
        <is>
          <t>1</t>
        </is>
      </c>
      <c r="H61" t="inlineStr">
        <is>
          <t>No</t>
        </is>
      </c>
      <c r="I61" t="inlineStr">
        <is>
          <t>No</t>
        </is>
      </c>
      <c r="J61" t="inlineStr">
        <is>
          <t>0</t>
        </is>
      </c>
      <c r="L61" t="inlineStr">
        <is>
          <t>Chicago : University of Chicago Press, 1998.</t>
        </is>
      </c>
      <c r="M61" t="inlineStr">
        <is>
          <t>1998</t>
        </is>
      </c>
      <c r="O61" t="inlineStr">
        <is>
          <t>eng</t>
        </is>
      </c>
      <c r="P61" t="inlineStr">
        <is>
          <t>ilu</t>
        </is>
      </c>
      <c r="Q61" t="inlineStr">
        <is>
          <t>The John D. and Catherine T. MacArthur Foundation series on mental health and development. Studies on successful midlife development</t>
        </is>
      </c>
      <c r="R61" t="inlineStr">
        <is>
          <t xml:space="preserve">HQ </t>
        </is>
      </c>
      <c r="S61" t="n">
        <v>1</v>
      </c>
      <c r="T61" t="n">
        <v>1</v>
      </c>
      <c r="U61" t="inlineStr">
        <is>
          <t>2002-09-18</t>
        </is>
      </c>
      <c r="V61" t="inlineStr">
        <is>
          <t>2002-09-18</t>
        </is>
      </c>
      <c r="W61" t="inlineStr">
        <is>
          <t>1998-09-23</t>
        </is>
      </c>
      <c r="X61" t="inlineStr">
        <is>
          <t>1998-09-23</t>
        </is>
      </c>
      <c r="Y61" t="n">
        <v>382</v>
      </c>
      <c r="Z61" t="n">
        <v>314</v>
      </c>
      <c r="AA61" t="n">
        <v>319</v>
      </c>
      <c r="AB61" t="n">
        <v>3</v>
      </c>
      <c r="AC61" t="n">
        <v>3</v>
      </c>
      <c r="AD61" t="n">
        <v>13</v>
      </c>
      <c r="AE61" t="n">
        <v>13</v>
      </c>
      <c r="AF61" t="n">
        <v>3</v>
      </c>
      <c r="AG61" t="n">
        <v>3</v>
      </c>
      <c r="AH61" t="n">
        <v>3</v>
      </c>
      <c r="AI61" t="n">
        <v>3</v>
      </c>
      <c r="AJ61" t="n">
        <v>8</v>
      </c>
      <c r="AK61" t="n">
        <v>8</v>
      </c>
      <c r="AL61" t="n">
        <v>2</v>
      </c>
      <c r="AM61" t="n">
        <v>2</v>
      </c>
      <c r="AN61" t="n">
        <v>0</v>
      </c>
      <c r="AO61" t="n">
        <v>0</v>
      </c>
      <c r="AP61" t="inlineStr">
        <is>
          <t>No</t>
        </is>
      </c>
      <c r="AQ61" t="inlineStr">
        <is>
          <t>No</t>
        </is>
      </c>
      <c r="AS61">
        <f>HYPERLINK("https://creighton-primo.hosted.exlibrisgroup.com/primo-explore/search?tab=default_tab&amp;search_scope=EVERYTHING&amp;vid=01CRU&amp;lang=en_US&amp;offset=0&amp;query=any,contains,991002876069702656","Catalog Record")</f>
        <v/>
      </c>
      <c r="AT61">
        <f>HYPERLINK("http://www.worldcat.org/oclc/37902418","WorldCat Record")</f>
        <v/>
      </c>
      <c r="AU61" t="inlineStr">
        <is>
          <t>152266731:eng</t>
        </is>
      </c>
      <c r="AV61" t="inlineStr">
        <is>
          <t>37902418</t>
        </is>
      </c>
      <c r="AW61" t="inlineStr">
        <is>
          <t>991002876069702656</t>
        </is>
      </c>
      <c r="AX61" t="inlineStr">
        <is>
          <t>991002876069702656</t>
        </is>
      </c>
      <c r="AY61" t="inlineStr">
        <is>
          <t>2257721540002656</t>
        </is>
      </c>
      <c r="AZ61" t="inlineStr">
        <is>
          <t>BOOK</t>
        </is>
      </c>
      <c r="BB61" t="inlineStr">
        <is>
          <t>9780226756073</t>
        </is>
      </c>
      <c r="BC61" t="inlineStr">
        <is>
          <t>32285003470423</t>
        </is>
      </c>
      <c r="BD61" t="inlineStr">
        <is>
          <t>893874123</t>
        </is>
      </c>
    </row>
    <row r="62">
      <c r="A62" t="inlineStr">
        <is>
          <t>No</t>
        </is>
      </c>
      <c r="B62" t="inlineStr">
        <is>
          <t>HQ1059.5.U5 B37 1993</t>
        </is>
      </c>
      <c r="C62" t="inlineStr">
        <is>
          <t>0                      HQ 1059500U  5                  B  37          1993</t>
        </is>
      </c>
      <c r="D62" t="inlineStr">
        <is>
          <t>In our fifties : voices of men and women reinventing their lives / William H. Bergquist, Elinor Miller Greenberg, G. Alan Klaum.</t>
        </is>
      </c>
      <c r="F62" t="inlineStr">
        <is>
          <t>No</t>
        </is>
      </c>
      <c r="G62" t="inlineStr">
        <is>
          <t>1</t>
        </is>
      </c>
      <c r="H62" t="inlineStr">
        <is>
          <t>No</t>
        </is>
      </c>
      <c r="I62" t="inlineStr">
        <is>
          <t>No</t>
        </is>
      </c>
      <c r="J62" t="inlineStr">
        <is>
          <t>0</t>
        </is>
      </c>
      <c r="K62" t="inlineStr">
        <is>
          <t>Bergquist, William H.</t>
        </is>
      </c>
      <c r="L62" t="inlineStr">
        <is>
          <t>San Francisco : Jossey-Bass, c1993.</t>
        </is>
      </c>
      <c r="M62" t="inlineStr">
        <is>
          <t>1993</t>
        </is>
      </c>
      <c r="N62" t="inlineStr">
        <is>
          <t>1st ed.</t>
        </is>
      </c>
      <c r="O62" t="inlineStr">
        <is>
          <t>eng</t>
        </is>
      </c>
      <c r="P62" t="inlineStr">
        <is>
          <t>cau</t>
        </is>
      </c>
      <c r="Q62" t="inlineStr">
        <is>
          <t>The Jossey-Bass social and behavioral science series</t>
        </is>
      </c>
      <c r="R62" t="inlineStr">
        <is>
          <t xml:space="preserve">HQ </t>
        </is>
      </c>
      <c r="S62" t="n">
        <v>5</v>
      </c>
      <c r="T62" t="n">
        <v>5</v>
      </c>
      <c r="U62" t="inlineStr">
        <is>
          <t>2001-01-22</t>
        </is>
      </c>
      <c r="V62" t="inlineStr">
        <is>
          <t>2001-01-22</t>
        </is>
      </c>
      <c r="W62" t="inlineStr">
        <is>
          <t>1994-12-05</t>
        </is>
      </c>
      <c r="X62" t="inlineStr">
        <is>
          <t>1994-12-05</t>
        </is>
      </c>
      <c r="Y62" t="n">
        <v>528</v>
      </c>
      <c r="Z62" t="n">
        <v>458</v>
      </c>
      <c r="AA62" t="n">
        <v>466</v>
      </c>
      <c r="AB62" t="n">
        <v>5</v>
      </c>
      <c r="AC62" t="n">
        <v>5</v>
      </c>
      <c r="AD62" t="n">
        <v>16</v>
      </c>
      <c r="AE62" t="n">
        <v>16</v>
      </c>
      <c r="AF62" t="n">
        <v>6</v>
      </c>
      <c r="AG62" t="n">
        <v>6</v>
      </c>
      <c r="AH62" t="n">
        <v>0</v>
      </c>
      <c r="AI62" t="n">
        <v>0</v>
      </c>
      <c r="AJ62" t="n">
        <v>11</v>
      </c>
      <c r="AK62" t="n">
        <v>11</v>
      </c>
      <c r="AL62" t="n">
        <v>4</v>
      </c>
      <c r="AM62" t="n">
        <v>4</v>
      </c>
      <c r="AN62" t="n">
        <v>0</v>
      </c>
      <c r="AO62" t="n">
        <v>0</v>
      </c>
      <c r="AP62" t="inlineStr">
        <is>
          <t>No</t>
        </is>
      </c>
      <c r="AQ62" t="inlineStr">
        <is>
          <t>Yes</t>
        </is>
      </c>
      <c r="AR62">
        <f>HYPERLINK("http://catalog.hathitrust.org/Record/002714442","HathiTrust Record")</f>
        <v/>
      </c>
      <c r="AS62">
        <f>HYPERLINK("https://creighton-primo.hosted.exlibrisgroup.com/primo-explore/search?tab=default_tab&amp;search_scope=EVERYTHING&amp;vid=01CRU&amp;lang=en_US&amp;offset=0&amp;query=any,contains,991002122789702656","Catalog Record")</f>
        <v/>
      </c>
      <c r="AT62">
        <f>HYPERLINK("http://www.worldcat.org/oclc/27187021","WorldCat Record")</f>
        <v/>
      </c>
      <c r="AU62" t="inlineStr">
        <is>
          <t>902225825:eng</t>
        </is>
      </c>
      <c r="AV62" t="inlineStr">
        <is>
          <t>27187021</t>
        </is>
      </c>
      <c r="AW62" t="inlineStr">
        <is>
          <t>991002122789702656</t>
        </is>
      </c>
      <c r="AX62" t="inlineStr">
        <is>
          <t>991002122789702656</t>
        </is>
      </c>
      <c r="AY62" t="inlineStr">
        <is>
          <t>2270072910002656</t>
        </is>
      </c>
      <c r="AZ62" t="inlineStr">
        <is>
          <t>BOOK</t>
        </is>
      </c>
      <c r="BB62" t="inlineStr">
        <is>
          <t>9781555425135</t>
        </is>
      </c>
      <c r="BC62" t="inlineStr">
        <is>
          <t>32285001975266</t>
        </is>
      </c>
      <c r="BD62" t="inlineStr">
        <is>
          <t>893433505</t>
        </is>
      </c>
    </row>
    <row r="63">
      <c r="A63" t="inlineStr">
        <is>
          <t>No</t>
        </is>
      </c>
      <c r="B63" t="inlineStr">
        <is>
          <t>HQ1059.5.U5 B56</t>
        </is>
      </c>
      <c r="C63" t="inlineStr">
        <is>
          <t>0                      HQ 1059500U  5                  B  56</t>
        </is>
      </c>
      <c r="D63" t="inlineStr">
        <is>
          <t>Women over forty : visions and realities / Marilyn R. Block, Janice L. Davidson, Jean D. Grambs.</t>
        </is>
      </c>
      <c r="F63" t="inlineStr">
        <is>
          <t>No</t>
        </is>
      </c>
      <c r="G63" t="inlineStr">
        <is>
          <t>1</t>
        </is>
      </c>
      <c r="H63" t="inlineStr">
        <is>
          <t>Yes</t>
        </is>
      </c>
      <c r="I63" t="inlineStr">
        <is>
          <t>No</t>
        </is>
      </c>
      <c r="J63" t="inlineStr">
        <is>
          <t>0</t>
        </is>
      </c>
      <c r="K63" t="inlineStr">
        <is>
          <t>Block, Marilyn R.</t>
        </is>
      </c>
      <c r="L63" t="inlineStr">
        <is>
          <t>New York : Springer Pub. Co., c1981.</t>
        </is>
      </c>
      <c r="M63" t="inlineStr">
        <is>
          <t>1981</t>
        </is>
      </c>
      <c r="O63" t="inlineStr">
        <is>
          <t>eng</t>
        </is>
      </c>
      <c r="P63" t="inlineStr">
        <is>
          <t>nyu</t>
        </is>
      </c>
      <c r="Q63" t="inlineStr">
        <is>
          <t>Springer series, focus on women ; 4</t>
        </is>
      </c>
      <c r="R63" t="inlineStr">
        <is>
          <t xml:space="preserve">HQ </t>
        </is>
      </c>
      <c r="S63" t="n">
        <v>4</v>
      </c>
      <c r="T63" t="n">
        <v>5</v>
      </c>
      <c r="U63" t="inlineStr">
        <is>
          <t>2002-09-18</t>
        </is>
      </c>
      <c r="V63" t="inlineStr">
        <is>
          <t>2002-09-18</t>
        </is>
      </c>
      <c r="W63" t="inlineStr">
        <is>
          <t>1992-04-06</t>
        </is>
      </c>
      <c r="X63" t="inlineStr">
        <is>
          <t>1992-04-06</t>
        </is>
      </c>
      <c r="Y63" t="n">
        <v>474</v>
      </c>
      <c r="Z63" t="n">
        <v>417</v>
      </c>
      <c r="AA63" t="n">
        <v>648</v>
      </c>
      <c r="AB63" t="n">
        <v>4</v>
      </c>
      <c r="AC63" t="n">
        <v>5</v>
      </c>
      <c r="AD63" t="n">
        <v>18</v>
      </c>
      <c r="AE63" t="n">
        <v>29</v>
      </c>
      <c r="AF63" t="n">
        <v>6</v>
      </c>
      <c r="AG63" t="n">
        <v>11</v>
      </c>
      <c r="AH63" t="n">
        <v>4</v>
      </c>
      <c r="AI63" t="n">
        <v>8</v>
      </c>
      <c r="AJ63" t="n">
        <v>11</v>
      </c>
      <c r="AK63" t="n">
        <v>16</v>
      </c>
      <c r="AL63" t="n">
        <v>2</v>
      </c>
      <c r="AM63" t="n">
        <v>3</v>
      </c>
      <c r="AN63" t="n">
        <v>0</v>
      </c>
      <c r="AO63" t="n">
        <v>0</v>
      </c>
      <c r="AP63" t="inlineStr">
        <is>
          <t>No</t>
        </is>
      </c>
      <c r="AQ63" t="inlineStr">
        <is>
          <t>No</t>
        </is>
      </c>
      <c r="AS63">
        <f>HYPERLINK("https://creighton-primo.hosted.exlibrisgroup.com/primo-explore/search?tab=default_tab&amp;search_scope=EVERYTHING&amp;vid=01CRU&amp;lang=en_US&amp;offset=0&amp;query=any,contains,991001766889702656","Catalog Record")</f>
        <v/>
      </c>
      <c r="AT63">
        <f>HYPERLINK("http://www.worldcat.org/oclc/6648531","WorldCat Record")</f>
        <v/>
      </c>
      <c r="AU63" t="inlineStr">
        <is>
          <t>292573797:eng</t>
        </is>
      </c>
      <c r="AV63" t="inlineStr">
        <is>
          <t>6648531</t>
        </is>
      </c>
      <c r="AW63" t="inlineStr">
        <is>
          <t>991001766889702656</t>
        </is>
      </c>
      <c r="AX63" t="inlineStr">
        <is>
          <t>991001766889702656</t>
        </is>
      </c>
      <c r="AY63" t="inlineStr">
        <is>
          <t>2268296610002656</t>
        </is>
      </c>
      <c r="AZ63" t="inlineStr">
        <is>
          <t>BOOK</t>
        </is>
      </c>
      <c r="BB63" t="inlineStr">
        <is>
          <t>9780826130006</t>
        </is>
      </c>
      <c r="BC63" t="inlineStr">
        <is>
          <t>32285001055374</t>
        </is>
      </c>
      <c r="BD63" t="inlineStr">
        <is>
          <t>893615365</t>
        </is>
      </c>
    </row>
    <row r="64">
      <c r="A64" t="inlineStr">
        <is>
          <t>No</t>
        </is>
      </c>
      <c r="B64" t="inlineStr">
        <is>
          <t>HQ1059.5.U5 F37</t>
        </is>
      </c>
      <c r="C64" t="inlineStr">
        <is>
          <t>0                      HQ 1059500U  5                  F  37</t>
        </is>
      </c>
      <c r="D64" t="inlineStr">
        <is>
          <t>Men at midlife / Michael P. Farrell, Stanley D. Rosenberg.</t>
        </is>
      </c>
      <c r="F64" t="inlineStr">
        <is>
          <t>No</t>
        </is>
      </c>
      <c r="G64" t="inlineStr">
        <is>
          <t>1</t>
        </is>
      </c>
      <c r="H64" t="inlineStr">
        <is>
          <t>No</t>
        </is>
      </c>
      <c r="I64" t="inlineStr">
        <is>
          <t>No</t>
        </is>
      </c>
      <c r="J64" t="inlineStr">
        <is>
          <t>0</t>
        </is>
      </c>
      <c r="K64" t="inlineStr">
        <is>
          <t>Farrell, Michael P., 1942-</t>
        </is>
      </c>
      <c r="L64" t="inlineStr">
        <is>
          <t>Boston : Auburn House, c1981.</t>
        </is>
      </c>
      <c r="M64" t="inlineStr">
        <is>
          <t>1981</t>
        </is>
      </c>
      <c r="O64" t="inlineStr">
        <is>
          <t>eng</t>
        </is>
      </c>
      <c r="P64" t="inlineStr">
        <is>
          <t>mau</t>
        </is>
      </c>
      <c r="R64" t="inlineStr">
        <is>
          <t xml:space="preserve">HQ </t>
        </is>
      </c>
      <c r="S64" t="n">
        <v>3</v>
      </c>
      <c r="T64" t="n">
        <v>3</v>
      </c>
      <c r="U64" t="inlineStr">
        <is>
          <t>1993-01-13</t>
        </is>
      </c>
      <c r="V64" t="inlineStr">
        <is>
          <t>1993-01-13</t>
        </is>
      </c>
      <c r="W64" t="inlineStr">
        <is>
          <t>1992-02-07</t>
        </is>
      </c>
      <c r="X64" t="inlineStr">
        <is>
          <t>1992-02-07</t>
        </is>
      </c>
      <c r="Y64" t="n">
        <v>976</v>
      </c>
      <c r="Z64" t="n">
        <v>876</v>
      </c>
      <c r="AA64" t="n">
        <v>883</v>
      </c>
      <c r="AB64" t="n">
        <v>5</v>
      </c>
      <c r="AC64" t="n">
        <v>5</v>
      </c>
      <c r="AD64" t="n">
        <v>31</v>
      </c>
      <c r="AE64" t="n">
        <v>31</v>
      </c>
      <c r="AF64" t="n">
        <v>15</v>
      </c>
      <c r="AG64" t="n">
        <v>15</v>
      </c>
      <c r="AH64" t="n">
        <v>8</v>
      </c>
      <c r="AI64" t="n">
        <v>8</v>
      </c>
      <c r="AJ64" t="n">
        <v>12</v>
      </c>
      <c r="AK64" t="n">
        <v>12</v>
      </c>
      <c r="AL64" t="n">
        <v>4</v>
      </c>
      <c r="AM64" t="n">
        <v>4</v>
      </c>
      <c r="AN64" t="n">
        <v>0</v>
      </c>
      <c r="AO64" t="n">
        <v>0</v>
      </c>
      <c r="AP64" t="inlineStr">
        <is>
          <t>No</t>
        </is>
      </c>
      <c r="AQ64" t="inlineStr">
        <is>
          <t>Yes</t>
        </is>
      </c>
      <c r="AR64">
        <f>HYPERLINK("http://catalog.hathitrust.org/Record/000138042","HathiTrust Record")</f>
        <v/>
      </c>
      <c r="AS64">
        <f>HYPERLINK("https://creighton-primo.hosted.exlibrisgroup.com/primo-explore/search?tab=default_tab&amp;search_scope=EVERYTHING&amp;vid=01CRU&amp;lang=en_US&amp;offset=0&amp;query=any,contains,991005125319702656","Catalog Record")</f>
        <v/>
      </c>
      <c r="AT64">
        <f>HYPERLINK("http://www.worldcat.org/oclc/7553099","WorldCat Record")</f>
        <v/>
      </c>
      <c r="AU64" t="inlineStr">
        <is>
          <t>3768964508:eng</t>
        </is>
      </c>
      <c r="AV64" t="inlineStr">
        <is>
          <t>7553099</t>
        </is>
      </c>
      <c r="AW64" t="inlineStr">
        <is>
          <t>991005125319702656</t>
        </is>
      </c>
      <c r="AX64" t="inlineStr">
        <is>
          <t>991005125319702656</t>
        </is>
      </c>
      <c r="AY64" t="inlineStr">
        <is>
          <t>2262596870002656</t>
        </is>
      </c>
      <c r="AZ64" t="inlineStr">
        <is>
          <t>BOOK</t>
        </is>
      </c>
      <c r="BB64" t="inlineStr">
        <is>
          <t>9780865690738</t>
        </is>
      </c>
      <c r="BC64" t="inlineStr">
        <is>
          <t>32285000952050</t>
        </is>
      </c>
      <c r="BD64" t="inlineStr">
        <is>
          <t>893902160</t>
        </is>
      </c>
    </row>
    <row r="65">
      <c r="A65" t="inlineStr">
        <is>
          <t>No</t>
        </is>
      </c>
      <c r="B65" t="inlineStr">
        <is>
          <t>HQ1059.5.U5 M534 1989</t>
        </is>
      </c>
      <c r="C65" t="inlineStr">
        <is>
          <t>0                      HQ 1059500U  5                  M  534         1989</t>
        </is>
      </c>
      <c r="D65" t="inlineStr">
        <is>
          <t>Midlife myths : issues, findings, and practice implications / edited by Ski Hunter, Martin Sundel.</t>
        </is>
      </c>
      <c r="F65" t="inlineStr">
        <is>
          <t>No</t>
        </is>
      </c>
      <c r="G65" t="inlineStr">
        <is>
          <t>1</t>
        </is>
      </c>
      <c r="H65" t="inlineStr">
        <is>
          <t>No</t>
        </is>
      </c>
      <c r="I65" t="inlineStr">
        <is>
          <t>No</t>
        </is>
      </c>
      <c r="J65" t="inlineStr">
        <is>
          <t>0</t>
        </is>
      </c>
      <c r="L65" t="inlineStr">
        <is>
          <t>Newbury Park, Calif. : Sage Publications, c1989.</t>
        </is>
      </c>
      <c r="M65" t="inlineStr">
        <is>
          <t>1989</t>
        </is>
      </c>
      <c r="O65" t="inlineStr">
        <is>
          <t>eng</t>
        </is>
      </c>
      <c r="P65" t="inlineStr">
        <is>
          <t>cau</t>
        </is>
      </c>
      <c r="Q65" t="inlineStr">
        <is>
          <t>Sage sourcebooks for the human services series ; v. 7</t>
        </is>
      </c>
      <c r="R65" t="inlineStr">
        <is>
          <t xml:space="preserve">HQ </t>
        </is>
      </c>
      <c r="S65" t="n">
        <v>5</v>
      </c>
      <c r="T65" t="n">
        <v>5</v>
      </c>
      <c r="U65" t="inlineStr">
        <is>
          <t>1995-11-03</t>
        </is>
      </c>
      <c r="V65" t="inlineStr">
        <is>
          <t>1995-11-03</t>
        </is>
      </c>
      <c r="W65" t="inlineStr">
        <is>
          <t>1989-12-07</t>
        </is>
      </c>
      <c r="X65" t="inlineStr">
        <is>
          <t>1989-12-07</t>
        </is>
      </c>
      <c r="Y65" t="n">
        <v>444</v>
      </c>
      <c r="Z65" t="n">
        <v>336</v>
      </c>
      <c r="AA65" t="n">
        <v>338</v>
      </c>
      <c r="AB65" t="n">
        <v>3</v>
      </c>
      <c r="AC65" t="n">
        <v>3</v>
      </c>
      <c r="AD65" t="n">
        <v>17</v>
      </c>
      <c r="AE65" t="n">
        <v>17</v>
      </c>
      <c r="AF65" t="n">
        <v>5</v>
      </c>
      <c r="AG65" t="n">
        <v>5</v>
      </c>
      <c r="AH65" t="n">
        <v>4</v>
      </c>
      <c r="AI65" t="n">
        <v>4</v>
      </c>
      <c r="AJ65" t="n">
        <v>11</v>
      </c>
      <c r="AK65" t="n">
        <v>11</v>
      </c>
      <c r="AL65" t="n">
        <v>2</v>
      </c>
      <c r="AM65" t="n">
        <v>2</v>
      </c>
      <c r="AN65" t="n">
        <v>0</v>
      </c>
      <c r="AO65" t="n">
        <v>0</v>
      </c>
      <c r="AP65" t="inlineStr">
        <is>
          <t>No</t>
        </is>
      </c>
      <c r="AQ65" t="inlineStr">
        <is>
          <t>Yes</t>
        </is>
      </c>
      <c r="AR65">
        <f>HYPERLINK("http://catalog.hathitrust.org/Record/002164531","HathiTrust Record")</f>
        <v/>
      </c>
      <c r="AS65">
        <f>HYPERLINK("https://creighton-primo.hosted.exlibrisgroup.com/primo-explore/search?tab=default_tab&amp;search_scope=EVERYTHING&amp;vid=01CRU&amp;lang=en_US&amp;offset=0&amp;query=any,contains,991001395279702656","Catalog Record")</f>
        <v/>
      </c>
      <c r="AT65">
        <f>HYPERLINK("http://www.worldcat.org/oclc/18780948","WorldCat Record")</f>
        <v/>
      </c>
      <c r="AU65" t="inlineStr">
        <is>
          <t>836745515:eng</t>
        </is>
      </c>
      <c r="AV65" t="inlineStr">
        <is>
          <t>18780948</t>
        </is>
      </c>
      <c r="AW65" t="inlineStr">
        <is>
          <t>991001395279702656</t>
        </is>
      </c>
      <c r="AX65" t="inlineStr">
        <is>
          <t>991001395279702656</t>
        </is>
      </c>
      <c r="AY65" t="inlineStr">
        <is>
          <t>2258419340002656</t>
        </is>
      </c>
      <c r="AZ65" t="inlineStr">
        <is>
          <t>BOOK</t>
        </is>
      </c>
      <c r="BB65" t="inlineStr">
        <is>
          <t>9780803929654</t>
        </is>
      </c>
      <c r="BC65" t="inlineStr">
        <is>
          <t>32285000017607</t>
        </is>
      </c>
      <c r="BD65" t="inlineStr">
        <is>
          <t>893596439</t>
        </is>
      </c>
    </row>
    <row r="66">
      <c r="A66" t="inlineStr">
        <is>
          <t>No</t>
        </is>
      </c>
      <c r="B66" t="inlineStr">
        <is>
          <t>HQ1061 .A457</t>
        </is>
      </c>
      <c r="C66" t="inlineStr">
        <is>
          <t>0                      HQ 1061000A  457</t>
        </is>
      </c>
      <c r="D66" t="inlineStr">
        <is>
          <t>Aging and the elderly : humanistic perspectives in gerontology / edited by Stuart F. Spicker, Kathleen M. Woodward, David D. Van Tassel ; introd. by Erik H. Erikson, Joan M. Erikson ; afterword by Robert V. Butler.</t>
        </is>
      </c>
      <c r="F66" t="inlineStr">
        <is>
          <t>No</t>
        </is>
      </c>
      <c r="G66" t="inlineStr">
        <is>
          <t>1</t>
        </is>
      </c>
      <c r="H66" t="inlineStr">
        <is>
          <t>Yes</t>
        </is>
      </c>
      <c r="I66" t="inlineStr">
        <is>
          <t>No</t>
        </is>
      </c>
      <c r="J66" t="inlineStr">
        <is>
          <t>0</t>
        </is>
      </c>
      <c r="L66" t="inlineStr">
        <is>
          <t>Atlantic Highlands, N.J. : Humanities Press, c1978.</t>
        </is>
      </c>
      <c r="M66" t="inlineStr">
        <is>
          <t>1978</t>
        </is>
      </c>
      <c r="O66" t="inlineStr">
        <is>
          <t>eng</t>
        </is>
      </c>
      <c r="P66" t="inlineStr">
        <is>
          <t>nju</t>
        </is>
      </c>
      <c r="R66" t="inlineStr">
        <is>
          <t xml:space="preserve">HQ </t>
        </is>
      </c>
      <c r="S66" t="n">
        <v>2</v>
      </c>
      <c r="T66" t="n">
        <v>4</v>
      </c>
      <c r="U66" t="inlineStr">
        <is>
          <t>1994-02-19</t>
        </is>
      </c>
      <c r="V66" t="inlineStr">
        <is>
          <t>1994-02-19</t>
        </is>
      </c>
      <c r="W66" t="inlineStr">
        <is>
          <t>1993-04-23</t>
        </is>
      </c>
      <c r="X66" t="inlineStr">
        <is>
          <t>1993-04-23</t>
        </is>
      </c>
      <c r="Y66" t="n">
        <v>734</v>
      </c>
      <c r="Z66" t="n">
        <v>663</v>
      </c>
      <c r="AA66" t="n">
        <v>665</v>
      </c>
      <c r="AB66" t="n">
        <v>7</v>
      </c>
      <c r="AC66" t="n">
        <v>7</v>
      </c>
      <c r="AD66" t="n">
        <v>23</v>
      </c>
      <c r="AE66" t="n">
        <v>23</v>
      </c>
      <c r="AF66" t="n">
        <v>7</v>
      </c>
      <c r="AG66" t="n">
        <v>7</v>
      </c>
      <c r="AH66" t="n">
        <v>5</v>
      </c>
      <c r="AI66" t="n">
        <v>5</v>
      </c>
      <c r="AJ66" t="n">
        <v>10</v>
      </c>
      <c r="AK66" t="n">
        <v>10</v>
      </c>
      <c r="AL66" t="n">
        <v>5</v>
      </c>
      <c r="AM66" t="n">
        <v>5</v>
      </c>
      <c r="AN66" t="n">
        <v>1</v>
      </c>
      <c r="AO66" t="n">
        <v>1</v>
      </c>
      <c r="AP66" t="inlineStr">
        <is>
          <t>No</t>
        </is>
      </c>
      <c r="AQ66" t="inlineStr">
        <is>
          <t>Yes</t>
        </is>
      </c>
      <c r="AR66">
        <f>HYPERLINK("http://catalog.hathitrust.org/Record/000087350","HathiTrust Record")</f>
        <v/>
      </c>
      <c r="AS66">
        <f>HYPERLINK("https://creighton-primo.hosted.exlibrisgroup.com/primo-explore/search?tab=default_tab&amp;search_scope=EVERYTHING&amp;vid=01CRU&amp;lang=en_US&amp;offset=0&amp;query=any,contains,991001781119702656","Catalog Record")</f>
        <v/>
      </c>
      <c r="AT66">
        <f>HYPERLINK("http://www.worldcat.org/oclc/3480989","WorldCat Record")</f>
        <v/>
      </c>
      <c r="AU66" t="inlineStr">
        <is>
          <t>424492769:eng</t>
        </is>
      </c>
      <c r="AV66" t="inlineStr">
        <is>
          <t>3480989</t>
        </is>
      </c>
      <c r="AW66" t="inlineStr">
        <is>
          <t>991001781119702656</t>
        </is>
      </c>
      <c r="AX66" t="inlineStr">
        <is>
          <t>991001781119702656</t>
        </is>
      </c>
      <c r="AY66" t="inlineStr">
        <is>
          <t>2265127950002656</t>
        </is>
      </c>
      <c r="AZ66" t="inlineStr">
        <is>
          <t>BOOK</t>
        </is>
      </c>
      <c r="BB66" t="inlineStr">
        <is>
          <t>9780391005594</t>
        </is>
      </c>
      <c r="BC66" t="inlineStr">
        <is>
          <t>32285001625168</t>
        </is>
      </c>
      <c r="BD66" t="inlineStr">
        <is>
          <t>893785386</t>
        </is>
      </c>
    </row>
    <row r="67">
      <c r="A67" t="inlineStr">
        <is>
          <t>No</t>
        </is>
      </c>
      <c r="B67" t="inlineStr">
        <is>
          <t>HQ1061 .A4572</t>
        </is>
      </c>
      <c r="C67" t="inlineStr">
        <is>
          <t>0                      HQ 1061000A  4572</t>
        </is>
      </c>
      <c r="D67" t="inlineStr">
        <is>
          <t>Aging and the environment : theoretical approaches / M. Powell Lawton, Paul G. Windley, Thomas O. Byerts, editors.</t>
        </is>
      </c>
      <c r="F67" t="inlineStr">
        <is>
          <t>No</t>
        </is>
      </c>
      <c r="G67" t="inlineStr">
        <is>
          <t>1</t>
        </is>
      </c>
      <c r="H67" t="inlineStr">
        <is>
          <t>Yes</t>
        </is>
      </c>
      <c r="I67" t="inlineStr">
        <is>
          <t>No</t>
        </is>
      </c>
      <c r="J67" t="inlineStr">
        <is>
          <t>0</t>
        </is>
      </c>
      <c r="L67" t="inlineStr">
        <is>
          <t>New York : Springer, c1982.</t>
        </is>
      </c>
      <c r="M67" t="inlineStr">
        <is>
          <t>1982</t>
        </is>
      </c>
      <c r="O67" t="inlineStr">
        <is>
          <t>eng</t>
        </is>
      </c>
      <c r="P67" t="inlineStr">
        <is>
          <t>nyu</t>
        </is>
      </c>
      <c r="Q67" t="inlineStr">
        <is>
          <t>Gerontological monograph ; no. 7 of the Gerontological Society</t>
        </is>
      </c>
      <c r="R67" t="inlineStr">
        <is>
          <t xml:space="preserve">HQ </t>
        </is>
      </c>
      <c r="S67" t="n">
        <v>0</v>
      </c>
      <c r="T67" t="n">
        <v>3</v>
      </c>
      <c r="V67" t="inlineStr">
        <is>
          <t>2001-07-31</t>
        </is>
      </c>
      <c r="W67" t="inlineStr">
        <is>
          <t>1992-04-22</t>
        </is>
      </c>
      <c r="X67" t="inlineStr">
        <is>
          <t>1992-04-22</t>
        </is>
      </c>
      <c r="Y67" t="n">
        <v>304</v>
      </c>
      <c r="Z67" t="n">
        <v>253</v>
      </c>
      <c r="AA67" t="n">
        <v>260</v>
      </c>
      <c r="AB67" t="n">
        <v>3</v>
      </c>
      <c r="AC67" t="n">
        <v>3</v>
      </c>
      <c r="AD67" t="n">
        <v>9</v>
      </c>
      <c r="AE67" t="n">
        <v>9</v>
      </c>
      <c r="AF67" t="n">
        <v>3</v>
      </c>
      <c r="AG67" t="n">
        <v>3</v>
      </c>
      <c r="AH67" t="n">
        <v>2</v>
      </c>
      <c r="AI67" t="n">
        <v>2</v>
      </c>
      <c r="AJ67" t="n">
        <v>6</v>
      </c>
      <c r="AK67" t="n">
        <v>6</v>
      </c>
      <c r="AL67" t="n">
        <v>1</v>
      </c>
      <c r="AM67" t="n">
        <v>1</v>
      </c>
      <c r="AN67" t="n">
        <v>0</v>
      </c>
      <c r="AO67" t="n">
        <v>0</v>
      </c>
      <c r="AP67" t="inlineStr">
        <is>
          <t>No</t>
        </is>
      </c>
      <c r="AQ67" t="inlineStr">
        <is>
          <t>Yes</t>
        </is>
      </c>
      <c r="AR67">
        <f>HYPERLINK("http://catalog.hathitrust.org/Record/000149410","HathiTrust Record")</f>
        <v/>
      </c>
      <c r="AS67">
        <f>HYPERLINK("https://creighton-primo.hosted.exlibrisgroup.com/primo-explore/search?tab=default_tab&amp;search_scope=EVERYTHING&amp;vid=01CRU&amp;lang=en_US&amp;offset=0&amp;query=any,contains,991001782319702656","Catalog Record")</f>
        <v/>
      </c>
      <c r="AT67">
        <f>HYPERLINK("http://www.worldcat.org/oclc/7978205","WorldCat Record")</f>
        <v/>
      </c>
      <c r="AU67" t="inlineStr">
        <is>
          <t>894526452:eng</t>
        </is>
      </c>
      <c r="AV67" t="inlineStr">
        <is>
          <t>7978205</t>
        </is>
      </c>
      <c r="AW67" t="inlineStr">
        <is>
          <t>991001782319702656</t>
        </is>
      </c>
      <c r="AX67" t="inlineStr">
        <is>
          <t>991001782319702656</t>
        </is>
      </c>
      <c r="AY67" t="inlineStr">
        <is>
          <t>2271171840002656</t>
        </is>
      </c>
      <c r="AZ67" t="inlineStr">
        <is>
          <t>BOOK</t>
        </is>
      </c>
      <c r="BB67" t="inlineStr">
        <is>
          <t>9780826137609</t>
        </is>
      </c>
      <c r="BC67" t="inlineStr">
        <is>
          <t>32285001054542</t>
        </is>
      </c>
      <c r="BD67" t="inlineStr">
        <is>
          <t>893879165</t>
        </is>
      </c>
    </row>
    <row r="68">
      <c r="A68" t="inlineStr">
        <is>
          <t>No</t>
        </is>
      </c>
      <c r="B68" t="inlineStr">
        <is>
          <t>HQ1061 .A458 1979</t>
        </is>
      </c>
      <c r="C68" t="inlineStr">
        <is>
          <t>0                      HQ 1061000A  458         1979</t>
        </is>
      </c>
      <c r="D68" t="inlineStr">
        <is>
          <t>Aging from birth to death : interdisciplinary perspectives / edited by Matilda White Riley.</t>
        </is>
      </c>
      <c r="F68" t="inlineStr">
        <is>
          <t>No</t>
        </is>
      </c>
      <c r="G68" t="inlineStr">
        <is>
          <t>1</t>
        </is>
      </c>
      <c r="H68" t="inlineStr">
        <is>
          <t>No</t>
        </is>
      </c>
      <c r="I68" t="inlineStr">
        <is>
          <t>No</t>
        </is>
      </c>
      <c r="J68" t="inlineStr">
        <is>
          <t>0</t>
        </is>
      </c>
      <c r="L68" t="inlineStr">
        <is>
          <t>Boulder, Colo. : Published by Westview Press for American Association for the Advancment of Science, 1979.</t>
        </is>
      </c>
      <c r="M68" t="inlineStr">
        <is>
          <t>1979</t>
        </is>
      </c>
      <c r="O68" t="inlineStr">
        <is>
          <t>eng</t>
        </is>
      </c>
      <c r="P68" t="inlineStr">
        <is>
          <t>cou</t>
        </is>
      </c>
      <c r="Q68" t="inlineStr">
        <is>
          <t>AAAS selected symposium ; 30</t>
        </is>
      </c>
      <c r="R68" t="inlineStr">
        <is>
          <t xml:space="preserve">HQ </t>
        </is>
      </c>
      <c r="S68" t="n">
        <v>4</v>
      </c>
      <c r="T68" t="n">
        <v>4</v>
      </c>
      <c r="U68" t="inlineStr">
        <is>
          <t>1996-04-29</t>
        </is>
      </c>
      <c r="V68" t="inlineStr">
        <is>
          <t>1996-04-29</t>
        </is>
      </c>
      <c r="W68" t="inlineStr">
        <is>
          <t>1993-04-23</t>
        </is>
      </c>
      <c r="X68" t="inlineStr">
        <is>
          <t>1993-04-23</t>
        </is>
      </c>
      <c r="Y68" t="n">
        <v>569</v>
      </c>
      <c r="Z68" t="n">
        <v>491</v>
      </c>
      <c r="AA68" t="n">
        <v>496</v>
      </c>
      <c r="AB68" t="n">
        <v>4</v>
      </c>
      <c r="AC68" t="n">
        <v>4</v>
      </c>
      <c r="AD68" t="n">
        <v>14</v>
      </c>
      <c r="AE68" t="n">
        <v>14</v>
      </c>
      <c r="AF68" t="n">
        <v>4</v>
      </c>
      <c r="AG68" t="n">
        <v>4</v>
      </c>
      <c r="AH68" t="n">
        <v>3</v>
      </c>
      <c r="AI68" t="n">
        <v>3</v>
      </c>
      <c r="AJ68" t="n">
        <v>7</v>
      </c>
      <c r="AK68" t="n">
        <v>7</v>
      </c>
      <c r="AL68" t="n">
        <v>3</v>
      </c>
      <c r="AM68" t="n">
        <v>3</v>
      </c>
      <c r="AN68" t="n">
        <v>0</v>
      </c>
      <c r="AO68" t="n">
        <v>0</v>
      </c>
      <c r="AP68" t="inlineStr">
        <is>
          <t>No</t>
        </is>
      </c>
      <c r="AQ68" t="inlineStr">
        <is>
          <t>Yes</t>
        </is>
      </c>
      <c r="AR68">
        <f>HYPERLINK("http://catalog.hathitrust.org/Record/000766939","HathiTrust Record")</f>
        <v/>
      </c>
      <c r="AS68">
        <f>HYPERLINK("https://creighton-primo.hosted.exlibrisgroup.com/primo-explore/search?tab=default_tab&amp;search_scope=EVERYTHING&amp;vid=01CRU&amp;lang=en_US&amp;offset=0&amp;query=any,contains,991004656459702656","Catalog Record")</f>
        <v/>
      </c>
      <c r="AT68">
        <f>HYPERLINK("http://www.worldcat.org/oclc/4495485","WorldCat Record")</f>
        <v/>
      </c>
      <c r="AU68" t="inlineStr">
        <is>
          <t>3373722945:eng</t>
        </is>
      </c>
      <c r="AV68" t="inlineStr">
        <is>
          <t>4495485</t>
        </is>
      </c>
      <c r="AW68" t="inlineStr">
        <is>
          <t>991004656459702656</t>
        </is>
      </c>
      <c r="AX68" t="inlineStr">
        <is>
          <t>991004656459702656</t>
        </is>
      </c>
      <c r="AY68" t="inlineStr">
        <is>
          <t>2268146250002656</t>
        </is>
      </c>
      <c r="AZ68" t="inlineStr">
        <is>
          <t>BOOK</t>
        </is>
      </c>
      <c r="BB68" t="inlineStr">
        <is>
          <t>9780891583639</t>
        </is>
      </c>
      <c r="BC68" t="inlineStr">
        <is>
          <t>32285001625192</t>
        </is>
      </c>
      <c r="BD68" t="inlineStr">
        <is>
          <t>893417842</t>
        </is>
      </c>
    </row>
    <row r="69">
      <c r="A69" t="inlineStr">
        <is>
          <t>No</t>
        </is>
      </c>
      <c r="B69" t="inlineStr">
        <is>
          <t>HQ1061 .A46</t>
        </is>
      </c>
      <c r="C69" t="inlineStr">
        <is>
          <t>0                      HQ 1061000A  46</t>
        </is>
      </c>
      <c r="D69" t="inlineStr">
        <is>
          <t>Aging in contemporary society. Edited by Ethel Shanas.</t>
        </is>
      </c>
      <c r="F69" t="inlineStr">
        <is>
          <t>No</t>
        </is>
      </c>
      <c r="G69" t="inlineStr">
        <is>
          <t>1</t>
        </is>
      </c>
      <c r="H69" t="inlineStr">
        <is>
          <t>No</t>
        </is>
      </c>
      <c r="I69" t="inlineStr">
        <is>
          <t>No</t>
        </is>
      </c>
      <c r="J69" t="inlineStr">
        <is>
          <t>0</t>
        </is>
      </c>
      <c r="L69" t="inlineStr">
        <is>
          <t>Beverly Hills, Sage Publications [c1970]</t>
        </is>
      </c>
      <c r="M69" t="inlineStr">
        <is>
          <t>1970</t>
        </is>
      </c>
      <c r="O69" t="inlineStr">
        <is>
          <t>eng</t>
        </is>
      </c>
      <c r="P69" t="inlineStr">
        <is>
          <t>cau</t>
        </is>
      </c>
      <c r="Q69" t="inlineStr">
        <is>
          <t>Sage contemporary social science issues ; 6</t>
        </is>
      </c>
      <c r="R69" t="inlineStr">
        <is>
          <t xml:space="preserve">HQ </t>
        </is>
      </c>
      <c r="S69" t="n">
        <v>2</v>
      </c>
      <c r="T69" t="n">
        <v>2</v>
      </c>
      <c r="U69" t="inlineStr">
        <is>
          <t>1995-03-29</t>
        </is>
      </c>
      <c r="V69" t="inlineStr">
        <is>
          <t>1995-03-29</t>
        </is>
      </c>
      <c r="W69" t="inlineStr">
        <is>
          <t>1992-04-15</t>
        </is>
      </c>
      <c r="X69" t="inlineStr">
        <is>
          <t>1992-04-15</t>
        </is>
      </c>
      <c r="Y69" t="n">
        <v>354</v>
      </c>
      <c r="Z69" t="n">
        <v>293</v>
      </c>
      <c r="AA69" t="n">
        <v>300</v>
      </c>
      <c r="AB69" t="n">
        <v>3</v>
      </c>
      <c r="AC69" t="n">
        <v>3</v>
      </c>
      <c r="AD69" t="n">
        <v>12</v>
      </c>
      <c r="AE69" t="n">
        <v>13</v>
      </c>
      <c r="AF69" t="n">
        <v>4</v>
      </c>
      <c r="AG69" t="n">
        <v>4</v>
      </c>
      <c r="AH69" t="n">
        <v>5</v>
      </c>
      <c r="AI69" t="n">
        <v>6</v>
      </c>
      <c r="AJ69" t="n">
        <v>6</v>
      </c>
      <c r="AK69" t="n">
        <v>7</v>
      </c>
      <c r="AL69" t="n">
        <v>1</v>
      </c>
      <c r="AM69" t="n">
        <v>1</v>
      </c>
      <c r="AN69" t="n">
        <v>0</v>
      </c>
      <c r="AO69" t="n">
        <v>0</v>
      </c>
      <c r="AP69" t="inlineStr">
        <is>
          <t>No</t>
        </is>
      </c>
      <c r="AQ69" t="inlineStr">
        <is>
          <t>Yes</t>
        </is>
      </c>
      <c r="AR69">
        <f>HYPERLINK("http://catalog.hathitrust.org/Record/000015255","HathiTrust Record")</f>
        <v/>
      </c>
      <c r="AS69">
        <f>HYPERLINK("https://creighton-primo.hosted.exlibrisgroup.com/primo-explore/search?tab=default_tab&amp;search_scope=EVERYTHING&amp;vid=01CRU&amp;lang=en_US&amp;offset=0&amp;query=any,contains,991003408509702656","Catalog Record")</f>
        <v/>
      </c>
      <c r="AT69">
        <f>HYPERLINK("http://www.worldcat.org/oclc/947704","WorldCat Record")</f>
        <v/>
      </c>
      <c r="AU69" t="inlineStr">
        <is>
          <t>54015219:eng</t>
        </is>
      </c>
      <c r="AV69" t="inlineStr">
        <is>
          <t>947704</t>
        </is>
      </c>
      <c r="AW69" t="inlineStr">
        <is>
          <t>991003408509702656</t>
        </is>
      </c>
      <c r="AX69" t="inlineStr">
        <is>
          <t>991003408509702656</t>
        </is>
      </c>
      <c r="AY69" t="inlineStr">
        <is>
          <t>2264416420002656</t>
        </is>
      </c>
      <c r="AZ69" t="inlineStr">
        <is>
          <t>BOOK</t>
        </is>
      </c>
      <c r="BB69" t="inlineStr">
        <is>
          <t>9780803903388</t>
        </is>
      </c>
      <c r="BC69" t="inlineStr">
        <is>
          <t>32285001061679</t>
        </is>
      </c>
      <c r="BD69" t="inlineStr">
        <is>
          <t>893899953</t>
        </is>
      </c>
    </row>
    <row r="70">
      <c r="A70" t="inlineStr">
        <is>
          <t>No</t>
        </is>
      </c>
      <c r="B70" t="inlineStr">
        <is>
          <t>HQ1061 .A47</t>
        </is>
      </c>
      <c r="C70" t="inlineStr">
        <is>
          <t>0                      HQ 1061000A  47</t>
        </is>
      </c>
      <c r="D70" t="inlineStr">
        <is>
          <t>Aging into the 21st century : middle-agers today / edited by Lissy F. Jarvik ; Helene Kratz, assistant editor. --</t>
        </is>
      </c>
      <c r="F70" t="inlineStr">
        <is>
          <t>No</t>
        </is>
      </c>
      <c r="G70" t="inlineStr">
        <is>
          <t>1</t>
        </is>
      </c>
      <c r="H70" t="inlineStr">
        <is>
          <t>No</t>
        </is>
      </c>
      <c r="I70" t="inlineStr">
        <is>
          <t>No</t>
        </is>
      </c>
      <c r="J70" t="inlineStr">
        <is>
          <t>0</t>
        </is>
      </c>
      <c r="L70" t="inlineStr">
        <is>
          <t>New York : Gardner Press : distributed by Halsted Press, c1978.</t>
        </is>
      </c>
      <c r="M70" t="inlineStr">
        <is>
          <t>1978</t>
        </is>
      </c>
      <c r="O70" t="inlineStr">
        <is>
          <t>eng</t>
        </is>
      </c>
      <c r="P70" t="inlineStr">
        <is>
          <t>nyu</t>
        </is>
      </c>
      <c r="R70" t="inlineStr">
        <is>
          <t xml:space="preserve">HQ </t>
        </is>
      </c>
      <c r="S70" t="n">
        <v>2</v>
      </c>
      <c r="T70" t="n">
        <v>2</v>
      </c>
      <c r="U70" t="inlineStr">
        <is>
          <t>1996-11-06</t>
        </is>
      </c>
      <c r="V70" t="inlineStr">
        <is>
          <t>1996-11-06</t>
        </is>
      </c>
      <c r="W70" t="inlineStr">
        <is>
          <t>1993-04-23</t>
        </is>
      </c>
      <c r="X70" t="inlineStr">
        <is>
          <t>1993-04-23</t>
        </is>
      </c>
      <c r="Y70" t="n">
        <v>641</v>
      </c>
      <c r="Z70" t="n">
        <v>554</v>
      </c>
      <c r="AA70" t="n">
        <v>556</v>
      </c>
      <c r="AB70" t="n">
        <v>4</v>
      </c>
      <c r="AC70" t="n">
        <v>4</v>
      </c>
      <c r="AD70" t="n">
        <v>23</v>
      </c>
      <c r="AE70" t="n">
        <v>23</v>
      </c>
      <c r="AF70" t="n">
        <v>9</v>
      </c>
      <c r="AG70" t="n">
        <v>9</v>
      </c>
      <c r="AH70" t="n">
        <v>4</v>
      </c>
      <c r="AI70" t="n">
        <v>4</v>
      </c>
      <c r="AJ70" t="n">
        <v>10</v>
      </c>
      <c r="AK70" t="n">
        <v>10</v>
      </c>
      <c r="AL70" t="n">
        <v>3</v>
      </c>
      <c r="AM70" t="n">
        <v>3</v>
      </c>
      <c r="AN70" t="n">
        <v>0</v>
      </c>
      <c r="AO70" t="n">
        <v>0</v>
      </c>
      <c r="AP70" t="inlineStr">
        <is>
          <t>No</t>
        </is>
      </c>
      <c r="AQ70" t="inlineStr">
        <is>
          <t>Yes</t>
        </is>
      </c>
      <c r="AR70">
        <f>HYPERLINK("http://catalog.hathitrust.org/Record/000088471","HathiTrust Record")</f>
        <v/>
      </c>
      <c r="AS70">
        <f>HYPERLINK("https://creighton-primo.hosted.exlibrisgroup.com/primo-explore/search?tab=default_tab&amp;search_scope=EVERYTHING&amp;vid=01CRU&amp;lang=en_US&amp;offset=0&amp;query=any,contains,991004452009702656","Catalog Record")</f>
        <v/>
      </c>
      <c r="AT70">
        <f>HYPERLINK("http://www.worldcat.org/oclc/3516370","WorldCat Record")</f>
        <v/>
      </c>
      <c r="AU70" t="inlineStr">
        <is>
          <t>803901827:eng</t>
        </is>
      </c>
      <c r="AV70" t="inlineStr">
        <is>
          <t>3516370</t>
        </is>
      </c>
      <c r="AW70" t="inlineStr">
        <is>
          <t>991004452009702656</t>
        </is>
      </c>
      <c r="AX70" t="inlineStr">
        <is>
          <t>991004452009702656</t>
        </is>
      </c>
      <c r="AY70" t="inlineStr">
        <is>
          <t>2272380060002656</t>
        </is>
      </c>
      <c r="AZ70" t="inlineStr">
        <is>
          <t>BOOK</t>
        </is>
      </c>
      <c r="BB70" t="inlineStr">
        <is>
          <t>9780470993705</t>
        </is>
      </c>
      <c r="BC70" t="inlineStr">
        <is>
          <t>32285001625200</t>
        </is>
      </c>
      <c r="BD70" t="inlineStr">
        <is>
          <t>893869729</t>
        </is>
      </c>
    </row>
    <row r="71">
      <c r="A71" t="inlineStr">
        <is>
          <t>No</t>
        </is>
      </c>
      <c r="B71" t="inlineStr">
        <is>
          <t>HQ1061 .A477 1990</t>
        </is>
      </c>
      <c r="C71" t="inlineStr">
        <is>
          <t>0                      HQ 1061000A  477         1990</t>
        </is>
      </c>
      <c r="D71" t="inlineStr">
        <is>
          <t>Perspectives on middle age : the vintage years / the American Board of Family Practice report ; conducted by New World Decisions.</t>
        </is>
      </c>
      <c r="F71" t="inlineStr">
        <is>
          <t>No</t>
        </is>
      </c>
      <c r="G71" t="inlineStr">
        <is>
          <t>1</t>
        </is>
      </c>
      <c r="H71" t="inlineStr">
        <is>
          <t>No</t>
        </is>
      </c>
      <c r="I71" t="inlineStr">
        <is>
          <t>No</t>
        </is>
      </c>
      <c r="J71" t="inlineStr">
        <is>
          <t>0</t>
        </is>
      </c>
      <c r="L71" t="inlineStr">
        <is>
          <t>Lexington, Ky. : The Board, c1990.</t>
        </is>
      </c>
      <c r="M71" t="inlineStr">
        <is>
          <t>1990</t>
        </is>
      </c>
      <c r="O71" t="inlineStr">
        <is>
          <t>eng</t>
        </is>
      </c>
      <c r="P71" t="inlineStr">
        <is>
          <t>kyu</t>
        </is>
      </c>
      <c r="R71" t="inlineStr">
        <is>
          <t xml:space="preserve">HQ </t>
        </is>
      </c>
      <c r="S71" t="n">
        <v>3</v>
      </c>
      <c r="T71" t="n">
        <v>3</v>
      </c>
      <c r="U71" t="inlineStr">
        <is>
          <t>1995-03-04</t>
        </is>
      </c>
      <c r="V71" t="inlineStr">
        <is>
          <t>1995-03-04</t>
        </is>
      </c>
      <c r="W71" t="inlineStr">
        <is>
          <t>1990-10-09</t>
        </is>
      </c>
      <c r="X71" t="inlineStr">
        <is>
          <t>1990-10-09</t>
        </is>
      </c>
      <c r="Y71" t="n">
        <v>113</v>
      </c>
      <c r="Z71" t="n">
        <v>113</v>
      </c>
      <c r="AA71" t="n">
        <v>113</v>
      </c>
      <c r="AB71" t="n">
        <v>1</v>
      </c>
      <c r="AC71" t="n">
        <v>1</v>
      </c>
      <c r="AD71" t="n">
        <v>5</v>
      </c>
      <c r="AE71" t="n">
        <v>5</v>
      </c>
      <c r="AF71" t="n">
        <v>2</v>
      </c>
      <c r="AG71" t="n">
        <v>2</v>
      </c>
      <c r="AH71" t="n">
        <v>1</v>
      </c>
      <c r="AI71" t="n">
        <v>1</v>
      </c>
      <c r="AJ71" t="n">
        <v>4</v>
      </c>
      <c r="AK71" t="n">
        <v>4</v>
      </c>
      <c r="AL71" t="n">
        <v>0</v>
      </c>
      <c r="AM71" t="n">
        <v>0</v>
      </c>
      <c r="AN71" t="n">
        <v>0</v>
      </c>
      <c r="AO71" t="n">
        <v>0</v>
      </c>
      <c r="AP71" t="inlineStr">
        <is>
          <t>No</t>
        </is>
      </c>
      <c r="AQ71" t="inlineStr">
        <is>
          <t>No</t>
        </is>
      </c>
      <c r="AS71">
        <f>HYPERLINK("https://creighton-primo.hosted.exlibrisgroup.com/primo-explore/search?tab=default_tab&amp;search_scope=EVERYTHING&amp;vid=01CRU&amp;lang=en_US&amp;offset=0&amp;query=any,contains,991001757499702656","Catalog Record")</f>
        <v/>
      </c>
      <c r="AT71">
        <f>HYPERLINK("http://www.worldcat.org/oclc/22231946","WorldCat Record")</f>
        <v/>
      </c>
      <c r="AU71" t="inlineStr">
        <is>
          <t>24377666:eng</t>
        </is>
      </c>
      <c r="AV71" t="inlineStr">
        <is>
          <t>22231946</t>
        </is>
      </c>
      <c r="AW71" t="inlineStr">
        <is>
          <t>991001757499702656</t>
        </is>
      </c>
      <c r="AX71" t="inlineStr">
        <is>
          <t>991001757499702656</t>
        </is>
      </c>
      <c r="AY71" t="inlineStr">
        <is>
          <t>2269784690002656</t>
        </is>
      </c>
      <c r="AZ71" t="inlineStr">
        <is>
          <t>BOOK</t>
        </is>
      </c>
      <c r="BC71" t="inlineStr">
        <is>
          <t>32285000279561</t>
        </is>
      </c>
      <c r="BD71" t="inlineStr">
        <is>
          <t>893779036</t>
        </is>
      </c>
    </row>
    <row r="72">
      <c r="A72" t="inlineStr">
        <is>
          <t>No</t>
        </is>
      </c>
      <c r="B72" t="inlineStr">
        <is>
          <t>HQ1061 .A48</t>
        </is>
      </c>
      <c r="C72" t="inlineStr">
        <is>
          <t>0                      HQ 1061000A  48</t>
        </is>
      </c>
      <c r="D72" t="inlineStr">
        <is>
          <t>Aging, isolation, and resocialization / edited by Ruth Bennett.</t>
        </is>
      </c>
      <c r="F72" t="inlineStr">
        <is>
          <t>No</t>
        </is>
      </c>
      <c r="G72" t="inlineStr">
        <is>
          <t>1</t>
        </is>
      </c>
      <c r="H72" t="inlineStr">
        <is>
          <t>Yes</t>
        </is>
      </c>
      <c r="I72" t="inlineStr">
        <is>
          <t>No</t>
        </is>
      </c>
      <c r="J72" t="inlineStr">
        <is>
          <t>0</t>
        </is>
      </c>
      <c r="L72" t="inlineStr">
        <is>
          <t>New York : Van Nostrand Reinhold Co., 1980.</t>
        </is>
      </c>
      <c r="M72" t="inlineStr">
        <is>
          <t>1980</t>
        </is>
      </c>
      <c r="O72" t="inlineStr">
        <is>
          <t>eng</t>
        </is>
      </c>
      <c r="P72" t="inlineStr">
        <is>
          <t>nyu</t>
        </is>
      </c>
      <c r="R72" t="inlineStr">
        <is>
          <t xml:space="preserve">HQ </t>
        </is>
      </c>
      <c r="S72" t="n">
        <v>0</v>
      </c>
      <c r="T72" t="n">
        <v>4</v>
      </c>
      <c r="V72" t="inlineStr">
        <is>
          <t>1997-11-22</t>
        </is>
      </c>
      <c r="W72" t="inlineStr">
        <is>
          <t>1993-04-23</t>
        </is>
      </c>
      <c r="X72" t="inlineStr">
        <is>
          <t>1993-04-23</t>
        </is>
      </c>
      <c r="Y72" t="n">
        <v>626</v>
      </c>
      <c r="Z72" t="n">
        <v>540</v>
      </c>
      <c r="AA72" t="n">
        <v>543</v>
      </c>
      <c r="AB72" t="n">
        <v>5</v>
      </c>
      <c r="AC72" t="n">
        <v>5</v>
      </c>
      <c r="AD72" t="n">
        <v>26</v>
      </c>
      <c r="AE72" t="n">
        <v>26</v>
      </c>
      <c r="AF72" t="n">
        <v>11</v>
      </c>
      <c r="AG72" t="n">
        <v>11</v>
      </c>
      <c r="AH72" t="n">
        <v>7</v>
      </c>
      <c r="AI72" t="n">
        <v>7</v>
      </c>
      <c r="AJ72" t="n">
        <v>13</v>
      </c>
      <c r="AK72" t="n">
        <v>13</v>
      </c>
      <c r="AL72" t="n">
        <v>3</v>
      </c>
      <c r="AM72" t="n">
        <v>3</v>
      </c>
      <c r="AN72" t="n">
        <v>0</v>
      </c>
      <c r="AO72" t="n">
        <v>0</v>
      </c>
      <c r="AP72" t="inlineStr">
        <is>
          <t>No</t>
        </is>
      </c>
      <c r="AQ72" t="inlineStr">
        <is>
          <t>Yes</t>
        </is>
      </c>
      <c r="AR72">
        <f>HYPERLINK("http://catalog.hathitrust.org/Record/000227786","HathiTrust Record")</f>
        <v/>
      </c>
      <c r="AS72">
        <f>HYPERLINK("https://creighton-primo.hosted.exlibrisgroup.com/primo-explore/search?tab=default_tab&amp;search_scope=EVERYTHING&amp;vid=01CRU&amp;lang=en_US&amp;offset=0&amp;query=any,contains,991001783019702656","Catalog Record")</f>
        <v/>
      </c>
      <c r="AT72">
        <f>HYPERLINK("http://www.worldcat.org/oclc/6085853","WorldCat Record")</f>
        <v/>
      </c>
      <c r="AU72" t="inlineStr">
        <is>
          <t>20997251:eng</t>
        </is>
      </c>
      <c r="AV72" t="inlineStr">
        <is>
          <t>6085853</t>
        </is>
      </c>
      <c r="AW72" t="inlineStr">
        <is>
          <t>991001783019702656</t>
        </is>
      </c>
      <c r="AX72" t="inlineStr">
        <is>
          <t>991001783019702656</t>
        </is>
      </c>
      <c r="AY72" t="inlineStr">
        <is>
          <t>2261004800002656</t>
        </is>
      </c>
      <c r="AZ72" t="inlineStr">
        <is>
          <t>BOOK</t>
        </is>
      </c>
      <c r="BC72" t="inlineStr">
        <is>
          <t>32285001625218</t>
        </is>
      </c>
      <c r="BD72" t="inlineStr">
        <is>
          <t>893522840</t>
        </is>
      </c>
    </row>
    <row r="73">
      <c r="A73" t="inlineStr">
        <is>
          <t>No</t>
        </is>
      </c>
      <c r="B73" t="inlineStr">
        <is>
          <t>HQ1061 .A484 1981</t>
        </is>
      </c>
      <c r="C73" t="inlineStr">
        <is>
          <t>0                      HQ 1061000A  484         1981</t>
        </is>
      </c>
      <c r="D73" t="inlineStr">
        <is>
          <t>Aging, social change / edited by Sara B. Kiesler, James N. Morgan, Valerie Kincade Oppenheimer, editors ; James G. March, editor-in-chief.</t>
        </is>
      </c>
      <c r="F73" t="inlineStr">
        <is>
          <t>No</t>
        </is>
      </c>
      <c r="G73" t="inlineStr">
        <is>
          <t>1</t>
        </is>
      </c>
      <c r="H73" t="inlineStr">
        <is>
          <t>No</t>
        </is>
      </c>
      <c r="I73" t="inlineStr">
        <is>
          <t>No</t>
        </is>
      </c>
      <c r="J73" t="inlineStr">
        <is>
          <t>0</t>
        </is>
      </c>
      <c r="L73" t="inlineStr">
        <is>
          <t>New York : Academic Press, c1981.</t>
        </is>
      </c>
      <c r="M73" t="inlineStr">
        <is>
          <t>1981</t>
        </is>
      </c>
      <c r="O73" t="inlineStr">
        <is>
          <t>eng</t>
        </is>
      </c>
      <c r="P73" t="inlineStr">
        <is>
          <t>nyu</t>
        </is>
      </c>
      <c r="R73" t="inlineStr">
        <is>
          <t xml:space="preserve">HQ </t>
        </is>
      </c>
      <c r="S73" t="n">
        <v>5</v>
      </c>
      <c r="T73" t="n">
        <v>5</v>
      </c>
      <c r="U73" t="inlineStr">
        <is>
          <t>1996-05-02</t>
        </is>
      </c>
      <c r="V73" t="inlineStr">
        <is>
          <t>1996-05-02</t>
        </is>
      </c>
      <c r="W73" t="inlineStr">
        <is>
          <t>1993-04-23</t>
        </is>
      </c>
      <c r="X73" t="inlineStr">
        <is>
          <t>1993-04-23</t>
        </is>
      </c>
      <c r="Y73" t="n">
        <v>519</v>
      </c>
      <c r="Z73" t="n">
        <v>410</v>
      </c>
      <c r="AA73" t="n">
        <v>417</v>
      </c>
      <c r="AB73" t="n">
        <v>3</v>
      </c>
      <c r="AC73" t="n">
        <v>3</v>
      </c>
      <c r="AD73" t="n">
        <v>17</v>
      </c>
      <c r="AE73" t="n">
        <v>17</v>
      </c>
      <c r="AF73" t="n">
        <v>6</v>
      </c>
      <c r="AG73" t="n">
        <v>6</v>
      </c>
      <c r="AH73" t="n">
        <v>5</v>
      </c>
      <c r="AI73" t="n">
        <v>5</v>
      </c>
      <c r="AJ73" t="n">
        <v>10</v>
      </c>
      <c r="AK73" t="n">
        <v>10</v>
      </c>
      <c r="AL73" t="n">
        <v>2</v>
      </c>
      <c r="AM73" t="n">
        <v>2</v>
      </c>
      <c r="AN73" t="n">
        <v>0</v>
      </c>
      <c r="AO73" t="n">
        <v>0</v>
      </c>
      <c r="AP73" t="inlineStr">
        <is>
          <t>No</t>
        </is>
      </c>
      <c r="AQ73" t="inlineStr">
        <is>
          <t>Yes</t>
        </is>
      </c>
      <c r="AR73">
        <f>HYPERLINK("http://catalog.hathitrust.org/Record/000188033","HathiTrust Record")</f>
        <v/>
      </c>
      <c r="AS73">
        <f>HYPERLINK("https://creighton-primo.hosted.exlibrisgroup.com/primo-explore/search?tab=default_tab&amp;search_scope=EVERYTHING&amp;vid=01CRU&amp;lang=en_US&amp;offset=0&amp;query=any,contains,991005176599702656","Catalog Record")</f>
        <v/>
      </c>
      <c r="AT73">
        <f>HYPERLINK("http://www.worldcat.org/oclc/7923741","WorldCat Record")</f>
        <v/>
      </c>
      <c r="AU73" t="inlineStr">
        <is>
          <t>427642520:eng</t>
        </is>
      </c>
      <c r="AV73" t="inlineStr">
        <is>
          <t>7923741</t>
        </is>
      </c>
      <c r="AW73" t="inlineStr">
        <is>
          <t>991005176599702656</t>
        </is>
      </c>
      <c r="AX73" t="inlineStr">
        <is>
          <t>991005176599702656</t>
        </is>
      </c>
      <c r="AY73" t="inlineStr">
        <is>
          <t>2269212210002656</t>
        </is>
      </c>
      <c r="AZ73" t="inlineStr">
        <is>
          <t>BOOK</t>
        </is>
      </c>
      <c r="BB73" t="inlineStr">
        <is>
          <t>9780120400027</t>
        </is>
      </c>
      <c r="BC73" t="inlineStr">
        <is>
          <t>32285001625226</t>
        </is>
      </c>
      <c r="BD73" t="inlineStr">
        <is>
          <t>893606960</t>
        </is>
      </c>
    </row>
    <row r="74">
      <c r="A74" t="inlineStr">
        <is>
          <t>No</t>
        </is>
      </c>
      <c r="B74" t="inlineStr">
        <is>
          <t>HQ1061 .A53 1980</t>
        </is>
      </c>
      <c r="C74" t="inlineStr">
        <is>
          <t>0                      HQ 1061000A  53          1980</t>
        </is>
      </c>
      <c r="D74" t="inlineStr">
        <is>
          <t>Ageism : the effect of gerontological education, self-attribution information and intergenerational contact on attitudes of adolescents toward the elderly / by Karen R. Anderson.</t>
        </is>
      </c>
      <c r="F74" t="inlineStr">
        <is>
          <t>No</t>
        </is>
      </c>
      <c r="G74" t="inlineStr">
        <is>
          <t>1</t>
        </is>
      </c>
      <c r="H74" t="inlineStr">
        <is>
          <t>No</t>
        </is>
      </c>
      <c r="I74" t="inlineStr">
        <is>
          <t>No</t>
        </is>
      </c>
      <c r="J74" t="inlineStr">
        <is>
          <t>0</t>
        </is>
      </c>
      <c r="K74" t="inlineStr">
        <is>
          <t>Anderson, Karen R.</t>
        </is>
      </c>
      <c r="M74" t="inlineStr">
        <is>
          <t>1983</t>
        </is>
      </c>
      <c r="O74" t="inlineStr">
        <is>
          <t>eng</t>
        </is>
      </c>
      <c r="P74" t="inlineStr">
        <is>
          <t>miu</t>
        </is>
      </c>
      <c r="R74" t="inlineStr">
        <is>
          <t xml:space="preserve">HQ </t>
        </is>
      </c>
      <c r="S74" t="n">
        <v>10</v>
      </c>
      <c r="T74" t="n">
        <v>10</v>
      </c>
      <c r="U74" t="inlineStr">
        <is>
          <t>2000-12-13</t>
        </is>
      </c>
      <c r="V74" t="inlineStr">
        <is>
          <t>2000-12-13</t>
        </is>
      </c>
      <c r="W74" t="inlineStr">
        <is>
          <t>1991-12-10</t>
        </is>
      </c>
      <c r="X74" t="inlineStr">
        <is>
          <t>1991-12-10</t>
        </is>
      </c>
      <c r="Y74" t="n">
        <v>1</v>
      </c>
      <c r="Z74" t="n">
        <v>1</v>
      </c>
      <c r="AA74" t="n">
        <v>1</v>
      </c>
      <c r="AB74" t="n">
        <v>1</v>
      </c>
      <c r="AC74" t="n">
        <v>1</v>
      </c>
      <c r="AD74" t="n">
        <v>0</v>
      </c>
      <c r="AE74" t="n">
        <v>0</v>
      </c>
      <c r="AF74" t="n">
        <v>0</v>
      </c>
      <c r="AG74" t="n">
        <v>0</v>
      </c>
      <c r="AH74" t="n">
        <v>0</v>
      </c>
      <c r="AI74" t="n">
        <v>0</v>
      </c>
      <c r="AJ74" t="n">
        <v>0</v>
      </c>
      <c r="AK74" t="n">
        <v>0</v>
      </c>
      <c r="AL74" t="n">
        <v>0</v>
      </c>
      <c r="AM74" t="n">
        <v>0</v>
      </c>
      <c r="AN74" t="n">
        <v>0</v>
      </c>
      <c r="AO74" t="n">
        <v>0</v>
      </c>
      <c r="AP74" t="inlineStr">
        <is>
          <t>No</t>
        </is>
      </c>
      <c r="AQ74" t="inlineStr">
        <is>
          <t>No</t>
        </is>
      </c>
      <c r="AS74">
        <f>HYPERLINK("https://creighton-primo.hosted.exlibrisgroup.com/primo-explore/search?tab=default_tab&amp;search_scope=EVERYTHING&amp;vid=01CRU&amp;lang=en_US&amp;offset=0&amp;query=any,contains,991000279159702656","Catalog Record")</f>
        <v/>
      </c>
      <c r="AT74">
        <f>HYPERLINK("http://www.worldcat.org/oclc/9908975","WorldCat Record")</f>
        <v/>
      </c>
      <c r="AU74" t="inlineStr">
        <is>
          <t>3863558573:eng</t>
        </is>
      </c>
      <c r="AV74" t="inlineStr">
        <is>
          <t>9908975</t>
        </is>
      </c>
      <c r="AW74" t="inlineStr">
        <is>
          <t>991000279159702656</t>
        </is>
      </c>
      <c r="AX74" t="inlineStr">
        <is>
          <t>991000279159702656</t>
        </is>
      </c>
      <c r="AY74" t="inlineStr">
        <is>
          <t>2262783280002656</t>
        </is>
      </c>
      <c r="AZ74" t="inlineStr">
        <is>
          <t>BOOK</t>
        </is>
      </c>
      <c r="BC74" t="inlineStr">
        <is>
          <t>32285000886183</t>
        </is>
      </c>
      <c r="BD74" t="inlineStr">
        <is>
          <t>893425573</t>
        </is>
      </c>
    </row>
    <row r="75">
      <c r="A75" t="inlineStr">
        <is>
          <t>No</t>
        </is>
      </c>
      <c r="B75" t="inlineStr">
        <is>
          <t>HQ1061 .A623 1983</t>
        </is>
      </c>
      <c r="C75" t="inlineStr">
        <is>
          <t>0                      HQ 1061000A  623         1983</t>
        </is>
      </c>
      <c r="D75" t="inlineStr">
        <is>
          <t>Applied research in aging : a guide to methods and resources / Jan D. Sinnott ... [et al.].</t>
        </is>
      </c>
      <c r="F75" t="inlineStr">
        <is>
          <t>No</t>
        </is>
      </c>
      <c r="G75" t="inlineStr">
        <is>
          <t>1</t>
        </is>
      </c>
      <c r="H75" t="inlineStr">
        <is>
          <t>No</t>
        </is>
      </c>
      <c r="I75" t="inlineStr">
        <is>
          <t>No</t>
        </is>
      </c>
      <c r="J75" t="inlineStr">
        <is>
          <t>0</t>
        </is>
      </c>
      <c r="L75" t="inlineStr">
        <is>
          <t>Boston : Little, Brown, c1983.</t>
        </is>
      </c>
      <c r="M75" t="inlineStr">
        <is>
          <t>1983</t>
        </is>
      </c>
      <c r="O75" t="inlineStr">
        <is>
          <t>eng</t>
        </is>
      </c>
      <c r="P75" t="inlineStr">
        <is>
          <t>mau</t>
        </is>
      </c>
      <c r="Q75" t="inlineStr">
        <is>
          <t>Little, Brown series on gerontology</t>
        </is>
      </c>
      <c r="R75" t="inlineStr">
        <is>
          <t xml:space="preserve">HQ </t>
        </is>
      </c>
      <c r="S75" t="n">
        <v>2</v>
      </c>
      <c r="T75" t="n">
        <v>2</v>
      </c>
      <c r="U75" t="inlineStr">
        <is>
          <t>1994-09-25</t>
        </is>
      </c>
      <c r="V75" t="inlineStr">
        <is>
          <t>1994-09-25</t>
        </is>
      </c>
      <c r="W75" t="inlineStr">
        <is>
          <t>1993-04-23</t>
        </is>
      </c>
      <c r="X75" t="inlineStr">
        <is>
          <t>1993-04-23</t>
        </is>
      </c>
      <c r="Y75" t="n">
        <v>226</v>
      </c>
      <c r="Z75" t="n">
        <v>188</v>
      </c>
      <c r="AA75" t="n">
        <v>195</v>
      </c>
      <c r="AB75" t="n">
        <v>2</v>
      </c>
      <c r="AC75" t="n">
        <v>2</v>
      </c>
      <c r="AD75" t="n">
        <v>7</v>
      </c>
      <c r="AE75" t="n">
        <v>7</v>
      </c>
      <c r="AF75" t="n">
        <v>1</v>
      </c>
      <c r="AG75" t="n">
        <v>1</v>
      </c>
      <c r="AH75" t="n">
        <v>2</v>
      </c>
      <c r="AI75" t="n">
        <v>2</v>
      </c>
      <c r="AJ75" t="n">
        <v>4</v>
      </c>
      <c r="AK75" t="n">
        <v>4</v>
      </c>
      <c r="AL75" t="n">
        <v>1</v>
      </c>
      <c r="AM75" t="n">
        <v>1</v>
      </c>
      <c r="AN75" t="n">
        <v>0</v>
      </c>
      <c r="AO75" t="n">
        <v>0</v>
      </c>
      <c r="AP75" t="inlineStr">
        <is>
          <t>No</t>
        </is>
      </c>
      <c r="AQ75" t="inlineStr">
        <is>
          <t>Yes</t>
        </is>
      </c>
      <c r="AR75">
        <f>HYPERLINK("http://catalog.hathitrust.org/Record/000401752","HathiTrust Record")</f>
        <v/>
      </c>
      <c r="AS75">
        <f>HYPERLINK("https://creighton-primo.hosted.exlibrisgroup.com/primo-explore/search?tab=default_tab&amp;search_scope=EVERYTHING&amp;vid=01CRU&amp;lang=en_US&amp;offset=0&amp;query=any,contains,991000105079702656","Catalog Record")</f>
        <v/>
      </c>
      <c r="AT75">
        <f>HYPERLINK("http://www.worldcat.org/oclc/8975258","WorldCat Record")</f>
        <v/>
      </c>
      <c r="AU75" t="inlineStr">
        <is>
          <t>894529409:eng</t>
        </is>
      </c>
      <c r="AV75" t="inlineStr">
        <is>
          <t>8975258</t>
        </is>
      </c>
      <c r="AW75" t="inlineStr">
        <is>
          <t>991000105079702656</t>
        </is>
      </c>
      <c r="AX75" t="inlineStr">
        <is>
          <t>991000105079702656</t>
        </is>
      </c>
      <c r="AY75" t="inlineStr">
        <is>
          <t>2255905890002656</t>
        </is>
      </c>
      <c r="AZ75" t="inlineStr">
        <is>
          <t>BOOK</t>
        </is>
      </c>
      <c r="BB75" t="inlineStr">
        <is>
          <t>9780316792837</t>
        </is>
      </c>
      <c r="BC75" t="inlineStr">
        <is>
          <t>32285001625234</t>
        </is>
      </c>
      <c r="BD75" t="inlineStr">
        <is>
          <t>893261361</t>
        </is>
      </c>
    </row>
    <row r="76">
      <c r="A76" t="inlineStr">
        <is>
          <t>No</t>
        </is>
      </c>
      <c r="B76" t="inlineStr">
        <is>
          <t>HQ1061 .A78 1988</t>
        </is>
      </c>
      <c r="C76" t="inlineStr">
        <is>
          <t>0                      HQ 1061000A  78          1988</t>
        </is>
      </c>
      <c r="D76" t="inlineStr">
        <is>
          <t>Social forces and aging : an introduction to social gerontology / Robert C. Atchley.</t>
        </is>
      </c>
      <c r="F76" t="inlineStr">
        <is>
          <t>No</t>
        </is>
      </c>
      <c r="G76" t="inlineStr">
        <is>
          <t>1</t>
        </is>
      </c>
      <c r="H76" t="inlineStr">
        <is>
          <t>No</t>
        </is>
      </c>
      <c r="I76" t="inlineStr">
        <is>
          <t>Yes</t>
        </is>
      </c>
      <c r="J76" t="inlineStr">
        <is>
          <t>0</t>
        </is>
      </c>
      <c r="K76" t="inlineStr">
        <is>
          <t>Atchley, Robert C.</t>
        </is>
      </c>
      <c r="L76" t="inlineStr">
        <is>
          <t>Belmont, Calif. : Wadsworth, c1988.</t>
        </is>
      </c>
      <c r="M76" t="inlineStr">
        <is>
          <t>1988</t>
        </is>
      </c>
      <c r="N76" t="inlineStr">
        <is>
          <t>5th ed.</t>
        </is>
      </c>
      <c r="O76" t="inlineStr">
        <is>
          <t>eng</t>
        </is>
      </c>
      <c r="P76" t="inlineStr">
        <is>
          <t>cau</t>
        </is>
      </c>
      <c r="R76" t="inlineStr">
        <is>
          <t xml:space="preserve">HQ </t>
        </is>
      </c>
      <c r="S76" t="n">
        <v>8</v>
      </c>
      <c r="T76" t="n">
        <v>8</v>
      </c>
      <c r="U76" t="inlineStr">
        <is>
          <t>2001-02-07</t>
        </is>
      </c>
      <c r="V76" t="inlineStr">
        <is>
          <t>2001-02-07</t>
        </is>
      </c>
      <c r="W76" t="inlineStr">
        <is>
          <t>1992-02-24</t>
        </is>
      </c>
      <c r="X76" t="inlineStr">
        <is>
          <t>1992-02-24</t>
        </is>
      </c>
      <c r="Y76" t="n">
        <v>208</v>
      </c>
      <c r="Z76" t="n">
        <v>163</v>
      </c>
      <c r="AA76" t="n">
        <v>685</v>
      </c>
      <c r="AB76" t="n">
        <v>1</v>
      </c>
      <c r="AC76" t="n">
        <v>4</v>
      </c>
      <c r="AD76" t="n">
        <v>6</v>
      </c>
      <c r="AE76" t="n">
        <v>25</v>
      </c>
      <c r="AF76" t="n">
        <v>2</v>
      </c>
      <c r="AG76" t="n">
        <v>10</v>
      </c>
      <c r="AH76" t="n">
        <v>1</v>
      </c>
      <c r="AI76" t="n">
        <v>6</v>
      </c>
      <c r="AJ76" t="n">
        <v>3</v>
      </c>
      <c r="AK76" t="n">
        <v>14</v>
      </c>
      <c r="AL76" t="n">
        <v>0</v>
      </c>
      <c r="AM76" t="n">
        <v>2</v>
      </c>
      <c r="AN76" t="n">
        <v>0</v>
      </c>
      <c r="AO76" t="n">
        <v>0</v>
      </c>
      <c r="AP76" t="inlineStr">
        <is>
          <t>No</t>
        </is>
      </c>
      <c r="AQ76" t="inlineStr">
        <is>
          <t>Yes</t>
        </is>
      </c>
      <c r="AR76">
        <f>HYPERLINK("http://catalog.hathitrust.org/Record/001839349","HathiTrust Record")</f>
        <v/>
      </c>
      <c r="AS76">
        <f>HYPERLINK("https://creighton-primo.hosted.exlibrisgroup.com/primo-explore/search?tab=default_tab&amp;search_scope=EVERYTHING&amp;vid=01CRU&amp;lang=en_US&amp;offset=0&amp;query=any,contains,991001074489702656","Catalog Record")</f>
        <v/>
      </c>
      <c r="AT76">
        <f>HYPERLINK("http://www.worldcat.org/oclc/16004969","WorldCat Record")</f>
        <v/>
      </c>
      <c r="AU76" t="inlineStr">
        <is>
          <t>796286661:eng</t>
        </is>
      </c>
      <c r="AV76" t="inlineStr">
        <is>
          <t>16004969</t>
        </is>
      </c>
      <c r="AW76" t="inlineStr">
        <is>
          <t>991001074489702656</t>
        </is>
      </c>
      <c r="AX76" t="inlineStr">
        <is>
          <t>991001074489702656</t>
        </is>
      </c>
      <c r="AY76" t="inlineStr">
        <is>
          <t>2271412120002656</t>
        </is>
      </c>
      <c r="AZ76" t="inlineStr">
        <is>
          <t>BOOK</t>
        </is>
      </c>
      <c r="BB76" t="inlineStr">
        <is>
          <t>9780534087906</t>
        </is>
      </c>
      <c r="BC76" t="inlineStr">
        <is>
          <t>32285000974351</t>
        </is>
      </c>
      <c r="BD76" t="inlineStr">
        <is>
          <t>893878596</t>
        </is>
      </c>
    </row>
    <row r="77">
      <c r="A77" t="inlineStr">
        <is>
          <t>No</t>
        </is>
      </c>
      <c r="B77" t="inlineStr">
        <is>
          <t>HQ1061 .B35 1996</t>
        </is>
      </c>
      <c r="C77" t="inlineStr">
        <is>
          <t>0                      HQ 1061000B  35          1996</t>
        </is>
      </c>
      <c r="D77" t="inlineStr">
        <is>
          <t>The many faces of dependency in old age / Margret M. Baltes.</t>
        </is>
      </c>
      <c r="F77" t="inlineStr">
        <is>
          <t>No</t>
        </is>
      </c>
      <c r="G77" t="inlineStr">
        <is>
          <t>1</t>
        </is>
      </c>
      <c r="H77" t="inlineStr">
        <is>
          <t>No</t>
        </is>
      </c>
      <c r="I77" t="inlineStr">
        <is>
          <t>No</t>
        </is>
      </c>
      <c r="J77" t="inlineStr">
        <is>
          <t>0</t>
        </is>
      </c>
      <c r="K77" t="inlineStr">
        <is>
          <t>Baltes, Margret M.</t>
        </is>
      </c>
      <c r="L77" t="inlineStr">
        <is>
          <t>Cambridge ; New York : Cambridge University Press, 1996.</t>
        </is>
      </c>
      <c r="M77" t="inlineStr">
        <is>
          <t>1996</t>
        </is>
      </c>
      <c r="O77" t="inlineStr">
        <is>
          <t>eng</t>
        </is>
      </c>
      <c r="P77" t="inlineStr">
        <is>
          <t>enk</t>
        </is>
      </c>
      <c r="R77" t="inlineStr">
        <is>
          <t xml:space="preserve">HQ </t>
        </is>
      </c>
      <c r="S77" t="n">
        <v>1</v>
      </c>
      <c r="T77" t="n">
        <v>1</v>
      </c>
      <c r="U77" t="inlineStr">
        <is>
          <t>2000-10-01</t>
        </is>
      </c>
      <c r="V77" t="inlineStr">
        <is>
          <t>2000-10-01</t>
        </is>
      </c>
      <c r="W77" t="inlineStr">
        <is>
          <t>1997-01-23</t>
        </is>
      </c>
      <c r="X77" t="inlineStr">
        <is>
          <t>1997-01-23</t>
        </is>
      </c>
      <c r="Y77" t="n">
        <v>424</v>
      </c>
      <c r="Z77" t="n">
        <v>296</v>
      </c>
      <c r="AA77" t="n">
        <v>300</v>
      </c>
      <c r="AB77" t="n">
        <v>3</v>
      </c>
      <c r="AC77" t="n">
        <v>3</v>
      </c>
      <c r="AD77" t="n">
        <v>18</v>
      </c>
      <c r="AE77" t="n">
        <v>18</v>
      </c>
      <c r="AF77" t="n">
        <v>6</v>
      </c>
      <c r="AG77" t="n">
        <v>6</v>
      </c>
      <c r="AH77" t="n">
        <v>5</v>
      </c>
      <c r="AI77" t="n">
        <v>5</v>
      </c>
      <c r="AJ77" t="n">
        <v>10</v>
      </c>
      <c r="AK77" t="n">
        <v>10</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HYPERLINK("https://creighton-primo.hosted.exlibrisgroup.com/primo-explore/search?tab=default_tab&amp;search_scope=EVERYTHING&amp;vid=01CRU&amp;lang=en_US&amp;offset=0&amp;query=any,contains,991002629039702656","Catalog Record")</f>
        <v/>
      </c>
      <c r="AT77">
        <f>HYPERLINK("http://www.worldcat.org/oclc/34473674","WorldCat Record")</f>
        <v/>
      </c>
      <c r="AU77" t="inlineStr">
        <is>
          <t>39806793:eng</t>
        </is>
      </c>
      <c r="AV77" t="inlineStr">
        <is>
          <t>34473674</t>
        </is>
      </c>
      <c r="AW77" t="inlineStr">
        <is>
          <t>991002629039702656</t>
        </is>
      </c>
      <c r="AX77" t="inlineStr">
        <is>
          <t>991002629039702656</t>
        </is>
      </c>
      <c r="AY77" t="inlineStr">
        <is>
          <t>2262956680002656</t>
        </is>
      </c>
      <c r="AZ77" t="inlineStr">
        <is>
          <t>BOOK</t>
        </is>
      </c>
      <c r="BB77" t="inlineStr">
        <is>
          <t>9780521496841</t>
        </is>
      </c>
      <c r="BC77" t="inlineStr">
        <is>
          <t>32285002410784</t>
        </is>
      </c>
      <c r="BD77" t="inlineStr">
        <is>
          <t>893886507</t>
        </is>
      </c>
    </row>
    <row r="78">
      <c r="A78" t="inlineStr">
        <is>
          <t>No</t>
        </is>
      </c>
      <c r="B78" t="inlineStr">
        <is>
          <t>HQ1061 .B38</t>
        </is>
      </c>
      <c r="C78" t="inlineStr">
        <is>
          <t>0                      HQ 1061000B  38</t>
        </is>
      </c>
      <c r="D78" t="inlineStr">
        <is>
          <t>Growing old : a societal perspective / Martha Baum, Rainer C. Baum.</t>
        </is>
      </c>
      <c r="F78" t="inlineStr">
        <is>
          <t>No</t>
        </is>
      </c>
      <c r="G78" t="inlineStr">
        <is>
          <t>1</t>
        </is>
      </c>
      <c r="H78" t="inlineStr">
        <is>
          <t>No</t>
        </is>
      </c>
      <c r="I78" t="inlineStr">
        <is>
          <t>No</t>
        </is>
      </c>
      <c r="J78" t="inlineStr">
        <is>
          <t>0</t>
        </is>
      </c>
      <c r="K78" t="inlineStr">
        <is>
          <t>Baum, Martha.</t>
        </is>
      </c>
      <c r="L78" t="inlineStr">
        <is>
          <t>Englewood Cliffs, N.J. : Prentice-Hall, 1980.</t>
        </is>
      </c>
      <c r="M78" t="inlineStr">
        <is>
          <t>1980</t>
        </is>
      </c>
      <c r="O78" t="inlineStr">
        <is>
          <t>eng</t>
        </is>
      </c>
      <c r="P78" t="inlineStr">
        <is>
          <t>nju</t>
        </is>
      </c>
      <c r="R78" t="inlineStr">
        <is>
          <t xml:space="preserve">HQ </t>
        </is>
      </c>
      <c r="S78" t="n">
        <v>3</v>
      </c>
      <c r="T78" t="n">
        <v>3</v>
      </c>
      <c r="U78" t="inlineStr">
        <is>
          <t>1993-04-12</t>
        </is>
      </c>
      <c r="V78" t="inlineStr">
        <is>
          <t>1993-04-12</t>
        </is>
      </c>
      <c r="W78" t="inlineStr">
        <is>
          <t>1992-11-07</t>
        </is>
      </c>
      <c r="X78" t="inlineStr">
        <is>
          <t>1992-11-07</t>
        </is>
      </c>
      <c r="Y78" t="n">
        <v>323</v>
      </c>
      <c r="Z78" t="n">
        <v>252</v>
      </c>
      <c r="AA78" t="n">
        <v>259</v>
      </c>
      <c r="AB78" t="n">
        <v>3</v>
      </c>
      <c r="AC78" t="n">
        <v>3</v>
      </c>
      <c r="AD78" t="n">
        <v>10</v>
      </c>
      <c r="AE78" t="n">
        <v>10</v>
      </c>
      <c r="AF78" t="n">
        <v>3</v>
      </c>
      <c r="AG78" t="n">
        <v>3</v>
      </c>
      <c r="AH78" t="n">
        <v>2</v>
      </c>
      <c r="AI78" t="n">
        <v>2</v>
      </c>
      <c r="AJ78" t="n">
        <v>6</v>
      </c>
      <c r="AK78" t="n">
        <v>6</v>
      </c>
      <c r="AL78" t="n">
        <v>2</v>
      </c>
      <c r="AM78" t="n">
        <v>2</v>
      </c>
      <c r="AN78" t="n">
        <v>0</v>
      </c>
      <c r="AO78" t="n">
        <v>0</v>
      </c>
      <c r="AP78" t="inlineStr">
        <is>
          <t>No</t>
        </is>
      </c>
      <c r="AQ78" t="inlineStr">
        <is>
          <t>Yes</t>
        </is>
      </c>
      <c r="AR78">
        <f>HYPERLINK("http://catalog.hathitrust.org/Record/000761182","HathiTrust Record")</f>
        <v/>
      </c>
      <c r="AS78">
        <f>HYPERLINK("https://creighton-primo.hosted.exlibrisgroup.com/primo-explore/search?tab=default_tab&amp;search_scope=EVERYTHING&amp;vid=01CRU&amp;lang=en_US&amp;offset=0&amp;query=any,contains,991004846739702656","Catalog Record")</f>
        <v/>
      </c>
      <c r="AT78">
        <f>HYPERLINK("http://www.worldcat.org/oclc/5564881","WorldCat Record")</f>
        <v/>
      </c>
      <c r="AU78" t="inlineStr">
        <is>
          <t>375116035:eng</t>
        </is>
      </c>
      <c r="AV78" t="inlineStr">
        <is>
          <t>5564881</t>
        </is>
      </c>
      <c r="AW78" t="inlineStr">
        <is>
          <t>991004846739702656</t>
        </is>
      </c>
      <c r="AX78" t="inlineStr">
        <is>
          <t>991004846739702656</t>
        </is>
      </c>
      <c r="AY78" t="inlineStr">
        <is>
          <t>2268750560002656</t>
        </is>
      </c>
      <c r="AZ78" t="inlineStr">
        <is>
          <t>BOOK</t>
        </is>
      </c>
      <c r="BB78" t="inlineStr">
        <is>
          <t>9780133677973</t>
        </is>
      </c>
      <c r="BC78" t="inlineStr">
        <is>
          <t>32285001383396</t>
        </is>
      </c>
      <c r="BD78" t="inlineStr">
        <is>
          <t>893260246</t>
        </is>
      </c>
    </row>
    <row r="79">
      <c r="A79" t="inlineStr">
        <is>
          <t>No</t>
        </is>
      </c>
      <c r="B79" t="inlineStr">
        <is>
          <t>HQ1061 .B415 1980</t>
        </is>
      </c>
      <c r="C79" t="inlineStr">
        <is>
          <t>0                      HQ 1061000B  415         1980</t>
        </is>
      </c>
      <c r="D79" t="inlineStr">
        <is>
          <t>Being and becoming old / editor, Jon Hendricks.</t>
        </is>
      </c>
      <c r="E79" t="inlineStr">
        <is>
          <t>V. 1</t>
        </is>
      </c>
      <c r="F79" t="inlineStr">
        <is>
          <t>No</t>
        </is>
      </c>
      <c r="G79" t="inlineStr">
        <is>
          <t>1</t>
        </is>
      </c>
      <c r="H79" t="inlineStr">
        <is>
          <t>Yes</t>
        </is>
      </c>
      <c r="I79" t="inlineStr">
        <is>
          <t>No</t>
        </is>
      </c>
      <c r="J79" t="inlineStr">
        <is>
          <t>0</t>
        </is>
      </c>
      <c r="L79" t="inlineStr">
        <is>
          <t>Farmingdale, N.Y. : Baywood Pub. Co., c1980.</t>
        </is>
      </c>
      <c r="M79" t="inlineStr">
        <is>
          <t>1980</t>
        </is>
      </c>
      <c r="O79" t="inlineStr">
        <is>
          <t>eng</t>
        </is>
      </c>
      <c r="P79" t="inlineStr">
        <is>
          <t>nyu</t>
        </is>
      </c>
      <c r="Q79" t="inlineStr">
        <is>
          <t>Perspectives on aging and human development series ; 1</t>
        </is>
      </c>
      <c r="R79" t="inlineStr">
        <is>
          <t xml:space="preserve">HQ </t>
        </is>
      </c>
      <c r="S79" t="n">
        <v>3</v>
      </c>
      <c r="T79" t="n">
        <v>3</v>
      </c>
      <c r="U79" t="inlineStr">
        <is>
          <t>2002-04-01</t>
        </is>
      </c>
      <c r="V79" t="inlineStr">
        <is>
          <t>2002-04-01</t>
        </is>
      </c>
      <c r="W79" t="inlineStr">
        <is>
          <t>1992-04-16</t>
        </is>
      </c>
      <c r="X79" t="inlineStr">
        <is>
          <t>1992-04-16</t>
        </is>
      </c>
      <c r="Y79" t="n">
        <v>446</v>
      </c>
      <c r="Z79" t="n">
        <v>383</v>
      </c>
      <c r="AA79" t="n">
        <v>393</v>
      </c>
      <c r="AB79" t="n">
        <v>4</v>
      </c>
      <c r="AC79" t="n">
        <v>4</v>
      </c>
      <c r="AD79" t="n">
        <v>18</v>
      </c>
      <c r="AE79" t="n">
        <v>18</v>
      </c>
      <c r="AF79" t="n">
        <v>8</v>
      </c>
      <c r="AG79" t="n">
        <v>8</v>
      </c>
      <c r="AH79" t="n">
        <v>5</v>
      </c>
      <c r="AI79" t="n">
        <v>5</v>
      </c>
      <c r="AJ79" t="n">
        <v>8</v>
      </c>
      <c r="AK79" t="n">
        <v>8</v>
      </c>
      <c r="AL79" t="n">
        <v>2</v>
      </c>
      <c r="AM79" t="n">
        <v>2</v>
      </c>
      <c r="AN79" t="n">
        <v>0</v>
      </c>
      <c r="AO79" t="n">
        <v>0</v>
      </c>
      <c r="AP79" t="inlineStr">
        <is>
          <t>No</t>
        </is>
      </c>
      <c r="AQ79" t="inlineStr">
        <is>
          <t>Yes</t>
        </is>
      </c>
      <c r="AR79">
        <f>HYPERLINK("http://catalog.hathitrust.org/Record/000264407","HathiTrust Record")</f>
        <v/>
      </c>
      <c r="AS79">
        <f>HYPERLINK("https://creighton-primo.hosted.exlibrisgroup.com/primo-explore/search?tab=default_tab&amp;search_scope=EVERYTHING&amp;vid=01CRU&amp;lang=en_US&amp;offset=0&amp;query=any,contains,991001782189702656","Catalog Record")</f>
        <v/>
      </c>
      <c r="AT79">
        <f>HYPERLINK("http://www.worldcat.org/oclc/5491629","WorldCat Record")</f>
        <v/>
      </c>
      <c r="AU79" t="inlineStr">
        <is>
          <t>551943:eng</t>
        </is>
      </c>
      <c r="AV79" t="inlineStr">
        <is>
          <t>5491629</t>
        </is>
      </c>
      <c r="AW79" t="inlineStr">
        <is>
          <t>991001782189702656</t>
        </is>
      </c>
      <c r="AX79" t="inlineStr">
        <is>
          <t>991001782189702656</t>
        </is>
      </c>
      <c r="AY79" t="inlineStr">
        <is>
          <t>2268541920002656</t>
        </is>
      </c>
      <c r="AZ79" t="inlineStr">
        <is>
          <t>BOOK</t>
        </is>
      </c>
      <c r="BB79" t="inlineStr">
        <is>
          <t>9780895030146</t>
        </is>
      </c>
      <c r="BC79" t="inlineStr">
        <is>
          <t>32285001044659</t>
        </is>
      </c>
      <c r="BD79" t="inlineStr">
        <is>
          <t>893779074</t>
        </is>
      </c>
    </row>
    <row r="80">
      <c r="A80" t="inlineStr">
        <is>
          <t>No</t>
        </is>
      </c>
      <c r="B80" t="inlineStr">
        <is>
          <t>HQ1061 .B43 1989</t>
        </is>
      </c>
      <c r="C80" t="inlineStr">
        <is>
          <t>0                      HQ 1061000B  43          1989</t>
        </is>
      </c>
      <c r="D80" t="inlineStr">
        <is>
          <t>Becoming and being old : sociological approaches to later life / edited by Bill Bytheway ... [et al.].</t>
        </is>
      </c>
      <c r="F80" t="inlineStr">
        <is>
          <t>No</t>
        </is>
      </c>
      <c r="G80" t="inlineStr">
        <is>
          <t>1</t>
        </is>
      </c>
      <c r="H80" t="inlineStr">
        <is>
          <t>No</t>
        </is>
      </c>
      <c r="I80" t="inlineStr">
        <is>
          <t>No</t>
        </is>
      </c>
      <c r="J80" t="inlineStr">
        <is>
          <t>0</t>
        </is>
      </c>
      <c r="L80" t="inlineStr">
        <is>
          <t>London : Sage, 1989.</t>
        </is>
      </c>
      <c r="M80" t="inlineStr">
        <is>
          <t>1989</t>
        </is>
      </c>
      <c r="O80" t="inlineStr">
        <is>
          <t>eng</t>
        </is>
      </c>
      <c r="P80" t="inlineStr">
        <is>
          <t>enk</t>
        </is>
      </c>
      <c r="R80" t="inlineStr">
        <is>
          <t xml:space="preserve">HQ </t>
        </is>
      </c>
      <c r="S80" t="n">
        <v>4</v>
      </c>
      <c r="T80" t="n">
        <v>4</v>
      </c>
      <c r="U80" t="inlineStr">
        <is>
          <t>1997-11-23</t>
        </is>
      </c>
      <c r="V80" t="inlineStr">
        <is>
          <t>1997-11-23</t>
        </is>
      </c>
      <c r="W80" t="inlineStr">
        <is>
          <t>1990-10-01</t>
        </is>
      </c>
      <c r="X80" t="inlineStr">
        <is>
          <t>1990-10-01</t>
        </is>
      </c>
      <c r="Y80" t="n">
        <v>576</v>
      </c>
      <c r="Z80" t="n">
        <v>410</v>
      </c>
      <c r="AA80" t="n">
        <v>419</v>
      </c>
      <c r="AB80" t="n">
        <v>5</v>
      </c>
      <c r="AC80" t="n">
        <v>5</v>
      </c>
      <c r="AD80" t="n">
        <v>25</v>
      </c>
      <c r="AE80" t="n">
        <v>26</v>
      </c>
      <c r="AF80" t="n">
        <v>10</v>
      </c>
      <c r="AG80" t="n">
        <v>11</v>
      </c>
      <c r="AH80" t="n">
        <v>6</v>
      </c>
      <c r="AI80" t="n">
        <v>6</v>
      </c>
      <c r="AJ80" t="n">
        <v>12</v>
      </c>
      <c r="AK80" t="n">
        <v>13</v>
      </c>
      <c r="AL80" t="n">
        <v>4</v>
      </c>
      <c r="AM80" t="n">
        <v>4</v>
      </c>
      <c r="AN80" t="n">
        <v>0</v>
      </c>
      <c r="AO80" t="n">
        <v>0</v>
      </c>
      <c r="AP80" t="inlineStr">
        <is>
          <t>No</t>
        </is>
      </c>
      <c r="AQ80" t="inlineStr">
        <is>
          <t>Yes</t>
        </is>
      </c>
      <c r="AR80">
        <f>HYPERLINK("http://catalog.hathitrust.org/Record/001092899","HathiTrust Record")</f>
        <v/>
      </c>
      <c r="AS80">
        <f>HYPERLINK("https://creighton-primo.hosted.exlibrisgroup.com/primo-explore/search?tab=default_tab&amp;search_scope=EVERYTHING&amp;vid=01CRU&amp;lang=en_US&amp;offset=0&amp;query=any,contains,991001359439702656","Catalog Record")</f>
        <v/>
      </c>
      <c r="AT80">
        <f>HYPERLINK("http://www.worldcat.org/oclc/18520012","WorldCat Record")</f>
        <v/>
      </c>
      <c r="AU80" t="inlineStr">
        <is>
          <t>836726631:eng</t>
        </is>
      </c>
      <c r="AV80" t="inlineStr">
        <is>
          <t>18520012</t>
        </is>
      </c>
      <c r="AW80" t="inlineStr">
        <is>
          <t>991001359439702656</t>
        </is>
      </c>
      <c r="AX80" t="inlineStr">
        <is>
          <t>991001359439702656</t>
        </is>
      </c>
      <c r="AY80" t="inlineStr">
        <is>
          <t>2268795140002656</t>
        </is>
      </c>
      <c r="AZ80" t="inlineStr">
        <is>
          <t>BOOK</t>
        </is>
      </c>
      <c r="BB80" t="inlineStr">
        <is>
          <t>9780803981706</t>
        </is>
      </c>
      <c r="BC80" t="inlineStr">
        <is>
          <t>32285000278480</t>
        </is>
      </c>
      <c r="BD80" t="inlineStr">
        <is>
          <t>893772532</t>
        </is>
      </c>
    </row>
    <row r="81">
      <c r="A81" t="inlineStr">
        <is>
          <t>No</t>
        </is>
      </c>
      <c r="B81" t="inlineStr">
        <is>
          <t>HQ1061 .B715</t>
        </is>
      </c>
      <c r="C81" t="inlineStr">
        <is>
          <t>0                      HQ 1061000B  715</t>
        </is>
      </c>
      <c r="D81" t="inlineStr">
        <is>
          <t>The adult years / by Wilbur Bradbury and the editors of Time-Life Books.</t>
        </is>
      </c>
      <c r="F81" t="inlineStr">
        <is>
          <t>No</t>
        </is>
      </c>
      <c r="G81" t="inlineStr">
        <is>
          <t>1</t>
        </is>
      </c>
      <c r="H81" t="inlineStr">
        <is>
          <t>No</t>
        </is>
      </c>
      <c r="I81" t="inlineStr">
        <is>
          <t>No</t>
        </is>
      </c>
      <c r="J81" t="inlineStr">
        <is>
          <t>0</t>
        </is>
      </c>
      <c r="K81" t="inlineStr">
        <is>
          <t>Bradbury, Wilbur.</t>
        </is>
      </c>
      <c r="L81" t="inlineStr">
        <is>
          <t>New York : Time-Life Books, c1975.</t>
        </is>
      </c>
      <c r="M81" t="inlineStr">
        <is>
          <t>1975</t>
        </is>
      </c>
      <c r="O81" t="inlineStr">
        <is>
          <t>eng</t>
        </is>
      </c>
      <c r="P81" t="inlineStr">
        <is>
          <t>nyu</t>
        </is>
      </c>
      <c r="Q81" t="inlineStr">
        <is>
          <t>Human behavior</t>
        </is>
      </c>
      <c r="R81" t="inlineStr">
        <is>
          <t xml:space="preserve">HQ </t>
        </is>
      </c>
      <c r="S81" t="n">
        <v>3</v>
      </c>
      <c r="T81" t="n">
        <v>3</v>
      </c>
      <c r="U81" t="inlineStr">
        <is>
          <t>1995-11-03</t>
        </is>
      </c>
      <c r="V81" t="inlineStr">
        <is>
          <t>1995-11-03</t>
        </is>
      </c>
      <c r="W81" t="inlineStr">
        <is>
          <t>1992-12-18</t>
        </is>
      </c>
      <c r="X81" t="inlineStr">
        <is>
          <t>1992-12-18</t>
        </is>
      </c>
      <c r="Y81" t="n">
        <v>685</v>
      </c>
      <c r="Z81" t="n">
        <v>624</v>
      </c>
      <c r="AA81" t="n">
        <v>650</v>
      </c>
      <c r="AB81" t="n">
        <v>5</v>
      </c>
      <c r="AC81" t="n">
        <v>5</v>
      </c>
      <c r="AD81" t="n">
        <v>14</v>
      </c>
      <c r="AE81" t="n">
        <v>15</v>
      </c>
      <c r="AF81" t="n">
        <v>4</v>
      </c>
      <c r="AG81" t="n">
        <v>5</v>
      </c>
      <c r="AH81" t="n">
        <v>2</v>
      </c>
      <c r="AI81" t="n">
        <v>2</v>
      </c>
      <c r="AJ81" t="n">
        <v>9</v>
      </c>
      <c r="AK81" t="n">
        <v>9</v>
      </c>
      <c r="AL81" t="n">
        <v>3</v>
      </c>
      <c r="AM81" t="n">
        <v>3</v>
      </c>
      <c r="AN81" t="n">
        <v>0</v>
      </c>
      <c r="AO81" t="n">
        <v>0</v>
      </c>
      <c r="AP81" t="inlineStr">
        <is>
          <t>No</t>
        </is>
      </c>
      <c r="AQ81" t="inlineStr">
        <is>
          <t>Yes</t>
        </is>
      </c>
      <c r="AR81">
        <f>HYPERLINK("http://catalog.hathitrust.org/Record/000028513","HathiTrust Record")</f>
        <v/>
      </c>
      <c r="AS81">
        <f>HYPERLINK("https://creighton-primo.hosted.exlibrisgroup.com/primo-explore/search?tab=default_tab&amp;search_scope=EVERYTHING&amp;vid=01CRU&amp;lang=en_US&amp;offset=0&amp;query=any,contains,991003873849702656","Catalog Record")</f>
        <v/>
      </c>
      <c r="AT81">
        <f>HYPERLINK("http://www.worldcat.org/oclc/1700860","WorldCat Record")</f>
        <v/>
      </c>
      <c r="AU81" t="inlineStr">
        <is>
          <t>2521115:eng</t>
        </is>
      </c>
      <c r="AV81" t="inlineStr">
        <is>
          <t>1700860</t>
        </is>
      </c>
      <c r="AW81" t="inlineStr">
        <is>
          <t>991003873849702656</t>
        </is>
      </c>
      <c r="AX81" t="inlineStr">
        <is>
          <t>991003873849702656</t>
        </is>
      </c>
      <c r="AY81" t="inlineStr">
        <is>
          <t>2272195970002656</t>
        </is>
      </c>
      <c r="AZ81" t="inlineStr">
        <is>
          <t>BOOK</t>
        </is>
      </c>
      <c r="BC81" t="inlineStr">
        <is>
          <t>32285001444172</t>
        </is>
      </c>
      <c r="BD81" t="inlineStr">
        <is>
          <t>893343143</t>
        </is>
      </c>
    </row>
    <row r="82">
      <c r="A82" t="inlineStr">
        <is>
          <t>No</t>
        </is>
      </c>
      <c r="B82" t="inlineStr">
        <is>
          <t>HQ1061 .B85</t>
        </is>
      </c>
      <c r="C82" t="inlineStr">
        <is>
          <t>0                      HQ 1061000B  85</t>
        </is>
      </c>
      <c r="D82" t="inlineStr">
        <is>
          <t>Aging in Western societies.</t>
        </is>
      </c>
      <c r="F82" t="inlineStr">
        <is>
          <t>No</t>
        </is>
      </c>
      <c r="G82" t="inlineStr">
        <is>
          <t>1</t>
        </is>
      </c>
      <c r="H82" t="inlineStr">
        <is>
          <t>Yes</t>
        </is>
      </c>
      <c r="I82" t="inlineStr">
        <is>
          <t>No</t>
        </is>
      </c>
      <c r="J82" t="inlineStr">
        <is>
          <t>0</t>
        </is>
      </c>
      <c r="K82" t="inlineStr">
        <is>
          <t>Burgess, E. W. (Ernest Watson), 1886-1966.</t>
        </is>
      </c>
      <c r="L82" t="inlineStr">
        <is>
          <t>[Chicago] Univ. of Chicago Press [c1960]</t>
        </is>
      </c>
      <c r="M82" t="inlineStr">
        <is>
          <t>1960</t>
        </is>
      </c>
      <c r="O82" t="inlineStr">
        <is>
          <t>eng</t>
        </is>
      </c>
      <c r="P82" t="inlineStr">
        <is>
          <t xml:space="preserve">xx </t>
        </is>
      </c>
      <c r="R82" t="inlineStr">
        <is>
          <t xml:space="preserve">HQ </t>
        </is>
      </c>
      <c r="S82" t="n">
        <v>1</v>
      </c>
      <c r="T82" t="n">
        <v>1</v>
      </c>
      <c r="U82" t="inlineStr">
        <is>
          <t>2001-02-17</t>
        </is>
      </c>
      <c r="V82" t="inlineStr">
        <is>
          <t>2001-02-17</t>
        </is>
      </c>
      <c r="W82" t="inlineStr">
        <is>
          <t>1997-08-14</t>
        </is>
      </c>
      <c r="X82" t="inlineStr">
        <is>
          <t>1997-08-14</t>
        </is>
      </c>
      <c r="Y82" t="n">
        <v>845</v>
      </c>
      <c r="Z82" t="n">
        <v>718</v>
      </c>
      <c r="AA82" t="n">
        <v>721</v>
      </c>
      <c r="AB82" t="n">
        <v>7</v>
      </c>
      <c r="AC82" t="n">
        <v>7</v>
      </c>
      <c r="AD82" t="n">
        <v>28</v>
      </c>
      <c r="AE82" t="n">
        <v>28</v>
      </c>
      <c r="AF82" t="n">
        <v>8</v>
      </c>
      <c r="AG82" t="n">
        <v>8</v>
      </c>
      <c r="AH82" t="n">
        <v>4</v>
      </c>
      <c r="AI82" t="n">
        <v>4</v>
      </c>
      <c r="AJ82" t="n">
        <v>15</v>
      </c>
      <c r="AK82" t="n">
        <v>15</v>
      </c>
      <c r="AL82" t="n">
        <v>5</v>
      </c>
      <c r="AM82" t="n">
        <v>5</v>
      </c>
      <c r="AN82" t="n">
        <v>1</v>
      </c>
      <c r="AO82" t="n">
        <v>1</v>
      </c>
      <c r="AP82" t="inlineStr">
        <is>
          <t>No</t>
        </is>
      </c>
      <c r="AQ82" t="inlineStr">
        <is>
          <t>No</t>
        </is>
      </c>
      <c r="AS82">
        <f>HYPERLINK("https://creighton-primo.hosted.exlibrisgroup.com/primo-explore/search?tab=default_tab&amp;search_scope=EVERYTHING&amp;vid=01CRU&amp;lang=en_US&amp;offset=0&amp;query=any,contains,991000948859702656","Catalog Record")</f>
        <v/>
      </c>
      <c r="AT82">
        <f>HYPERLINK("http://www.worldcat.org/oclc/14603721","WorldCat Record")</f>
        <v/>
      </c>
      <c r="AU82" t="inlineStr">
        <is>
          <t>8089868:eng</t>
        </is>
      </c>
      <c r="AV82" t="inlineStr">
        <is>
          <t>14603721</t>
        </is>
      </c>
      <c r="AW82" t="inlineStr">
        <is>
          <t>991000948859702656</t>
        </is>
      </c>
      <c r="AX82" t="inlineStr">
        <is>
          <t>991000948859702656</t>
        </is>
      </c>
      <c r="AY82" t="inlineStr">
        <is>
          <t>2268663110002656</t>
        </is>
      </c>
      <c r="AZ82" t="inlineStr">
        <is>
          <t>BOOK</t>
        </is>
      </c>
      <c r="BC82" t="inlineStr">
        <is>
          <t>32285003103156</t>
        </is>
      </c>
      <c r="BD82" t="inlineStr">
        <is>
          <t>893534369</t>
        </is>
      </c>
    </row>
    <row r="83">
      <c r="A83" t="inlineStr">
        <is>
          <t>No</t>
        </is>
      </c>
      <c r="B83" t="inlineStr">
        <is>
          <t>HQ1061 .C354 1998</t>
        </is>
      </c>
      <c r="C83" t="inlineStr">
        <is>
          <t>0                      HQ 1061000C  354         1998</t>
        </is>
      </c>
      <c r="D83" t="inlineStr">
        <is>
          <t>The virtues of aging / Jimmy Carter.</t>
        </is>
      </c>
      <c r="F83" t="inlineStr">
        <is>
          <t>No</t>
        </is>
      </c>
      <c r="G83" t="inlineStr">
        <is>
          <t>1</t>
        </is>
      </c>
      <c r="H83" t="inlineStr">
        <is>
          <t>No</t>
        </is>
      </c>
      <c r="I83" t="inlineStr">
        <is>
          <t>No</t>
        </is>
      </c>
      <c r="J83" t="inlineStr">
        <is>
          <t>0</t>
        </is>
      </c>
      <c r="K83" t="inlineStr">
        <is>
          <t>Carter, Jimmy, 1924-</t>
        </is>
      </c>
      <c r="L83" t="inlineStr">
        <is>
          <t>New York : Ballantine Pub. Group, 1998.</t>
        </is>
      </c>
      <c r="M83" t="inlineStr">
        <is>
          <t>1998</t>
        </is>
      </c>
      <c r="N83" t="inlineStr">
        <is>
          <t>1st hardcover ed.</t>
        </is>
      </c>
      <c r="O83" t="inlineStr">
        <is>
          <t>eng</t>
        </is>
      </c>
      <c r="P83" t="inlineStr">
        <is>
          <t>nyu</t>
        </is>
      </c>
      <c r="Q83" t="inlineStr">
        <is>
          <t>The library of contemporary thought</t>
        </is>
      </c>
      <c r="R83" t="inlineStr">
        <is>
          <t xml:space="preserve">HQ </t>
        </is>
      </c>
      <c r="S83" t="n">
        <v>3</v>
      </c>
      <c r="T83" t="n">
        <v>3</v>
      </c>
      <c r="U83" t="inlineStr">
        <is>
          <t>2004-12-16</t>
        </is>
      </c>
      <c r="V83" t="inlineStr">
        <is>
          <t>2004-12-16</t>
        </is>
      </c>
      <c r="W83" t="inlineStr">
        <is>
          <t>1999-03-31</t>
        </is>
      </c>
      <c r="X83" t="inlineStr">
        <is>
          <t>1999-03-31</t>
        </is>
      </c>
      <c r="Y83" t="n">
        <v>1392</v>
      </c>
      <c r="Z83" t="n">
        <v>1343</v>
      </c>
      <c r="AA83" t="n">
        <v>1571</v>
      </c>
      <c r="AB83" t="n">
        <v>12</v>
      </c>
      <c r="AC83" t="n">
        <v>13</v>
      </c>
      <c r="AD83" t="n">
        <v>23</v>
      </c>
      <c r="AE83" t="n">
        <v>23</v>
      </c>
      <c r="AF83" t="n">
        <v>7</v>
      </c>
      <c r="AG83" t="n">
        <v>7</v>
      </c>
      <c r="AH83" t="n">
        <v>5</v>
      </c>
      <c r="AI83" t="n">
        <v>5</v>
      </c>
      <c r="AJ83" t="n">
        <v>11</v>
      </c>
      <c r="AK83" t="n">
        <v>11</v>
      </c>
      <c r="AL83" t="n">
        <v>5</v>
      </c>
      <c r="AM83" t="n">
        <v>5</v>
      </c>
      <c r="AN83" t="n">
        <v>0</v>
      </c>
      <c r="AO83" t="n">
        <v>0</v>
      </c>
      <c r="AP83" t="inlineStr">
        <is>
          <t>No</t>
        </is>
      </c>
      <c r="AQ83" t="inlineStr">
        <is>
          <t>Yes</t>
        </is>
      </c>
      <c r="AR83">
        <f>HYPERLINK("http://catalog.hathitrust.org/Record/004011097","HathiTrust Record")</f>
        <v/>
      </c>
      <c r="AS83">
        <f>HYPERLINK("https://creighton-primo.hosted.exlibrisgroup.com/primo-explore/search?tab=default_tab&amp;search_scope=EVERYTHING&amp;vid=01CRU&amp;lang=en_US&amp;offset=0&amp;query=any,contains,991002944909702656","Catalog Record")</f>
        <v/>
      </c>
      <c r="AT83">
        <f>HYPERLINK("http://www.worldcat.org/oclc/39215787","WorldCat Record")</f>
        <v/>
      </c>
      <c r="AU83" t="inlineStr">
        <is>
          <t>12716417:eng</t>
        </is>
      </c>
      <c r="AV83" t="inlineStr">
        <is>
          <t>39215787</t>
        </is>
      </c>
      <c r="AW83" t="inlineStr">
        <is>
          <t>991002944909702656</t>
        </is>
      </c>
      <c r="AX83" t="inlineStr">
        <is>
          <t>991002944909702656</t>
        </is>
      </c>
      <c r="AY83" t="inlineStr">
        <is>
          <t>2256379090002656</t>
        </is>
      </c>
      <c r="AZ83" t="inlineStr">
        <is>
          <t>BOOK</t>
        </is>
      </c>
      <c r="BB83" t="inlineStr">
        <is>
          <t>9780345425928</t>
        </is>
      </c>
      <c r="BC83" t="inlineStr">
        <is>
          <t>32285003548004</t>
        </is>
      </c>
      <c r="BD83" t="inlineStr">
        <is>
          <t>893704708</t>
        </is>
      </c>
    </row>
    <row r="84">
      <c r="A84" t="inlineStr">
        <is>
          <t>No</t>
        </is>
      </c>
      <c r="B84" t="inlineStr">
        <is>
          <t>HQ1061 .E39 1982</t>
        </is>
      </c>
      <c r="C84" t="inlineStr">
        <is>
          <t>0                      HQ 1061000E  39          1982</t>
        </is>
      </c>
      <c r="D84" t="inlineStr">
        <is>
          <t>Gerontology : a cross-national core list of significant works / Willie M. Edwards and Frances Flynn ; with M. Doreen E. Fraser and Robert Slater and an international panel of consultants.</t>
        </is>
      </c>
      <c r="F84" t="inlineStr">
        <is>
          <t>No</t>
        </is>
      </c>
      <c r="G84" t="inlineStr">
        <is>
          <t>1</t>
        </is>
      </c>
      <c r="H84" t="inlineStr">
        <is>
          <t>No</t>
        </is>
      </c>
      <c r="I84" t="inlineStr">
        <is>
          <t>No</t>
        </is>
      </c>
      <c r="J84" t="inlineStr">
        <is>
          <t>0</t>
        </is>
      </c>
      <c r="K84" t="inlineStr">
        <is>
          <t>Edwards, Willie M.</t>
        </is>
      </c>
      <c r="L84" t="inlineStr">
        <is>
          <t>Ann Arbor, Mich. : Institute of Gerontology, c1982.</t>
        </is>
      </c>
      <c r="M84" t="inlineStr">
        <is>
          <t>1982</t>
        </is>
      </c>
      <c r="O84" t="inlineStr">
        <is>
          <t>eng</t>
        </is>
      </c>
      <c r="P84" t="inlineStr">
        <is>
          <t>miu</t>
        </is>
      </c>
      <c r="R84" t="inlineStr">
        <is>
          <t xml:space="preserve">HQ </t>
        </is>
      </c>
      <c r="S84" t="n">
        <v>2</v>
      </c>
      <c r="T84" t="n">
        <v>2</v>
      </c>
      <c r="U84" t="inlineStr">
        <is>
          <t>1996-11-06</t>
        </is>
      </c>
      <c r="V84" t="inlineStr">
        <is>
          <t>1996-11-06</t>
        </is>
      </c>
      <c r="W84" t="inlineStr">
        <is>
          <t>1993-04-23</t>
        </is>
      </c>
      <c r="X84" t="inlineStr">
        <is>
          <t>1993-04-23</t>
        </is>
      </c>
      <c r="Y84" t="n">
        <v>286</v>
      </c>
      <c r="Z84" t="n">
        <v>251</v>
      </c>
      <c r="AA84" t="n">
        <v>436</v>
      </c>
      <c r="AB84" t="n">
        <v>3</v>
      </c>
      <c r="AC84" t="n">
        <v>5</v>
      </c>
      <c r="AD84" t="n">
        <v>12</v>
      </c>
      <c r="AE84" t="n">
        <v>21</v>
      </c>
      <c r="AF84" t="n">
        <v>4</v>
      </c>
      <c r="AG84" t="n">
        <v>7</v>
      </c>
      <c r="AH84" t="n">
        <v>2</v>
      </c>
      <c r="AI84" t="n">
        <v>3</v>
      </c>
      <c r="AJ84" t="n">
        <v>6</v>
      </c>
      <c r="AK84" t="n">
        <v>9</v>
      </c>
      <c r="AL84" t="n">
        <v>2</v>
      </c>
      <c r="AM84" t="n">
        <v>4</v>
      </c>
      <c r="AN84" t="n">
        <v>0</v>
      </c>
      <c r="AO84" t="n">
        <v>0</v>
      </c>
      <c r="AP84" t="inlineStr">
        <is>
          <t>No</t>
        </is>
      </c>
      <c r="AQ84" t="inlineStr">
        <is>
          <t>Yes</t>
        </is>
      </c>
      <c r="AR84">
        <f>HYPERLINK("http://catalog.hathitrust.org/Record/000192044","HathiTrust Record")</f>
        <v/>
      </c>
      <c r="AS84">
        <f>HYPERLINK("https://creighton-primo.hosted.exlibrisgroup.com/primo-explore/search?tab=default_tab&amp;search_scope=EVERYTHING&amp;vid=01CRU&amp;lang=en_US&amp;offset=0&amp;query=any,contains,991000085309702656","Catalog Record")</f>
        <v/>
      </c>
      <c r="AT84">
        <f>HYPERLINK("http://www.worldcat.org/oclc/8860822","WorldCat Record")</f>
        <v/>
      </c>
      <c r="AU84" t="inlineStr">
        <is>
          <t>14509010:eng</t>
        </is>
      </c>
      <c r="AV84" t="inlineStr">
        <is>
          <t>8860822</t>
        </is>
      </c>
      <c r="AW84" t="inlineStr">
        <is>
          <t>991000085309702656</t>
        </is>
      </c>
      <c r="AX84" t="inlineStr">
        <is>
          <t>991000085309702656</t>
        </is>
      </c>
      <c r="AY84" t="inlineStr">
        <is>
          <t>2260969960002656</t>
        </is>
      </c>
      <c r="AZ84" t="inlineStr">
        <is>
          <t>BOOK</t>
        </is>
      </c>
      <c r="BC84" t="inlineStr">
        <is>
          <t>32285001625275</t>
        </is>
      </c>
      <c r="BD84" t="inlineStr">
        <is>
          <t>893783945</t>
        </is>
      </c>
    </row>
    <row r="85">
      <c r="A85" t="inlineStr">
        <is>
          <t>No</t>
        </is>
      </c>
      <c r="B85" t="inlineStr">
        <is>
          <t>HQ1061 .E75 1986</t>
        </is>
      </c>
      <c r="C85" t="inlineStr">
        <is>
          <t>0                      HQ 1061000E  75          1986</t>
        </is>
      </c>
      <c r="D85" t="inlineStr">
        <is>
          <t>Vital involvement in old age / Erik H. Erikson, Joan M. Erikson, Helen Q. Kivnick.</t>
        </is>
      </c>
      <c r="F85" t="inlineStr">
        <is>
          <t>No</t>
        </is>
      </c>
      <c r="G85" t="inlineStr">
        <is>
          <t>1</t>
        </is>
      </c>
      <c r="H85" t="inlineStr">
        <is>
          <t>No</t>
        </is>
      </c>
      <c r="I85" t="inlineStr">
        <is>
          <t>No</t>
        </is>
      </c>
      <c r="J85" t="inlineStr">
        <is>
          <t>0</t>
        </is>
      </c>
      <c r="K85" t="inlineStr">
        <is>
          <t>Erikson, Erik H. (Erik Homburger), 1902-1994.</t>
        </is>
      </c>
      <c r="L85" t="inlineStr">
        <is>
          <t>New York : Norton, c1986.</t>
        </is>
      </c>
      <c r="M85" t="inlineStr">
        <is>
          <t>1986</t>
        </is>
      </c>
      <c r="O85" t="inlineStr">
        <is>
          <t>eng</t>
        </is>
      </c>
      <c r="P85" t="inlineStr">
        <is>
          <t>nyu</t>
        </is>
      </c>
      <c r="R85" t="inlineStr">
        <is>
          <t xml:space="preserve">HQ </t>
        </is>
      </c>
      <c r="S85" t="n">
        <v>16</v>
      </c>
      <c r="T85" t="n">
        <v>16</v>
      </c>
      <c r="U85" t="inlineStr">
        <is>
          <t>2004-03-26</t>
        </is>
      </c>
      <c r="V85" t="inlineStr">
        <is>
          <t>2004-03-26</t>
        </is>
      </c>
      <c r="W85" t="inlineStr">
        <is>
          <t>1992-04-16</t>
        </is>
      </c>
      <c r="X85" t="inlineStr">
        <is>
          <t>1992-04-16</t>
        </is>
      </c>
      <c r="Y85" t="n">
        <v>1299</v>
      </c>
      <c r="Z85" t="n">
        <v>1127</v>
      </c>
      <c r="AA85" t="n">
        <v>1180</v>
      </c>
      <c r="AB85" t="n">
        <v>7</v>
      </c>
      <c r="AC85" t="n">
        <v>7</v>
      </c>
      <c r="AD85" t="n">
        <v>43</v>
      </c>
      <c r="AE85" t="n">
        <v>44</v>
      </c>
      <c r="AF85" t="n">
        <v>19</v>
      </c>
      <c r="AG85" t="n">
        <v>20</v>
      </c>
      <c r="AH85" t="n">
        <v>7</v>
      </c>
      <c r="AI85" t="n">
        <v>7</v>
      </c>
      <c r="AJ85" t="n">
        <v>22</v>
      </c>
      <c r="AK85" t="n">
        <v>22</v>
      </c>
      <c r="AL85" t="n">
        <v>5</v>
      </c>
      <c r="AM85" t="n">
        <v>5</v>
      </c>
      <c r="AN85" t="n">
        <v>0</v>
      </c>
      <c r="AO85" t="n">
        <v>0</v>
      </c>
      <c r="AP85" t="inlineStr">
        <is>
          <t>No</t>
        </is>
      </c>
      <c r="AQ85" t="inlineStr">
        <is>
          <t>No</t>
        </is>
      </c>
      <c r="AS85">
        <f>HYPERLINK("https://creighton-primo.hosted.exlibrisgroup.com/primo-explore/search?tab=default_tab&amp;search_scope=EVERYTHING&amp;vid=01CRU&amp;lang=en_US&amp;offset=0&amp;query=any,contains,991000877999702656","Catalog Record")</f>
        <v/>
      </c>
      <c r="AT85">
        <f>HYPERLINK("http://www.worldcat.org/oclc/13821644","WorldCat Record")</f>
        <v/>
      </c>
      <c r="AU85" t="inlineStr">
        <is>
          <t>49294202:eng</t>
        </is>
      </c>
      <c r="AV85" t="inlineStr">
        <is>
          <t>13821644</t>
        </is>
      </c>
      <c r="AW85" t="inlineStr">
        <is>
          <t>991000877999702656</t>
        </is>
      </c>
      <c r="AX85" t="inlineStr">
        <is>
          <t>991000877999702656</t>
        </is>
      </c>
      <c r="AY85" t="inlineStr">
        <is>
          <t>2266651550002656</t>
        </is>
      </c>
      <c r="AZ85" t="inlineStr">
        <is>
          <t>BOOK</t>
        </is>
      </c>
      <c r="BB85" t="inlineStr">
        <is>
          <t>9780393023596</t>
        </is>
      </c>
      <c r="BC85" t="inlineStr">
        <is>
          <t>32285001044667</t>
        </is>
      </c>
      <c r="BD85" t="inlineStr">
        <is>
          <t>893419849</t>
        </is>
      </c>
    </row>
    <row r="86">
      <c r="A86" t="inlineStr">
        <is>
          <t>No</t>
        </is>
      </c>
      <c r="B86" t="inlineStr">
        <is>
          <t>HQ1061 .E95 2000</t>
        </is>
      </c>
      <c r="C86" t="inlineStr">
        <is>
          <t>0                      HQ 1061000E  95          2000</t>
        </is>
      </c>
      <c r="D86" t="inlineStr">
        <is>
          <t>The evolution of the aging self : the societal impact on the aging process / K. Warner Schaie, Jon Hendricks, editors.</t>
        </is>
      </c>
      <c r="F86" t="inlineStr">
        <is>
          <t>No</t>
        </is>
      </c>
      <c r="G86" t="inlineStr">
        <is>
          <t>1</t>
        </is>
      </c>
      <c r="H86" t="inlineStr">
        <is>
          <t>No</t>
        </is>
      </c>
      <c r="I86" t="inlineStr">
        <is>
          <t>No</t>
        </is>
      </c>
      <c r="J86" t="inlineStr">
        <is>
          <t>0</t>
        </is>
      </c>
      <c r="L86" t="inlineStr">
        <is>
          <t>New York : Springer, c2000.</t>
        </is>
      </c>
      <c r="M86" t="inlineStr">
        <is>
          <t>2000</t>
        </is>
      </c>
      <c r="O86" t="inlineStr">
        <is>
          <t>eng</t>
        </is>
      </c>
      <c r="P86" t="inlineStr">
        <is>
          <t>nyu</t>
        </is>
      </c>
      <c r="Q86" t="inlineStr">
        <is>
          <t>Springer series societal impact on aging</t>
        </is>
      </c>
      <c r="R86" t="inlineStr">
        <is>
          <t xml:space="preserve">HQ </t>
        </is>
      </c>
      <c r="S86" t="n">
        <v>1</v>
      </c>
      <c r="T86" t="n">
        <v>1</v>
      </c>
      <c r="U86" t="inlineStr">
        <is>
          <t>2001-01-30</t>
        </is>
      </c>
      <c r="V86" t="inlineStr">
        <is>
          <t>2001-01-30</t>
        </is>
      </c>
      <c r="W86" t="inlineStr">
        <is>
          <t>2001-01-30</t>
        </is>
      </c>
      <c r="X86" t="inlineStr">
        <is>
          <t>2001-01-30</t>
        </is>
      </c>
      <c r="Y86" t="n">
        <v>316</v>
      </c>
      <c r="Z86" t="n">
        <v>266</v>
      </c>
      <c r="AA86" t="n">
        <v>272</v>
      </c>
      <c r="AB86" t="n">
        <v>3</v>
      </c>
      <c r="AC86" t="n">
        <v>3</v>
      </c>
      <c r="AD86" t="n">
        <v>13</v>
      </c>
      <c r="AE86" t="n">
        <v>13</v>
      </c>
      <c r="AF86" t="n">
        <v>3</v>
      </c>
      <c r="AG86" t="n">
        <v>3</v>
      </c>
      <c r="AH86" t="n">
        <v>3</v>
      </c>
      <c r="AI86" t="n">
        <v>3</v>
      </c>
      <c r="AJ86" t="n">
        <v>7</v>
      </c>
      <c r="AK86" t="n">
        <v>7</v>
      </c>
      <c r="AL86" t="n">
        <v>2</v>
      </c>
      <c r="AM86" t="n">
        <v>2</v>
      </c>
      <c r="AN86" t="n">
        <v>0</v>
      </c>
      <c r="AO86" t="n">
        <v>0</v>
      </c>
      <c r="AP86" t="inlineStr">
        <is>
          <t>No</t>
        </is>
      </c>
      <c r="AQ86" t="inlineStr">
        <is>
          <t>No</t>
        </is>
      </c>
      <c r="AS86">
        <f>HYPERLINK("https://creighton-primo.hosted.exlibrisgroup.com/primo-explore/search?tab=default_tab&amp;search_scope=EVERYTHING&amp;vid=01CRU&amp;lang=en_US&amp;offset=0&amp;query=any,contains,991003453709702656","Catalog Record")</f>
        <v/>
      </c>
      <c r="AT86">
        <f>HYPERLINK("http://www.worldcat.org/oclc/43648557","WorldCat Record")</f>
        <v/>
      </c>
      <c r="AU86" t="inlineStr">
        <is>
          <t>966445:eng</t>
        </is>
      </c>
      <c r="AV86" t="inlineStr">
        <is>
          <t>43648557</t>
        </is>
      </c>
      <c r="AW86" t="inlineStr">
        <is>
          <t>991003453709702656</t>
        </is>
      </c>
      <c r="AX86" t="inlineStr">
        <is>
          <t>991003453709702656</t>
        </is>
      </c>
      <c r="AY86" t="inlineStr">
        <is>
          <t>2264810030002656</t>
        </is>
      </c>
      <c r="AZ86" t="inlineStr">
        <is>
          <t>BOOK</t>
        </is>
      </c>
      <c r="BB86" t="inlineStr">
        <is>
          <t>9780826113634</t>
        </is>
      </c>
      <c r="BC86" t="inlineStr">
        <is>
          <t>32285004292552</t>
        </is>
      </c>
      <c r="BD86" t="inlineStr">
        <is>
          <t>893799726</t>
        </is>
      </c>
    </row>
    <row r="87">
      <c r="A87" t="inlineStr">
        <is>
          <t>No</t>
        </is>
      </c>
      <c r="B87" t="inlineStr">
        <is>
          <t>HQ1061 .F36 1983</t>
        </is>
      </c>
      <c r="C87" t="inlineStr">
        <is>
          <t>0                      HQ 1061000F  36          1983</t>
        </is>
      </c>
      <c r="D87" t="inlineStr">
        <is>
          <t>Family relationships in later life / edited by Timothy H. Brubaker.</t>
        </is>
      </c>
      <c r="F87" t="inlineStr">
        <is>
          <t>No</t>
        </is>
      </c>
      <c r="G87" t="inlineStr">
        <is>
          <t>1</t>
        </is>
      </c>
      <c r="H87" t="inlineStr">
        <is>
          <t>Yes</t>
        </is>
      </c>
      <c r="I87" t="inlineStr">
        <is>
          <t>No</t>
        </is>
      </c>
      <c r="J87" t="inlineStr">
        <is>
          <t>0</t>
        </is>
      </c>
      <c r="L87" t="inlineStr">
        <is>
          <t>Beverly Hills : Sage Publications, c1983.</t>
        </is>
      </c>
      <c r="M87" t="inlineStr">
        <is>
          <t>1983</t>
        </is>
      </c>
      <c r="O87" t="inlineStr">
        <is>
          <t>eng</t>
        </is>
      </c>
      <c r="P87" t="inlineStr">
        <is>
          <t>cau</t>
        </is>
      </c>
      <c r="Q87" t="inlineStr">
        <is>
          <t>Sage focus editions ; 64</t>
        </is>
      </c>
      <c r="R87" t="inlineStr">
        <is>
          <t xml:space="preserve">HQ </t>
        </is>
      </c>
      <c r="S87" t="n">
        <v>2</v>
      </c>
      <c r="T87" t="n">
        <v>3</v>
      </c>
      <c r="U87" t="inlineStr">
        <is>
          <t>1994-04-23</t>
        </is>
      </c>
      <c r="V87" t="inlineStr">
        <is>
          <t>1994-04-23</t>
        </is>
      </c>
      <c r="W87" t="inlineStr">
        <is>
          <t>1993-04-23</t>
        </is>
      </c>
      <c r="X87" t="inlineStr">
        <is>
          <t>1993-04-23</t>
        </is>
      </c>
      <c r="Y87" t="n">
        <v>641</v>
      </c>
      <c r="Z87" t="n">
        <v>521</v>
      </c>
      <c r="AA87" t="n">
        <v>552</v>
      </c>
      <c r="AB87" t="n">
        <v>5</v>
      </c>
      <c r="AC87" t="n">
        <v>5</v>
      </c>
      <c r="AD87" t="n">
        <v>26</v>
      </c>
      <c r="AE87" t="n">
        <v>26</v>
      </c>
      <c r="AF87" t="n">
        <v>12</v>
      </c>
      <c r="AG87" t="n">
        <v>12</v>
      </c>
      <c r="AH87" t="n">
        <v>5</v>
      </c>
      <c r="AI87" t="n">
        <v>5</v>
      </c>
      <c r="AJ87" t="n">
        <v>11</v>
      </c>
      <c r="AK87" t="n">
        <v>11</v>
      </c>
      <c r="AL87" t="n">
        <v>3</v>
      </c>
      <c r="AM87" t="n">
        <v>3</v>
      </c>
      <c r="AN87" t="n">
        <v>1</v>
      </c>
      <c r="AO87" t="n">
        <v>1</v>
      </c>
      <c r="AP87" t="inlineStr">
        <is>
          <t>No</t>
        </is>
      </c>
      <c r="AQ87" t="inlineStr">
        <is>
          <t>Yes</t>
        </is>
      </c>
      <c r="AR87">
        <f>HYPERLINK("http://catalog.hathitrust.org/Record/000282531","HathiTrust Record")</f>
        <v/>
      </c>
      <c r="AS87">
        <f>HYPERLINK("https://creighton-primo.hosted.exlibrisgroup.com/primo-explore/search?tab=default_tab&amp;search_scope=EVERYTHING&amp;vid=01CRU&amp;lang=en_US&amp;offset=0&amp;query=any,contains,991001766919702656","Catalog Record")</f>
        <v/>
      </c>
      <c r="AT87">
        <f>HYPERLINK("http://www.worldcat.org/oclc/9682754","WorldCat Record")</f>
        <v/>
      </c>
      <c r="AU87" t="inlineStr">
        <is>
          <t>9272752899:eng</t>
        </is>
      </c>
      <c r="AV87" t="inlineStr">
        <is>
          <t>9682754</t>
        </is>
      </c>
      <c r="AW87" t="inlineStr">
        <is>
          <t>991001766919702656</t>
        </is>
      </c>
      <c r="AX87" t="inlineStr">
        <is>
          <t>991001766919702656</t>
        </is>
      </c>
      <c r="AY87" t="inlineStr">
        <is>
          <t>2264113750002656</t>
        </is>
      </c>
      <c r="AZ87" t="inlineStr">
        <is>
          <t>BOOK</t>
        </is>
      </c>
      <c r="BB87" t="inlineStr">
        <is>
          <t>9780803921047</t>
        </is>
      </c>
      <c r="BC87" t="inlineStr">
        <is>
          <t>32285001625283</t>
        </is>
      </c>
      <c r="BD87" t="inlineStr">
        <is>
          <t>893420588</t>
        </is>
      </c>
    </row>
    <row r="88">
      <c r="A88" t="inlineStr">
        <is>
          <t>No</t>
        </is>
      </c>
      <c r="B88" t="inlineStr">
        <is>
          <t>HQ1061 .F56</t>
        </is>
      </c>
      <c r="C88" t="inlineStr">
        <is>
          <t>0                      HQ 1061000F  56</t>
        </is>
      </c>
      <c r="D88" t="inlineStr">
        <is>
          <t>Involving university students in service to the elderly : a study of service-learning in gerontology / by James Paul Firman.</t>
        </is>
      </c>
      <c r="F88" t="inlineStr">
        <is>
          <t>No</t>
        </is>
      </c>
      <c r="G88" t="inlineStr">
        <is>
          <t>1</t>
        </is>
      </c>
      <c r="H88" t="inlineStr">
        <is>
          <t>No</t>
        </is>
      </c>
      <c r="I88" t="inlineStr">
        <is>
          <t>No</t>
        </is>
      </c>
      <c r="J88" t="inlineStr">
        <is>
          <t>0</t>
        </is>
      </c>
      <c r="K88" t="inlineStr">
        <is>
          <t>Firman, James Paul.</t>
        </is>
      </c>
      <c r="M88" t="inlineStr">
        <is>
          <t>1982</t>
        </is>
      </c>
      <c r="O88" t="inlineStr">
        <is>
          <t>eng</t>
        </is>
      </c>
      <c r="P88" t="inlineStr">
        <is>
          <t>miu</t>
        </is>
      </c>
      <c r="R88" t="inlineStr">
        <is>
          <t xml:space="preserve">HQ </t>
        </is>
      </c>
      <c r="S88" t="n">
        <v>1</v>
      </c>
      <c r="T88" t="n">
        <v>1</v>
      </c>
      <c r="U88" t="inlineStr">
        <is>
          <t>1995-03-21</t>
        </is>
      </c>
      <c r="V88" t="inlineStr">
        <is>
          <t>1995-03-21</t>
        </is>
      </c>
      <c r="W88" t="inlineStr">
        <is>
          <t>1993-04-23</t>
        </is>
      </c>
      <c r="X88" t="inlineStr">
        <is>
          <t>1993-04-23</t>
        </is>
      </c>
      <c r="Y88" t="n">
        <v>2</v>
      </c>
      <c r="Z88" t="n">
        <v>2</v>
      </c>
      <c r="AA88" t="n">
        <v>3</v>
      </c>
      <c r="AB88" t="n">
        <v>1</v>
      </c>
      <c r="AC88" t="n">
        <v>1</v>
      </c>
      <c r="AD88" t="n">
        <v>0</v>
      </c>
      <c r="AE88" t="n">
        <v>0</v>
      </c>
      <c r="AF88" t="n">
        <v>0</v>
      </c>
      <c r="AG88" t="n">
        <v>0</v>
      </c>
      <c r="AH88" t="n">
        <v>0</v>
      </c>
      <c r="AI88" t="n">
        <v>0</v>
      </c>
      <c r="AJ88" t="n">
        <v>0</v>
      </c>
      <c r="AK88" t="n">
        <v>0</v>
      </c>
      <c r="AL88" t="n">
        <v>0</v>
      </c>
      <c r="AM88" t="n">
        <v>0</v>
      </c>
      <c r="AN88" t="n">
        <v>0</v>
      </c>
      <c r="AO88" t="n">
        <v>0</v>
      </c>
      <c r="AP88" t="inlineStr">
        <is>
          <t>No</t>
        </is>
      </c>
      <c r="AQ88" t="inlineStr">
        <is>
          <t>No</t>
        </is>
      </c>
      <c r="AS88">
        <f>HYPERLINK("https://creighton-primo.hosted.exlibrisgroup.com/primo-explore/search?tab=default_tab&amp;search_scope=EVERYTHING&amp;vid=01CRU&amp;lang=en_US&amp;offset=0&amp;query=any,contains,991000167389702656","Catalog Record")</f>
        <v/>
      </c>
      <c r="AT88">
        <f>HYPERLINK("http://www.worldcat.org/oclc/9295971","WorldCat Record")</f>
        <v/>
      </c>
      <c r="AU88" t="inlineStr">
        <is>
          <t>196556968:eng</t>
        </is>
      </c>
      <c r="AV88" t="inlineStr">
        <is>
          <t>9295971</t>
        </is>
      </c>
      <c r="AW88" t="inlineStr">
        <is>
          <t>991000167389702656</t>
        </is>
      </c>
      <c r="AX88" t="inlineStr">
        <is>
          <t>991000167389702656</t>
        </is>
      </c>
      <c r="AY88" t="inlineStr">
        <is>
          <t>2261690800002656</t>
        </is>
      </c>
      <c r="AZ88" t="inlineStr">
        <is>
          <t>BOOK</t>
        </is>
      </c>
      <c r="BC88" t="inlineStr">
        <is>
          <t>32285001625291</t>
        </is>
      </c>
      <c r="BD88" t="inlineStr">
        <is>
          <t>893249146</t>
        </is>
      </c>
    </row>
    <row r="89">
      <c r="A89" t="inlineStr">
        <is>
          <t>No</t>
        </is>
      </c>
      <c r="B89" t="inlineStr">
        <is>
          <t>HQ1061 .G38</t>
        </is>
      </c>
      <c r="C89" t="inlineStr">
        <is>
          <t>0                      HQ 1061000G  38</t>
        </is>
      </c>
      <c r="D89" t="inlineStr">
        <is>
          <t>Quality of life in older persons : meaning and measurement / Linda K. George and Lucille B. Bearon.</t>
        </is>
      </c>
      <c r="F89" t="inlineStr">
        <is>
          <t>No</t>
        </is>
      </c>
      <c r="G89" t="inlineStr">
        <is>
          <t>2</t>
        </is>
      </c>
      <c r="H89" t="inlineStr">
        <is>
          <t>Yes</t>
        </is>
      </c>
      <c r="I89" t="inlineStr">
        <is>
          <t>No</t>
        </is>
      </c>
      <c r="J89" t="inlineStr">
        <is>
          <t>0</t>
        </is>
      </c>
      <c r="K89" t="inlineStr">
        <is>
          <t>George, Linda K.</t>
        </is>
      </c>
      <c r="L89" t="inlineStr">
        <is>
          <t>New York : Human Sciences Press, [1980]</t>
        </is>
      </c>
      <c r="M89" t="inlineStr">
        <is>
          <t>1980</t>
        </is>
      </c>
      <c r="O89" t="inlineStr">
        <is>
          <t>eng</t>
        </is>
      </c>
      <c r="P89" t="inlineStr">
        <is>
          <t>nyu</t>
        </is>
      </c>
      <c r="R89" t="inlineStr">
        <is>
          <t xml:space="preserve">HQ </t>
        </is>
      </c>
      <c r="S89" t="n">
        <v>2</v>
      </c>
      <c r="T89" t="n">
        <v>14</v>
      </c>
      <c r="U89" t="inlineStr">
        <is>
          <t>2002-04-01</t>
        </is>
      </c>
      <c r="V89" t="inlineStr">
        <is>
          <t>2002-04-01</t>
        </is>
      </c>
      <c r="W89" t="inlineStr">
        <is>
          <t>1992-03-20</t>
        </is>
      </c>
      <c r="X89" t="inlineStr">
        <is>
          <t>1992-03-20</t>
        </is>
      </c>
      <c r="Y89" t="n">
        <v>636</v>
      </c>
      <c r="Z89" t="n">
        <v>533</v>
      </c>
      <c r="AA89" t="n">
        <v>540</v>
      </c>
      <c r="AB89" t="n">
        <v>5</v>
      </c>
      <c r="AC89" t="n">
        <v>5</v>
      </c>
      <c r="AD89" t="n">
        <v>18</v>
      </c>
      <c r="AE89" t="n">
        <v>18</v>
      </c>
      <c r="AF89" t="n">
        <v>7</v>
      </c>
      <c r="AG89" t="n">
        <v>7</v>
      </c>
      <c r="AH89" t="n">
        <v>4</v>
      </c>
      <c r="AI89" t="n">
        <v>4</v>
      </c>
      <c r="AJ89" t="n">
        <v>8</v>
      </c>
      <c r="AK89" t="n">
        <v>8</v>
      </c>
      <c r="AL89" t="n">
        <v>3</v>
      </c>
      <c r="AM89" t="n">
        <v>3</v>
      </c>
      <c r="AN89" t="n">
        <v>0</v>
      </c>
      <c r="AO89" t="n">
        <v>0</v>
      </c>
      <c r="AP89" t="inlineStr">
        <is>
          <t>No</t>
        </is>
      </c>
      <c r="AQ89" t="inlineStr">
        <is>
          <t>Yes</t>
        </is>
      </c>
      <c r="AR89">
        <f>HYPERLINK("http://catalog.hathitrust.org/Record/000688725","HathiTrust Record")</f>
        <v/>
      </c>
      <c r="AS89">
        <f>HYPERLINK("https://creighton-primo.hosted.exlibrisgroup.com/primo-explore/search?tab=default_tab&amp;search_scope=EVERYTHING&amp;vid=01CRU&amp;lang=en_US&amp;offset=0&amp;query=any,contains,991001761139702656","Catalog Record")</f>
        <v/>
      </c>
      <c r="AT89">
        <f>HYPERLINK("http://www.worldcat.org/oclc/6250240","WorldCat Record")</f>
        <v/>
      </c>
      <c r="AU89" t="inlineStr">
        <is>
          <t>296708324:eng</t>
        </is>
      </c>
      <c r="AV89" t="inlineStr">
        <is>
          <t>6250240</t>
        </is>
      </c>
      <c r="AW89" t="inlineStr">
        <is>
          <t>991001761139702656</t>
        </is>
      </c>
      <c r="AX89" t="inlineStr">
        <is>
          <t>991001761139702656</t>
        </is>
      </c>
      <c r="AY89" t="inlineStr">
        <is>
          <t>2264961070002656</t>
        </is>
      </c>
      <c r="AZ89" t="inlineStr">
        <is>
          <t>BOOK</t>
        </is>
      </c>
      <c r="BB89" t="inlineStr">
        <is>
          <t>9780877054887</t>
        </is>
      </c>
      <c r="BC89" t="inlineStr">
        <is>
          <t>32285001024859</t>
        </is>
      </c>
      <c r="BD89" t="inlineStr">
        <is>
          <t>893609114</t>
        </is>
      </c>
    </row>
    <row r="90">
      <c r="A90" t="inlineStr">
        <is>
          <t>No</t>
        </is>
      </c>
      <c r="B90" t="inlineStr">
        <is>
          <t>HQ1061 .H3355 1992</t>
        </is>
      </c>
      <c r="C90" t="inlineStr">
        <is>
          <t>0                      HQ 1061000H  3355        1992</t>
        </is>
      </c>
      <c r="D90" t="inlineStr">
        <is>
          <t>Handbook of the humanities and aging / Thomas R. Cole, David D. Van Tassel, Robert Kastenbaum, editors.</t>
        </is>
      </c>
      <c r="F90" t="inlineStr">
        <is>
          <t>No</t>
        </is>
      </c>
      <c r="G90" t="inlineStr">
        <is>
          <t>1</t>
        </is>
      </c>
      <c r="H90" t="inlineStr">
        <is>
          <t>No</t>
        </is>
      </c>
      <c r="I90" t="inlineStr">
        <is>
          <t>No</t>
        </is>
      </c>
      <c r="J90" t="inlineStr">
        <is>
          <t>0</t>
        </is>
      </c>
      <c r="L90" t="inlineStr">
        <is>
          <t>New York : Springer, c1992.</t>
        </is>
      </c>
      <c r="M90" t="inlineStr">
        <is>
          <t>1992</t>
        </is>
      </c>
      <c r="O90" t="inlineStr">
        <is>
          <t>eng</t>
        </is>
      </c>
      <c r="P90" t="inlineStr">
        <is>
          <t>nyu</t>
        </is>
      </c>
      <c r="R90" t="inlineStr">
        <is>
          <t xml:space="preserve">HQ </t>
        </is>
      </c>
      <c r="S90" t="n">
        <v>4</v>
      </c>
      <c r="T90" t="n">
        <v>4</v>
      </c>
      <c r="U90" t="inlineStr">
        <is>
          <t>1997-11-09</t>
        </is>
      </c>
      <c r="V90" t="inlineStr">
        <is>
          <t>1997-11-09</t>
        </is>
      </c>
      <c r="W90" t="inlineStr">
        <is>
          <t>1992-09-15</t>
        </is>
      </c>
      <c r="X90" t="inlineStr">
        <is>
          <t>1992-09-15</t>
        </is>
      </c>
      <c r="Y90" t="n">
        <v>349</v>
      </c>
      <c r="Z90" t="n">
        <v>286</v>
      </c>
      <c r="AA90" t="n">
        <v>363</v>
      </c>
      <c r="AB90" t="n">
        <v>3</v>
      </c>
      <c r="AC90" t="n">
        <v>4</v>
      </c>
      <c r="AD90" t="n">
        <v>10</v>
      </c>
      <c r="AE90" t="n">
        <v>17</v>
      </c>
      <c r="AF90" t="n">
        <v>2</v>
      </c>
      <c r="AG90" t="n">
        <v>5</v>
      </c>
      <c r="AH90" t="n">
        <v>2</v>
      </c>
      <c r="AI90" t="n">
        <v>4</v>
      </c>
      <c r="AJ90" t="n">
        <v>7</v>
      </c>
      <c r="AK90" t="n">
        <v>9</v>
      </c>
      <c r="AL90" t="n">
        <v>2</v>
      </c>
      <c r="AM90" t="n">
        <v>3</v>
      </c>
      <c r="AN90" t="n">
        <v>0</v>
      </c>
      <c r="AO90" t="n">
        <v>0</v>
      </c>
      <c r="AP90" t="inlineStr">
        <is>
          <t>No</t>
        </is>
      </c>
      <c r="AQ90" t="inlineStr">
        <is>
          <t>Yes</t>
        </is>
      </c>
      <c r="AR90">
        <f>HYPERLINK("http://catalog.hathitrust.org/Record/002533615","HathiTrust Record")</f>
        <v/>
      </c>
      <c r="AS90">
        <f>HYPERLINK("https://creighton-primo.hosted.exlibrisgroup.com/primo-explore/search?tab=default_tab&amp;search_scope=EVERYTHING&amp;vid=01CRU&amp;lang=en_US&amp;offset=0&amp;query=any,contains,991001896869702656","Catalog Record")</f>
        <v/>
      </c>
      <c r="AT90">
        <f>HYPERLINK("http://www.worldcat.org/oclc/23971546","WorldCat Record")</f>
        <v/>
      </c>
      <c r="AU90" t="inlineStr">
        <is>
          <t>365504539:eng</t>
        </is>
      </c>
      <c r="AV90" t="inlineStr">
        <is>
          <t>23971546</t>
        </is>
      </c>
      <c r="AW90" t="inlineStr">
        <is>
          <t>991001896869702656</t>
        </is>
      </c>
      <c r="AX90" t="inlineStr">
        <is>
          <t>991001896869702656</t>
        </is>
      </c>
      <c r="AY90" t="inlineStr">
        <is>
          <t>2256217180002656</t>
        </is>
      </c>
      <c r="AZ90" t="inlineStr">
        <is>
          <t>BOOK</t>
        </is>
      </c>
      <c r="BB90" t="inlineStr">
        <is>
          <t>9780826162403</t>
        </is>
      </c>
      <c r="BC90" t="inlineStr">
        <is>
          <t>32285001287605</t>
        </is>
      </c>
      <c r="BD90" t="inlineStr">
        <is>
          <t>893503779</t>
        </is>
      </c>
    </row>
    <row r="91">
      <c r="A91" t="inlineStr">
        <is>
          <t>No</t>
        </is>
      </c>
      <c r="B91" t="inlineStr">
        <is>
          <t>HQ1061 .H37</t>
        </is>
      </c>
      <c r="C91" t="inlineStr">
        <is>
          <t>0                      HQ 1061000H  37</t>
        </is>
      </c>
      <c r="D91" t="inlineStr">
        <is>
          <t>Placing a parent in a nursing home: factors related to adult children's decisions / by Ruth Cordle Hatch.</t>
        </is>
      </c>
      <c r="F91" t="inlineStr">
        <is>
          <t>No</t>
        </is>
      </c>
      <c r="G91" t="inlineStr">
        <is>
          <t>1</t>
        </is>
      </c>
      <c r="H91" t="inlineStr">
        <is>
          <t>No</t>
        </is>
      </c>
      <c r="I91" t="inlineStr">
        <is>
          <t>No</t>
        </is>
      </c>
      <c r="J91" t="inlineStr">
        <is>
          <t>0</t>
        </is>
      </c>
      <c r="K91" t="inlineStr">
        <is>
          <t>Hatch, Ruth Cordle.</t>
        </is>
      </c>
      <c r="M91" t="inlineStr">
        <is>
          <t>1981</t>
        </is>
      </c>
      <c r="O91" t="inlineStr">
        <is>
          <t>eng</t>
        </is>
      </c>
      <c r="P91" t="inlineStr">
        <is>
          <t xml:space="preserve">xx </t>
        </is>
      </c>
      <c r="R91" t="inlineStr">
        <is>
          <t xml:space="preserve">HQ </t>
        </is>
      </c>
      <c r="S91" t="n">
        <v>4</v>
      </c>
      <c r="T91" t="n">
        <v>4</v>
      </c>
      <c r="U91" t="inlineStr">
        <is>
          <t>1994-04-25</t>
        </is>
      </c>
      <c r="V91" t="inlineStr">
        <is>
          <t>1994-04-25</t>
        </is>
      </c>
      <c r="W91" t="inlineStr">
        <is>
          <t>1993-02-04</t>
        </is>
      </c>
      <c r="X91" t="inlineStr">
        <is>
          <t>1993-02-04</t>
        </is>
      </c>
      <c r="Y91" t="n">
        <v>2</v>
      </c>
      <c r="Z91" t="n">
        <v>2</v>
      </c>
      <c r="AA91" t="n">
        <v>2</v>
      </c>
      <c r="AB91" t="n">
        <v>1</v>
      </c>
      <c r="AC91" t="n">
        <v>1</v>
      </c>
      <c r="AD91" t="n">
        <v>0</v>
      </c>
      <c r="AE91" t="n">
        <v>0</v>
      </c>
      <c r="AF91" t="n">
        <v>0</v>
      </c>
      <c r="AG91" t="n">
        <v>0</v>
      </c>
      <c r="AH91" t="n">
        <v>0</v>
      </c>
      <c r="AI91" t="n">
        <v>0</v>
      </c>
      <c r="AJ91" t="n">
        <v>0</v>
      </c>
      <c r="AK91" t="n">
        <v>0</v>
      </c>
      <c r="AL91" t="n">
        <v>0</v>
      </c>
      <c r="AM91" t="n">
        <v>0</v>
      </c>
      <c r="AN91" t="n">
        <v>0</v>
      </c>
      <c r="AO91" t="n">
        <v>0</v>
      </c>
      <c r="AP91" t="inlineStr">
        <is>
          <t>No</t>
        </is>
      </c>
      <c r="AQ91" t="inlineStr">
        <is>
          <t>No</t>
        </is>
      </c>
      <c r="AS91">
        <f>HYPERLINK("https://creighton-primo.hosted.exlibrisgroup.com/primo-explore/search?tab=default_tab&amp;search_scope=EVERYTHING&amp;vid=01CRU&amp;lang=en_US&amp;offset=0&amp;query=any,contains,991005208759702656","Catalog Record")</f>
        <v/>
      </c>
      <c r="AT91">
        <f>HYPERLINK("http://www.worldcat.org/oclc/8136894","WorldCat Record")</f>
        <v/>
      </c>
      <c r="AU91" t="inlineStr">
        <is>
          <t>31190846:eng</t>
        </is>
      </c>
      <c r="AV91" t="inlineStr">
        <is>
          <t>8136894</t>
        </is>
      </c>
      <c r="AW91" t="inlineStr">
        <is>
          <t>991005208759702656</t>
        </is>
      </c>
      <c r="AX91" t="inlineStr">
        <is>
          <t>991005208759702656</t>
        </is>
      </c>
      <c r="AY91" t="inlineStr">
        <is>
          <t>2265632320002656</t>
        </is>
      </c>
      <c r="AZ91" t="inlineStr">
        <is>
          <t>BOOK</t>
        </is>
      </c>
      <c r="BC91" t="inlineStr">
        <is>
          <t>32285001482958</t>
        </is>
      </c>
      <c r="BD91" t="inlineStr">
        <is>
          <t>893242375</t>
        </is>
      </c>
    </row>
    <row r="92">
      <c r="A92" t="inlineStr">
        <is>
          <t>No</t>
        </is>
      </c>
      <c r="B92" t="inlineStr">
        <is>
          <t>HQ1061 .H54 2005</t>
        </is>
      </c>
      <c r="C92" t="inlineStr">
        <is>
          <t>0                      HQ 1061000H  54          2005</t>
        </is>
      </c>
      <c r="D92" t="inlineStr">
        <is>
          <t>A history of old age / edited by Pat Thane.</t>
        </is>
      </c>
      <c r="F92" t="inlineStr">
        <is>
          <t>No</t>
        </is>
      </c>
      <c r="G92" t="inlineStr">
        <is>
          <t>1</t>
        </is>
      </c>
      <c r="H92" t="inlineStr">
        <is>
          <t>No</t>
        </is>
      </c>
      <c r="I92" t="inlineStr">
        <is>
          <t>No</t>
        </is>
      </c>
      <c r="J92" t="inlineStr">
        <is>
          <t>0</t>
        </is>
      </c>
      <c r="L92" t="inlineStr">
        <is>
          <t>Los Angeles : J. Paul Getty Museum, 2005.</t>
        </is>
      </c>
      <c r="M92" t="inlineStr">
        <is>
          <t>2005</t>
        </is>
      </c>
      <c r="O92" t="inlineStr">
        <is>
          <t>eng</t>
        </is>
      </c>
      <c r="P92" t="inlineStr">
        <is>
          <t>cau</t>
        </is>
      </c>
      <c r="R92" t="inlineStr">
        <is>
          <t xml:space="preserve">HQ </t>
        </is>
      </c>
      <c r="S92" t="n">
        <v>1</v>
      </c>
      <c r="T92" t="n">
        <v>1</v>
      </c>
      <c r="U92" t="inlineStr">
        <is>
          <t>2006-10-17</t>
        </is>
      </c>
      <c r="V92" t="inlineStr">
        <is>
          <t>2006-10-17</t>
        </is>
      </c>
      <c r="W92" t="inlineStr">
        <is>
          <t>2006-10-17</t>
        </is>
      </c>
      <c r="X92" t="inlineStr">
        <is>
          <t>2006-10-17</t>
        </is>
      </c>
      <c r="Y92" t="n">
        <v>842</v>
      </c>
      <c r="Z92" t="n">
        <v>737</v>
      </c>
      <c r="AA92" t="n">
        <v>766</v>
      </c>
      <c r="AB92" t="n">
        <v>6</v>
      </c>
      <c r="AC92" t="n">
        <v>8</v>
      </c>
      <c r="AD92" t="n">
        <v>28</v>
      </c>
      <c r="AE92" t="n">
        <v>31</v>
      </c>
      <c r="AF92" t="n">
        <v>13</v>
      </c>
      <c r="AG92" t="n">
        <v>13</v>
      </c>
      <c r="AH92" t="n">
        <v>7</v>
      </c>
      <c r="AI92" t="n">
        <v>8</v>
      </c>
      <c r="AJ92" t="n">
        <v>11</v>
      </c>
      <c r="AK92" t="n">
        <v>11</v>
      </c>
      <c r="AL92" t="n">
        <v>4</v>
      </c>
      <c r="AM92" t="n">
        <v>6</v>
      </c>
      <c r="AN92" t="n">
        <v>0</v>
      </c>
      <c r="AO92" t="n">
        <v>0</v>
      </c>
      <c r="AP92" t="inlineStr">
        <is>
          <t>No</t>
        </is>
      </c>
      <c r="AQ92" t="inlineStr">
        <is>
          <t>No</t>
        </is>
      </c>
      <c r="AS92">
        <f>HYPERLINK("https://creighton-primo.hosted.exlibrisgroup.com/primo-explore/search?tab=default_tab&amp;search_scope=EVERYTHING&amp;vid=01CRU&amp;lang=en_US&amp;offset=0&amp;query=any,contains,991004936219702656","Catalog Record")</f>
        <v/>
      </c>
      <c r="AT92">
        <f>HYPERLINK("http://www.worldcat.org/oclc/58546606","WorldCat Record")</f>
        <v/>
      </c>
      <c r="AU92" t="inlineStr">
        <is>
          <t>1008955:eng</t>
        </is>
      </c>
      <c r="AV92" t="inlineStr">
        <is>
          <t>58546606</t>
        </is>
      </c>
      <c r="AW92" t="inlineStr">
        <is>
          <t>991004936219702656</t>
        </is>
      </c>
      <c r="AX92" t="inlineStr">
        <is>
          <t>991004936219702656</t>
        </is>
      </c>
      <c r="AY92" t="inlineStr">
        <is>
          <t>2257800910002656</t>
        </is>
      </c>
      <c r="AZ92" t="inlineStr">
        <is>
          <t>BOOK</t>
        </is>
      </c>
      <c r="BB92" t="inlineStr">
        <is>
          <t>9780892368341</t>
        </is>
      </c>
      <c r="BC92" t="inlineStr">
        <is>
          <t>32285005231062</t>
        </is>
      </c>
      <c r="BD92" t="inlineStr">
        <is>
          <t>893332193</t>
        </is>
      </c>
    </row>
    <row r="93">
      <c r="A93" t="inlineStr">
        <is>
          <t>No</t>
        </is>
      </c>
      <c r="B93" t="inlineStr">
        <is>
          <t>HQ1061 .H56</t>
        </is>
      </c>
      <c r="C93" t="inlineStr">
        <is>
          <t>0                      HQ 1061000H  56</t>
        </is>
      </c>
      <c r="D93" t="inlineStr">
        <is>
          <t>The daily needs and interests of older people / compiled and edited by Adeline M. Hoffman. With a foreword by William D. Bechill.</t>
        </is>
      </c>
      <c r="F93" t="inlineStr">
        <is>
          <t>No</t>
        </is>
      </c>
      <c r="G93" t="inlineStr">
        <is>
          <t>1</t>
        </is>
      </c>
      <c r="H93" t="inlineStr">
        <is>
          <t>No</t>
        </is>
      </c>
      <c r="I93" t="inlineStr">
        <is>
          <t>No</t>
        </is>
      </c>
      <c r="J93" t="inlineStr">
        <is>
          <t>0</t>
        </is>
      </c>
      <c r="K93" t="inlineStr">
        <is>
          <t>Hoffman, Adeline M. (Adeline Mildred)</t>
        </is>
      </c>
      <c r="L93" t="inlineStr">
        <is>
          <t>Springfield, Ill. : Thomas, [1970]</t>
        </is>
      </c>
      <c r="M93" t="inlineStr">
        <is>
          <t>1970</t>
        </is>
      </c>
      <c r="O93" t="inlineStr">
        <is>
          <t>eng</t>
        </is>
      </c>
      <c r="P93" t="inlineStr">
        <is>
          <t>ilu</t>
        </is>
      </c>
      <c r="R93" t="inlineStr">
        <is>
          <t xml:space="preserve">HQ </t>
        </is>
      </c>
      <c r="S93" t="n">
        <v>2</v>
      </c>
      <c r="T93" t="n">
        <v>2</v>
      </c>
      <c r="U93" t="inlineStr">
        <is>
          <t>2000-09-17</t>
        </is>
      </c>
      <c r="V93" t="inlineStr">
        <is>
          <t>2000-09-17</t>
        </is>
      </c>
      <c r="W93" t="inlineStr">
        <is>
          <t>1995-04-06</t>
        </is>
      </c>
      <c r="X93" t="inlineStr">
        <is>
          <t>1995-04-06</t>
        </is>
      </c>
      <c r="Y93" t="n">
        <v>554</v>
      </c>
      <c r="Z93" t="n">
        <v>485</v>
      </c>
      <c r="AA93" t="n">
        <v>500</v>
      </c>
      <c r="AB93" t="n">
        <v>4</v>
      </c>
      <c r="AC93" t="n">
        <v>4</v>
      </c>
      <c r="AD93" t="n">
        <v>22</v>
      </c>
      <c r="AE93" t="n">
        <v>24</v>
      </c>
      <c r="AF93" t="n">
        <v>9</v>
      </c>
      <c r="AG93" t="n">
        <v>10</v>
      </c>
      <c r="AH93" t="n">
        <v>4</v>
      </c>
      <c r="AI93" t="n">
        <v>4</v>
      </c>
      <c r="AJ93" t="n">
        <v>10</v>
      </c>
      <c r="AK93" t="n">
        <v>11</v>
      </c>
      <c r="AL93" t="n">
        <v>3</v>
      </c>
      <c r="AM93" t="n">
        <v>3</v>
      </c>
      <c r="AN93" t="n">
        <v>0</v>
      </c>
      <c r="AO93" t="n">
        <v>0</v>
      </c>
      <c r="AP93" t="inlineStr">
        <is>
          <t>No</t>
        </is>
      </c>
      <c r="AQ93" t="inlineStr">
        <is>
          <t>Yes</t>
        </is>
      </c>
      <c r="AR93">
        <f>HYPERLINK("http://catalog.hathitrust.org/Record/001110257","HathiTrust Record")</f>
        <v/>
      </c>
      <c r="AS93">
        <f>HYPERLINK("https://creighton-primo.hosted.exlibrisgroup.com/primo-explore/search?tab=default_tab&amp;search_scope=EVERYTHING&amp;vid=01CRU&amp;lang=en_US&amp;offset=0&amp;query=any,contains,991000184649702656","Catalog Record")</f>
        <v/>
      </c>
      <c r="AT93">
        <f>HYPERLINK("http://www.worldcat.org/oclc/62685","WorldCat Record")</f>
        <v/>
      </c>
      <c r="AU93" t="inlineStr">
        <is>
          <t>1225352:eng</t>
        </is>
      </c>
      <c r="AV93" t="inlineStr">
        <is>
          <t>62685</t>
        </is>
      </c>
      <c r="AW93" t="inlineStr">
        <is>
          <t>991000184649702656</t>
        </is>
      </c>
      <c r="AX93" t="inlineStr">
        <is>
          <t>991000184649702656</t>
        </is>
      </c>
      <c r="AY93" t="inlineStr">
        <is>
          <t>2255063900002656</t>
        </is>
      </c>
      <c r="AZ93" t="inlineStr">
        <is>
          <t>BOOK</t>
        </is>
      </c>
      <c r="BC93" t="inlineStr">
        <is>
          <t>32285002025962</t>
        </is>
      </c>
      <c r="BD93" t="inlineStr">
        <is>
          <t>893413169</t>
        </is>
      </c>
    </row>
    <row r="94">
      <c r="A94" t="inlineStr">
        <is>
          <t>No</t>
        </is>
      </c>
      <c r="B94" t="inlineStr">
        <is>
          <t>HQ1061 .I4</t>
        </is>
      </c>
      <c r="C94" t="inlineStr">
        <is>
          <t>0                      HQ 1061000I  4</t>
        </is>
      </c>
      <c r="D94" t="inlineStr">
        <is>
          <t>The Impending crisis of old age : a challenge to ingenuity : a report and essays / by E.D. Acheson ... [et al.]. ; edited by R.F.A. Shegog.</t>
        </is>
      </c>
      <c r="F94" t="inlineStr">
        <is>
          <t>No</t>
        </is>
      </c>
      <c r="G94" t="inlineStr">
        <is>
          <t>1</t>
        </is>
      </c>
      <c r="H94" t="inlineStr">
        <is>
          <t>Yes</t>
        </is>
      </c>
      <c r="I94" t="inlineStr">
        <is>
          <t>No</t>
        </is>
      </c>
      <c r="J94" t="inlineStr">
        <is>
          <t>0</t>
        </is>
      </c>
      <c r="L94" t="inlineStr">
        <is>
          <t>Oxford ; New York : Published for the Nuffield Provincial Hospitals Trust by the Oxford University Press, c1981.</t>
        </is>
      </c>
      <c r="M94" t="inlineStr">
        <is>
          <t>1981</t>
        </is>
      </c>
      <c r="O94" t="inlineStr">
        <is>
          <t>eng</t>
        </is>
      </c>
      <c r="P94" t="inlineStr">
        <is>
          <t>enk</t>
        </is>
      </c>
      <c r="R94" t="inlineStr">
        <is>
          <t xml:space="preserve">HQ </t>
        </is>
      </c>
      <c r="S94" t="n">
        <v>3</v>
      </c>
      <c r="T94" t="n">
        <v>3</v>
      </c>
      <c r="U94" t="inlineStr">
        <is>
          <t>1994-04-25</t>
        </is>
      </c>
      <c r="V94" t="inlineStr">
        <is>
          <t>1994-04-25</t>
        </is>
      </c>
      <c r="W94" t="inlineStr">
        <is>
          <t>1993-04-26</t>
        </is>
      </c>
      <c r="X94" t="inlineStr">
        <is>
          <t>1993-04-26</t>
        </is>
      </c>
      <c r="Y94" t="n">
        <v>223</v>
      </c>
      <c r="Z94" t="n">
        <v>149</v>
      </c>
      <c r="AA94" t="n">
        <v>151</v>
      </c>
      <c r="AB94" t="n">
        <v>3</v>
      </c>
      <c r="AC94" t="n">
        <v>3</v>
      </c>
      <c r="AD94" t="n">
        <v>4</v>
      </c>
      <c r="AE94" t="n">
        <v>4</v>
      </c>
      <c r="AF94" t="n">
        <v>0</v>
      </c>
      <c r="AG94" t="n">
        <v>0</v>
      </c>
      <c r="AH94" t="n">
        <v>1</v>
      </c>
      <c r="AI94" t="n">
        <v>1</v>
      </c>
      <c r="AJ94" t="n">
        <v>3</v>
      </c>
      <c r="AK94" t="n">
        <v>3</v>
      </c>
      <c r="AL94" t="n">
        <v>1</v>
      </c>
      <c r="AM94" t="n">
        <v>1</v>
      </c>
      <c r="AN94" t="n">
        <v>0</v>
      </c>
      <c r="AO94" t="n">
        <v>0</v>
      </c>
      <c r="AP94" t="inlineStr">
        <is>
          <t>No</t>
        </is>
      </c>
      <c r="AQ94" t="inlineStr">
        <is>
          <t>Yes</t>
        </is>
      </c>
      <c r="AR94">
        <f>HYPERLINK("http://catalog.hathitrust.org/Record/000806817","HathiTrust Record")</f>
        <v/>
      </c>
      <c r="AS94">
        <f>HYPERLINK("https://creighton-primo.hosted.exlibrisgroup.com/primo-explore/search?tab=default_tab&amp;search_scope=EVERYTHING&amp;vid=01CRU&amp;lang=en_US&amp;offset=0&amp;query=any,contains,991005220979702656","Catalog Record")</f>
        <v/>
      </c>
      <c r="AT94">
        <f>HYPERLINK("http://www.worldcat.org/oclc/8222493","WorldCat Record")</f>
        <v/>
      </c>
      <c r="AU94" t="inlineStr">
        <is>
          <t>373227231:eng</t>
        </is>
      </c>
      <c r="AV94" t="inlineStr">
        <is>
          <t>8222493</t>
        </is>
      </c>
      <c r="AW94" t="inlineStr">
        <is>
          <t>991005220979702656</t>
        </is>
      </c>
      <c r="AX94" t="inlineStr">
        <is>
          <t>991005220979702656</t>
        </is>
      </c>
      <c r="AY94" t="inlineStr">
        <is>
          <t>2266764040002656</t>
        </is>
      </c>
      <c r="AZ94" t="inlineStr">
        <is>
          <t>BOOK</t>
        </is>
      </c>
      <c r="BB94" t="inlineStr">
        <is>
          <t>9780197212257</t>
        </is>
      </c>
      <c r="BC94" t="inlineStr">
        <is>
          <t>32285001625671</t>
        </is>
      </c>
      <c r="BD94" t="inlineStr">
        <is>
          <t>893688790</t>
        </is>
      </c>
    </row>
    <row r="95">
      <c r="A95" t="inlineStr">
        <is>
          <t>No</t>
        </is>
      </c>
      <c r="B95" t="inlineStr">
        <is>
          <t>HQ1061 .I535 1980</t>
        </is>
      </c>
      <c r="C95" t="inlineStr">
        <is>
          <t>0                      HQ 1061000I  535         1980</t>
        </is>
      </c>
      <c r="D95" t="inlineStr">
        <is>
          <t>International handbook on aging : contemporary developments and research / edited by Erdman Palmore.</t>
        </is>
      </c>
      <c r="F95" t="inlineStr">
        <is>
          <t>No</t>
        </is>
      </c>
      <c r="G95" t="inlineStr">
        <is>
          <t>1</t>
        </is>
      </c>
      <c r="H95" t="inlineStr">
        <is>
          <t>Yes</t>
        </is>
      </c>
      <c r="I95" t="inlineStr">
        <is>
          <t>No</t>
        </is>
      </c>
      <c r="J95" t="inlineStr">
        <is>
          <t>0</t>
        </is>
      </c>
      <c r="L95" t="inlineStr">
        <is>
          <t>Westport, Conn. : Greenwood Press, 1980, c1979.</t>
        </is>
      </c>
      <c r="M95" t="inlineStr">
        <is>
          <t>1980</t>
        </is>
      </c>
      <c r="O95" t="inlineStr">
        <is>
          <t>eng</t>
        </is>
      </c>
      <c r="P95" t="inlineStr">
        <is>
          <t>ctu</t>
        </is>
      </c>
      <c r="R95" t="inlineStr">
        <is>
          <t xml:space="preserve">HQ </t>
        </is>
      </c>
      <c r="S95" t="n">
        <v>2</v>
      </c>
      <c r="T95" t="n">
        <v>2</v>
      </c>
      <c r="U95" t="inlineStr">
        <is>
          <t>2004-10-12</t>
        </is>
      </c>
      <c r="V95" t="inlineStr">
        <is>
          <t>2004-10-12</t>
        </is>
      </c>
      <c r="W95" t="inlineStr">
        <is>
          <t>1993-04-26</t>
        </is>
      </c>
      <c r="X95" t="inlineStr">
        <is>
          <t>1993-04-26</t>
        </is>
      </c>
      <c r="Y95" t="n">
        <v>760</v>
      </c>
      <c r="Z95" t="n">
        <v>668</v>
      </c>
      <c r="AA95" t="n">
        <v>675</v>
      </c>
      <c r="AB95" t="n">
        <v>5</v>
      </c>
      <c r="AC95" t="n">
        <v>5</v>
      </c>
      <c r="AD95" t="n">
        <v>25</v>
      </c>
      <c r="AE95" t="n">
        <v>25</v>
      </c>
      <c r="AF95" t="n">
        <v>10</v>
      </c>
      <c r="AG95" t="n">
        <v>10</v>
      </c>
      <c r="AH95" t="n">
        <v>4</v>
      </c>
      <c r="AI95" t="n">
        <v>4</v>
      </c>
      <c r="AJ95" t="n">
        <v>12</v>
      </c>
      <c r="AK95" t="n">
        <v>12</v>
      </c>
      <c r="AL95" t="n">
        <v>3</v>
      </c>
      <c r="AM95" t="n">
        <v>3</v>
      </c>
      <c r="AN95" t="n">
        <v>1</v>
      </c>
      <c r="AO95" t="n">
        <v>1</v>
      </c>
      <c r="AP95" t="inlineStr">
        <is>
          <t>No</t>
        </is>
      </c>
      <c r="AQ95" t="inlineStr">
        <is>
          <t>Yes</t>
        </is>
      </c>
      <c r="AR95">
        <f>HYPERLINK("http://catalog.hathitrust.org/Record/000719706","HathiTrust Record")</f>
        <v/>
      </c>
      <c r="AS95">
        <f>HYPERLINK("https://creighton-primo.hosted.exlibrisgroup.com/primo-explore/search?tab=default_tab&amp;search_scope=EVERYTHING&amp;vid=01CRU&amp;lang=en_US&amp;offset=0&amp;query=any,contains,991004802879702656","Catalog Record")</f>
        <v/>
      </c>
      <c r="AT95">
        <f>HYPERLINK("http://www.worldcat.org/oclc/5220565","WorldCat Record")</f>
        <v/>
      </c>
      <c r="AU95" t="inlineStr">
        <is>
          <t>900856408:eng</t>
        </is>
      </c>
      <c r="AV95" t="inlineStr">
        <is>
          <t>5220565</t>
        </is>
      </c>
      <c r="AW95" t="inlineStr">
        <is>
          <t>991004802879702656</t>
        </is>
      </c>
      <c r="AX95" t="inlineStr">
        <is>
          <t>991004802879702656</t>
        </is>
      </c>
      <c r="AY95" t="inlineStr">
        <is>
          <t>2267374750002656</t>
        </is>
      </c>
      <c r="AZ95" t="inlineStr">
        <is>
          <t>BOOK</t>
        </is>
      </c>
      <c r="BB95" t="inlineStr">
        <is>
          <t>9780313208904</t>
        </is>
      </c>
      <c r="BC95" t="inlineStr">
        <is>
          <t>32285001625697</t>
        </is>
      </c>
      <c r="BD95" t="inlineStr">
        <is>
          <t>893688173</t>
        </is>
      </c>
    </row>
    <row r="96">
      <c r="A96" t="inlineStr">
        <is>
          <t>No</t>
        </is>
      </c>
      <c r="B96" t="inlineStr">
        <is>
          <t>HQ1061 .I556 1984</t>
        </is>
      </c>
      <c r="C96" t="inlineStr">
        <is>
          <t>0                      HQ 1061000I  556         1984</t>
        </is>
      </c>
      <c r="D96" t="inlineStr">
        <is>
          <t>An Introduction to gerontology and geriatrics : a multi-disciplinary approach / edited by Alvin J. Levenson and Dianna M. Porter with 27 contributors.</t>
        </is>
      </c>
      <c r="F96" t="inlineStr">
        <is>
          <t>No</t>
        </is>
      </c>
      <c r="G96" t="inlineStr">
        <is>
          <t>1</t>
        </is>
      </c>
      <c r="H96" t="inlineStr">
        <is>
          <t>No</t>
        </is>
      </c>
      <c r="I96" t="inlineStr">
        <is>
          <t>No</t>
        </is>
      </c>
      <c r="J96" t="inlineStr">
        <is>
          <t>0</t>
        </is>
      </c>
      <c r="L96" t="inlineStr">
        <is>
          <t>Springfield, Ill., U.S.A. : C.C. Thomas, c1984.</t>
        </is>
      </c>
      <c r="M96" t="inlineStr">
        <is>
          <t>1984</t>
        </is>
      </c>
      <c r="O96" t="inlineStr">
        <is>
          <t>eng</t>
        </is>
      </c>
      <c r="P96" t="inlineStr">
        <is>
          <t>ilu</t>
        </is>
      </c>
      <c r="R96" t="inlineStr">
        <is>
          <t xml:space="preserve">HQ </t>
        </is>
      </c>
      <c r="S96" t="n">
        <v>5</v>
      </c>
      <c r="T96" t="n">
        <v>5</v>
      </c>
      <c r="U96" t="inlineStr">
        <is>
          <t>2005-09-26</t>
        </is>
      </c>
      <c r="V96" t="inlineStr">
        <is>
          <t>2005-09-26</t>
        </is>
      </c>
      <c r="W96" t="inlineStr">
        <is>
          <t>1993-04-26</t>
        </is>
      </c>
      <c r="X96" t="inlineStr">
        <is>
          <t>1993-04-26</t>
        </is>
      </c>
      <c r="Y96" t="n">
        <v>243</v>
      </c>
      <c r="Z96" t="n">
        <v>202</v>
      </c>
      <c r="AA96" t="n">
        <v>204</v>
      </c>
      <c r="AB96" t="n">
        <v>4</v>
      </c>
      <c r="AC96" t="n">
        <v>4</v>
      </c>
      <c r="AD96" t="n">
        <v>4</v>
      </c>
      <c r="AE96" t="n">
        <v>4</v>
      </c>
      <c r="AF96" t="n">
        <v>0</v>
      </c>
      <c r="AG96" t="n">
        <v>0</v>
      </c>
      <c r="AH96" t="n">
        <v>0</v>
      </c>
      <c r="AI96" t="n">
        <v>0</v>
      </c>
      <c r="AJ96" t="n">
        <v>1</v>
      </c>
      <c r="AK96" t="n">
        <v>1</v>
      </c>
      <c r="AL96" t="n">
        <v>3</v>
      </c>
      <c r="AM96" t="n">
        <v>3</v>
      </c>
      <c r="AN96" t="n">
        <v>0</v>
      </c>
      <c r="AO96" t="n">
        <v>0</v>
      </c>
      <c r="AP96" t="inlineStr">
        <is>
          <t>No</t>
        </is>
      </c>
      <c r="AQ96" t="inlineStr">
        <is>
          <t>Yes</t>
        </is>
      </c>
      <c r="AR96">
        <f>HYPERLINK("http://catalog.hathitrust.org/Record/000330770","HathiTrust Record")</f>
        <v/>
      </c>
      <c r="AS96">
        <f>HYPERLINK("https://creighton-primo.hosted.exlibrisgroup.com/primo-explore/search?tab=default_tab&amp;search_scope=EVERYTHING&amp;vid=01CRU&amp;lang=en_US&amp;offset=0&amp;query=any,contains,991000291639702656","Catalog Record")</f>
        <v/>
      </c>
      <c r="AT96">
        <f>HYPERLINK("http://www.worldcat.org/oclc/9970097","WorldCat Record")</f>
        <v/>
      </c>
      <c r="AU96" t="inlineStr">
        <is>
          <t>428144860:eng</t>
        </is>
      </c>
      <c r="AV96" t="inlineStr">
        <is>
          <t>9970097</t>
        </is>
      </c>
      <c r="AW96" t="inlineStr">
        <is>
          <t>991000291639702656</t>
        </is>
      </c>
      <c r="AX96" t="inlineStr">
        <is>
          <t>991000291639702656</t>
        </is>
      </c>
      <c r="AY96" t="inlineStr">
        <is>
          <t>2255077390002656</t>
        </is>
      </c>
      <c r="AZ96" t="inlineStr">
        <is>
          <t>BOOK</t>
        </is>
      </c>
      <c r="BB96" t="inlineStr">
        <is>
          <t>9780398049393</t>
        </is>
      </c>
      <c r="BC96" t="inlineStr">
        <is>
          <t>32285001625705</t>
        </is>
      </c>
      <c r="BD96" t="inlineStr">
        <is>
          <t>893333359</t>
        </is>
      </c>
    </row>
    <row r="97">
      <c r="A97" t="inlineStr">
        <is>
          <t>No</t>
        </is>
      </c>
      <c r="B97" t="inlineStr">
        <is>
          <t>HQ1061 .K33 1982</t>
        </is>
      </c>
      <c r="C97" t="inlineStr">
        <is>
          <t>0                      HQ 1061000K  33          1982</t>
        </is>
      </c>
      <c r="D97" t="inlineStr">
        <is>
          <t>Late adulthood : perspectives on human development / Richard A. Kalish.</t>
        </is>
      </c>
      <c r="F97" t="inlineStr">
        <is>
          <t>No</t>
        </is>
      </c>
      <c r="G97" t="inlineStr">
        <is>
          <t>1</t>
        </is>
      </c>
      <c r="H97" t="inlineStr">
        <is>
          <t>No</t>
        </is>
      </c>
      <c r="I97" t="inlineStr">
        <is>
          <t>No</t>
        </is>
      </c>
      <c r="J97" t="inlineStr">
        <is>
          <t>0</t>
        </is>
      </c>
      <c r="K97" t="inlineStr">
        <is>
          <t>Kalish, Richard A.</t>
        </is>
      </c>
      <c r="L97" t="inlineStr">
        <is>
          <t>Monterey, Calif. : Brooks/Cole Pub. Co., c1982.</t>
        </is>
      </c>
      <c r="M97" t="inlineStr">
        <is>
          <t>1982</t>
        </is>
      </c>
      <c r="N97" t="inlineStr">
        <is>
          <t>2nd ed.</t>
        </is>
      </c>
      <c r="O97" t="inlineStr">
        <is>
          <t>eng</t>
        </is>
      </c>
      <c r="P97" t="inlineStr">
        <is>
          <t>cau</t>
        </is>
      </c>
      <c r="Q97" t="inlineStr">
        <is>
          <t>Life-span human development series</t>
        </is>
      </c>
      <c r="R97" t="inlineStr">
        <is>
          <t xml:space="preserve">HQ </t>
        </is>
      </c>
      <c r="S97" t="n">
        <v>6</v>
      </c>
      <c r="T97" t="n">
        <v>6</v>
      </c>
      <c r="U97" t="inlineStr">
        <is>
          <t>1997-10-09</t>
        </is>
      </c>
      <c r="V97" t="inlineStr">
        <is>
          <t>1997-10-09</t>
        </is>
      </c>
      <c r="W97" t="inlineStr">
        <is>
          <t>1992-04-16</t>
        </is>
      </c>
      <c r="X97" t="inlineStr">
        <is>
          <t>1992-04-16</t>
        </is>
      </c>
      <c r="Y97" t="n">
        <v>242</v>
      </c>
      <c r="Z97" t="n">
        <v>193</v>
      </c>
      <c r="AA97" t="n">
        <v>626</v>
      </c>
      <c r="AB97" t="n">
        <v>5</v>
      </c>
      <c r="AC97" t="n">
        <v>7</v>
      </c>
      <c r="AD97" t="n">
        <v>12</v>
      </c>
      <c r="AE97" t="n">
        <v>25</v>
      </c>
      <c r="AF97" t="n">
        <v>4</v>
      </c>
      <c r="AG97" t="n">
        <v>10</v>
      </c>
      <c r="AH97" t="n">
        <v>2</v>
      </c>
      <c r="AI97" t="n">
        <v>4</v>
      </c>
      <c r="AJ97" t="n">
        <v>6</v>
      </c>
      <c r="AK97" t="n">
        <v>13</v>
      </c>
      <c r="AL97" t="n">
        <v>3</v>
      </c>
      <c r="AM97" t="n">
        <v>4</v>
      </c>
      <c r="AN97" t="n">
        <v>0</v>
      </c>
      <c r="AO97" t="n">
        <v>0</v>
      </c>
      <c r="AP97" t="inlineStr">
        <is>
          <t>No</t>
        </is>
      </c>
      <c r="AQ97" t="inlineStr">
        <is>
          <t>Yes</t>
        </is>
      </c>
      <c r="AR97">
        <f>HYPERLINK("http://catalog.hathitrust.org/Record/000100761","HathiTrust Record")</f>
        <v/>
      </c>
      <c r="AS97">
        <f>HYPERLINK("https://creighton-primo.hosted.exlibrisgroup.com/primo-explore/search?tab=default_tab&amp;search_scope=EVERYTHING&amp;vid=01CRU&amp;lang=en_US&amp;offset=0&amp;query=any,contains,991005140189702656","Catalog Record")</f>
        <v/>
      </c>
      <c r="AT97">
        <f>HYPERLINK("http://www.worldcat.org/oclc/7597890","WorldCat Record")</f>
        <v/>
      </c>
      <c r="AU97" t="inlineStr">
        <is>
          <t>482776:eng</t>
        </is>
      </c>
      <c r="AV97" t="inlineStr">
        <is>
          <t>7597890</t>
        </is>
      </c>
      <c r="AW97" t="inlineStr">
        <is>
          <t>991005140189702656</t>
        </is>
      </c>
      <c r="AX97" t="inlineStr">
        <is>
          <t>991005140189702656</t>
        </is>
      </c>
      <c r="AY97" t="inlineStr">
        <is>
          <t>2255088850002656</t>
        </is>
      </c>
      <c r="AZ97" t="inlineStr">
        <is>
          <t>BOOK</t>
        </is>
      </c>
      <c r="BB97" t="inlineStr">
        <is>
          <t>9780818504730</t>
        </is>
      </c>
      <c r="BC97" t="inlineStr">
        <is>
          <t>32285001044675</t>
        </is>
      </c>
      <c r="BD97" t="inlineStr">
        <is>
          <t>893619519</t>
        </is>
      </c>
    </row>
    <row r="98">
      <c r="A98" t="inlineStr">
        <is>
          <t>No</t>
        </is>
      </c>
      <c r="B98" t="inlineStr">
        <is>
          <t>HQ1061 .K395 1978</t>
        </is>
      </c>
      <c r="C98" t="inlineStr">
        <is>
          <t>0                      HQ 1061000K  395         1978</t>
        </is>
      </c>
      <c r="D98" t="inlineStr">
        <is>
          <t>Action with the elderly : a handbook for relatives and friends / Kenneth M. G. Keddie ; foreword by Ivor R. C. Batchelor.</t>
        </is>
      </c>
      <c r="F98" t="inlineStr">
        <is>
          <t>No</t>
        </is>
      </c>
      <c r="G98" t="inlineStr">
        <is>
          <t>1</t>
        </is>
      </c>
      <c r="H98" t="inlineStr">
        <is>
          <t>Yes</t>
        </is>
      </c>
      <c r="I98" t="inlineStr">
        <is>
          <t>No</t>
        </is>
      </c>
      <c r="J98" t="inlineStr">
        <is>
          <t>0</t>
        </is>
      </c>
      <c r="K98" t="inlineStr">
        <is>
          <t>Keddie, Kenneth M. G.</t>
        </is>
      </c>
      <c r="L98" t="inlineStr">
        <is>
          <t>Oxford ; New York : Pergamon Press, 1978.</t>
        </is>
      </c>
      <c r="M98" t="inlineStr">
        <is>
          <t>1978</t>
        </is>
      </c>
      <c r="O98" t="inlineStr">
        <is>
          <t>eng</t>
        </is>
      </c>
      <c r="P98" t="inlineStr">
        <is>
          <t>enk</t>
        </is>
      </c>
      <c r="Q98" t="inlineStr">
        <is>
          <t>Pergamon international library of science, technology, engineering, and social studies</t>
        </is>
      </c>
      <c r="R98" t="inlineStr">
        <is>
          <t xml:space="preserve">HQ </t>
        </is>
      </c>
      <c r="S98" t="n">
        <v>10</v>
      </c>
      <c r="T98" t="n">
        <v>11</v>
      </c>
      <c r="U98" t="inlineStr">
        <is>
          <t>1995-03-29</t>
        </is>
      </c>
      <c r="V98" t="inlineStr">
        <is>
          <t>1995-03-29</t>
        </is>
      </c>
      <c r="W98" t="inlineStr">
        <is>
          <t>1993-04-26</t>
        </is>
      </c>
      <c r="X98" t="inlineStr">
        <is>
          <t>1993-04-26</t>
        </is>
      </c>
      <c r="Y98" t="n">
        <v>278</v>
      </c>
      <c r="Z98" t="n">
        <v>191</v>
      </c>
      <c r="AA98" t="n">
        <v>236</v>
      </c>
      <c r="AB98" t="n">
        <v>4</v>
      </c>
      <c r="AC98" t="n">
        <v>5</v>
      </c>
      <c r="AD98" t="n">
        <v>8</v>
      </c>
      <c r="AE98" t="n">
        <v>12</v>
      </c>
      <c r="AF98" t="n">
        <v>1</v>
      </c>
      <c r="AG98" t="n">
        <v>3</v>
      </c>
      <c r="AH98" t="n">
        <v>2</v>
      </c>
      <c r="AI98" t="n">
        <v>4</v>
      </c>
      <c r="AJ98" t="n">
        <v>4</v>
      </c>
      <c r="AK98" t="n">
        <v>4</v>
      </c>
      <c r="AL98" t="n">
        <v>2</v>
      </c>
      <c r="AM98" t="n">
        <v>3</v>
      </c>
      <c r="AN98" t="n">
        <v>0</v>
      </c>
      <c r="AO98" t="n">
        <v>0</v>
      </c>
      <c r="AP98" t="inlineStr">
        <is>
          <t>No</t>
        </is>
      </c>
      <c r="AQ98" t="inlineStr">
        <is>
          <t>Yes</t>
        </is>
      </c>
      <c r="AR98">
        <f>HYPERLINK("http://catalog.hathitrust.org/Record/000093028","HathiTrust Record")</f>
        <v/>
      </c>
      <c r="AS98">
        <f>HYPERLINK("https://creighton-primo.hosted.exlibrisgroup.com/primo-explore/search?tab=default_tab&amp;search_scope=EVERYTHING&amp;vid=01CRU&amp;lang=en_US&amp;offset=0&amp;query=any,contains,991001781919702656","Catalog Record")</f>
        <v/>
      </c>
      <c r="AT98">
        <f>HYPERLINK("http://www.worldcat.org/oclc/3650741","WorldCat Record")</f>
        <v/>
      </c>
      <c r="AU98" t="inlineStr">
        <is>
          <t>761188086:eng</t>
        </is>
      </c>
      <c r="AV98" t="inlineStr">
        <is>
          <t>3650741</t>
        </is>
      </c>
      <c r="AW98" t="inlineStr">
        <is>
          <t>991001781919702656</t>
        </is>
      </c>
      <c r="AX98" t="inlineStr">
        <is>
          <t>991001781919702656</t>
        </is>
      </c>
      <c r="AY98" t="inlineStr">
        <is>
          <t>2261390200002656</t>
        </is>
      </c>
      <c r="AZ98" t="inlineStr">
        <is>
          <t>BOOK</t>
        </is>
      </c>
      <c r="BB98" t="inlineStr">
        <is>
          <t>9780080214429</t>
        </is>
      </c>
      <c r="BC98" t="inlineStr">
        <is>
          <t>32285001625713</t>
        </is>
      </c>
      <c r="BD98" t="inlineStr">
        <is>
          <t>893420622</t>
        </is>
      </c>
    </row>
    <row r="99">
      <c r="A99" t="inlineStr">
        <is>
          <t>No</t>
        </is>
      </c>
      <c r="B99" t="inlineStr">
        <is>
          <t>HQ1061 .K398 1982</t>
        </is>
      </c>
      <c r="C99" t="inlineStr">
        <is>
          <t>0                      HQ 1061000K  398         1982</t>
        </is>
      </c>
      <c r="D99" t="inlineStr">
        <is>
          <t>Old people as people : social and cultural influences on aging and old age / Jennie Keith.</t>
        </is>
      </c>
      <c r="F99" t="inlineStr">
        <is>
          <t>No</t>
        </is>
      </c>
      <c r="G99" t="inlineStr">
        <is>
          <t>1</t>
        </is>
      </c>
      <c r="H99" t="inlineStr">
        <is>
          <t>No</t>
        </is>
      </c>
      <c r="I99" t="inlineStr">
        <is>
          <t>No</t>
        </is>
      </c>
      <c r="J99" t="inlineStr">
        <is>
          <t>0</t>
        </is>
      </c>
      <c r="K99" t="inlineStr">
        <is>
          <t>Keith, Jennie.</t>
        </is>
      </c>
      <c r="L99" t="inlineStr">
        <is>
          <t>Boston : Little, Brown, c1982.</t>
        </is>
      </c>
      <c r="M99" t="inlineStr">
        <is>
          <t>1982</t>
        </is>
      </c>
      <c r="O99" t="inlineStr">
        <is>
          <t>eng</t>
        </is>
      </c>
      <c r="P99" t="inlineStr">
        <is>
          <t>mau</t>
        </is>
      </c>
      <c r="Q99" t="inlineStr">
        <is>
          <t>Little, Brown series on gerontology</t>
        </is>
      </c>
      <c r="R99" t="inlineStr">
        <is>
          <t xml:space="preserve">HQ </t>
        </is>
      </c>
      <c r="S99" t="n">
        <v>8</v>
      </c>
      <c r="T99" t="n">
        <v>8</v>
      </c>
      <c r="U99" t="inlineStr">
        <is>
          <t>1995-11-30</t>
        </is>
      </c>
      <c r="V99" t="inlineStr">
        <is>
          <t>1995-11-30</t>
        </is>
      </c>
      <c r="W99" t="inlineStr">
        <is>
          <t>1993-04-26</t>
        </is>
      </c>
      <c r="X99" t="inlineStr">
        <is>
          <t>1993-04-26</t>
        </is>
      </c>
      <c r="Y99" t="n">
        <v>368</v>
      </c>
      <c r="Z99" t="n">
        <v>309</v>
      </c>
      <c r="AA99" t="n">
        <v>311</v>
      </c>
      <c r="AB99" t="n">
        <v>3</v>
      </c>
      <c r="AC99" t="n">
        <v>3</v>
      </c>
      <c r="AD99" t="n">
        <v>18</v>
      </c>
      <c r="AE99" t="n">
        <v>18</v>
      </c>
      <c r="AF99" t="n">
        <v>6</v>
      </c>
      <c r="AG99" t="n">
        <v>6</v>
      </c>
      <c r="AH99" t="n">
        <v>4</v>
      </c>
      <c r="AI99" t="n">
        <v>4</v>
      </c>
      <c r="AJ99" t="n">
        <v>11</v>
      </c>
      <c r="AK99" t="n">
        <v>11</v>
      </c>
      <c r="AL99" t="n">
        <v>2</v>
      </c>
      <c r="AM99" t="n">
        <v>2</v>
      </c>
      <c r="AN99" t="n">
        <v>0</v>
      </c>
      <c r="AO99" t="n">
        <v>0</v>
      </c>
      <c r="AP99" t="inlineStr">
        <is>
          <t>No</t>
        </is>
      </c>
      <c r="AQ99" t="inlineStr">
        <is>
          <t>Yes</t>
        </is>
      </c>
      <c r="AR99">
        <f>HYPERLINK("http://catalog.hathitrust.org/Record/000822502","HathiTrust Record")</f>
        <v/>
      </c>
      <c r="AS99">
        <f>HYPERLINK("https://creighton-primo.hosted.exlibrisgroup.com/primo-explore/search?tab=default_tab&amp;search_scope=EVERYTHING&amp;vid=01CRU&amp;lang=en_US&amp;offset=0&amp;query=any,contains,991005213719702656","Catalog Record")</f>
        <v/>
      </c>
      <c r="AT99">
        <f>HYPERLINK("http://www.worldcat.org/oclc/8171404","WorldCat Record")</f>
        <v/>
      </c>
      <c r="AU99" t="inlineStr">
        <is>
          <t>257252693:eng</t>
        </is>
      </c>
      <c r="AV99" t="inlineStr">
        <is>
          <t>8171404</t>
        </is>
      </c>
      <c r="AW99" t="inlineStr">
        <is>
          <t>991005213719702656</t>
        </is>
      </c>
      <c r="AX99" t="inlineStr">
        <is>
          <t>991005213719702656</t>
        </is>
      </c>
      <c r="AY99" t="inlineStr">
        <is>
          <t>2257062370002656</t>
        </is>
      </c>
      <c r="AZ99" t="inlineStr">
        <is>
          <t>BOOK</t>
        </is>
      </c>
      <c r="BB99" t="inlineStr">
        <is>
          <t>9780316486316</t>
        </is>
      </c>
      <c r="BC99" t="inlineStr">
        <is>
          <t>32285001625721</t>
        </is>
      </c>
      <c r="BD99" t="inlineStr">
        <is>
          <t>893338736</t>
        </is>
      </c>
    </row>
    <row r="100">
      <c r="A100" t="inlineStr">
        <is>
          <t>No</t>
        </is>
      </c>
      <c r="B100" t="inlineStr">
        <is>
          <t>HQ1061 .K47 1980</t>
        </is>
      </c>
      <c r="C100" t="inlineStr">
        <is>
          <t>0                      HQ 1061000K  47          1980</t>
        </is>
      </c>
      <c r="D100" t="inlineStr">
        <is>
          <t>Adulthood and aging : an interdisciplinary, developmental view / Douglas C. Kimmel.</t>
        </is>
      </c>
      <c r="F100" t="inlineStr">
        <is>
          <t>No</t>
        </is>
      </c>
      <c r="G100" t="inlineStr">
        <is>
          <t>1</t>
        </is>
      </c>
      <c r="H100" t="inlineStr">
        <is>
          <t>No</t>
        </is>
      </c>
      <c r="I100" t="inlineStr">
        <is>
          <t>Yes</t>
        </is>
      </c>
      <c r="J100" t="inlineStr">
        <is>
          <t>0</t>
        </is>
      </c>
      <c r="K100" t="inlineStr">
        <is>
          <t>Kimmel, Douglas C.</t>
        </is>
      </c>
      <c r="L100" t="inlineStr">
        <is>
          <t>New York : Wiley, c1980.</t>
        </is>
      </c>
      <c r="M100" t="inlineStr">
        <is>
          <t>1980</t>
        </is>
      </c>
      <c r="N100" t="inlineStr">
        <is>
          <t>2d ed.</t>
        </is>
      </c>
      <c r="O100" t="inlineStr">
        <is>
          <t>eng</t>
        </is>
      </c>
      <c r="P100" t="inlineStr">
        <is>
          <t>nyu</t>
        </is>
      </c>
      <c r="R100" t="inlineStr">
        <is>
          <t xml:space="preserve">HQ </t>
        </is>
      </c>
      <c r="S100" t="n">
        <v>2</v>
      </c>
      <c r="T100" t="n">
        <v>2</v>
      </c>
      <c r="U100" t="inlineStr">
        <is>
          <t>1995-11-28</t>
        </is>
      </c>
      <c r="V100" t="inlineStr">
        <is>
          <t>1995-11-28</t>
        </is>
      </c>
      <c r="W100" t="inlineStr">
        <is>
          <t>1993-04-26</t>
        </is>
      </c>
      <c r="X100" t="inlineStr">
        <is>
          <t>1993-04-26</t>
        </is>
      </c>
      <c r="Y100" t="n">
        <v>422</v>
      </c>
      <c r="Z100" t="n">
        <v>288</v>
      </c>
      <c r="AA100" t="n">
        <v>1057</v>
      </c>
      <c r="AB100" t="n">
        <v>3</v>
      </c>
      <c r="AC100" t="n">
        <v>12</v>
      </c>
      <c r="AD100" t="n">
        <v>14</v>
      </c>
      <c r="AE100" t="n">
        <v>45</v>
      </c>
      <c r="AF100" t="n">
        <v>6</v>
      </c>
      <c r="AG100" t="n">
        <v>21</v>
      </c>
      <c r="AH100" t="n">
        <v>1</v>
      </c>
      <c r="AI100" t="n">
        <v>9</v>
      </c>
      <c r="AJ100" t="n">
        <v>7</v>
      </c>
      <c r="AK100" t="n">
        <v>20</v>
      </c>
      <c r="AL100" t="n">
        <v>2</v>
      </c>
      <c r="AM100" t="n">
        <v>7</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HYPERLINK("https://creighton-primo.hosted.exlibrisgroup.com/primo-explore/search?tab=default_tab&amp;search_scope=EVERYTHING&amp;vid=01CRU&amp;lang=en_US&amp;offset=0&amp;query=any,contains,991004857459702656","Catalog Record")</f>
        <v/>
      </c>
      <c r="AT100">
        <f>HYPERLINK("http://www.worldcat.org/oclc/5676374","WorldCat Record")</f>
        <v/>
      </c>
      <c r="AU100" t="inlineStr">
        <is>
          <t>793279515:eng</t>
        </is>
      </c>
      <c r="AV100" t="inlineStr">
        <is>
          <t>5676374</t>
        </is>
      </c>
      <c r="AW100" t="inlineStr">
        <is>
          <t>991004857459702656</t>
        </is>
      </c>
      <c r="AX100" t="inlineStr">
        <is>
          <t>991004857459702656</t>
        </is>
      </c>
      <c r="AY100" t="inlineStr">
        <is>
          <t>2260224420002656</t>
        </is>
      </c>
      <c r="AZ100" t="inlineStr">
        <is>
          <t>BOOK</t>
        </is>
      </c>
      <c r="BB100" t="inlineStr">
        <is>
          <t>9780471052296</t>
        </is>
      </c>
      <c r="BC100" t="inlineStr">
        <is>
          <t>32285001625739</t>
        </is>
      </c>
      <c r="BD100" t="inlineStr">
        <is>
          <t>893883039</t>
        </is>
      </c>
    </row>
    <row r="101">
      <c r="A101" t="inlineStr">
        <is>
          <t>No</t>
        </is>
      </c>
      <c r="B101" t="inlineStr">
        <is>
          <t>HQ1061 .K56</t>
        </is>
      </c>
      <c r="C101" t="inlineStr">
        <is>
          <t>0                      HQ 1061000K  56</t>
        </is>
      </c>
      <c r="D101" t="inlineStr">
        <is>
          <t>Aging and leisure : a research perspective into the meaningful use of time.</t>
        </is>
      </c>
      <c r="F101" t="inlineStr">
        <is>
          <t>No</t>
        </is>
      </c>
      <c r="G101" t="inlineStr">
        <is>
          <t>1</t>
        </is>
      </c>
      <c r="H101" t="inlineStr">
        <is>
          <t>No</t>
        </is>
      </c>
      <c r="I101" t="inlineStr">
        <is>
          <t>No</t>
        </is>
      </c>
      <c r="J101" t="inlineStr">
        <is>
          <t>0</t>
        </is>
      </c>
      <c r="K101" t="inlineStr">
        <is>
          <t>Kleemeier, Robert Watson, 1915- editor.</t>
        </is>
      </c>
      <c r="L101" t="inlineStr">
        <is>
          <t>New York : Oxford University Press, 1961.</t>
        </is>
      </c>
      <c r="M101" t="inlineStr">
        <is>
          <t>1961</t>
        </is>
      </c>
      <c r="O101" t="inlineStr">
        <is>
          <t>eng</t>
        </is>
      </c>
      <c r="P101" t="inlineStr">
        <is>
          <t>nyu</t>
        </is>
      </c>
      <c r="R101" t="inlineStr">
        <is>
          <t xml:space="preserve">HQ </t>
        </is>
      </c>
      <c r="S101" t="n">
        <v>8</v>
      </c>
      <c r="T101" t="n">
        <v>8</v>
      </c>
      <c r="U101" t="inlineStr">
        <is>
          <t>1996-11-05</t>
        </is>
      </c>
      <c r="V101" t="inlineStr">
        <is>
          <t>1996-11-05</t>
        </is>
      </c>
      <c r="W101" t="inlineStr">
        <is>
          <t>1991-12-09</t>
        </is>
      </c>
      <c r="X101" t="inlineStr">
        <is>
          <t>1991-12-09</t>
        </is>
      </c>
      <c r="Y101" t="n">
        <v>491</v>
      </c>
      <c r="Z101" t="n">
        <v>396</v>
      </c>
      <c r="AA101" t="n">
        <v>407</v>
      </c>
      <c r="AB101" t="n">
        <v>4</v>
      </c>
      <c r="AC101" t="n">
        <v>4</v>
      </c>
      <c r="AD101" t="n">
        <v>18</v>
      </c>
      <c r="AE101" t="n">
        <v>19</v>
      </c>
      <c r="AF101" t="n">
        <v>6</v>
      </c>
      <c r="AG101" t="n">
        <v>6</v>
      </c>
      <c r="AH101" t="n">
        <v>3</v>
      </c>
      <c r="AI101" t="n">
        <v>4</v>
      </c>
      <c r="AJ101" t="n">
        <v>11</v>
      </c>
      <c r="AK101" t="n">
        <v>11</v>
      </c>
      <c r="AL101" t="n">
        <v>3</v>
      </c>
      <c r="AM101" t="n">
        <v>3</v>
      </c>
      <c r="AN101" t="n">
        <v>0</v>
      </c>
      <c r="AO101" t="n">
        <v>0</v>
      </c>
      <c r="AP101" t="inlineStr">
        <is>
          <t>No</t>
        </is>
      </c>
      <c r="AQ101" t="inlineStr">
        <is>
          <t>No</t>
        </is>
      </c>
      <c r="AR101">
        <f>HYPERLINK("http://catalog.hathitrust.org/Record/001287212","HathiTrust Record")</f>
        <v/>
      </c>
      <c r="AS101">
        <f>HYPERLINK("https://creighton-primo.hosted.exlibrisgroup.com/primo-explore/search?tab=default_tab&amp;search_scope=EVERYTHING&amp;vid=01CRU&amp;lang=en_US&amp;offset=0&amp;query=any,contains,991002037059702656","Catalog Record")</f>
        <v/>
      </c>
      <c r="AT101">
        <f>HYPERLINK("http://www.worldcat.org/oclc/260693","WorldCat Record")</f>
        <v/>
      </c>
      <c r="AU101" t="inlineStr">
        <is>
          <t>1368543:eng</t>
        </is>
      </c>
      <c r="AV101" t="inlineStr">
        <is>
          <t>260693</t>
        </is>
      </c>
      <c r="AW101" t="inlineStr">
        <is>
          <t>991002037059702656</t>
        </is>
      </c>
      <c r="AX101" t="inlineStr">
        <is>
          <t>991002037059702656</t>
        </is>
      </c>
      <c r="AY101" t="inlineStr">
        <is>
          <t>2262528020002656</t>
        </is>
      </c>
      <c r="AZ101" t="inlineStr">
        <is>
          <t>BOOK</t>
        </is>
      </c>
      <c r="BC101" t="inlineStr">
        <is>
          <t>32285000849397</t>
        </is>
      </c>
      <c r="BD101" t="inlineStr">
        <is>
          <t>893691146</t>
        </is>
      </c>
    </row>
    <row r="102">
      <c r="A102" t="inlineStr">
        <is>
          <t>No</t>
        </is>
      </c>
      <c r="B102" t="inlineStr">
        <is>
          <t>HQ1061 .L472 2004</t>
        </is>
      </c>
      <c r="C102" t="inlineStr">
        <is>
          <t>0                      HQ 1061000L  472         2004</t>
        </is>
      </c>
      <c r="D102" t="inlineStr">
        <is>
          <t>Aging with attitude : growing older with dignity and vitality / by Robert Levine.</t>
        </is>
      </c>
      <c r="F102" t="inlineStr">
        <is>
          <t>No</t>
        </is>
      </c>
      <c r="G102" t="inlineStr">
        <is>
          <t>1</t>
        </is>
      </c>
      <c r="H102" t="inlineStr">
        <is>
          <t>No</t>
        </is>
      </c>
      <c r="I102" t="inlineStr">
        <is>
          <t>No</t>
        </is>
      </c>
      <c r="J102" t="inlineStr">
        <is>
          <t>0</t>
        </is>
      </c>
      <c r="K102" t="inlineStr">
        <is>
          <t>Levine, Robert, 1939-</t>
        </is>
      </c>
      <c r="L102" t="inlineStr">
        <is>
          <t>Westport, Conn. : Praeger Publishers, 2004.</t>
        </is>
      </c>
      <c r="M102" t="inlineStr">
        <is>
          <t>2004</t>
        </is>
      </c>
      <c r="O102" t="inlineStr">
        <is>
          <t>eng</t>
        </is>
      </c>
      <c r="P102" t="inlineStr">
        <is>
          <t>ctu</t>
        </is>
      </c>
      <c r="R102" t="inlineStr">
        <is>
          <t xml:space="preserve">HQ </t>
        </is>
      </c>
      <c r="S102" t="n">
        <v>2</v>
      </c>
      <c r="T102" t="n">
        <v>2</v>
      </c>
      <c r="U102" t="inlineStr">
        <is>
          <t>2008-07-18</t>
        </is>
      </c>
      <c r="V102" t="inlineStr">
        <is>
          <t>2008-07-18</t>
        </is>
      </c>
      <c r="W102" t="inlineStr">
        <is>
          <t>2005-02-28</t>
        </is>
      </c>
      <c r="X102" t="inlineStr">
        <is>
          <t>2005-02-28</t>
        </is>
      </c>
      <c r="Y102" t="n">
        <v>1083</v>
      </c>
      <c r="Z102" t="n">
        <v>986</v>
      </c>
      <c r="AA102" t="n">
        <v>1044</v>
      </c>
      <c r="AB102" t="n">
        <v>7</v>
      </c>
      <c r="AC102" t="n">
        <v>7</v>
      </c>
      <c r="AD102" t="n">
        <v>37</v>
      </c>
      <c r="AE102" t="n">
        <v>37</v>
      </c>
      <c r="AF102" t="n">
        <v>18</v>
      </c>
      <c r="AG102" t="n">
        <v>18</v>
      </c>
      <c r="AH102" t="n">
        <v>8</v>
      </c>
      <c r="AI102" t="n">
        <v>8</v>
      </c>
      <c r="AJ102" t="n">
        <v>13</v>
      </c>
      <c r="AK102" t="n">
        <v>13</v>
      </c>
      <c r="AL102" t="n">
        <v>4</v>
      </c>
      <c r="AM102" t="n">
        <v>4</v>
      </c>
      <c r="AN102" t="n">
        <v>0</v>
      </c>
      <c r="AO102" t="n">
        <v>0</v>
      </c>
      <c r="AP102" t="inlineStr">
        <is>
          <t>No</t>
        </is>
      </c>
      <c r="AQ102" t="inlineStr">
        <is>
          <t>Yes</t>
        </is>
      </c>
      <c r="AR102">
        <f>HYPERLINK("http://catalog.hathitrust.org/Record/004729938","HathiTrust Record")</f>
        <v/>
      </c>
      <c r="AS102">
        <f>HYPERLINK("https://creighton-primo.hosted.exlibrisgroup.com/primo-explore/search?tab=default_tab&amp;search_scope=EVERYTHING&amp;vid=01CRU&amp;lang=en_US&amp;offset=0&amp;query=any,contains,991004462839702656","Catalog Record")</f>
        <v/>
      </c>
      <c r="AT102">
        <f>HYPERLINK("http://www.worldcat.org/oclc/54400305","WorldCat Record")</f>
        <v/>
      </c>
      <c r="AU102" t="inlineStr">
        <is>
          <t>1900568:eng</t>
        </is>
      </c>
      <c r="AV102" t="inlineStr">
        <is>
          <t>54400305</t>
        </is>
      </c>
      <c r="AW102" t="inlineStr">
        <is>
          <t>991004462839702656</t>
        </is>
      </c>
      <c r="AX102" t="inlineStr">
        <is>
          <t>991004462839702656</t>
        </is>
      </c>
      <c r="AY102" t="inlineStr">
        <is>
          <t>2265583840002656</t>
        </is>
      </c>
      <c r="AZ102" t="inlineStr">
        <is>
          <t>BOOK</t>
        </is>
      </c>
      <c r="BB102" t="inlineStr">
        <is>
          <t>9780275981730</t>
        </is>
      </c>
      <c r="BC102" t="inlineStr">
        <is>
          <t>32285005027510</t>
        </is>
      </c>
      <c r="BD102" t="inlineStr">
        <is>
          <t>893241457</t>
        </is>
      </c>
    </row>
    <row r="103">
      <c r="A103" t="inlineStr">
        <is>
          <t>No</t>
        </is>
      </c>
      <c r="B103" t="inlineStr">
        <is>
          <t>HQ1061 .L476 1994</t>
        </is>
      </c>
      <c r="C103" t="inlineStr">
        <is>
          <t>0                      HQ 1061000L  476         1994</t>
        </is>
      </c>
      <c r="D103" t="inlineStr">
        <is>
          <t>Life, death, and the elderly : historical perspectives / edited by Margaret Pelling and Richard M. Smith.</t>
        </is>
      </c>
      <c r="F103" t="inlineStr">
        <is>
          <t>No</t>
        </is>
      </c>
      <c r="G103" t="inlineStr">
        <is>
          <t>1</t>
        </is>
      </c>
      <c r="H103" t="inlineStr">
        <is>
          <t>No</t>
        </is>
      </c>
      <c r="I103" t="inlineStr">
        <is>
          <t>No</t>
        </is>
      </c>
      <c r="J103" t="inlineStr">
        <is>
          <t>0</t>
        </is>
      </c>
      <c r="L103" t="inlineStr">
        <is>
          <t>London ; New York : Routledge, 1994.</t>
        </is>
      </c>
      <c r="M103" t="inlineStr">
        <is>
          <t>1994</t>
        </is>
      </c>
      <c r="O103" t="inlineStr">
        <is>
          <t>eng</t>
        </is>
      </c>
      <c r="P103" t="inlineStr">
        <is>
          <t>enk</t>
        </is>
      </c>
      <c r="Q103" t="inlineStr">
        <is>
          <t>Studies in the social history of medicine</t>
        </is>
      </c>
      <c r="R103" t="inlineStr">
        <is>
          <t xml:space="preserve">HQ </t>
        </is>
      </c>
      <c r="S103" t="n">
        <v>4</v>
      </c>
      <c r="T103" t="n">
        <v>4</v>
      </c>
      <c r="U103" t="inlineStr">
        <is>
          <t>1998-02-11</t>
        </is>
      </c>
      <c r="V103" t="inlineStr">
        <is>
          <t>1998-02-11</t>
        </is>
      </c>
      <c r="W103" t="inlineStr">
        <is>
          <t>1995-01-17</t>
        </is>
      </c>
      <c r="X103" t="inlineStr">
        <is>
          <t>1995-01-17</t>
        </is>
      </c>
      <c r="Y103" t="n">
        <v>54</v>
      </c>
      <c r="Z103" t="n">
        <v>23</v>
      </c>
      <c r="AA103" t="n">
        <v>210</v>
      </c>
      <c r="AB103" t="n">
        <v>1</v>
      </c>
      <c r="AC103" t="n">
        <v>3</v>
      </c>
      <c r="AD103" t="n">
        <v>1</v>
      </c>
      <c r="AE103" t="n">
        <v>11</v>
      </c>
      <c r="AF103" t="n">
        <v>0</v>
      </c>
      <c r="AG103" t="n">
        <v>1</v>
      </c>
      <c r="AH103" t="n">
        <v>1</v>
      </c>
      <c r="AI103" t="n">
        <v>3</v>
      </c>
      <c r="AJ103" t="n">
        <v>0</v>
      </c>
      <c r="AK103" t="n">
        <v>6</v>
      </c>
      <c r="AL103" t="n">
        <v>0</v>
      </c>
      <c r="AM103" t="n">
        <v>2</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HYPERLINK("https://creighton-primo.hosted.exlibrisgroup.com/primo-explore/search?tab=default_tab&amp;search_scope=EVERYTHING&amp;vid=01CRU&amp;lang=en_US&amp;offset=0&amp;query=any,contains,991002256329702656","Catalog Record")</f>
        <v/>
      </c>
      <c r="AT103">
        <f>HYPERLINK("http://www.worldcat.org/oclc/29225582","WorldCat Record")</f>
        <v/>
      </c>
      <c r="AU103" t="inlineStr">
        <is>
          <t>1051909246:eng</t>
        </is>
      </c>
      <c r="AV103" t="inlineStr">
        <is>
          <t>29225582</t>
        </is>
      </c>
      <c r="AW103" t="inlineStr">
        <is>
          <t>991002256329702656</t>
        </is>
      </c>
      <c r="AX103" t="inlineStr">
        <is>
          <t>991002256329702656</t>
        </is>
      </c>
      <c r="AY103" t="inlineStr">
        <is>
          <t>2266239860002656</t>
        </is>
      </c>
      <c r="AZ103" t="inlineStr">
        <is>
          <t>BOOK</t>
        </is>
      </c>
      <c r="BB103" t="inlineStr">
        <is>
          <t>9780415111355</t>
        </is>
      </c>
      <c r="BC103" t="inlineStr">
        <is>
          <t>32285001993053</t>
        </is>
      </c>
      <c r="BD103" t="inlineStr">
        <is>
          <t>893703871</t>
        </is>
      </c>
    </row>
    <row r="104">
      <c r="A104" t="inlineStr">
        <is>
          <t>No</t>
        </is>
      </c>
      <c r="B104" t="inlineStr">
        <is>
          <t>HQ1061 .M375 1987</t>
        </is>
      </c>
      <c r="C104" t="inlineStr">
        <is>
          <t>0                      HQ 1061000M  375         1987</t>
        </is>
      </c>
      <c r="D104" t="inlineStr">
        <is>
          <t>Applied research in gerontology / William J. McAuley ; with contributions by Rosemary Blieszner ... [et al.].</t>
        </is>
      </c>
      <c r="F104" t="inlineStr">
        <is>
          <t>No</t>
        </is>
      </c>
      <c r="G104" t="inlineStr">
        <is>
          <t>1</t>
        </is>
      </c>
      <c r="H104" t="inlineStr">
        <is>
          <t>Yes</t>
        </is>
      </c>
      <c r="I104" t="inlineStr">
        <is>
          <t>No</t>
        </is>
      </c>
      <c r="J104" t="inlineStr">
        <is>
          <t>0</t>
        </is>
      </c>
      <c r="K104" t="inlineStr">
        <is>
          <t>McAuley, William J., 1946-</t>
        </is>
      </c>
      <c r="L104" t="inlineStr">
        <is>
          <t>New York : Van Nostrand Reinhold, c1987.</t>
        </is>
      </c>
      <c r="M104" t="inlineStr">
        <is>
          <t>1987</t>
        </is>
      </c>
      <c r="O104" t="inlineStr">
        <is>
          <t>eng</t>
        </is>
      </c>
      <c r="P104" t="inlineStr">
        <is>
          <t>nyu</t>
        </is>
      </c>
      <c r="R104" t="inlineStr">
        <is>
          <t xml:space="preserve">HQ </t>
        </is>
      </c>
      <c r="S104" t="n">
        <v>5</v>
      </c>
      <c r="T104" t="n">
        <v>5</v>
      </c>
      <c r="U104" t="inlineStr">
        <is>
          <t>1996-11-06</t>
        </is>
      </c>
      <c r="V104" t="inlineStr">
        <is>
          <t>1996-11-06</t>
        </is>
      </c>
      <c r="W104" t="inlineStr">
        <is>
          <t>1993-04-26</t>
        </is>
      </c>
      <c r="X104" t="inlineStr">
        <is>
          <t>1993-04-26</t>
        </is>
      </c>
      <c r="Y104" t="n">
        <v>315</v>
      </c>
      <c r="Z104" t="n">
        <v>255</v>
      </c>
      <c r="AA104" t="n">
        <v>257</v>
      </c>
      <c r="AB104" t="n">
        <v>4</v>
      </c>
      <c r="AC104" t="n">
        <v>4</v>
      </c>
      <c r="AD104" t="n">
        <v>9</v>
      </c>
      <c r="AE104" t="n">
        <v>9</v>
      </c>
      <c r="AF104" t="n">
        <v>0</v>
      </c>
      <c r="AG104" t="n">
        <v>0</v>
      </c>
      <c r="AH104" t="n">
        <v>2</v>
      </c>
      <c r="AI104" t="n">
        <v>2</v>
      </c>
      <c r="AJ104" t="n">
        <v>6</v>
      </c>
      <c r="AK104" t="n">
        <v>6</v>
      </c>
      <c r="AL104" t="n">
        <v>2</v>
      </c>
      <c r="AM104" t="n">
        <v>2</v>
      </c>
      <c r="AN104" t="n">
        <v>0</v>
      </c>
      <c r="AO104" t="n">
        <v>0</v>
      </c>
      <c r="AP104" t="inlineStr">
        <is>
          <t>No</t>
        </is>
      </c>
      <c r="AQ104" t="inlineStr">
        <is>
          <t>Yes</t>
        </is>
      </c>
      <c r="AR104">
        <f>HYPERLINK("http://catalog.hathitrust.org/Record/000813687","HathiTrust Record")</f>
        <v/>
      </c>
      <c r="AS104">
        <f>HYPERLINK("https://creighton-primo.hosted.exlibrisgroup.com/primo-explore/search?tab=default_tab&amp;search_scope=EVERYTHING&amp;vid=01CRU&amp;lang=en_US&amp;offset=0&amp;query=any,contains,991001805419702656","Catalog Record")</f>
        <v/>
      </c>
      <c r="AT104">
        <f>HYPERLINK("http://www.worldcat.org/oclc/14130356","WorldCat Record")</f>
        <v/>
      </c>
      <c r="AU104" t="inlineStr">
        <is>
          <t>550548:eng</t>
        </is>
      </c>
      <c r="AV104" t="inlineStr">
        <is>
          <t>14130356</t>
        </is>
      </c>
      <c r="AW104" t="inlineStr">
        <is>
          <t>991001805419702656</t>
        </is>
      </c>
      <c r="AX104" t="inlineStr">
        <is>
          <t>991001805419702656</t>
        </is>
      </c>
      <c r="AY104" t="inlineStr">
        <is>
          <t>2268320430002656</t>
        </is>
      </c>
      <c r="AZ104" t="inlineStr">
        <is>
          <t>BOOK</t>
        </is>
      </c>
      <c r="BB104" t="inlineStr">
        <is>
          <t>9780442264680</t>
        </is>
      </c>
      <c r="BC104" t="inlineStr">
        <is>
          <t>32285001625770</t>
        </is>
      </c>
      <c r="BD104" t="inlineStr">
        <is>
          <t>893256528</t>
        </is>
      </c>
    </row>
    <row r="105">
      <c r="A105" t="inlineStr">
        <is>
          <t>No</t>
        </is>
      </c>
      <c r="B105" t="inlineStr">
        <is>
          <t>HQ1061 .M58</t>
        </is>
      </c>
      <c r="C105" t="inlineStr">
        <is>
          <t>0                      HQ 1061000M  58</t>
        </is>
      </c>
      <c r="D105" t="inlineStr">
        <is>
          <t>The nature of retirement. Edited by Gordon F. Streib.</t>
        </is>
      </c>
      <c r="F105" t="inlineStr">
        <is>
          <t>No</t>
        </is>
      </c>
      <c r="G105" t="inlineStr">
        <is>
          <t>1</t>
        </is>
      </c>
      <c r="H105" t="inlineStr">
        <is>
          <t>No</t>
        </is>
      </c>
      <c r="I105" t="inlineStr">
        <is>
          <t>No</t>
        </is>
      </c>
      <c r="J105" t="inlineStr">
        <is>
          <t>0</t>
        </is>
      </c>
      <c r="K105" t="inlineStr">
        <is>
          <t>Moore, Elon H.</t>
        </is>
      </c>
      <c r="L105" t="inlineStr">
        <is>
          <t>New York, Macmillan [1959]</t>
        </is>
      </c>
      <c r="M105" t="inlineStr">
        <is>
          <t>1959</t>
        </is>
      </c>
      <c r="O105" t="inlineStr">
        <is>
          <t>eng</t>
        </is>
      </c>
      <c r="P105" t="inlineStr">
        <is>
          <t xml:space="preserve">xx </t>
        </is>
      </c>
      <c r="R105" t="inlineStr">
        <is>
          <t xml:space="preserve">HQ </t>
        </is>
      </c>
      <c r="S105" t="n">
        <v>5</v>
      </c>
      <c r="T105" t="n">
        <v>5</v>
      </c>
      <c r="U105" t="inlineStr">
        <is>
          <t>1996-05-02</t>
        </is>
      </c>
      <c r="V105" t="inlineStr">
        <is>
          <t>1996-05-02</t>
        </is>
      </c>
      <c r="W105" t="inlineStr">
        <is>
          <t>1992-02-18</t>
        </is>
      </c>
      <c r="X105" t="inlineStr">
        <is>
          <t>1992-02-18</t>
        </is>
      </c>
      <c r="Y105" t="n">
        <v>241</v>
      </c>
      <c r="Z105" t="n">
        <v>205</v>
      </c>
      <c r="AA105" t="n">
        <v>212</v>
      </c>
      <c r="AB105" t="n">
        <v>1</v>
      </c>
      <c r="AC105" t="n">
        <v>1</v>
      </c>
      <c r="AD105" t="n">
        <v>7</v>
      </c>
      <c r="AE105" t="n">
        <v>7</v>
      </c>
      <c r="AF105" t="n">
        <v>3</v>
      </c>
      <c r="AG105" t="n">
        <v>3</v>
      </c>
      <c r="AH105" t="n">
        <v>1</v>
      </c>
      <c r="AI105" t="n">
        <v>1</v>
      </c>
      <c r="AJ105" t="n">
        <v>6</v>
      </c>
      <c r="AK105" t="n">
        <v>6</v>
      </c>
      <c r="AL105" t="n">
        <v>0</v>
      </c>
      <c r="AM105" t="n">
        <v>0</v>
      </c>
      <c r="AN105" t="n">
        <v>0</v>
      </c>
      <c r="AO105" t="n">
        <v>0</v>
      </c>
      <c r="AP105" t="inlineStr">
        <is>
          <t>No</t>
        </is>
      </c>
      <c r="AQ105" t="inlineStr">
        <is>
          <t>Yes</t>
        </is>
      </c>
      <c r="AR105">
        <f>HYPERLINK("http://catalog.hathitrust.org/Record/001110262","HathiTrust Record")</f>
        <v/>
      </c>
      <c r="AS105">
        <f>HYPERLINK("https://creighton-primo.hosted.exlibrisgroup.com/primo-explore/search?tab=default_tab&amp;search_scope=EVERYTHING&amp;vid=01CRU&amp;lang=en_US&amp;offset=0&amp;query=any,contains,991003668849702656","Catalog Record")</f>
        <v/>
      </c>
      <c r="AT105">
        <f>HYPERLINK("http://www.worldcat.org/oclc/1284921","WorldCat Record")</f>
        <v/>
      </c>
      <c r="AU105" t="inlineStr">
        <is>
          <t>2218133:eng</t>
        </is>
      </c>
      <c r="AV105" t="inlineStr">
        <is>
          <t>1284921</t>
        </is>
      </c>
      <c r="AW105" t="inlineStr">
        <is>
          <t>991003668849702656</t>
        </is>
      </c>
      <c r="AX105" t="inlineStr">
        <is>
          <t>991003668849702656</t>
        </is>
      </c>
      <c r="AY105" t="inlineStr">
        <is>
          <t>2264709560002656</t>
        </is>
      </c>
      <c r="AZ105" t="inlineStr">
        <is>
          <t>BOOK</t>
        </is>
      </c>
      <c r="BC105" t="inlineStr">
        <is>
          <t>32285000947456</t>
        </is>
      </c>
      <c r="BD105" t="inlineStr">
        <is>
          <t>893262864</t>
        </is>
      </c>
    </row>
    <row r="106">
      <c r="A106" t="inlineStr">
        <is>
          <t>No</t>
        </is>
      </c>
      <c r="B106" t="inlineStr">
        <is>
          <t>HQ1061 .O39</t>
        </is>
      </c>
      <c r="C106" t="inlineStr">
        <is>
          <t>0                      HQ 1061000O  39</t>
        </is>
      </c>
      <c r="D106" t="inlineStr">
        <is>
          <t>Old age on the new scene / Robert Kastenbaum, editor.</t>
        </is>
      </c>
      <c r="F106" t="inlineStr">
        <is>
          <t>No</t>
        </is>
      </c>
      <c r="G106" t="inlineStr">
        <is>
          <t>1</t>
        </is>
      </c>
      <c r="H106" t="inlineStr">
        <is>
          <t>Yes</t>
        </is>
      </c>
      <c r="I106" t="inlineStr">
        <is>
          <t>No</t>
        </is>
      </c>
      <c r="J106" t="inlineStr">
        <is>
          <t>0</t>
        </is>
      </c>
      <c r="L106" t="inlineStr">
        <is>
          <t>New York : Springer Pub. Co., c1981.</t>
        </is>
      </c>
      <c r="M106" t="inlineStr">
        <is>
          <t>1981</t>
        </is>
      </c>
      <c r="O106" t="inlineStr">
        <is>
          <t>eng</t>
        </is>
      </c>
      <c r="P106" t="inlineStr">
        <is>
          <t>nyu</t>
        </is>
      </c>
      <c r="Q106" t="inlineStr">
        <is>
          <t>Springer series on adulthood and aging ; 9</t>
        </is>
      </c>
      <c r="R106" t="inlineStr">
        <is>
          <t xml:space="preserve">HQ </t>
        </is>
      </c>
      <c r="S106" t="n">
        <v>0</v>
      </c>
      <c r="T106" t="n">
        <v>2</v>
      </c>
      <c r="V106" t="inlineStr">
        <is>
          <t>2000-03-13</t>
        </is>
      </c>
      <c r="W106" t="inlineStr">
        <is>
          <t>1993-04-26</t>
        </is>
      </c>
      <c r="X106" t="inlineStr">
        <is>
          <t>1993-04-26</t>
        </is>
      </c>
      <c r="Y106" t="n">
        <v>378</v>
      </c>
      <c r="Z106" t="n">
        <v>321</v>
      </c>
      <c r="AA106" t="n">
        <v>327</v>
      </c>
      <c r="AB106" t="n">
        <v>3</v>
      </c>
      <c r="AC106" t="n">
        <v>3</v>
      </c>
      <c r="AD106" t="n">
        <v>9</v>
      </c>
      <c r="AE106" t="n">
        <v>9</v>
      </c>
      <c r="AF106" t="n">
        <v>3</v>
      </c>
      <c r="AG106" t="n">
        <v>3</v>
      </c>
      <c r="AH106" t="n">
        <v>2</v>
      </c>
      <c r="AI106" t="n">
        <v>2</v>
      </c>
      <c r="AJ106" t="n">
        <v>5</v>
      </c>
      <c r="AK106" t="n">
        <v>5</v>
      </c>
      <c r="AL106" t="n">
        <v>1</v>
      </c>
      <c r="AM106" t="n">
        <v>1</v>
      </c>
      <c r="AN106" t="n">
        <v>0</v>
      </c>
      <c r="AO106" t="n">
        <v>0</v>
      </c>
      <c r="AP106" t="inlineStr">
        <is>
          <t>No</t>
        </is>
      </c>
      <c r="AQ106" t="inlineStr">
        <is>
          <t>Yes</t>
        </is>
      </c>
      <c r="AR106">
        <f>HYPERLINK("http://catalog.hathitrust.org/Record/000262092","HathiTrust Record")</f>
        <v/>
      </c>
      <c r="AS106">
        <f>HYPERLINK("https://creighton-primo.hosted.exlibrisgroup.com/primo-explore/search?tab=default_tab&amp;search_scope=EVERYTHING&amp;vid=01CRU&amp;lang=en_US&amp;offset=0&amp;query=any,contains,991001782559702656","Catalog Record")</f>
        <v/>
      </c>
      <c r="AT106">
        <f>HYPERLINK("http://www.worldcat.org/oclc/7170939","WorldCat Record")</f>
        <v/>
      </c>
      <c r="AU106" t="inlineStr">
        <is>
          <t>10227137133:eng</t>
        </is>
      </c>
      <c r="AV106" t="inlineStr">
        <is>
          <t>7170939</t>
        </is>
      </c>
      <c r="AW106" t="inlineStr">
        <is>
          <t>991001782559702656</t>
        </is>
      </c>
      <c r="AX106" t="inlineStr">
        <is>
          <t>991001782559702656</t>
        </is>
      </c>
      <c r="AY106" t="inlineStr">
        <is>
          <t>2256545410002656</t>
        </is>
      </c>
      <c r="AZ106" t="inlineStr">
        <is>
          <t>BOOK</t>
        </is>
      </c>
      <c r="BB106" t="inlineStr">
        <is>
          <t>9780826123602</t>
        </is>
      </c>
      <c r="BC106" t="inlineStr">
        <is>
          <t>32285001625796</t>
        </is>
      </c>
      <c r="BD106" t="inlineStr">
        <is>
          <t>893772901</t>
        </is>
      </c>
    </row>
    <row r="107">
      <c r="A107" t="inlineStr">
        <is>
          <t>No</t>
        </is>
      </c>
      <c r="B107" t="inlineStr">
        <is>
          <t>HQ1061 .P43</t>
        </is>
      </c>
      <c r="C107" t="inlineStr">
        <is>
          <t>0                      HQ 1061000P  43</t>
        </is>
      </c>
      <c r="D107" t="inlineStr">
        <is>
          <t>Philosophical foundations of gerontology / Patrick L. McKee, editor.</t>
        </is>
      </c>
      <c r="F107" t="inlineStr">
        <is>
          <t>No</t>
        </is>
      </c>
      <c r="G107" t="inlineStr">
        <is>
          <t>1</t>
        </is>
      </c>
      <c r="H107" t="inlineStr">
        <is>
          <t>No</t>
        </is>
      </c>
      <c r="I107" t="inlineStr">
        <is>
          <t>No</t>
        </is>
      </c>
      <c r="J107" t="inlineStr">
        <is>
          <t>0</t>
        </is>
      </c>
      <c r="L107" t="inlineStr">
        <is>
          <t>New York, NY : Human Sciences Press, c1982.</t>
        </is>
      </c>
      <c r="M107" t="inlineStr">
        <is>
          <t>1981</t>
        </is>
      </c>
      <c r="O107" t="inlineStr">
        <is>
          <t>eng</t>
        </is>
      </c>
      <c r="P107" t="inlineStr">
        <is>
          <t>nyu</t>
        </is>
      </c>
      <c r="R107" t="inlineStr">
        <is>
          <t xml:space="preserve">HQ </t>
        </is>
      </c>
      <c r="S107" t="n">
        <v>11</v>
      </c>
      <c r="T107" t="n">
        <v>11</v>
      </c>
      <c r="U107" t="inlineStr">
        <is>
          <t>1997-10-07</t>
        </is>
      </c>
      <c r="V107" t="inlineStr">
        <is>
          <t>1997-10-07</t>
        </is>
      </c>
      <c r="W107" t="inlineStr">
        <is>
          <t>1992-08-13</t>
        </is>
      </c>
      <c r="X107" t="inlineStr">
        <is>
          <t>1992-08-13</t>
        </is>
      </c>
      <c r="Y107" t="n">
        <v>350</v>
      </c>
      <c r="Z107" t="n">
        <v>308</v>
      </c>
      <c r="AA107" t="n">
        <v>327</v>
      </c>
      <c r="AB107" t="n">
        <v>4</v>
      </c>
      <c r="AC107" t="n">
        <v>4</v>
      </c>
      <c r="AD107" t="n">
        <v>15</v>
      </c>
      <c r="AE107" t="n">
        <v>17</v>
      </c>
      <c r="AF107" t="n">
        <v>4</v>
      </c>
      <c r="AG107" t="n">
        <v>5</v>
      </c>
      <c r="AH107" t="n">
        <v>3</v>
      </c>
      <c r="AI107" t="n">
        <v>4</v>
      </c>
      <c r="AJ107" t="n">
        <v>10</v>
      </c>
      <c r="AK107" t="n">
        <v>10</v>
      </c>
      <c r="AL107" t="n">
        <v>3</v>
      </c>
      <c r="AM107" t="n">
        <v>3</v>
      </c>
      <c r="AN107" t="n">
        <v>0</v>
      </c>
      <c r="AO107" t="n">
        <v>0</v>
      </c>
      <c r="AP107" t="inlineStr">
        <is>
          <t>No</t>
        </is>
      </c>
      <c r="AQ107" t="inlineStr">
        <is>
          <t>Yes</t>
        </is>
      </c>
      <c r="AR107">
        <f>HYPERLINK("http://catalog.hathitrust.org/Record/000227369","HathiTrust Record")</f>
        <v/>
      </c>
      <c r="AS107">
        <f>HYPERLINK("https://creighton-primo.hosted.exlibrisgroup.com/primo-explore/search?tab=default_tab&amp;search_scope=EVERYTHING&amp;vid=01CRU&amp;lang=en_US&amp;offset=0&amp;query=any,contains,991005116109702656","Catalog Record")</f>
        <v/>
      </c>
      <c r="AT107">
        <f>HYPERLINK("http://www.worldcat.org/oclc/7462567","WorldCat Record")</f>
        <v/>
      </c>
      <c r="AU107" t="inlineStr">
        <is>
          <t>554935:eng</t>
        </is>
      </c>
      <c r="AV107" t="inlineStr">
        <is>
          <t>7462567</t>
        </is>
      </c>
      <c r="AW107" t="inlineStr">
        <is>
          <t>991005116109702656</t>
        </is>
      </c>
      <c r="AX107" t="inlineStr">
        <is>
          <t>991005116109702656</t>
        </is>
      </c>
      <c r="AY107" t="inlineStr">
        <is>
          <t>2262926170002656</t>
        </is>
      </c>
      <c r="AZ107" t="inlineStr">
        <is>
          <t>BOOK</t>
        </is>
      </c>
      <c r="BB107" t="inlineStr">
        <is>
          <t>9780898850406</t>
        </is>
      </c>
      <c r="BC107" t="inlineStr">
        <is>
          <t>32285001245553</t>
        </is>
      </c>
      <c r="BD107" t="inlineStr">
        <is>
          <t>893520454</t>
        </is>
      </c>
    </row>
    <row r="108">
      <c r="A108" t="inlineStr">
        <is>
          <t>No</t>
        </is>
      </c>
      <c r="B108" t="inlineStr">
        <is>
          <t>HQ1061 .P56</t>
        </is>
      </c>
      <c r="C108" t="inlineStr">
        <is>
          <t>0                      HQ 1061000P  56</t>
        </is>
      </c>
      <c r="D108" t="inlineStr">
        <is>
          <t>The old person in your home [by] William D. Poe.</t>
        </is>
      </c>
      <c r="F108" t="inlineStr">
        <is>
          <t>No</t>
        </is>
      </c>
      <c r="G108" t="inlineStr">
        <is>
          <t>1</t>
        </is>
      </c>
      <c r="H108" t="inlineStr">
        <is>
          <t>No</t>
        </is>
      </c>
      <c r="I108" t="inlineStr">
        <is>
          <t>No</t>
        </is>
      </c>
      <c r="J108" t="inlineStr">
        <is>
          <t>0</t>
        </is>
      </c>
      <c r="K108" t="inlineStr">
        <is>
          <t>Poe, William D., 1918-</t>
        </is>
      </c>
      <c r="L108" t="inlineStr">
        <is>
          <t>New York, Scribner [1969]</t>
        </is>
      </c>
      <c r="M108" t="inlineStr">
        <is>
          <t>1969</t>
        </is>
      </c>
      <c r="O108" t="inlineStr">
        <is>
          <t>eng</t>
        </is>
      </c>
      <c r="P108" t="inlineStr">
        <is>
          <t>nyu</t>
        </is>
      </c>
      <c r="R108" t="inlineStr">
        <is>
          <t xml:space="preserve">HQ </t>
        </is>
      </c>
      <c r="S108" t="n">
        <v>1</v>
      </c>
      <c r="T108" t="n">
        <v>1</v>
      </c>
      <c r="U108" t="inlineStr">
        <is>
          <t>2000-09-17</t>
        </is>
      </c>
      <c r="V108" t="inlineStr">
        <is>
          <t>2000-09-17</t>
        </is>
      </c>
      <c r="W108" t="inlineStr">
        <is>
          <t>1997-08-14</t>
        </is>
      </c>
      <c r="X108" t="inlineStr">
        <is>
          <t>1997-08-14</t>
        </is>
      </c>
      <c r="Y108" t="n">
        <v>267</v>
      </c>
      <c r="Z108" t="n">
        <v>248</v>
      </c>
      <c r="AA108" t="n">
        <v>250</v>
      </c>
      <c r="AB108" t="n">
        <v>4</v>
      </c>
      <c r="AC108" t="n">
        <v>4</v>
      </c>
      <c r="AD108" t="n">
        <v>1</v>
      </c>
      <c r="AE108" t="n">
        <v>1</v>
      </c>
      <c r="AF108" t="n">
        <v>0</v>
      </c>
      <c r="AG108" t="n">
        <v>0</v>
      </c>
      <c r="AH108" t="n">
        <v>0</v>
      </c>
      <c r="AI108" t="n">
        <v>0</v>
      </c>
      <c r="AJ108" t="n">
        <v>0</v>
      </c>
      <c r="AK108" t="n">
        <v>0</v>
      </c>
      <c r="AL108" t="n">
        <v>1</v>
      </c>
      <c r="AM108" t="n">
        <v>1</v>
      </c>
      <c r="AN108" t="n">
        <v>0</v>
      </c>
      <c r="AO108" t="n">
        <v>0</v>
      </c>
      <c r="AP108" t="inlineStr">
        <is>
          <t>No</t>
        </is>
      </c>
      <c r="AQ108" t="inlineStr">
        <is>
          <t>Yes</t>
        </is>
      </c>
      <c r="AR108">
        <f>HYPERLINK("http://catalog.hathitrust.org/Record/000978698","HathiTrust Record")</f>
        <v/>
      </c>
      <c r="AS108">
        <f>HYPERLINK("https://creighton-primo.hosted.exlibrisgroup.com/primo-explore/search?tab=default_tab&amp;search_scope=EVERYTHING&amp;vid=01CRU&amp;lang=en_US&amp;offset=0&amp;query=any,contains,991000054629702656","Catalog Record")</f>
        <v/>
      </c>
      <c r="AT108">
        <f>HYPERLINK("http://www.worldcat.org/oclc/23297","WorldCat Record")</f>
        <v/>
      </c>
      <c r="AU108" t="inlineStr">
        <is>
          <t>1145494:eng</t>
        </is>
      </c>
      <c r="AV108" t="inlineStr">
        <is>
          <t>23297</t>
        </is>
      </c>
      <c r="AW108" t="inlineStr">
        <is>
          <t>991000054629702656</t>
        </is>
      </c>
      <c r="AX108" t="inlineStr">
        <is>
          <t>991000054629702656</t>
        </is>
      </c>
      <c r="AY108" t="inlineStr">
        <is>
          <t>2267667790002656</t>
        </is>
      </c>
      <c r="AZ108" t="inlineStr">
        <is>
          <t>BOOK</t>
        </is>
      </c>
      <c r="BC108" t="inlineStr">
        <is>
          <t>32285003103313</t>
        </is>
      </c>
      <c r="BD108" t="inlineStr">
        <is>
          <t>893314631</t>
        </is>
      </c>
    </row>
    <row r="109">
      <c r="A109" t="inlineStr">
        <is>
          <t>No</t>
        </is>
      </c>
      <c r="B109" t="inlineStr">
        <is>
          <t>HQ1061 .P67 1995</t>
        </is>
      </c>
      <c r="C109" t="inlineStr">
        <is>
          <t>0                      HQ 1061000P  67          1995</t>
        </is>
      </c>
      <c r="D109" t="inlineStr">
        <is>
          <t>Aging and old age / Richard A. Posner.</t>
        </is>
      </c>
      <c r="F109" t="inlineStr">
        <is>
          <t>No</t>
        </is>
      </c>
      <c r="G109" t="inlineStr">
        <is>
          <t>1</t>
        </is>
      </c>
      <c r="H109" t="inlineStr">
        <is>
          <t>Yes</t>
        </is>
      </c>
      <c r="I109" t="inlineStr">
        <is>
          <t>No</t>
        </is>
      </c>
      <c r="J109" t="inlineStr">
        <is>
          <t>0</t>
        </is>
      </c>
      <c r="K109" t="inlineStr">
        <is>
          <t>Posner, Richard A.</t>
        </is>
      </c>
      <c r="L109" t="inlineStr">
        <is>
          <t>Chicago : University of Chicago Press, 1995.</t>
        </is>
      </c>
      <c r="M109" t="inlineStr">
        <is>
          <t>1995</t>
        </is>
      </c>
      <c r="O109" t="inlineStr">
        <is>
          <t>eng</t>
        </is>
      </c>
      <c r="P109" t="inlineStr">
        <is>
          <t>ilu</t>
        </is>
      </c>
      <c r="R109" t="inlineStr">
        <is>
          <t xml:space="preserve">HQ </t>
        </is>
      </c>
      <c r="S109" t="n">
        <v>2</v>
      </c>
      <c r="T109" t="n">
        <v>3</v>
      </c>
      <c r="V109" t="inlineStr">
        <is>
          <t>1996-10-11</t>
        </is>
      </c>
      <c r="W109" t="inlineStr">
        <is>
          <t>1996-02-05</t>
        </is>
      </c>
      <c r="X109" t="inlineStr">
        <is>
          <t>1996-05-13</t>
        </is>
      </c>
      <c r="Y109" t="n">
        <v>1109</v>
      </c>
      <c r="Z109" t="n">
        <v>967</v>
      </c>
      <c r="AA109" t="n">
        <v>970</v>
      </c>
      <c r="AB109" t="n">
        <v>8</v>
      </c>
      <c r="AC109" t="n">
        <v>8</v>
      </c>
      <c r="AD109" t="n">
        <v>48</v>
      </c>
      <c r="AE109" t="n">
        <v>48</v>
      </c>
      <c r="AF109" t="n">
        <v>11</v>
      </c>
      <c r="AG109" t="n">
        <v>11</v>
      </c>
      <c r="AH109" t="n">
        <v>9</v>
      </c>
      <c r="AI109" t="n">
        <v>9</v>
      </c>
      <c r="AJ109" t="n">
        <v>17</v>
      </c>
      <c r="AK109" t="n">
        <v>17</v>
      </c>
      <c r="AL109" t="n">
        <v>5</v>
      </c>
      <c r="AM109" t="n">
        <v>5</v>
      </c>
      <c r="AN109" t="n">
        <v>15</v>
      </c>
      <c r="AO109" t="n">
        <v>15</v>
      </c>
      <c r="AP109" t="inlineStr">
        <is>
          <t>No</t>
        </is>
      </c>
      <c r="AQ109" t="inlineStr">
        <is>
          <t>No</t>
        </is>
      </c>
      <c r="AS109">
        <f>HYPERLINK("https://creighton-primo.hosted.exlibrisgroup.com/primo-explore/search?tab=default_tab&amp;search_scope=EVERYTHING&amp;vid=01CRU&amp;lang=en_US&amp;offset=0&amp;query=any,contains,991001667239702656","Catalog Record")</f>
        <v/>
      </c>
      <c r="AT109">
        <f>HYPERLINK("http://www.worldcat.org/oclc/32508392","WorldCat Record")</f>
        <v/>
      </c>
      <c r="AU109" t="inlineStr">
        <is>
          <t>601962:eng</t>
        </is>
      </c>
      <c r="AV109" t="inlineStr">
        <is>
          <t>32508392</t>
        </is>
      </c>
      <c r="AW109" t="inlineStr">
        <is>
          <t>991001667239702656</t>
        </is>
      </c>
      <c r="AX109" t="inlineStr">
        <is>
          <t>991001667239702656</t>
        </is>
      </c>
      <c r="AY109" t="inlineStr">
        <is>
          <t>2261666750002656</t>
        </is>
      </c>
      <c r="AZ109" t="inlineStr">
        <is>
          <t>BOOK</t>
        </is>
      </c>
      <c r="BB109" t="inlineStr">
        <is>
          <t>9780226675664</t>
        </is>
      </c>
      <c r="BC109" t="inlineStr">
        <is>
          <t>32285002127800</t>
        </is>
      </c>
      <c r="BD109" t="inlineStr">
        <is>
          <t>893696917</t>
        </is>
      </c>
    </row>
    <row r="110">
      <c r="A110" t="inlineStr">
        <is>
          <t>No</t>
        </is>
      </c>
      <c r="B110" t="inlineStr">
        <is>
          <t>HQ1061 .P69 1981</t>
        </is>
      </c>
      <c r="C110" t="inlineStr">
        <is>
          <t>0                      HQ 1061000P  69          1981</t>
        </is>
      </c>
      <c r="D110" t="inlineStr">
        <is>
          <t>Present and past in middle life / edited by Dorothy H. Eichorn ... [et al].</t>
        </is>
      </c>
      <c r="F110" t="inlineStr">
        <is>
          <t>No</t>
        </is>
      </c>
      <c r="G110" t="inlineStr">
        <is>
          <t>1</t>
        </is>
      </c>
      <c r="H110" t="inlineStr">
        <is>
          <t>No</t>
        </is>
      </c>
      <c r="I110" t="inlineStr">
        <is>
          <t>No</t>
        </is>
      </c>
      <c r="J110" t="inlineStr">
        <is>
          <t>0</t>
        </is>
      </c>
      <c r="L110" t="inlineStr">
        <is>
          <t>New York : Academic Press, 1981.</t>
        </is>
      </c>
      <c r="M110" t="inlineStr">
        <is>
          <t>1981</t>
        </is>
      </c>
      <c r="O110" t="inlineStr">
        <is>
          <t>eng</t>
        </is>
      </c>
      <c r="P110" t="inlineStr">
        <is>
          <t>nyu</t>
        </is>
      </c>
      <c r="R110" t="inlineStr">
        <is>
          <t xml:space="preserve">HQ </t>
        </is>
      </c>
      <c r="S110" t="n">
        <v>3</v>
      </c>
      <c r="T110" t="n">
        <v>3</v>
      </c>
      <c r="U110" t="inlineStr">
        <is>
          <t>1995-11-03</t>
        </is>
      </c>
      <c r="V110" t="inlineStr">
        <is>
          <t>1995-11-03</t>
        </is>
      </c>
      <c r="W110" t="inlineStr">
        <is>
          <t>1993-02-04</t>
        </is>
      </c>
      <c r="X110" t="inlineStr">
        <is>
          <t>1993-02-04</t>
        </is>
      </c>
      <c r="Y110" t="n">
        <v>494</v>
      </c>
      <c r="Z110" t="n">
        <v>375</v>
      </c>
      <c r="AA110" t="n">
        <v>412</v>
      </c>
      <c r="AB110" t="n">
        <v>5</v>
      </c>
      <c r="AC110" t="n">
        <v>5</v>
      </c>
      <c r="AD110" t="n">
        <v>21</v>
      </c>
      <c r="AE110" t="n">
        <v>22</v>
      </c>
      <c r="AF110" t="n">
        <v>4</v>
      </c>
      <c r="AG110" t="n">
        <v>5</v>
      </c>
      <c r="AH110" t="n">
        <v>6</v>
      </c>
      <c r="AI110" t="n">
        <v>6</v>
      </c>
      <c r="AJ110" t="n">
        <v>13</v>
      </c>
      <c r="AK110" t="n">
        <v>13</v>
      </c>
      <c r="AL110" t="n">
        <v>4</v>
      </c>
      <c r="AM110" t="n">
        <v>4</v>
      </c>
      <c r="AN110" t="n">
        <v>0</v>
      </c>
      <c r="AO110" t="n">
        <v>0</v>
      </c>
      <c r="AP110" t="inlineStr">
        <is>
          <t>No</t>
        </is>
      </c>
      <c r="AQ110" t="inlineStr">
        <is>
          <t>Yes</t>
        </is>
      </c>
      <c r="AR110">
        <f>HYPERLINK("http://catalog.hathitrust.org/Record/000225300","HathiTrust Record")</f>
        <v/>
      </c>
      <c r="AS110">
        <f>HYPERLINK("https://creighton-primo.hosted.exlibrisgroup.com/primo-explore/search?tab=default_tab&amp;search_scope=EVERYTHING&amp;vid=01CRU&amp;lang=en_US&amp;offset=0&amp;query=any,contains,991005163889702656","Catalog Record")</f>
        <v/>
      </c>
      <c r="AT110">
        <f>HYPERLINK("http://www.worldcat.org/oclc/7812543","WorldCat Record")</f>
        <v/>
      </c>
      <c r="AU110" t="inlineStr">
        <is>
          <t>408901:eng</t>
        </is>
      </c>
      <c r="AV110" t="inlineStr">
        <is>
          <t>7812543</t>
        </is>
      </c>
      <c r="AW110" t="inlineStr">
        <is>
          <t>991005163889702656</t>
        </is>
      </c>
      <c r="AX110" t="inlineStr">
        <is>
          <t>991005163889702656</t>
        </is>
      </c>
      <c r="AY110" t="inlineStr">
        <is>
          <t>2254732600002656</t>
        </is>
      </c>
      <c r="AZ110" t="inlineStr">
        <is>
          <t>BOOK</t>
        </is>
      </c>
      <c r="BB110" t="inlineStr">
        <is>
          <t>9780122336805</t>
        </is>
      </c>
      <c r="BC110" t="inlineStr">
        <is>
          <t>32285001482941</t>
        </is>
      </c>
      <c r="BD110" t="inlineStr">
        <is>
          <t>893520547</t>
        </is>
      </c>
    </row>
    <row r="111">
      <c r="A111" t="inlineStr">
        <is>
          <t>No</t>
        </is>
      </c>
      <c r="B111" t="inlineStr">
        <is>
          <t>HQ1061 .R453 1990</t>
        </is>
      </c>
      <c r="C111" t="inlineStr">
        <is>
          <t>0                      HQ 1061000R  453         1990</t>
        </is>
      </c>
      <c r="D111" t="inlineStr">
        <is>
          <t>Researching social gerontology : concepts, methods, and issues / edited by Sheila M. Peace.</t>
        </is>
      </c>
      <c r="F111" t="inlineStr">
        <is>
          <t>No</t>
        </is>
      </c>
      <c r="G111" t="inlineStr">
        <is>
          <t>1</t>
        </is>
      </c>
      <c r="H111" t="inlineStr">
        <is>
          <t>No</t>
        </is>
      </c>
      <c r="I111" t="inlineStr">
        <is>
          <t>No</t>
        </is>
      </c>
      <c r="J111" t="inlineStr">
        <is>
          <t>0</t>
        </is>
      </c>
      <c r="L111" t="inlineStr">
        <is>
          <t>London ; Newbury Park, Calif. : Sage Publications in association with the British Society of Gerontology, 1990.</t>
        </is>
      </c>
      <c r="M111" t="inlineStr">
        <is>
          <t>1990</t>
        </is>
      </c>
      <c r="O111" t="inlineStr">
        <is>
          <t>eng</t>
        </is>
      </c>
      <c r="P111" t="inlineStr">
        <is>
          <t>enk</t>
        </is>
      </c>
      <c r="R111" t="inlineStr">
        <is>
          <t xml:space="preserve">HQ </t>
        </is>
      </c>
      <c r="S111" t="n">
        <v>2</v>
      </c>
      <c r="T111" t="n">
        <v>2</v>
      </c>
      <c r="U111" t="inlineStr">
        <is>
          <t>2000-11-19</t>
        </is>
      </c>
      <c r="V111" t="inlineStr">
        <is>
          <t>2000-11-19</t>
        </is>
      </c>
      <c r="W111" t="inlineStr">
        <is>
          <t>1991-08-13</t>
        </is>
      </c>
      <c r="X111" t="inlineStr">
        <is>
          <t>1991-08-13</t>
        </is>
      </c>
      <c r="Y111" t="n">
        <v>312</v>
      </c>
      <c r="Z111" t="n">
        <v>175</v>
      </c>
      <c r="AA111" t="n">
        <v>180</v>
      </c>
      <c r="AB111" t="n">
        <v>2</v>
      </c>
      <c r="AC111" t="n">
        <v>2</v>
      </c>
      <c r="AD111" t="n">
        <v>6</v>
      </c>
      <c r="AE111" t="n">
        <v>6</v>
      </c>
      <c r="AF111" t="n">
        <v>0</v>
      </c>
      <c r="AG111" t="n">
        <v>0</v>
      </c>
      <c r="AH111" t="n">
        <v>2</v>
      </c>
      <c r="AI111" t="n">
        <v>2</v>
      </c>
      <c r="AJ111" t="n">
        <v>3</v>
      </c>
      <c r="AK111" t="n">
        <v>3</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HYPERLINK("https://creighton-primo.hosted.exlibrisgroup.com/primo-explore/search?tab=default_tab&amp;search_scope=EVERYTHING&amp;vid=01CRU&amp;lang=en_US&amp;offset=0&amp;query=any,contains,991001850569702656","Catalog Record")</f>
        <v/>
      </c>
      <c r="AT111">
        <f>HYPERLINK("http://www.worldcat.org/oclc/23219398","WorldCat Record")</f>
        <v/>
      </c>
      <c r="AU111" t="inlineStr">
        <is>
          <t>836839836:eng</t>
        </is>
      </c>
      <c r="AV111" t="inlineStr">
        <is>
          <t>23219398</t>
        </is>
      </c>
      <c r="AW111" t="inlineStr">
        <is>
          <t>991001850569702656</t>
        </is>
      </c>
      <c r="AX111" t="inlineStr">
        <is>
          <t>991001850569702656</t>
        </is>
      </c>
      <c r="AY111" t="inlineStr">
        <is>
          <t>2256413120002656</t>
        </is>
      </c>
      <c r="AZ111" t="inlineStr">
        <is>
          <t>BOOK</t>
        </is>
      </c>
      <c r="BB111" t="inlineStr">
        <is>
          <t>9780803982857</t>
        </is>
      </c>
      <c r="BC111" t="inlineStr">
        <is>
          <t>32285000700434</t>
        </is>
      </c>
      <c r="BD111" t="inlineStr">
        <is>
          <t>893590690</t>
        </is>
      </c>
    </row>
    <row r="112">
      <c r="A112" t="inlineStr">
        <is>
          <t>No</t>
        </is>
      </c>
      <c r="B112" t="inlineStr">
        <is>
          <t>HQ1061 .S455 1984</t>
        </is>
      </c>
      <c r="C112" t="inlineStr">
        <is>
          <t>0                      HQ 1061000S  455         1984</t>
        </is>
      </c>
      <c r="D112" t="inlineStr">
        <is>
          <t>Working with older persons : cognitive and phenomenological methods / Edmund Sherman.</t>
        </is>
      </c>
      <c r="F112" t="inlineStr">
        <is>
          <t>No</t>
        </is>
      </c>
      <c r="G112" t="inlineStr">
        <is>
          <t>1</t>
        </is>
      </c>
      <c r="H112" t="inlineStr">
        <is>
          <t>No</t>
        </is>
      </c>
      <c r="I112" t="inlineStr">
        <is>
          <t>No</t>
        </is>
      </c>
      <c r="J112" t="inlineStr">
        <is>
          <t>0</t>
        </is>
      </c>
      <c r="K112" t="inlineStr">
        <is>
          <t>Sherman, Edmund A.</t>
        </is>
      </c>
      <c r="L112" t="inlineStr">
        <is>
          <t>Boston : Kluwer-Nijhoff Pub. : Hingham, MA, U.S.A. : Distributors for North America, Kluwer Academic Publishers, c1984.</t>
        </is>
      </c>
      <c r="M112" t="inlineStr">
        <is>
          <t>1984</t>
        </is>
      </c>
      <c r="O112" t="inlineStr">
        <is>
          <t>eng</t>
        </is>
      </c>
      <c r="P112" t="inlineStr">
        <is>
          <t>mau</t>
        </is>
      </c>
      <c r="Q112" t="inlineStr">
        <is>
          <t>International series in social welfare</t>
        </is>
      </c>
      <c r="R112" t="inlineStr">
        <is>
          <t xml:space="preserve">HQ </t>
        </is>
      </c>
      <c r="S112" t="n">
        <v>2</v>
      </c>
      <c r="T112" t="n">
        <v>2</v>
      </c>
      <c r="U112" t="inlineStr">
        <is>
          <t>1997-06-28</t>
        </is>
      </c>
      <c r="V112" t="inlineStr">
        <is>
          <t>1997-06-28</t>
        </is>
      </c>
      <c r="W112" t="inlineStr">
        <is>
          <t>1993-04-26</t>
        </is>
      </c>
      <c r="X112" t="inlineStr">
        <is>
          <t>1993-04-26</t>
        </is>
      </c>
      <c r="Y112" t="n">
        <v>257</v>
      </c>
      <c r="Z112" t="n">
        <v>195</v>
      </c>
      <c r="AA112" t="n">
        <v>213</v>
      </c>
      <c r="AB112" t="n">
        <v>3</v>
      </c>
      <c r="AC112" t="n">
        <v>3</v>
      </c>
      <c r="AD112" t="n">
        <v>8</v>
      </c>
      <c r="AE112" t="n">
        <v>9</v>
      </c>
      <c r="AF112" t="n">
        <v>1</v>
      </c>
      <c r="AG112" t="n">
        <v>2</v>
      </c>
      <c r="AH112" t="n">
        <v>3</v>
      </c>
      <c r="AI112" t="n">
        <v>3</v>
      </c>
      <c r="AJ112" t="n">
        <v>3</v>
      </c>
      <c r="AK112" t="n">
        <v>4</v>
      </c>
      <c r="AL112" t="n">
        <v>2</v>
      </c>
      <c r="AM112" t="n">
        <v>2</v>
      </c>
      <c r="AN112" t="n">
        <v>0</v>
      </c>
      <c r="AO112" t="n">
        <v>0</v>
      </c>
      <c r="AP112" t="inlineStr">
        <is>
          <t>No</t>
        </is>
      </c>
      <c r="AQ112" t="inlineStr">
        <is>
          <t>Yes</t>
        </is>
      </c>
      <c r="AR112">
        <f>HYPERLINK("http://catalog.hathitrust.org/Record/000338757","HathiTrust Record")</f>
        <v/>
      </c>
      <c r="AS112">
        <f>HYPERLINK("https://creighton-primo.hosted.exlibrisgroup.com/primo-explore/search?tab=default_tab&amp;search_scope=EVERYTHING&amp;vid=01CRU&amp;lang=en_US&amp;offset=0&amp;query=any,contains,991000400079702656","Catalog Record")</f>
        <v/>
      </c>
      <c r="AT112">
        <f>HYPERLINK("http://www.worldcat.org/oclc/10605927","WorldCat Record")</f>
        <v/>
      </c>
      <c r="AU112" t="inlineStr">
        <is>
          <t>235236030:eng</t>
        </is>
      </c>
      <c r="AV112" t="inlineStr">
        <is>
          <t>10605927</t>
        </is>
      </c>
      <c r="AW112" t="inlineStr">
        <is>
          <t>991000400079702656</t>
        </is>
      </c>
      <c r="AX112" t="inlineStr">
        <is>
          <t>991000400079702656</t>
        </is>
      </c>
      <c r="AY112" t="inlineStr">
        <is>
          <t>2258653990002656</t>
        </is>
      </c>
      <c r="AZ112" t="inlineStr">
        <is>
          <t>BOOK</t>
        </is>
      </c>
      <c r="BB112" t="inlineStr">
        <is>
          <t>9780898381443</t>
        </is>
      </c>
      <c r="BC112" t="inlineStr">
        <is>
          <t>32285001625846</t>
        </is>
      </c>
      <c r="BD112" t="inlineStr">
        <is>
          <t>893314884</t>
        </is>
      </c>
    </row>
    <row r="113">
      <c r="A113" t="inlineStr">
        <is>
          <t>No</t>
        </is>
      </c>
      <c r="B113" t="inlineStr">
        <is>
          <t>HQ1061 .S57 1988</t>
        </is>
      </c>
      <c r="C113" t="inlineStr">
        <is>
          <t>0                      HQ 1061000S  57          1988</t>
        </is>
      </c>
      <c r="D113" t="inlineStr">
        <is>
          <t>Theology and aging / [bibliography] compiled by Henry C. Simmons and Vivienne Walaskay, Barbara Payne.</t>
        </is>
      </c>
      <c r="F113" t="inlineStr">
        <is>
          <t>No</t>
        </is>
      </c>
      <c r="G113" t="inlineStr">
        <is>
          <t>1</t>
        </is>
      </c>
      <c r="H113" t="inlineStr">
        <is>
          <t>No</t>
        </is>
      </c>
      <c r="I113" t="inlineStr">
        <is>
          <t>No</t>
        </is>
      </c>
      <c r="J113" t="inlineStr">
        <is>
          <t>0</t>
        </is>
      </c>
      <c r="K113" t="inlineStr">
        <is>
          <t>Simmons, Henry.</t>
        </is>
      </c>
      <c r="L113" t="inlineStr">
        <is>
          <t>Washington, D.C. : Association for Gerontology in Higher Education, 1988.</t>
        </is>
      </c>
      <c r="M113" t="inlineStr">
        <is>
          <t>1988</t>
        </is>
      </c>
      <c r="O113" t="inlineStr">
        <is>
          <t>eng</t>
        </is>
      </c>
      <c r="P113" t="inlineStr">
        <is>
          <t>dcu</t>
        </is>
      </c>
      <c r="Q113" t="inlineStr">
        <is>
          <t>Brief bibliography, a selective annotated bibliography for gerontology instruction</t>
        </is>
      </c>
      <c r="R113" t="inlineStr">
        <is>
          <t xml:space="preserve">HQ </t>
        </is>
      </c>
      <c r="S113" t="n">
        <v>3</v>
      </c>
      <c r="T113" t="n">
        <v>3</v>
      </c>
      <c r="U113" t="inlineStr">
        <is>
          <t>2008-12-22</t>
        </is>
      </c>
      <c r="V113" t="inlineStr">
        <is>
          <t>2008-12-22</t>
        </is>
      </c>
      <c r="W113" t="inlineStr">
        <is>
          <t>1990-04-17</t>
        </is>
      </c>
      <c r="X113" t="inlineStr">
        <is>
          <t>1990-04-17</t>
        </is>
      </c>
      <c r="Y113" t="n">
        <v>13</v>
      </c>
      <c r="Z113" t="n">
        <v>12</v>
      </c>
      <c r="AA113" t="n">
        <v>12</v>
      </c>
      <c r="AB113" t="n">
        <v>1</v>
      </c>
      <c r="AC113" t="n">
        <v>1</v>
      </c>
      <c r="AD113" t="n">
        <v>0</v>
      </c>
      <c r="AE113" t="n">
        <v>0</v>
      </c>
      <c r="AF113" t="n">
        <v>0</v>
      </c>
      <c r="AG113" t="n">
        <v>0</v>
      </c>
      <c r="AH113" t="n">
        <v>0</v>
      </c>
      <c r="AI113" t="n">
        <v>0</v>
      </c>
      <c r="AJ113" t="n">
        <v>0</v>
      </c>
      <c r="AK113" t="n">
        <v>0</v>
      </c>
      <c r="AL113" t="n">
        <v>0</v>
      </c>
      <c r="AM113" t="n">
        <v>0</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HYPERLINK("https://creighton-primo.hosted.exlibrisgroup.com/primo-explore/search?tab=default_tab&amp;search_scope=EVERYTHING&amp;vid=01CRU&amp;lang=en_US&amp;offset=0&amp;query=any,contains,991001426689702656","Catalog Record")</f>
        <v/>
      </c>
      <c r="AT113">
        <f>HYPERLINK("http://www.worldcat.org/oclc/19040798","WorldCat Record")</f>
        <v/>
      </c>
      <c r="AU113" t="inlineStr">
        <is>
          <t>19247201:eng</t>
        </is>
      </c>
      <c r="AV113" t="inlineStr">
        <is>
          <t>19040798</t>
        </is>
      </c>
      <c r="AW113" t="inlineStr">
        <is>
          <t>991001426689702656</t>
        </is>
      </c>
      <c r="AX113" t="inlineStr">
        <is>
          <t>991001426689702656</t>
        </is>
      </c>
      <c r="AY113" t="inlineStr">
        <is>
          <t>2257064300002656</t>
        </is>
      </c>
      <c r="AZ113" t="inlineStr">
        <is>
          <t>BOOK</t>
        </is>
      </c>
      <c r="BC113" t="inlineStr">
        <is>
          <t>32285000102383</t>
        </is>
      </c>
      <c r="BD113" t="inlineStr">
        <is>
          <t>893346501</t>
        </is>
      </c>
    </row>
    <row r="114">
      <c r="A114" t="inlineStr">
        <is>
          <t>No</t>
        </is>
      </c>
      <c r="B114" t="inlineStr">
        <is>
          <t>HQ1061 .S6538 1987</t>
        </is>
      </c>
      <c r="C114" t="inlineStr">
        <is>
          <t>0                      HQ 1061000S  6538        1987</t>
        </is>
      </c>
      <c r="D114" t="inlineStr">
        <is>
          <t>Growing old in different societies : cross-cultural perspectives / Jay Sokolovsky.</t>
        </is>
      </c>
      <c r="F114" t="inlineStr">
        <is>
          <t>No</t>
        </is>
      </c>
      <c r="G114" t="inlineStr">
        <is>
          <t>1</t>
        </is>
      </c>
      <c r="H114" t="inlineStr">
        <is>
          <t>No</t>
        </is>
      </c>
      <c r="I114" t="inlineStr">
        <is>
          <t>No</t>
        </is>
      </c>
      <c r="J114" t="inlineStr">
        <is>
          <t>0</t>
        </is>
      </c>
      <c r="K114" t="inlineStr">
        <is>
          <t>Sokolovsky, Jay.</t>
        </is>
      </c>
      <c r="L114" t="inlineStr">
        <is>
          <t>Acton, MA : Copley Pub. Group, c1987.</t>
        </is>
      </c>
      <c r="M114" t="inlineStr">
        <is>
          <t>1987</t>
        </is>
      </c>
      <c r="O114" t="inlineStr">
        <is>
          <t>eng</t>
        </is>
      </c>
      <c r="P114" t="inlineStr">
        <is>
          <t>mau</t>
        </is>
      </c>
      <c r="R114" t="inlineStr">
        <is>
          <t xml:space="preserve">HQ </t>
        </is>
      </c>
      <c r="S114" t="n">
        <v>2</v>
      </c>
      <c r="T114" t="n">
        <v>2</v>
      </c>
      <c r="U114" t="inlineStr">
        <is>
          <t>2005-03-09</t>
        </is>
      </c>
      <c r="V114" t="inlineStr">
        <is>
          <t>2005-03-09</t>
        </is>
      </c>
      <c r="W114" t="inlineStr">
        <is>
          <t>1993-09-24</t>
        </is>
      </c>
      <c r="X114" t="inlineStr">
        <is>
          <t>1993-09-24</t>
        </is>
      </c>
      <c r="Y114" t="n">
        <v>67</v>
      </c>
      <c r="Z114" t="n">
        <v>57</v>
      </c>
      <c r="AA114" t="n">
        <v>292</v>
      </c>
      <c r="AB114" t="n">
        <v>2</v>
      </c>
      <c r="AC114" t="n">
        <v>3</v>
      </c>
      <c r="AD114" t="n">
        <v>3</v>
      </c>
      <c r="AE114" t="n">
        <v>14</v>
      </c>
      <c r="AF114" t="n">
        <v>1</v>
      </c>
      <c r="AG114" t="n">
        <v>8</v>
      </c>
      <c r="AH114" t="n">
        <v>0</v>
      </c>
      <c r="AI114" t="n">
        <v>1</v>
      </c>
      <c r="AJ114" t="n">
        <v>1</v>
      </c>
      <c r="AK114" t="n">
        <v>5</v>
      </c>
      <c r="AL114" t="n">
        <v>1</v>
      </c>
      <c r="AM114" t="n">
        <v>2</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HYPERLINK("https://creighton-primo.hosted.exlibrisgroup.com/primo-explore/search?tab=default_tab&amp;search_scope=EVERYTHING&amp;vid=01CRU&amp;lang=en_US&amp;offset=0&amp;query=any,contains,991001156639702656","Catalog Record")</f>
        <v/>
      </c>
      <c r="AT114">
        <f>HYPERLINK("http://www.worldcat.org/oclc/16866125","WorldCat Record")</f>
        <v/>
      </c>
      <c r="AU114" t="inlineStr">
        <is>
          <t>13418827:eng</t>
        </is>
      </c>
      <c r="AV114" t="inlineStr">
        <is>
          <t>16866125</t>
        </is>
      </c>
      <c r="AW114" t="inlineStr">
        <is>
          <t>991001156639702656</t>
        </is>
      </c>
      <c r="AX114" t="inlineStr">
        <is>
          <t>991001156639702656</t>
        </is>
      </c>
      <c r="AY114" t="inlineStr">
        <is>
          <t>2271891530002656</t>
        </is>
      </c>
      <c r="AZ114" t="inlineStr">
        <is>
          <t>BOOK</t>
        </is>
      </c>
      <c r="BC114" t="inlineStr">
        <is>
          <t>32285001767325</t>
        </is>
      </c>
      <c r="BD114" t="inlineStr">
        <is>
          <t>893872331</t>
        </is>
      </c>
    </row>
    <row r="115">
      <c r="A115" t="inlineStr">
        <is>
          <t>No</t>
        </is>
      </c>
      <c r="B115" t="inlineStr">
        <is>
          <t>HQ1061 .S95 1981</t>
        </is>
      </c>
      <c r="C115" t="inlineStr">
        <is>
          <t>0                      HQ 1061000S  95          1981</t>
        </is>
      </c>
      <c r="D115" t="inlineStr">
        <is>
          <t>An investigation of attitude change toward aging among mental health personnel / by Loa Jean Sullivan.</t>
        </is>
      </c>
      <c r="F115" t="inlineStr">
        <is>
          <t>No</t>
        </is>
      </c>
      <c r="G115" t="inlineStr">
        <is>
          <t>1</t>
        </is>
      </c>
      <c r="H115" t="inlineStr">
        <is>
          <t>No</t>
        </is>
      </c>
      <c r="I115" t="inlineStr">
        <is>
          <t>No</t>
        </is>
      </c>
      <c r="J115" t="inlineStr">
        <is>
          <t>0</t>
        </is>
      </c>
      <c r="K115" t="inlineStr">
        <is>
          <t>Sullivan, Loa Jean.</t>
        </is>
      </c>
      <c r="M115" t="inlineStr">
        <is>
          <t>1982</t>
        </is>
      </c>
      <c r="O115" t="inlineStr">
        <is>
          <t>eng</t>
        </is>
      </c>
      <c r="P115" t="inlineStr">
        <is>
          <t>miu</t>
        </is>
      </c>
      <c r="R115" t="inlineStr">
        <is>
          <t xml:space="preserve">HQ </t>
        </is>
      </c>
      <c r="S115" t="n">
        <v>3</v>
      </c>
      <c r="T115" t="n">
        <v>3</v>
      </c>
      <c r="U115" t="inlineStr">
        <is>
          <t>2003-10-14</t>
        </is>
      </c>
      <c r="V115" t="inlineStr">
        <is>
          <t>2003-10-14</t>
        </is>
      </c>
      <c r="W115" t="inlineStr">
        <is>
          <t>1993-04-26</t>
        </is>
      </c>
      <c r="X115" t="inlineStr">
        <is>
          <t>1993-04-26</t>
        </is>
      </c>
      <c r="Y115" t="n">
        <v>2</v>
      </c>
      <c r="Z115" t="n">
        <v>2</v>
      </c>
      <c r="AA115" t="n">
        <v>3</v>
      </c>
      <c r="AB115" t="n">
        <v>1</v>
      </c>
      <c r="AC115" t="n">
        <v>1</v>
      </c>
      <c r="AD115" t="n">
        <v>0</v>
      </c>
      <c r="AE115" t="n">
        <v>0</v>
      </c>
      <c r="AF115" t="n">
        <v>0</v>
      </c>
      <c r="AG115" t="n">
        <v>0</v>
      </c>
      <c r="AH115" t="n">
        <v>0</v>
      </c>
      <c r="AI115" t="n">
        <v>0</v>
      </c>
      <c r="AJ115" t="n">
        <v>0</v>
      </c>
      <c r="AK115" t="n">
        <v>0</v>
      </c>
      <c r="AL115" t="n">
        <v>0</v>
      </c>
      <c r="AM115" t="n">
        <v>0</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HYPERLINK("https://creighton-primo.hosted.exlibrisgroup.com/primo-explore/search?tab=default_tab&amp;search_scope=EVERYTHING&amp;vid=01CRU&amp;lang=en_US&amp;offset=0&amp;query=any,contains,991000229389702656","Catalog Record")</f>
        <v/>
      </c>
      <c r="AT115">
        <f>HYPERLINK("http://www.worldcat.org/oclc/9624112","WorldCat Record")</f>
        <v/>
      </c>
      <c r="AU115" t="inlineStr">
        <is>
          <t>43232970:eng</t>
        </is>
      </c>
      <c r="AV115" t="inlineStr">
        <is>
          <t>9624112</t>
        </is>
      </c>
      <c r="AW115" t="inlineStr">
        <is>
          <t>991000229389702656</t>
        </is>
      </c>
      <c r="AX115" t="inlineStr">
        <is>
          <t>991000229389702656</t>
        </is>
      </c>
      <c r="AY115" t="inlineStr">
        <is>
          <t>2269674900002656</t>
        </is>
      </c>
      <c r="AZ115" t="inlineStr">
        <is>
          <t>BOOK</t>
        </is>
      </c>
      <c r="BC115" t="inlineStr">
        <is>
          <t>32285001625861</t>
        </is>
      </c>
      <c r="BD115" t="inlineStr">
        <is>
          <t>893431802</t>
        </is>
      </c>
    </row>
    <row r="116">
      <c r="A116" t="inlineStr">
        <is>
          <t>No</t>
        </is>
      </c>
      <c r="B116" t="inlineStr">
        <is>
          <t>HQ1061 .T77</t>
        </is>
      </c>
      <c r="C116" t="inlineStr">
        <is>
          <t>0                      HQ 1061000T  77</t>
        </is>
      </c>
      <c r="D116" t="inlineStr">
        <is>
          <t>Early and middle adulthood : the best is yet to be--maybe / Lillian E. Troll.</t>
        </is>
      </c>
      <c r="F116" t="inlineStr">
        <is>
          <t>No</t>
        </is>
      </c>
      <c r="G116" t="inlineStr">
        <is>
          <t>1</t>
        </is>
      </c>
      <c r="H116" t="inlineStr">
        <is>
          <t>No</t>
        </is>
      </c>
      <c r="I116" t="inlineStr">
        <is>
          <t>No</t>
        </is>
      </c>
      <c r="J116" t="inlineStr">
        <is>
          <t>0</t>
        </is>
      </c>
      <c r="K116" t="inlineStr">
        <is>
          <t>Troll, Lillian E.</t>
        </is>
      </c>
      <c r="L116" t="inlineStr">
        <is>
          <t>Monterey, Calif. : Brooks/Cole Pub. Co., c1975.</t>
        </is>
      </c>
      <c r="M116" t="inlineStr">
        <is>
          <t>1975</t>
        </is>
      </c>
      <c r="O116" t="inlineStr">
        <is>
          <t>eng</t>
        </is>
      </c>
      <c r="P116" t="inlineStr">
        <is>
          <t>cau</t>
        </is>
      </c>
      <c r="Q116" t="inlineStr">
        <is>
          <t>Life-span human development series</t>
        </is>
      </c>
      <c r="R116" t="inlineStr">
        <is>
          <t xml:space="preserve">HQ </t>
        </is>
      </c>
      <c r="S116" t="n">
        <v>8</v>
      </c>
      <c r="T116" t="n">
        <v>8</v>
      </c>
      <c r="U116" t="inlineStr">
        <is>
          <t>2001-10-08</t>
        </is>
      </c>
      <c r="V116" t="inlineStr">
        <is>
          <t>2001-10-08</t>
        </is>
      </c>
      <c r="W116" t="inlineStr">
        <is>
          <t>1992-12-18</t>
        </is>
      </c>
      <c r="X116" t="inlineStr">
        <is>
          <t>1992-12-18</t>
        </is>
      </c>
      <c r="Y116" t="n">
        <v>561</v>
      </c>
      <c r="Z116" t="n">
        <v>466</v>
      </c>
      <c r="AA116" t="n">
        <v>557</v>
      </c>
      <c r="AB116" t="n">
        <v>4</v>
      </c>
      <c r="AC116" t="n">
        <v>5</v>
      </c>
      <c r="AD116" t="n">
        <v>19</v>
      </c>
      <c r="AE116" t="n">
        <v>21</v>
      </c>
      <c r="AF116" t="n">
        <v>6</v>
      </c>
      <c r="AG116" t="n">
        <v>7</v>
      </c>
      <c r="AH116" t="n">
        <v>4</v>
      </c>
      <c r="AI116" t="n">
        <v>4</v>
      </c>
      <c r="AJ116" t="n">
        <v>12</v>
      </c>
      <c r="AK116" t="n">
        <v>12</v>
      </c>
      <c r="AL116" t="n">
        <v>2</v>
      </c>
      <c r="AM116" t="n">
        <v>3</v>
      </c>
      <c r="AN116" t="n">
        <v>0</v>
      </c>
      <c r="AO116" t="n">
        <v>0</v>
      </c>
      <c r="AP116" t="inlineStr">
        <is>
          <t>No</t>
        </is>
      </c>
      <c r="AQ116" t="inlineStr">
        <is>
          <t>Yes</t>
        </is>
      </c>
      <c r="AR116">
        <f>HYPERLINK("http://catalog.hathitrust.org/Record/000704768","HathiTrust Record")</f>
        <v/>
      </c>
      <c r="AS116">
        <f>HYPERLINK("https://creighton-primo.hosted.exlibrisgroup.com/primo-explore/search?tab=default_tab&amp;search_scope=EVERYTHING&amp;vid=01CRU&amp;lang=en_US&amp;offset=0&amp;query=any,contains,991003899949702656","Catalog Record")</f>
        <v/>
      </c>
      <c r="AT116">
        <f>HYPERLINK("http://www.worldcat.org/oclc/1820393","WorldCat Record")</f>
        <v/>
      </c>
      <c r="AU116" t="inlineStr">
        <is>
          <t>2651025:eng</t>
        </is>
      </c>
      <c r="AV116" t="inlineStr">
        <is>
          <t>1820393</t>
        </is>
      </c>
      <c r="AW116" t="inlineStr">
        <is>
          <t>991003899949702656</t>
        </is>
      </c>
      <c r="AX116" t="inlineStr">
        <is>
          <t>991003899949702656</t>
        </is>
      </c>
      <c r="AY116" t="inlineStr">
        <is>
          <t>2256791960002656</t>
        </is>
      </c>
      <c r="AZ116" t="inlineStr">
        <is>
          <t>BOOK</t>
        </is>
      </c>
      <c r="BB116" t="inlineStr">
        <is>
          <t>9780818501708</t>
        </is>
      </c>
      <c r="BC116" t="inlineStr">
        <is>
          <t>32285001444164</t>
        </is>
      </c>
      <c r="BD116" t="inlineStr">
        <is>
          <t>893794242</t>
        </is>
      </c>
    </row>
    <row r="117">
      <c r="A117" t="inlineStr">
        <is>
          <t>No</t>
        </is>
      </c>
      <c r="B117" t="inlineStr">
        <is>
          <t>HQ1061 .U59 1997</t>
        </is>
      </c>
      <c r="C117" t="inlineStr">
        <is>
          <t>0                      HQ 1061000U  59          1997</t>
        </is>
      </c>
      <c r="D117" t="inlineStr">
        <is>
          <t>Untapped resources : women in ageing societies across Asia / edited by Kalyani Mehta.</t>
        </is>
      </c>
      <c r="F117" t="inlineStr">
        <is>
          <t>No</t>
        </is>
      </c>
      <c r="G117" t="inlineStr">
        <is>
          <t>1</t>
        </is>
      </c>
      <c r="H117" t="inlineStr">
        <is>
          <t>No</t>
        </is>
      </c>
      <c r="I117" t="inlineStr">
        <is>
          <t>No</t>
        </is>
      </c>
      <c r="J117" t="inlineStr">
        <is>
          <t>0</t>
        </is>
      </c>
      <c r="L117" t="inlineStr">
        <is>
          <t>Singapore : Times Academic Press, 1997.</t>
        </is>
      </c>
      <c r="M117" t="inlineStr">
        <is>
          <t>1997</t>
        </is>
      </c>
      <c r="O117" t="inlineStr">
        <is>
          <t>eng</t>
        </is>
      </c>
      <c r="P117" t="inlineStr">
        <is>
          <t xml:space="preserve">si </t>
        </is>
      </c>
      <c r="R117" t="inlineStr">
        <is>
          <t xml:space="preserve">HQ </t>
        </is>
      </c>
      <c r="S117" t="n">
        <v>1</v>
      </c>
      <c r="T117" t="n">
        <v>1</v>
      </c>
      <c r="U117" t="inlineStr">
        <is>
          <t>2000-11-19</t>
        </is>
      </c>
      <c r="V117" t="inlineStr">
        <is>
          <t>2000-11-19</t>
        </is>
      </c>
      <c r="W117" t="inlineStr">
        <is>
          <t>1998-09-16</t>
        </is>
      </c>
      <c r="X117" t="inlineStr">
        <is>
          <t>1998-09-16</t>
        </is>
      </c>
      <c r="Y117" t="n">
        <v>148</v>
      </c>
      <c r="Z117" t="n">
        <v>102</v>
      </c>
      <c r="AA117" t="n">
        <v>140</v>
      </c>
      <c r="AB117" t="n">
        <v>2</v>
      </c>
      <c r="AC117" t="n">
        <v>2</v>
      </c>
      <c r="AD117" t="n">
        <v>5</v>
      </c>
      <c r="AE117" t="n">
        <v>6</v>
      </c>
      <c r="AF117" t="n">
        <v>1</v>
      </c>
      <c r="AG117" t="n">
        <v>1</v>
      </c>
      <c r="AH117" t="n">
        <v>1</v>
      </c>
      <c r="AI117" t="n">
        <v>1</v>
      </c>
      <c r="AJ117" t="n">
        <v>4</v>
      </c>
      <c r="AK117" t="n">
        <v>5</v>
      </c>
      <c r="AL117" t="n">
        <v>1</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HYPERLINK("https://creighton-primo.hosted.exlibrisgroup.com/primo-explore/search?tab=default_tab&amp;search_scope=EVERYTHING&amp;vid=01CRU&amp;lang=en_US&amp;offset=0&amp;query=any,contains,991002895349702656","Catalog Record")</f>
        <v/>
      </c>
      <c r="AT117">
        <f>HYPERLINK("http://www.worldcat.org/oclc/38139952","WorldCat Record")</f>
        <v/>
      </c>
      <c r="AU117" t="inlineStr">
        <is>
          <t>919502469:eng</t>
        </is>
      </c>
      <c r="AV117" t="inlineStr">
        <is>
          <t>38139952</t>
        </is>
      </c>
      <c r="AW117" t="inlineStr">
        <is>
          <t>991002895349702656</t>
        </is>
      </c>
      <c r="AX117" t="inlineStr">
        <is>
          <t>991002895349702656</t>
        </is>
      </c>
      <c r="AY117" t="inlineStr">
        <is>
          <t>2268600640002656</t>
        </is>
      </c>
      <c r="AZ117" t="inlineStr">
        <is>
          <t>BOOK</t>
        </is>
      </c>
      <c r="BB117" t="inlineStr">
        <is>
          <t>9789812101068</t>
        </is>
      </c>
      <c r="BC117" t="inlineStr">
        <is>
          <t>32285003468823</t>
        </is>
      </c>
      <c r="BD117" t="inlineStr">
        <is>
          <t>893445435</t>
        </is>
      </c>
    </row>
    <row r="118">
      <c r="A118" t="inlineStr">
        <is>
          <t>No</t>
        </is>
      </c>
      <c r="B118" t="inlineStr">
        <is>
          <t>HQ1061 .W34 1992</t>
        </is>
      </c>
      <c r="C118" t="inlineStr">
        <is>
          <t>0                      HQ 1061000W  34          1992</t>
        </is>
      </c>
      <c r="D118" t="inlineStr">
        <is>
          <t>Helping networks of the aging and retired / Donald I. Warren.</t>
        </is>
      </c>
      <c r="F118" t="inlineStr">
        <is>
          <t>No</t>
        </is>
      </c>
      <c r="G118" t="inlineStr">
        <is>
          <t>1</t>
        </is>
      </c>
      <c r="H118" t="inlineStr">
        <is>
          <t>No</t>
        </is>
      </c>
      <c r="I118" t="inlineStr">
        <is>
          <t>No</t>
        </is>
      </c>
      <c r="J118" t="inlineStr">
        <is>
          <t>0</t>
        </is>
      </c>
      <c r="K118" t="inlineStr">
        <is>
          <t>Warren, Donald I.</t>
        </is>
      </c>
      <c r="L118" t="inlineStr">
        <is>
          <t>Lewiston [N.Y.] : Edwin Mellen Press, c1992.</t>
        </is>
      </c>
      <c r="M118" t="inlineStr">
        <is>
          <t>1992</t>
        </is>
      </c>
      <c r="O118" t="inlineStr">
        <is>
          <t>eng</t>
        </is>
      </c>
      <c r="P118" t="inlineStr">
        <is>
          <t>nyu</t>
        </is>
      </c>
      <c r="Q118" t="inlineStr">
        <is>
          <t>Studies in health and human services ; v. 12</t>
        </is>
      </c>
      <c r="R118" t="inlineStr">
        <is>
          <t xml:space="preserve">HQ </t>
        </is>
      </c>
      <c r="S118" t="n">
        <v>2</v>
      </c>
      <c r="T118" t="n">
        <v>2</v>
      </c>
      <c r="U118" t="inlineStr">
        <is>
          <t>1999-12-06</t>
        </is>
      </c>
      <c r="V118" t="inlineStr">
        <is>
          <t>1999-12-06</t>
        </is>
      </c>
      <c r="W118" t="inlineStr">
        <is>
          <t>1992-08-04</t>
        </is>
      </c>
      <c r="X118" t="inlineStr">
        <is>
          <t>1992-08-04</t>
        </is>
      </c>
      <c r="Y118" t="n">
        <v>136</v>
      </c>
      <c r="Z118" t="n">
        <v>108</v>
      </c>
      <c r="AA118" t="n">
        <v>110</v>
      </c>
      <c r="AB118" t="n">
        <v>2</v>
      </c>
      <c r="AC118" t="n">
        <v>2</v>
      </c>
      <c r="AD118" t="n">
        <v>5</v>
      </c>
      <c r="AE118" t="n">
        <v>5</v>
      </c>
      <c r="AF118" t="n">
        <v>2</v>
      </c>
      <c r="AG118" t="n">
        <v>2</v>
      </c>
      <c r="AH118" t="n">
        <v>0</v>
      </c>
      <c r="AI118" t="n">
        <v>0</v>
      </c>
      <c r="AJ118" t="n">
        <v>3</v>
      </c>
      <c r="AK118" t="n">
        <v>3</v>
      </c>
      <c r="AL118" t="n">
        <v>1</v>
      </c>
      <c r="AM118" t="n">
        <v>1</v>
      </c>
      <c r="AN118" t="n">
        <v>0</v>
      </c>
      <c r="AO118" t="n">
        <v>0</v>
      </c>
      <c r="AP118" t="inlineStr">
        <is>
          <t>No</t>
        </is>
      </c>
      <c r="AQ118" t="inlineStr">
        <is>
          <t>Yes</t>
        </is>
      </c>
      <c r="AR118">
        <f>HYPERLINK("http://catalog.hathitrust.org/Record/101938780","HathiTrust Record")</f>
        <v/>
      </c>
      <c r="AS118">
        <f>HYPERLINK("https://creighton-primo.hosted.exlibrisgroup.com/primo-explore/search?tab=default_tab&amp;search_scope=EVERYTHING&amp;vid=01CRU&amp;lang=en_US&amp;offset=0&amp;query=any,contains,991001286729702656","Catalog Record")</f>
        <v/>
      </c>
      <c r="AT118">
        <f>HYPERLINK("http://www.worldcat.org/oclc/17954555","WorldCat Record")</f>
        <v/>
      </c>
      <c r="AU118" t="inlineStr">
        <is>
          <t>16340852:eng</t>
        </is>
      </c>
      <c r="AV118" t="inlineStr">
        <is>
          <t>17954555</t>
        </is>
      </c>
      <c r="AW118" t="inlineStr">
        <is>
          <t>991001286729702656</t>
        </is>
      </c>
      <c r="AX118" t="inlineStr">
        <is>
          <t>991001286729702656</t>
        </is>
      </c>
      <c r="AY118" t="inlineStr">
        <is>
          <t>2272276700002656</t>
        </is>
      </c>
      <c r="AZ118" t="inlineStr">
        <is>
          <t>BOOK</t>
        </is>
      </c>
      <c r="BB118" t="inlineStr">
        <is>
          <t>9780889461260</t>
        </is>
      </c>
      <c r="BC118" t="inlineStr">
        <is>
          <t>32285001196566</t>
        </is>
      </c>
      <c r="BD118" t="inlineStr">
        <is>
          <t>893702912</t>
        </is>
      </c>
    </row>
    <row r="119">
      <c r="A119" t="inlineStr">
        <is>
          <t>No</t>
        </is>
      </c>
      <c r="B119" t="inlineStr">
        <is>
          <t>HQ1061 .W54</t>
        </is>
      </c>
      <c r="C119" t="inlineStr">
        <is>
          <t>0                      HQ 1061000W  54</t>
        </is>
      </c>
      <c r="D119" t="inlineStr">
        <is>
          <t>The reality of retirement : the inner experience of becoming a retired person / Jules Z. Willing.</t>
        </is>
      </c>
      <c r="F119" t="inlineStr">
        <is>
          <t>No</t>
        </is>
      </c>
      <c r="G119" t="inlineStr">
        <is>
          <t>1</t>
        </is>
      </c>
      <c r="H119" t="inlineStr">
        <is>
          <t>No</t>
        </is>
      </c>
      <c r="I119" t="inlineStr">
        <is>
          <t>No</t>
        </is>
      </c>
      <c r="J119" t="inlineStr">
        <is>
          <t>0</t>
        </is>
      </c>
      <c r="K119" t="inlineStr">
        <is>
          <t>Willing, Jules Z.</t>
        </is>
      </c>
      <c r="L119" t="inlineStr">
        <is>
          <t>New York : Morrow, 1981.</t>
        </is>
      </c>
      <c r="M119" t="inlineStr">
        <is>
          <t>1981</t>
        </is>
      </c>
      <c r="N119" t="inlineStr">
        <is>
          <t>1st ed.</t>
        </is>
      </c>
      <c r="O119" t="inlineStr">
        <is>
          <t>eng</t>
        </is>
      </c>
      <c r="P119" t="inlineStr">
        <is>
          <t>nyu</t>
        </is>
      </c>
      <c r="R119" t="inlineStr">
        <is>
          <t xml:space="preserve">HQ </t>
        </is>
      </c>
      <c r="S119" t="n">
        <v>4</v>
      </c>
      <c r="T119" t="n">
        <v>4</v>
      </c>
      <c r="U119" t="inlineStr">
        <is>
          <t>1996-05-02</t>
        </is>
      </c>
      <c r="V119" t="inlineStr">
        <is>
          <t>1996-05-02</t>
        </is>
      </c>
      <c r="W119" t="inlineStr">
        <is>
          <t>1992-02-17</t>
        </is>
      </c>
      <c r="X119" t="inlineStr">
        <is>
          <t>1992-02-17</t>
        </is>
      </c>
      <c r="Y119" t="n">
        <v>327</v>
      </c>
      <c r="Z119" t="n">
        <v>309</v>
      </c>
      <c r="AA119" t="n">
        <v>348</v>
      </c>
      <c r="AB119" t="n">
        <v>1</v>
      </c>
      <c r="AC119" t="n">
        <v>1</v>
      </c>
      <c r="AD119" t="n">
        <v>1</v>
      </c>
      <c r="AE119" t="n">
        <v>1</v>
      </c>
      <c r="AF119" t="n">
        <v>0</v>
      </c>
      <c r="AG119" t="n">
        <v>0</v>
      </c>
      <c r="AH119" t="n">
        <v>0</v>
      </c>
      <c r="AI119" t="n">
        <v>0</v>
      </c>
      <c r="AJ119" t="n">
        <v>1</v>
      </c>
      <c r="AK119" t="n">
        <v>1</v>
      </c>
      <c r="AL119" t="n">
        <v>0</v>
      </c>
      <c r="AM119" t="n">
        <v>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HYPERLINK("https://creighton-primo.hosted.exlibrisgroup.com/primo-explore/search?tab=default_tab&amp;search_scope=EVERYTHING&amp;vid=01CRU&amp;lang=en_US&amp;offset=0&amp;query=any,contains,991005033099702656","Catalog Record")</f>
        <v/>
      </c>
      <c r="AT119">
        <f>HYPERLINK("http://www.worldcat.org/oclc/6735387","WorldCat Record")</f>
        <v/>
      </c>
      <c r="AU119" t="inlineStr">
        <is>
          <t>19067183:eng</t>
        </is>
      </c>
      <c r="AV119" t="inlineStr">
        <is>
          <t>6735387</t>
        </is>
      </c>
      <c r="AW119" t="inlineStr">
        <is>
          <t>991005033099702656</t>
        </is>
      </c>
      <c r="AX119" t="inlineStr">
        <is>
          <t>991005033099702656</t>
        </is>
      </c>
      <c r="AY119" t="inlineStr">
        <is>
          <t>2267944810002656</t>
        </is>
      </c>
      <c r="AZ119" t="inlineStr">
        <is>
          <t>BOOK</t>
        </is>
      </c>
      <c r="BB119" t="inlineStr">
        <is>
          <t>9780688002985</t>
        </is>
      </c>
      <c r="BC119" t="inlineStr">
        <is>
          <t>32285000947019</t>
        </is>
      </c>
      <c r="BD119" t="inlineStr">
        <is>
          <t>893801618</t>
        </is>
      </c>
    </row>
    <row r="120">
      <c r="A120" t="inlineStr">
        <is>
          <t>No</t>
        </is>
      </c>
      <c r="B120" t="inlineStr">
        <is>
          <t>HQ1062 .A8</t>
        </is>
      </c>
      <c r="C120" t="inlineStr">
        <is>
          <t>0                      HQ 1062000A  8</t>
        </is>
      </c>
      <c r="D120" t="inlineStr">
        <is>
          <t>The sociology of retirement / by Robert C. Atchley.</t>
        </is>
      </c>
      <c r="F120" t="inlineStr">
        <is>
          <t>No</t>
        </is>
      </c>
      <c r="G120" t="inlineStr">
        <is>
          <t>1</t>
        </is>
      </c>
      <c r="H120" t="inlineStr">
        <is>
          <t>No</t>
        </is>
      </c>
      <c r="I120" t="inlineStr">
        <is>
          <t>No</t>
        </is>
      </c>
      <c r="J120" t="inlineStr">
        <is>
          <t>0</t>
        </is>
      </c>
      <c r="K120" t="inlineStr">
        <is>
          <t>Atchley, Robert C.</t>
        </is>
      </c>
      <c r="L120" t="inlineStr">
        <is>
          <t>Cambridge, Mass. : Schenkman Pub. Co. ; New York : distributed by Halsted Press, c1976.</t>
        </is>
      </c>
      <c r="M120" t="inlineStr">
        <is>
          <t>1976</t>
        </is>
      </c>
      <c r="O120" t="inlineStr">
        <is>
          <t>eng</t>
        </is>
      </c>
      <c r="P120" t="inlineStr">
        <is>
          <t>mau</t>
        </is>
      </c>
      <c r="R120" t="inlineStr">
        <is>
          <t xml:space="preserve">HQ </t>
        </is>
      </c>
      <c r="S120" t="n">
        <v>4</v>
      </c>
      <c r="T120" t="n">
        <v>4</v>
      </c>
      <c r="U120" t="inlineStr">
        <is>
          <t>2000-01-22</t>
        </is>
      </c>
      <c r="V120" t="inlineStr">
        <is>
          <t>2000-01-22</t>
        </is>
      </c>
      <c r="W120" t="inlineStr">
        <is>
          <t>1990-05-15</t>
        </is>
      </c>
      <c r="X120" t="inlineStr">
        <is>
          <t>1990-05-15</t>
        </is>
      </c>
      <c r="Y120" t="n">
        <v>741</v>
      </c>
      <c r="Z120" t="n">
        <v>624</v>
      </c>
      <c r="AA120" t="n">
        <v>628</v>
      </c>
      <c r="AB120" t="n">
        <v>4</v>
      </c>
      <c r="AC120" t="n">
        <v>4</v>
      </c>
      <c r="AD120" t="n">
        <v>24</v>
      </c>
      <c r="AE120" t="n">
        <v>24</v>
      </c>
      <c r="AF120" t="n">
        <v>8</v>
      </c>
      <c r="AG120" t="n">
        <v>8</v>
      </c>
      <c r="AH120" t="n">
        <v>5</v>
      </c>
      <c r="AI120" t="n">
        <v>5</v>
      </c>
      <c r="AJ120" t="n">
        <v>14</v>
      </c>
      <c r="AK120" t="n">
        <v>14</v>
      </c>
      <c r="AL120" t="n">
        <v>3</v>
      </c>
      <c r="AM120" t="n">
        <v>3</v>
      </c>
      <c r="AN120" t="n">
        <v>0</v>
      </c>
      <c r="AO120" t="n">
        <v>0</v>
      </c>
      <c r="AP120" t="inlineStr">
        <is>
          <t>No</t>
        </is>
      </c>
      <c r="AQ120" t="inlineStr">
        <is>
          <t>Yes</t>
        </is>
      </c>
      <c r="AR120">
        <f>HYPERLINK("http://catalog.hathitrust.org/Record/000037732","HathiTrust Record")</f>
        <v/>
      </c>
      <c r="AS120">
        <f>HYPERLINK("https://creighton-primo.hosted.exlibrisgroup.com/primo-explore/search?tab=default_tab&amp;search_scope=EVERYTHING&amp;vid=01CRU&amp;lang=en_US&amp;offset=0&amp;query=any,contains,991003788629702656","Catalog Record")</f>
        <v/>
      </c>
      <c r="AT120">
        <f>HYPERLINK("http://www.worldcat.org/oclc/1504963","WorldCat Record")</f>
        <v/>
      </c>
      <c r="AU120" t="inlineStr">
        <is>
          <t>2312356:eng</t>
        </is>
      </c>
      <c r="AV120" t="inlineStr">
        <is>
          <t>1504963</t>
        </is>
      </c>
      <c r="AW120" t="inlineStr">
        <is>
          <t>991003788629702656</t>
        </is>
      </c>
      <c r="AX120" t="inlineStr">
        <is>
          <t>991003788629702656</t>
        </is>
      </c>
      <c r="AY120" t="inlineStr">
        <is>
          <t>2261985200002656</t>
        </is>
      </c>
      <c r="AZ120" t="inlineStr">
        <is>
          <t>BOOK</t>
        </is>
      </c>
      <c r="BB120" t="inlineStr">
        <is>
          <t>9780470035979</t>
        </is>
      </c>
      <c r="BC120" t="inlineStr">
        <is>
          <t>32285000155225</t>
        </is>
      </c>
      <c r="BD120" t="inlineStr">
        <is>
          <t>893240609</t>
        </is>
      </c>
    </row>
    <row r="121">
      <c r="A121" t="inlineStr">
        <is>
          <t>No</t>
        </is>
      </c>
      <c r="B121" t="inlineStr">
        <is>
          <t>HQ1062 .F59</t>
        </is>
      </c>
      <c r="C121" t="inlineStr">
        <is>
          <t>0                      HQ 1062000F  59</t>
        </is>
      </c>
      <c r="D121" t="inlineStr">
        <is>
          <t>Aging and retirement / Anne Foner, Karen Schwab.</t>
        </is>
      </c>
      <c r="F121" t="inlineStr">
        <is>
          <t>No</t>
        </is>
      </c>
      <c r="G121" t="inlineStr">
        <is>
          <t>1</t>
        </is>
      </c>
      <c r="H121" t="inlineStr">
        <is>
          <t>No</t>
        </is>
      </c>
      <c r="I121" t="inlineStr">
        <is>
          <t>No</t>
        </is>
      </c>
      <c r="J121" t="inlineStr">
        <is>
          <t>0</t>
        </is>
      </c>
      <c r="K121" t="inlineStr">
        <is>
          <t>Foner, Anne.</t>
        </is>
      </c>
      <c r="L121" t="inlineStr">
        <is>
          <t>Monterey, Calif. : Brooks/Cole Pub. Co., c1981.</t>
        </is>
      </c>
      <c r="M121" t="inlineStr">
        <is>
          <t>1981</t>
        </is>
      </c>
      <c r="O121" t="inlineStr">
        <is>
          <t>eng</t>
        </is>
      </c>
      <c r="P121" t="inlineStr">
        <is>
          <t>cau</t>
        </is>
      </c>
      <c r="Q121" t="inlineStr">
        <is>
          <t>Brooks/Cole series in social gerontology</t>
        </is>
      </c>
      <c r="R121" t="inlineStr">
        <is>
          <t xml:space="preserve">HQ </t>
        </is>
      </c>
      <c r="S121" t="n">
        <v>8</v>
      </c>
      <c r="T121" t="n">
        <v>8</v>
      </c>
      <c r="U121" t="inlineStr">
        <is>
          <t>1996-11-05</t>
        </is>
      </c>
      <c r="V121" t="inlineStr">
        <is>
          <t>1996-11-05</t>
        </is>
      </c>
      <c r="W121" t="inlineStr">
        <is>
          <t>1990-04-09</t>
        </is>
      </c>
      <c r="X121" t="inlineStr">
        <is>
          <t>1990-04-09</t>
        </is>
      </c>
      <c r="Y121" t="n">
        <v>285</v>
      </c>
      <c r="Z121" t="n">
        <v>241</v>
      </c>
      <c r="AA121" t="n">
        <v>243</v>
      </c>
      <c r="AB121" t="n">
        <v>4</v>
      </c>
      <c r="AC121" t="n">
        <v>4</v>
      </c>
      <c r="AD121" t="n">
        <v>12</v>
      </c>
      <c r="AE121" t="n">
        <v>12</v>
      </c>
      <c r="AF121" t="n">
        <v>2</v>
      </c>
      <c r="AG121" t="n">
        <v>2</v>
      </c>
      <c r="AH121" t="n">
        <v>2</v>
      </c>
      <c r="AI121" t="n">
        <v>2</v>
      </c>
      <c r="AJ121" t="n">
        <v>5</v>
      </c>
      <c r="AK121" t="n">
        <v>5</v>
      </c>
      <c r="AL121" t="n">
        <v>3</v>
      </c>
      <c r="AM121" t="n">
        <v>3</v>
      </c>
      <c r="AN121" t="n">
        <v>1</v>
      </c>
      <c r="AO121" t="n">
        <v>1</v>
      </c>
      <c r="AP121" t="inlineStr">
        <is>
          <t>No</t>
        </is>
      </c>
      <c r="AQ121" t="inlineStr">
        <is>
          <t>Yes</t>
        </is>
      </c>
      <c r="AR121">
        <f>HYPERLINK("http://catalog.hathitrust.org/Record/006233837","HathiTrust Record")</f>
        <v/>
      </c>
      <c r="AS121">
        <f>HYPERLINK("https://creighton-primo.hosted.exlibrisgroup.com/primo-explore/search?tab=default_tab&amp;search_scope=EVERYTHING&amp;vid=01CRU&amp;lang=en_US&amp;offset=0&amp;query=any,contains,991005049209702656","Catalog Record")</f>
        <v/>
      </c>
      <c r="AT121">
        <f>HYPERLINK("http://www.worldcat.org/oclc/6863140","WorldCat Record")</f>
        <v/>
      </c>
      <c r="AU121" t="inlineStr">
        <is>
          <t>482769:eng</t>
        </is>
      </c>
      <c r="AV121" t="inlineStr">
        <is>
          <t>6863140</t>
        </is>
      </c>
      <c r="AW121" t="inlineStr">
        <is>
          <t>991005049209702656</t>
        </is>
      </c>
      <c r="AX121" t="inlineStr">
        <is>
          <t>991005049209702656</t>
        </is>
      </c>
      <c r="AY121" t="inlineStr">
        <is>
          <t>2271945970002656</t>
        </is>
      </c>
      <c r="AZ121" t="inlineStr">
        <is>
          <t>BOOK</t>
        </is>
      </c>
      <c r="BB121" t="inlineStr">
        <is>
          <t>9780818504440</t>
        </is>
      </c>
      <c r="BC121" t="inlineStr">
        <is>
          <t>32285000112663</t>
        </is>
      </c>
      <c r="BD121" t="inlineStr">
        <is>
          <t>893260471</t>
        </is>
      </c>
    </row>
    <row r="122">
      <c r="A122" t="inlineStr">
        <is>
          <t>No</t>
        </is>
      </c>
      <c r="B122" t="inlineStr">
        <is>
          <t>HQ1062 .H38 1976</t>
        </is>
      </c>
      <c r="C122" t="inlineStr">
        <is>
          <t>0                      HQ 1062000H  38          1976</t>
        </is>
      </c>
      <c r="D122" t="inlineStr">
        <is>
          <t>Retirement--a time to live anew : a practical guide to managing your retirement / Harry W. Hepner.</t>
        </is>
      </c>
      <c r="F122" t="inlineStr">
        <is>
          <t>No</t>
        </is>
      </c>
      <c r="G122" t="inlineStr">
        <is>
          <t>1</t>
        </is>
      </c>
      <c r="H122" t="inlineStr">
        <is>
          <t>No</t>
        </is>
      </c>
      <c r="I122" t="inlineStr">
        <is>
          <t>No</t>
        </is>
      </c>
      <c r="J122" t="inlineStr">
        <is>
          <t>0</t>
        </is>
      </c>
      <c r="K122" t="inlineStr">
        <is>
          <t>Hepner, Harry Walker, 1893-1984.</t>
        </is>
      </c>
      <c r="L122" t="inlineStr">
        <is>
          <t>Huntington, N.Y. : R. E. Krieger Pub. Co., 1976, c1969.</t>
        </is>
      </c>
      <c r="M122" t="inlineStr">
        <is>
          <t>1976</t>
        </is>
      </c>
      <c r="O122" t="inlineStr">
        <is>
          <t>eng</t>
        </is>
      </c>
      <c r="P122" t="inlineStr">
        <is>
          <t>nyu</t>
        </is>
      </c>
      <c r="R122" t="inlineStr">
        <is>
          <t xml:space="preserve">HQ </t>
        </is>
      </c>
      <c r="S122" t="n">
        <v>2</v>
      </c>
      <c r="T122" t="n">
        <v>2</v>
      </c>
      <c r="U122" t="inlineStr">
        <is>
          <t>2000-01-22</t>
        </is>
      </c>
      <c r="V122" t="inlineStr">
        <is>
          <t>2000-01-22</t>
        </is>
      </c>
      <c r="W122" t="inlineStr">
        <is>
          <t>1997-08-14</t>
        </is>
      </c>
      <c r="X122" t="inlineStr">
        <is>
          <t>1997-08-14</t>
        </is>
      </c>
      <c r="Y122" t="n">
        <v>70</v>
      </c>
      <c r="Z122" t="n">
        <v>65</v>
      </c>
      <c r="AA122" t="n">
        <v>298</v>
      </c>
      <c r="AB122" t="n">
        <v>1</v>
      </c>
      <c r="AC122" t="n">
        <v>3</v>
      </c>
      <c r="AD122" t="n">
        <v>3</v>
      </c>
      <c r="AE122" t="n">
        <v>9</v>
      </c>
      <c r="AF122" t="n">
        <v>2</v>
      </c>
      <c r="AG122" t="n">
        <v>2</v>
      </c>
      <c r="AH122" t="n">
        <v>1</v>
      </c>
      <c r="AI122" t="n">
        <v>2</v>
      </c>
      <c r="AJ122" t="n">
        <v>0</v>
      </c>
      <c r="AK122" t="n">
        <v>3</v>
      </c>
      <c r="AL122" t="n">
        <v>0</v>
      </c>
      <c r="AM122" t="n">
        <v>2</v>
      </c>
      <c r="AN122" t="n">
        <v>0</v>
      </c>
      <c r="AO122" t="n">
        <v>0</v>
      </c>
      <c r="AP122" t="inlineStr">
        <is>
          <t>No</t>
        </is>
      </c>
      <c r="AQ122" t="inlineStr">
        <is>
          <t>Yes</t>
        </is>
      </c>
      <c r="AR122">
        <f>HYPERLINK("http://catalog.hathitrust.org/Record/000025863","HathiTrust Record")</f>
        <v/>
      </c>
      <c r="AS122">
        <f>HYPERLINK("https://creighton-primo.hosted.exlibrisgroup.com/primo-explore/search?tab=default_tab&amp;search_scope=EVERYTHING&amp;vid=01CRU&amp;lang=en_US&amp;offset=0&amp;query=any,contains,991003872189702656","Catalog Record")</f>
        <v/>
      </c>
      <c r="AT122">
        <f>HYPERLINK("http://www.worldcat.org/oclc/1694155","WorldCat Record")</f>
        <v/>
      </c>
      <c r="AU122" t="inlineStr">
        <is>
          <t>1136158:eng</t>
        </is>
      </c>
      <c r="AV122" t="inlineStr">
        <is>
          <t>1694155</t>
        </is>
      </c>
      <c r="AW122" t="inlineStr">
        <is>
          <t>991003872189702656</t>
        </is>
      </c>
      <c r="AX122" t="inlineStr">
        <is>
          <t>991003872189702656</t>
        </is>
      </c>
      <c r="AY122" t="inlineStr">
        <is>
          <t>2255281990002656</t>
        </is>
      </c>
      <c r="AZ122" t="inlineStr">
        <is>
          <t>BOOK</t>
        </is>
      </c>
      <c r="BB122" t="inlineStr">
        <is>
          <t>9780882753577</t>
        </is>
      </c>
      <c r="BC122" t="inlineStr">
        <is>
          <t>32285003103404</t>
        </is>
      </c>
      <c r="BD122" t="inlineStr">
        <is>
          <t>893605302</t>
        </is>
      </c>
    </row>
    <row r="123">
      <c r="A123" t="inlineStr">
        <is>
          <t>No</t>
        </is>
      </c>
      <c r="B123" t="inlineStr">
        <is>
          <t>HQ1062 .H54 1973</t>
        </is>
      </c>
      <c r="C123" t="inlineStr">
        <is>
          <t>0                      HQ 1062000H  54          1973</t>
        </is>
      </c>
      <c r="D123" t="inlineStr">
        <is>
          <t>How to retire at forty-one ; or, Dropping out of the rat race without going down the drain / by L. Rust Hills.</t>
        </is>
      </c>
      <c r="F123" t="inlineStr">
        <is>
          <t>No</t>
        </is>
      </c>
      <c r="G123" t="inlineStr">
        <is>
          <t>1</t>
        </is>
      </c>
      <c r="H123" t="inlineStr">
        <is>
          <t>No</t>
        </is>
      </c>
      <c r="I123" t="inlineStr">
        <is>
          <t>No</t>
        </is>
      </c>
      <c r="J123" t="inlineStr">
        <is>
          <t>0</t>
        </is>
      </c>
      <c r="K123" t="inlineStr">
        <is>
          <t>Hills, L. Rust.</t>
        </is>
      </c>
      <c r="L123" t="inlineStr">
        <is>
          <t>Garden City, N.Y. : Doubleday, 1973.</t>
        </is>
      </c>
      <c r="M123" t="inlineStr">
        <is>
          <t>1973</t>
        </is>
      </c>
      <c r="N123" t="inlineStr">
        <is>
          <t>[1st ed.]</t>
        </is>
      </c>
      <c r="O123" t="inlineStr">
        <is>
          <t>eng</t>
        </is>
      </c>
      <c r="P123" t="inlineStr">
        <is>
          <t>nyu</t>
        </is>
      </c>
      <c r="R123" t="inlineStr">
        <is>
          <t xml:space="preserve">HQ </t>
        </is>
      </c>
      <c r="S123" t="n">
        <v>1</v>
      </c>
      <c r="T123" t="n">
        <v>1</v>
      </c>
      <c r="U123" t="inlineStr">
        <is>
          <t>1995-04-18</t>
        </is>
      </c>
      <c r="V123" t="inlineStr">
        <is>
          <t>1995-04-18</t>
        </is>
      </c>
      <c r="W123" t="inlineStr">
        <is>
          <t>1993-04-26</t>
        </is>
      </c>
      <c r="X123" t="inlineStr">
        <is>
          <t>1993-04-26</t>
        </is>
      </c>
      <c r="Y123" t="n">
        <v>236</v>
      </c>
      <c r="Z123" t="n">
        <v>224</v>
      </c>
      <c r="AA123" t="n">
        <v>232</v>
      </c>
      <c r="AB123" t="n">
        <v>1</v>
      </c>
      <c r="AC123" t="n">
        <v>1</v>
      </c>
      <c r="AD123" t="n">
        <v>2</v>
      </c>
      <c r="AE123" t="n">
        <v>2</v>
      </c>
      <c r="AF123" t="n">
        <v>1</v>
      </c>
      <c r="AG123" t="n">
        <v>1</v>
      </c>
      <c r="AH123" t="n">
        <v>1</v>
      </c>
      <c r="AI123" t="n">
        <v>1</v>
      </c>
      <c r="AJ123" t="n">
        <v>2</v>
      </c>
      <c r="AK123" t="n">
        <v>2</v>
      </c>
      <c r="AL123" t="n">
        <v>0</v>
      </c>
      <c r="AM123" t="n">
        <v>0</v>
      </c>
      <c r="AN123" t="n">
        <v>0</v>
      </c>
      <c r="AO123" t="n">
        <v>0</v>
      </c>
      <c r="AP123" t="inlineStr">
        <is>
          <t>No</t>
        </is>
      </c>
      <c r="AQ123" t="inlineStr">
        <is>
          <t>Yes</t>
        </is>
      </c>
      <c r="AR123">
        <f>HYPERLINK("http://catalog.hathitrust.org/Record/010552596","HathiTrust Record")</f>
        <v/>
      </c>
      <c r="AS123">
        <f>HYPERLINK("https://creighton-primo.hosted.exlibrisgroup.com/primo-explore/search?tab=default_tab&amp;search_scope=EVERYTHING&amp;vid=01CRU&amp;lang=en_US&amp;offset=0&amp;query=any,contains,991003106539702656","Catalog Record")</f>
        <v/>
      </c>
      <c r="AT123">
        <f>HYPERLINK("http://www.worldcat.org/oclc/654408","WorldCat Record")</f>
        <v/>
      </c>
      <c r="AU123" t="inlineStr">
        <is>
          <t>5499354:eng</t>
        </is>
      </c>
      <c r="AV123" t="inlineStr">
        <is>
          <t>654408</t>
        </is>
      </c>
      <c r="AW123" t="inlineStr">
        <is>
          <t>991003106539702656</t>
        </is>
      </c>
      <c r="AX123" t="inlineStr">
        <is>
          <t>991003106539702656</t>
        </is>
      </c>
      <c r="AY123" t="inlineStr">
        <is>
          <t>2262205040002656</t>
        </is>
      </c>
      <c r="AZ123" t="inlineStr">
        <is>
          <t>BOOK</t>
        </is>
      </c>
      <c r="BB123" t="inlineStr">
        <is>
          <t>9780385002387</t>
        </is>
      </c>
      <c r="BC123" t="inlineStr">
        <is>
          <t>32285001625903</t>
        </is>
      </c>
      <c r="BD123" t="inlineStr">
        <is>
          <t>893598274</t>
        </is>
      </c>
    </row>
    <row r="124">
      <c r="A124" t="inlineStr">
        <is>
          <t>No</t>
        </is>
      </c>
      <c r="B124" t="inlineStr">
        <is>
          <t>HQ1062 .H85 1973</t>
        </is>
      </c>
      <c r="C124" t="inlineStr">
        <is>
          <t>0                      HQ 1062000H  85          1973</t>
        </is>
      </c>
      <c r="D124" t="inlineStr">
        <is>
          <t>Preparation for retirement / [by] Woodrow W. Hunter.</t>
        </is>
      </c>
      <c r="F124" t="inlineStr">
        <is>
          <t>No</t>
        </is>
      </c>
      <c r="G124" t="inlineStr">
        <is>
          <t>1</t>
        </is>
      </c>
      <c r="H124" t="inlineStr">
        <is>
          <t>No</t>
        </is>
      </c>
      <c r="I124" t="inlineStr">
        <is>
          <t>No</t>
        </is>
      </c>
      <c r="J124" t="inlineStr">
        <is>
          <t>0</t>
        </is>
      </c>
      <c r="K124" t="inlineStr">
        <is>
          <t>Hunter, Woodrow Wilson, 1913-</t>
        </is>
      </c>
      <c r="L124" t="inlineStr">
        <is>
          <t>Ann Arbor, Division of Gerontology, University of Michigan-Wayne State University, 1973.</t>
        </is>
      </c>
      <c r="M124" t="inlineStr">
        <is>
          <t>1973</t>
        </is>
      </c>
      <c r="N124" t="inlineStr">
        <is>
          <t>[Rev. ed.]</t>
        </is>
      </c>
      <c r="O124" t="inlineStr">
        <is>
          <t>eng</t>
        </is>
      </c>
      <c r="P124" t="inlineStr">
        <is>
          <t xml:space="preserve">xx </t>
        </is>
      </c>
      <c r="R124" t="inlineStr">
        <is>
          <t xml:space="preserve">HQ </t>
        </is>
      </c>
      <c r="S124" t="n">
        <v>7</v>
      </c>
      <c r="T124" t="n">
        <v>7</v>
      </c>
      <c r="U124" t="inlineStr">
        <is>
          <t>2000-01-22</t>
        </is>
      </c>
      <c r="V124" t="inlineStr">
        <is>
          <t>2000-01-22</t>
        </is>
      </c>
      <c r="W124" t="inlineStr">
        <is>
          <t>1993-04-26</t>
        </is>
      </c>
      <c r="X124" t="inlineStr">
        <is>
          <t>1993-04-26</t>
        </is>
      </c>
      <c r="Y124" t="n">
        <v>34</v>
      </c>
      <c r="Z124" t="n">
        <v>31</v>
      </c>
      <c r="AA124" t="n">
        <v>166</v>
      </c>
      <c r="AB124" t="n">
        <v>1</v>
      </c>
      <c r="AC124" t="n">
        <v>3</v>
      </c>
      <c r="AD124" t="n">
        <v>0</v>
      </c>
      <c r="AE124" t="n">
        <v>5</v>
      </c>
      <c r="AF124" t="n">
        <v>0</v>
      </c>
      <c r="AG124" t="n">
        <v>2</v>
      </c>
      <c r="AH124" t="n">
        <v>0</v>
      </c>
      <c r="AI124" t="n">
        <v>0</v>
      </c>
      <c r="AJ124" t="n">
        <v>0</v>
      </c>
      <c r="AK124" t="n">
        <v>1</v>
      </c>
      <c r="AL124" t="n">
        <v>0</v>
      </c>
      <c r="AM124" t="n">
        <v>2</v>
      </c>
      <c r="AN124" t="n">
        <v>0</v>
      </c>
      <c r="AO124" t="n">
        <v>0</v>
      </c>
      <c r="AP124" t="inlineStr">
        <is>
          <t>No</t>
        </is>
      </c>
      <c r="AQ124" t="inlineStr">
        <is>
          <t>Yes</t>
        </is>
      </c>
      <c r="AR124">
        <f>HYPERLINK("http://catalog.hathitrust.org/Record/001350387","HathiTrust Record")</f>
        <v/>
      </c>
      <c r="AS124">
        <f>HYPERLINK("https://creighton-primo.hosted.exlibrisgroup.com/primo-explore/search?tab=default_tab&amp;search_scope=EVERYTHING&amp;vid=01CRU&amp;lang=en_US&amp;offset=0&amp;query=any,contains,991003852609702656","Catalog Record")</f>
        <v/>
      </c>
      <c r="AT124">
        <f>HYPERLINK("http://www.worldcat.org/oclc/1648436","WorldCat Record")</f>
        <v/>
      </c>
      <c r="AU124" t="inlineStr">
        <is>
          <t>1237011:eng</t>
        </is>
      </c>
      <c r="AV124" t="inlineStr">
        <is>
          <t>1648436</t>
        </is>
      </c>
      <c r="AW124" t="inlineStr">
        <is>
          <t>991003852609702656</t>
        </is>
      </c>
      <c r="AX124" t="inlineStr">
        <is>
          <t>991003852609702656</t>
        </is>
      </c>
      <c r="AY124" t="inlineStr">
        <is>
          <t>2256051000002656</t>
        </is>
      </c>
      <c r="AZ124" t="inlineStr">
        <is>
          <t>BOOK</t>
        </is>
      </c>
      <c r="BC124" t="inlineStr">
        <is>
          <t>32285001625911</t>
        </is>
      </c>
      <c r="BD124" t="inlineStr">
        <is>
          <t>893234713</t>
        </is>
      </c>
    </row>
    <row r="125">
      <c r="A125" t="inlineStr">
        <is>
          <t>No</t>
        </is>
      </c>
      <c r="B125" t="inlineStr">
        <is>
          <t>HQ1062 .K54</t>
        </is>
      </c>
      <c r="C125" t="inlineStr">
        <is>
          <t>0                      HQ 1062000K  54</t>
        </is>
      </c>
      <c r="D125" t="inlineStr">
        <is>
          <t>Retirement : changing threat to promise / Robert K. Kinzel.</t>
        </is>
      </c>
      <c r="F125" t="inlineStr">
        <is>
          <t>No</t>
        </is>
      </c>
      <c r="G125" t="inlineStr">
        <is>
          <t>1</t>
        </is>
      </c>
      <c r="H125" t="inlineStr">
        <is>
          <t>No</t>
        </is>
      </c>
      <c r="I125" t="inlineStr">
        <is>
          <t>No</t>
        </is>
      </c>
      <c r="J125" t="inlineStr">
        <is>
          <t>0</t>
        </is>
      </c>
      <c r="K125" t="inlineStr">
        <is>
          <t>Kinzel, Robert K.</t>
        </is>
      </c>
      <c r="L125" t="inlineStr">
        <is>
          <t>New York : AMACOM, c1979.</t>
        </is>
      </c>
      <c r="M125" t="inlineStr">
        <is>
          <t>1979</t>
        </is>
      </c>
      <c r="O125" t="inlineStr">
        <is>
          <t>eng</t>
        </is>
      </c>
      <c r="P125" t="inlineStr">
        <is>
          <t>nyu</t>
        </is>
      </c>
      <c r="R125" t="inlineStr">
        <is>
          <t xml:space="preserve">HQ </t>
        </is>
      </c>
      <c r="S125" t="n">
        <v>6</v>
      </c>
      <c r="T125" t="n">
        <v>6</v>
      </c>
      <c r="U125" t="inlineStr">
        <is>
          <t>2000-01-22</t>
        </is>
      </c>
      <c r="V125" t="inlineStr">
        <is>
          <t>2000-01-22</t>
        </is>
      </c>
      <c r="W125" t="inlineStr">
        <is>
          <t>1990-04-09</t>
        </is>
      </c>
      <c r="X125" t="inlineStr">
        <is>
          <t>1990-04-09</t>
        </is>
      </c>
      <c r="Y125" t="n">
        <v>396</v>
      </c>
      <c r="Z125" t="n">
        <v>365</v>
      </c>
      <c r="AA125" t="n">
        <v>370</v>
      </c>
      <c r="AB125" t="n">
        <v>2</v>
      </c>
      <c r="AC125" t="n">
        <v>2</v>
      </c>
      <c r="AD125" t="n">
        <v>13</v>
      </c>
      <c r="AE125" t="n">
        <v>13</v>
      </c>
      <c r="AF125" t="n">
        <v>4</v>
      </c>
      <c r="AG125" t="n">
        <v>4</v>
      </c>
      <c r="AH125" t="n">
        <v>5</v>
      </c>
      <c r="AI125" t="n">
        <v>5</v>
      </c>
      <c r="AJ125" t="n">
        <v>9</v>
      </c>
      <c r="AK125" t="n">
        <v>9</v>
      </c>
      <c r="AL125" t="n">
        <v>1</v>
      </c>
      <c r="AM125" t="n">
        <v>1</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HYPERLINK("https://creighton-primo.hosted.exlibrisgroup.com/primo-explore/search?tab=default_tab&amp;search_scope=EVERYTHING&amp;vid=01CRU&amp;lang=en_US&amp;offset=0&amp;query=any,contains,991004687229702656","Catalog Record")</f>
        <v/>
      </c>
      <c r="AT125">
        <f>HYPERLINK("http://www.worldcat.org/oclc/4593333","WorldCat Record")</f>
        <v/>
      </c>
      <c r="AU125" t="inlineStr">
        <is>
          <t>14926497:eng</t>
        </is>
      </c>
      <c r="AV125" t="inlineStr">
        <is>
          <t>4593333</t>
        </is>
      </c>
      <c r="AW125" t="inlineStr">
        <is>
          <t>991004687229702656</t>
        </is>
      </c>
      <c r="AX125" t="inlineStr">
        <is>
          <t>991004687229702656</t>
        </is>
      </c>
      <c r="AY125" t="inlineStr">
        <is>
          <t>2270993250002656</t>
        </is>
      </c>
      <c r="AZ125" t="inlineStr">
        <is>
          <t>BOOK</t>
        </is>
      </c>
      <c r="BB125" t="inlineStr">
        <is>
          <t>9780814455050</t>
        </is>
      </c>
      <c r="BC125" t="inlineStr">
        <is>
          <t>32285000112671</t>
        </is>
      </c>
      <c r="BD125" t="inlineStr">
        <is>
          <t>893694214</t>
        </is>
      </c>
    </row>
    <row r="126">
      <c r="A126" t="inlineStr">
        <is>
          <t>No</t>
        </is>
      </c>
      <c r="B126" t="inlineStr">
        <is>
          <t>HQ1062 .L38</t>
        </is>
      </c>
      <c r="C126" t="inlineStr">
        <is>
          <t>0                      HQ 1062000L  38</t>
        </is>
      </c>
      <c r="D126" t="inlineStr">
        <is>
          <t>Plan your retirement now, so you won't be sorry later.</t>
        </is>
      </c>
      <c r="F126" t="inlineStr">
        <is>
          <t>No</t>
        </is>
      </c>
      <c r="G126" t="inlineStr">
        <is>
          <t>1</t>
        </is>
      </c>
      <c r="H126" t="inlineStr">
        <is>
          <t>No</t>
        </is>
      </c>
      <c r="I126" t="inlineStr">
        <is>
          <t>No</t>
        </is>
      </c>
      <c r="J126" t="inlineStr">
        <is>
          <t>0</t>
        </is>
      </c>
      <c r="K126" t="inlineStr">
        <is>
          <t>Le Breton, Edmond.</t>
        </is>
      </c>
      <c r="L126" t="inlineStr">
        <is>
          <t>Washington, Books by U.S. News &amp; World Report [1974]</t>
        </is>
      </c>
      <c r="M126" t="inlineStr">
        <is>
          <t>1974</t>
        </is>
      </c>
      <c r="O126" t="inlineStr">
        <is>
          <t>eng</t>
        </is>
      </c>
      <c r="P126" t="inlineStr">
        <is>
          <t>dcu</t>
        </is>
      </c>
      <c r="Q126" t="inlineStr">
        <is>
          <t>United States news &amp; world report. Money management library</t>
        </is>
      </c>
      <c r="R126" t="inlineStr">
        <is>
          <t xml:space="preserve">HQ </t>
        </is>
      </c>
      <c r="S126" t="n">
        <v>2</v>
      </c>
      <c r="T126" t="n">
        <v>2</v>
      </c>
      <c r="U126" t="inlineStr">
        <is>
          <t>2000-01-22</t>
        </is>
      </c>
      <c r="V126" t="inlineStr">
        <is>
          <t>2000-01-22</t>
        </is>
      </c>
      <c r="W126" t="inlineStr">
        <is>
          <t>1997-08-14</t>
        </is>
      </c>
      <c r="X126" t="inlineStr">
        <is>
          <t>1997-08-14</t>
        </is>
      </c>
      <c r="Y126" t="n">
        <v>206</v>
      </c>
      <c r="Z126" t="n">
        <v>202</v>
      </c>
      <c r="AA126" t="n">
        <v>229</v>
      </c>
      <c r="AB126" t="n">
        <v>3</v>
      </c>
      <c r="AC126" t="n">
        <v>3</v>
      </c>
      <c r="AD126" t="n">
        <v>2</v>
      </c>
      <c r="AE126" t="n">
        <v>2</v>
      </c>
      <c r="AF126" t="n">
        <v>1</v>
      </c>
      <c r="AG126" t="n">
        <v>1</v>
      </c>
      <c r="AH126" t="n">
        <v>0</v>
      </c>
      <c r="AI126" t="n">
        <v>0</v>
      </c>
      <c r="AJ126" t="n">
        <v>1</v>
      </c>
      <c r="AK126" t="n">
        <v>1</v>
      </c>
      <c r="AL126" t="n">
        <v>1</v>
      </c>
      <c r="AM126" t="n">
        <v>1</v>
      </c>
      <c r="AN126" t="n">
        <v>0</v>
      </c>
      <c r="AO126" t="n">
        <v>0</v>
      </c>
      <c r="AP126" t="inlineStr">
        <is>
          <t>No</t>
        </is>
      </c>
      <c r="AQ126" t="inlineStr">
        <is>
          <t>Yes</t>
        </is>
      </c>
      <c r="AR126">
        <f>HYPERLINK("http://catalog.hathitrust.org/Record/000978724","HathiTrust Record")</f>
        <v/>
      </c>
      <c r="AS126">
        <f>HYPERLINK("https://creighton-primo.hosted.exlibrisgroup.com/primo-explore/search?tab=default_tab&amp;search_scope=EVERYTHING&amp;vid=01CRU&amp;lang=en_US&amp;offset=0&amp;query=any,contains,991003496269702656","Catalog Record")</f>
        <v/>
      </c>
      <c r="AT126">
        <f>HYPERLINK("http://www.worldcat.org/oclc/1046710","WorldCat Record")</f>
        <v/>
      </c>
      <c r="AU126" t="inlineStr">
        <is>
          <t>2023675:eng</t>
        </is>
      </c>
      <c r="AV126" t="inlineStr">
        <is>
          <t>1046710</t>
        </is>
      </c>
      <c r="AW126" t="inlineStr">
        <is>
          <t>991003496269702656</t>
        </is>
      </c>
      <c r="AX126" t="inlineStr">
        <is>
          <t>991003496269702656</t>
        </is>
      </c>
      <c r="AY126" t="inlineStr">
        <is>
          <t>2266949070002656</t>
        </is>
      </c>
      <c r="AZ126" t="inlineStr">
        <is>
          <t>BOOK</t>
        </is>
      </c>
      <c r="BC126" t="inlineStr">
        <is>
          <t>32285003103412</t>
        </is>
      </c>
      <c r="BD126" t="inlineStr">
        <is>
          <t>893342614</t>
        </is>
      </c>
    </row>
    <row r="127">
      <c r="A127" t="inlineStr">
        <is>
          <t>No</t>
        </is>
      </c>
      <c r="B127" t="inlineStr">
        <is>
          <t>HQ1062 .M65</t>
        </is>
      </c>
      <c r="C127" t="inlineStr">
        <is>
          <t>0                      HQ 1062000M  65</t>
        </is>
      </c>
      <c r="D127" t="inlineStr">
        <is>
          <t>Early retirement -- boon or bane? : A study of three large corporations / Dean W. Morse and Susan H. Gray ; foreword by Eli Ginzberg.</t>
        </is>
      </c>
      <c r="F127" t="inlineStr">
        <is>
          <t>No</t>
        </is>
      </c>
      <c r="G127" t="inlineStr">
        <is>
          <t>1</t>
        </is>
      </c>
      <c r="H127" t="inlineStr">
        <is>
          <t>No</t>
        </is>
      </c>
      <c r="I127" t="inlineStr">
        <is>
          <t>No</t>
        </is>
      </c>
      <c r="J127" t="inlineStr">
        <is>
          <t>0</t>
        </is>
      </c>
      <c r="K127" t="inlineStr">
        <is>
          <t>Morse, Dean.</t>
        </is>
      </c>
      <c r="L127" t="inlineStr">
        <is>
          <t>Montclair, N.J. : Allanheld, Osmun, 1980, 1982 printing.</t>
        </is>
      </c>
      <c r="M127" t="inlineStr">
        <is>
          <t>1980</t>
        </is>
      </c>
      <c r="O127" t="inlineStr">
        <is>
          <t>eng</t>
        </is>
      </c>
      <c r="P127" t="inlineStr">
        <is>
          <t>nju</t>
        </is>
      </c>
      <c r="Q127" t="inlineStr">
        <is>
          <t>Conservation of human resources series ; 14</t>
        </is>
      </c>
      <c r="R127" t="inlineStr">
        <is>
          <t xml:space="preserve">HQ </t>
        </is>
      </c>
      <c r="S127" t="n">
        <v>3</v>
      </c>
      <c r="T127" t="n">
        <v>3</v>
      </c>
      <c r="U127" t="inlineStr">
        <is>
          <t>1993-04-21</t>
        </is>
      </c>
      <c r="V127" t="inlineStr">
        <is>
          <t>1993-04-21</t>
        </is>
      </c>
      <c r="W127" t="inlineStr">
        <is>
          <t>1992-02-24</t>
        </is>
      </c>
      <c r="X127" t="inlineStr">
        <is>
          <t>1992-02-24</t>
        </is>
      </c>
      <c r="Y127" t="n">
        <v>403</v>
      </c>
      <c r="Z127" t="n">
        <v>367</v>
      </c>
      <c r="AA127" t="n">
        <v>380</v>
      </c>
      <c r="AB127" t="n">
        <v>5</v>
      </c>
      <c r="AC127" t="n">
        <v>5</v>
      </c>
      <c r="AD127" t="n">
        <v>18</v>
      </c>
      <c r="AE127" t="n">
        <v>18</v>
      </c>
      <c r="AF127" t="n">
        <v>7</v>
      </c>
      <c r="AG127" t="n">
        <v>7</v>
      </c>
      <c r="AH127" t="n">
        <v>4</v>
      </c>
      <c r="AI127" t="n">
        <v>4</v>
      </c>
      <c r="AJ127" t="n">
        <v>10</v>
      </c>
      <c r="AK127" t="n">
        <v>10</v>
      </c>
      <c r="AL127" t="n">
        <v>3</v>
      </c>
      <c r="AM127" t="n">
        <v>3</v>
      </c>
      <c r="AN127" t="n">
        <v>0</v>
      </c>
      <c r="AO127" t="n">
        <v>0</v>
      </c>
      <c r="AP127" t="inlineStr">
        <is>
          <t>No</t>
        </is>
      </c>
      <c r="AQ127" t="inlineStr">
        <is>
          <t>Yes</t>
        </is>
      </c>
      <c r="AR127">
        <f>HYPERLINK("http://catalog.hathitrust.org/Record/006233838","HathiTrust Record")</f>
        <v/>
      </c>
      <c r="AS127">
        <f>HYPERLINK("https://creighton-primo.hosted.exlibrisgroup.com/primo-explore/search?tab=default_tab&amp;search_scope=EVERYTHING&amp;vid=01CRU&amp;lang=en_US&amp;offset=0&amp;query=any,contains,991004968329702656","Catalog Record")</f>
        <v/>
      </c>
      <c r="AT127">
        <f>HYPERLINK("http://www.worldcat.org/oclc/6355503","WorldCat Record")</f>
        <v/>
      </c>
      <c r="AU127" t="inlineStr">
        <is>
          <t>197236944:eng</t>
        </is>
      </c>
      <c r="AV127" t="inlineStr">
        <is>
          <t>6355503</t>
        </is>
      </c>
      <c r="AW127" t="inlineStr">
        <is>
          <t>991004968329702656</t>
        </is>
      </c>
      <c r="AX127" t="inlineStr">
        <is>
          <t>991004968329702656</t>
        </is>
      </c>
      <c r="AY127" t="inlineStr">
        <is>
          <t>2256656090002656</t>
        </is>
      </c>
      <c r="AZ127" t="inlineStr">
        <is>
          <t>BOOK</t>
        </is>
      </c>
      <c r="BB127" t="inlineStr">
        <is>
          <t>9780916672447</t>
        </is>
      </c>
      <c r="BC127" t="inlineStr">
        <is>
          <t>32285000974922</t>
        </is>
      </c>
      <c r="BD127" t="inlineStr">
        <is>
          <t>893236113</t>
        </is>
      </c>
    </row>
    <row r="128">
      <c r="A128" t="inlineStr">
        <is>
          <t>No</t>
        </is>
      </c>
      <c r="B128" t="inlineStr">
        <is>
          <t>HQ1062 .O48</t>
        </is>
      </c>
      <c r="C128" t="inlineStr">
        <is>
          <t>0                      HQ 1062000O  48</t>
        </is>
      </c>
      <c r="D128" t="inlineStr">
        <is>
          <t>Retirement : reward or rejection? / [By J. Roger O'Meara].</t>
        </is>
      </c>
      <c r="F128" t="inlineStr">
        <is>
          <t>No</t>
        </is>
      </c>
      <c r="G128" t="inlineStr">
        <is>
          <t>1</t>
        </is>
      </c>
      <c r="H128" t="inlineStr">
        <is>
          <t>No</t>
        </is>
      </c>
      <c r="I128" t="inlineStr">
        <is>
          <t>No</t>
        </is>
      </c>
      <c r="J128" t="inlineStr">
        <is>
          <t>0</t>
        </is>
      </c>
      <c r="K128" t="inlineStr">
        <is>
          <t>O'Meara, John Roger.</t>
        </is>
      </c>
      <c r="L128" t="inlineStr">
        <is>
          <t>New York : Conference Board, c1977.</t>
        </is>
      </c>
      <c r="M128" t="inlineStr">
        <is>
          <t>1977</t>
        </is>
      </c>
      <c r="O128" t="inlineStr">
        <is>
          <t>eng</t>
        </is>
      </c>
      <c r="P128" t="inlineStr">
        <is>
          <t>nyu</t>
        </is>
      </c>
      <c r="Q128" t="inlineStr">
        <is>
          <t>Conference Board report ; no. 713</t>
        </is>
      </c>
      <c r="R128" t="inlineStr">
        <is>
          <t xml:space="preserve">HQ </t>
        </is>
      </c>
      <c r="S128" t="n">
        <v>1</v>
      </c>
      <c r="T128" t="n">
        <v>1</v>
      </c>
      <c r="U128" t="inlineStr">
        <is>
          <t>2000-11-19</t>
        </is>
      </c>
      <c r="V128" t="inlineStr">
        <is>
          <t>2000-11-19</t>
        </is>
      </c>
      <c r="W128" t="inlineStr">
        <is>
          <t>1997-08-14</t>
        </is>
      </c>
      <c r="X128" t="inlineStr">
        <is>
          <t>1997-08-14</t>
        </is>
      </c>
      <c r="Y128" t="n">
        <v>278</v>
      </c>
      <c r="Z128" t="n">
        <v>250</v>
      </c>
      <c r="AA128" t="n">
        <v>250</v>
      </c>
      <c r="AB128" t="n">
        <v>2</v>
      </c>
      <c r="AC128" t="n">
        <v>2</v>
      </c>
      <c r="AD128" t="n">
        <v>13</v>
      </c>
      <c r="AE128" t="n">
        <v>13</v>
      </c>
      <c r="AF128" t="n">
        <v>4</v>
      </c>
      <c r="AG128" t="n">
        <v>4</v>
      </c>
      <c r="AH128" t="n">
        <v>4</v>
      </c>
      <c r="AI128" t="n">
        <v>4</v>
      </c>
      <c r="AJ128" t="n">
        <v>7</v>
      </c>
      <c r="AK128" t="n">
        <v>7</v>
      </c>
      <c r="AL128" t="n">
        <v>1</v>
      </c>
      <c r="AM128" t="n">
        <v>1</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HYPERLINK("https://creighton-primo.hosted.exlibrisgroup.com/primo-explore/search?tab=default_tab&amp;search_scope=EVERYTHING&amp;vid=01CRU&amp;lang=en_US&amp;offset=0&amp;query=any,contains,991004392869702656","Catalog Record")</f>
        <v/>
      </c>
      <c r="AT128">
        <f>HYPERLINK("http://www.worldcat.org/oclc/3273469","WorldCat Record")</f>
        <v/>
      </c>
      <c r="AU128" t="inlineStr">
        <is>
          <t>203180269:eng</t>
        </is>
      </c>
      <c r="AV128" t="inlineStr">
        <is>
          <t>3273469</t>
        </is>
      </c>
      <c r="AW128" t="inlineStr">
        <is>
          <t>991004392869702656</t>
        </is>
      </c>
      <c r="AX128" t="inlineStr">
        <is>
          <t>991004392869702656</t>
        </is>
      </c>
      <c r="AY128" t="inlineStr">
        <is>
          <t>2263028540002656</t>
        </is>
      </c>
      <c r="AZ128" t="inlineStr">
        <is>
          <t>BOOK</t>
        </is>
      </c>
      <c r="BB128" t="inlineStr">
        <is>
          <t>9780823701452</t>
        </is>
      </c>
      <c r="BC128" t="inlineStr">
        <is>
          <t>32285003103420</t>
        </is>
      </c>
      <c r="BD128" t="inlineStr">
        <is>
          <t>893235441</t>
        </is>
      </c>
    </row>
    <row r="129">
      <c r="A129" t="inlineStr">
        <is>
          <t>No</t>
        </is>
      </c>
      <c r="B129" t="inlineStr">
        <is>
          <t>HQ1062 .R38 1985</t>
        </is>
      </c>
      <c r="C129" t="inlineStr">
        <is>
          <t>0                      HQ 1062000R  38          1985</t>
        </is>
      </c>
      <c r="D129" t="inlineStr">
        <is>
          <t>Retirement among American men / Herbert S. Parnes ... [et al.] ; the Ohio State University, Center for Human Resource Research.</t>
        </is>
      </c>
      <c r="F129" t="inlineStr">
        <is>
          <t>No</t>
        </is>
      </c>
      <c r="G129" t="inlineStr">
        <is>
          <t>1</t>
        </is>
      </c>
      <c r="H129" t="inlineStr">
        <is>
          <t>No</t>
        </is>
      </c>
      <c r="I129" t="inlineStr">
        <is>
          <t>No</t>
        </is>
      </c>
      <c r="J129" t="inlineStr">
        <is>
          <t>0</t>
        </is>
      </c>
      <c r="L129" t="inlineStr">
        <is>
          <t>Lexington, Mass. : Lexington Books, c1985.</t>
        </is>
      </c>
      <c r="M129" t="inlineStr">
        <is>
          <t>1985</t>
        </is>
      </c>
      <c r="O129" t="inlineStr">
        <is>
          <t>eng</t>
        </is>
      </c>
      <c r="P129" t="inlineStr">
        <is>
          <t>mau</t>
        </is>
      </c>
      <c r="R129" t="inlineStr">
        <is>
          <t xml:space="preserve">HQ </t>
        </is>
      </c>
      <c r="S129" t="n">
        <v>2</v>
      </c>
      <c r="T129" t="n">
        <v>2</v>
      </c>
      <c r="U129" t="inlineStr">
        <is>
          <t>1995-04-18</t>
        </is>
      </c>
      <c r="V129" t="inlineStr">
        <is>
          <t>1995-04-18</t>
        </is>
      </c>
      <c r="W129" t="inlineStr">
        <is>
          <t>1990-04-09</t>
        </is>
      </c>
      <c r="X129" t="inlineStr">
        <is>
          <t>1990-04-09</t>
        </is>
      </c>
      <c r="Y129" t="n">
        <v>529</v>
      </c>
      <c r="Z129" t="n">
        <v>479</v>
      </c>
      <c r="AA129" t="n">
        <v>482</v>
      </c>
      <c r="AB129" t="n">
        <v>4</v>
      </c>
      <c r="AC129" t="n">
        <v>4</v>
      </c>
      <c r="AD129" t="n">
        <v>21</v>
      </c>
      <c r="AE129" t="n">
        <v>21</v>
      </c>
      <c r="AF129" t="n">
        <v>5</v>
      </c>
      <c r="AG129" t="n">
        <v>5</v>
      </c>
      <c r="AH129" t="n">
        <v>8</v>
      </c>
      <c r="AI129" t="n">
        <v>8</v>
      </c>
      <c r="AJ129" t="n">
        <v>12</v>
      </c>
      <c r="AK129" t="n">
        <v>12</v>
      </c>
      <c r="AL129" t="n">
        <v>3</v>
      </c>
      <c r="AM129" t="n">
        <v>3</v>
      </c>
      <c r="AN129" t="n">
        <v>0</v>
      </c>
      <c r="AO129" t="n">
        <v>0</v>
      </c>
      <c r="AP129" t="inlineStr">
        <is>
          <t>No</t>
        </is>
      </c>
      <c r="AQ129" t="inlineStr">
        <is>
          <t>Yes</t>
        </is>
      </c>
      <c r="AR129">
        <f>HYPERLINK("http://catalog.hathitrust.org/Record/000654453","HathiTrust Record")</f>
        <v/>
      </c>
      <c r="AS129">
        <f>HYPERLINK("https://creighton-primo.hosted.exlibrisgroup.com/primo-explore/search?tab=default_tab&amp;search_scope=EVERYTHING&amp;vid=01CRU&amp;lang=en_US&amp;offset=0&amp;query=any,contains,991000618769702656","Catalog Record")</f>
        <v/>
      </c>
      <c r="AT129">
        <f>HYPERLINK("http://www.worldcat.org/oclc/11970322","WorldCat Record")</f>
        <v/>
      </c>
      <c r="AU129" t="inlineStr">
        <is>
          <t>429610978:eng</t>
        </is>
      </c>
      <c r="AV129" t="inlineStr">
        <is>
          <t>11970322</t>
        </is>
      </c>
      <c r="AW129" t="inlineStr">
        <is>
          <t>991000618769702656</t>
        </is>
      </c>
      <c r="AX129" t="inlineStr">
        <is>
          <t>991000618769702656</t>
        </is>
      </c>
      <c r="AY129" t="inlineStr">
        <is>
          <t>2256508480002656</t>
        </is>
      </c>
      <c r="AZ129" t="inlineStr">
        <is>
          <t>BOOK</t>
        </is>
      </c>
      <c r="BB129" t="inlineStr">
        <is>
          <t>9780669103342</t>
        </is>
      </c>
      <c r="BC129" t="inlineStr">
        <is>
          <t>32285000112689</t>
        </is>
      </c>
      <c r="BD129" t="inlineStr">
        <is>
          <t>893351589</t>
        </is>
      </c>
    </row>
    <row r="130">
      <c r="A130" t="inlineStr">
        <is>
          <t>No</t>
        </is>
      </c>
      <c r="B130" t="inlineStr">
        <is>
          <t>HQ1062 .R43 1984</t>
        </is>
      </c>
      <c r="C130" t="inlineStr">
        <is>
          <t>0                      HQ 1062000R  43          1984</t>
        </is>
      </c>
      <c r="D130" t="inlineStr">
        <is>
          <t>Retirement and economic behavior / Henry J. Aaron and Gary Burtless, editors.</t>
        </is>
      </c>
      <c r="F130" t="inlineStr">
        <is>
          <t>No</t>
        </is>
      </c>
      <c r="G130" t="inlineStr">
        <is>
          <t>1</t>
        </is>
      </c>
      <c r="H130" t="inlineStr">
        <is>
          <t>No</t>
        </is>
      </c>
      <c r="I130" t="inlineStr">
        <is>
          <t>No</t>
        </is>
      </c>
      <c r="J130" t="inlineStr">
        <is>
          <t>0</t>
        </is>
      </c>
      <c r="L130" t="inlineStr">
        <is>
          <t>Washington, D.C. : Brookings, 1984.</t>
        </is>
      </c>
      <c r="M130" t="inlineStr">
        <is>
          <t>1984</t>
        </is>
      </c>
      <c r="O130" t="inlineStr">
        <is>
          <t>eng</t>
        </is>
      </c>
      <c r="P130" t="inlineStr">
        <is>
          <t>dcu</t>
        </is>
      </c>
      <c r="Q130" t="inlineStr">
        <is>
          <t>Studies in social economics</t>
        </is>
      </c>
      <c r="R130" t="inlineStr">
        <is>
          <t xml:space="preserve">HQ </t>
        </is>
      </c>
      <c r="S130" t="n">
        <v>1</v>
      </c>
      <c r="T130" t="n">
        <v>1</v>
      </c>
      <c r="U130" t="inlineStr">
        <is>
          <t>1995-04-18</t>
        </is>
      </c>
      <c r="V130" t="inlineStr">
        <is>
          <t>1995-04-18</t>
        </is>
      </c>
      <c r="W130" t="inlineStr">
        <is>
          <t>1992-04-16</t>
        </is>
      </c>
      <c r="X130" t="inlineStr">
        <is>
          <t>1992-04-16</t>
        </is>
      </c>
      <c r="Y130" t="n">
        <v>619</v>
      </c>
      <c r="Z130" t="n">
        <v>534</v>
      </c>
      <c r="AA130" t="n">
        <v>540</v>
      </c>
      <c r="AB130" t="n">
        <v>5</v>
      </c>
      <c r="AC130" t="n">
        <v>5</v>
      </c>
      <c r="AD130" t="n">
        <v>26</v>
      </c>
      <c r="AE130" t="n">
        <v>26</v>
      </c>
      <c r="AF130" t="n">
        <v>8</v>
      </c>
      <c r="AG130" t="n">
        <v>8</v>
      </c>
      <c r="AH130" t="n">
        <v>6</v>
      </c>
      <c r="AI130" t="n">
        <v>6</v>
      </c>
      <c r="AJ130" t="n">
        <v>13</v>
      </c>
      <c r="AK130" t="n">
        <v>13</v>
      </c>
      <c r="AL130" t="n">
        <v>3</v>
      </c>
      <c r="AM130" t="n">
        <v>3</v>
      </c>
      <c r="AN130" t="n">
        <v>2</v>
      </c>
      <c r="AO130" t="n">
        <v>2</v>
      </c>
      <c r="AP130" t="inlineStr">
        <is>
          <t>No</t>
        </is>
      </c>
      <c r="AQ130" t="inlineStr">
        <is>
          <t>No</t>
        </is>
      </c>
      <c r="AS130">
        <f>HYPERLINK("https://creighton-primo.hosted.exlibrisgroup.com/primo-explore/search?tab=default_tab&amp;search_scope=EVERYTHING&amp;vid=01CRU&amp;lang=en_US&amp;offset=0&amp;query=any,contains,991000365849702656","Catalog Record")</f>
        <v/>
      </c>
      <c r="AT130">
        <f>HYPERLINK("http://www.worldcat.org/oclc/10402768","WorldCat Record")</f>
        <v/>
      </c>
      <c r="AU130" t="inlineStr">
        <is>
          <t>351997735:eng</t>
        </is>
      </c>
      <c r="AV130" t="inlineStr">
        <is>
          <t>10402768</t>
        </is>
      </c>
      <c r="AW130" t="inlineStr">
        <is>
          <t>991000365849702656</t>
        </is>
      </c>
      <c r="AX130" t="inlineStr">
        <is>
          <t>991000365849702656</t>
        </is>
      </c>
      <c r="AY130" t="inlineStr">
        <is>
          <t>2269271160002656</t>
        </is>
      </c>
      <c r="AZ130" t="inlineStr">
        <is>
          <t>BOOK</t>
        </is>
      </c>
      <c r="BB130" t="inlineStr">
        <is>
          <t>9780815700357</t>
        </is>
      </c>
      <c r="BC130" t="inlineStr">
        <is>
          <t>32285001044683</t>
        </is>
      </c>
      <c r="BD130" t="inlineStr">
        <is>
          <t>893508705</t>
        </is>
      </c>
    </row>
    <row r="131">
      <c r="A131" t="inlineStr">
        <is>
          <t>No</t>
        </is>
      </c>
      <c r="B131" t="inlineStr">
        <is>
          <t>HQ1062 .R444</t>
        </is>
      </c>
      <c r="C131" t="inlineStr">
        <is>
          <t>0                      HQ 1062000R  444</t>
        </is>
      </c>
      <c r="D131" t="inlineStr">
        <is>
          <t>Retirement policy in an aging society / edited by Robert L. Clark.</t>
        </is>
      </c>
      <c r="F131" t="inlineStr">
        <is>
          <t>No</t>
        </is>
      </c>
      <c r="G131" t="inlineStr">
        <is>
          <t>1</t>
        </is>
      </c>
      <c r="H131" t="inlineStr">
        <is>
          <t>No</t>
        </is>
      </c>
      <c r="I131" t="inlineStr">
        <is>
          <t>No</t>
        </is>
      </c>
      <c r="J131" t="inlineStr">
        <is>
          <t>0</t>
        </is>
      </c>
      <c r="L131" t="inlineStr">
        <is>
          <t>Durham, N.C. : Duke University Press, 1980.</t>
        </is>
      </c>
      <c r="M131" t="inlineStr">
        <is>
          <t>1980</t>
        </is>
      </c>
      <c r="O131" t="inlineStr">
        <is>
          <t>eng</t>
        </is>
      </c>
      <c r="P131" t="inlineStr">
        <is>
          <t>ncu</t>
        </is>
      </c>
      <c r="R131" t="inlineStr">
        <is>
          <t xml:space="preserve">HQ </t>
        </is>
      </c>
      <c r="S131" t="n">
        <v>6</v>
      </c>
      <c r="T131" t="n">
        <v>6</v>
      </c>
      <c r="U131" t="inlineStr">
        <is>
          <t>1996-05-02</t>
        </is>
      </c>
      <c r="V131" t="inlineStr">
        <is>
          <t>1996-05-02</t>
        </is>
      </c>
      <c r="W131" t="inlineStr">
        <is>
          <t>1990-03-28</t>
        </is>
      </c>
      <c r="X131" t="inlineStr">
        <is>
          <t>1990-03-28</t>
        </is>
      </c>
      <c r="Y131" t="n">
        <v>531</v>
      </c>
      <c r="Z131" t="n">
        <v>449</v>
      </c>
      <c r="AA131" t="n">
        <v>457</v>
      </c>
      <c r="AB131" t="n">
        <v>3</v>
      </c>
      <c r="AC131" t="n">
        <v>3</v>
      </c>
      <c r="AD131" t="n">
        <v>16</v>
      </c>
      <c r="AE131" t="n">
        <v>16</v>
      </c>
      <c r="AF131" t="n">
        <v>3</v>
      </c>
      <c r="AG131" t="n">
        <v>3</v>
      </c>
      <c r="AH131" t="n">
        <v>4</v>
      </c>
      <c r="AI131" t="n">
        <v>4</v>
      </c>
      <c r="AJ131" t="n">
        <v>10</v>
      </c>
      <c r="AK131" t="n">
        <v>10</v>
      </c>
      <c r="AL131" t="n">
        <v>2</v>
      </c>
      <c r="AM131" t="n">
        <v>2</v>
      </c>
      <c r="AN131" t="n">
        <v>1</v>
      </c>
      <c r="AO131" t="n">
        <v>1</v>
      </c>
      <c r="AP131" t="inlineStr">
        <is>
          <t>No</t>
        </is>
      </c>
      <c r="AQ131" t="inlineStr">
        <is>
          <t>Yes</t>
        </is>
      </c>
      <c r="AR131">
        <f>HYPERLINK("http://catalog.hathitrust.org/Record/000086315","HathiTrust Record")</f>
        <v/>
      </c>
      <c r="AS131">
        <f>HYPERLINK("https://creighton-primo.hosted.exlibrisgroup.com/primo-explore/search?tab=default_tab&amp;search_scope=EVERYTHING&amp;vid=01CRU&amp;lang=en_US&amp;offset=0&amp;query=any,contains,991004979479702656","Catalog Record")</f>
        <v/>
      </c>
      <c r="AT131">
        <f>HYPERLINK("http://www.worldcat.org/oclc/6421285","WorldCat Record")</f>
        <v/>
      </c>
      <c r="AU131" t="inlineStr">
        <is>
          <t>352004425:eng</t>
        </is>
      </c>
      <c r="AV131" t="inlineStr">
        <is>
          <t>6421285</t>
        </is>
      </c>
      <c r="AW131" t="inlineStr">
        <is>
          <t>991004979479702656</t>
        </is>
      </c>
      <c r="AX131" t="inlineStr">
        <is>
          <t>991004979479702656</t>
        </is>
      </c>
      <c r="AY131" t="inlineStr">
        <is>
          <t>2270474130002656</t>
        </is>
      </c>
      <c r="AZ131" t="inlineStr">
        <is>
          <t>BOOK</t>
        </is>
      </c>
      <c r="BC131" t="inlineStr">
        <is>
          <t>32285000099993</t>
        </is>
      </c>
      <c r="BD131" t="inlineStr">
        <is>
          <t>893338338</t>
        </is>
      </c>
    </row>
    <row r="132">
      <c r="A132" t="inlineStr">
        <is>
          <t>No</t>
        </is>
      </c>
      <c r="B132" t="inlineStr">
        <is>
          <t>HQ1063.2.U6 B44 1999</t>
        </is>
      </c>
      <c r="C132" t="inlineStr">
        <is>
          <t>0                      HQ 1063200U  6                  B  44          1999</t>
        </is>
      </c>
      <c r="D132" t="inlineStr">
        <is>
          <t>Behavioral dimensions of retirement economics / Henry J. Aaron, editor.</t>
        </is>
      </c>
      <c r="F132" t="inlineStr">
        <is>
          <t>No</t>
        </is>
      </c>
      <c r="G132" t="inlineStr">
        <is>
          <t>1</t>
        </is>
      </c>
      <c r="H132" t="inlineStr">
        <is>
          <t>No</t>
        </is>
      </c>
      <c r="I132" t="inlineStr">
        <is>
          <t>No</t>
        </is>
      </c>
      <c r="J132" t="inlineStr">
        <is>
          <t>0</t>
        </is>
      </c>
      <c r="L132" t="inlineStr">
        <is>
          <t>Washington D.C. : Brookings Institution Press ; New York : Russell Sage Foundation, c1999.</t>
        </is>
      </c>
      <c r="M132" t="inlineStr">
        <is>
          <t>1999</t>
        </is>
      </c>
      <c r="O132" t="inlineStr">
        <is>
          <t>eng</t>
        </is>
      </c>
      <c r="P132" t="inlineStr">
        <is>
          <t>dcu</t>
        </is>
      </c>
      <c r="R132" t="inlineStr">
        <is>
          <t xml:space="preserve">HQ </t>
        </is>
      </c>
      <c r="S132" t="n">
        <v>2</v>
      </c>
      <c r="T132" t="n">
        <v>2</v>
      </c>
      <c r="U132" t="inlineStr">
        <is>
          <t>2000-01-22</t>
        </is>
      </c>
      <c r="V132" t="inlineStr">
        <is>
          <t>2000-01-22</t>
        </is>
      </c>
      <c r="W132" t="inlineStr">
        <is>
          <t>1999-11-09</t>
        </is>
      </c>
      <c r="X132" t="inlineStr">
        <is>
          <t>1999-11-09</t>
        </is>
      </c>
      <c r="Y132" t="n">
        <v>470</v>
      </c>
      <c r="Z132" t="n">
        <v>405</v>
      </c>
      <c r="AA132" t="n">
        <v>405</v>
      </c>
      <c r="AB132" t="n">
        <v>4</v>
      </c>
      <c r="AC132" t="n">
        <v>4</v>
      </c>
      <c r="AD132" t="n">
        <v>23</v>
      </c>
      <c r="AE132" t="n">
        <v>23</v>
      </c>
      <c r="AF132" t="n">
        <v>8</v>
      </c>
      <c r="AG132" t="n">
        <v>8</v>
      </c>
      <c r="AH132" t="n">
        <v>5</v>
      </c>
      <c r="AI132" t="n">
        <v>5</v>
      </c>
      <c r="AJ132" t="n">
        <v>11</v>
      </c>
      <c r="AK132" t="n">
        <v>11</v>
      </c>
      <c r="AL132" t="n">
        <v>3</v>
      </c>
      <c r="AM132" t="n">
        <v>3</v>
      </c>
      <c r="AN132" t="n">
        <v>2</v>
      </c>
      <c r="AO132" t="n">
        <v>2</v>
      </c>
      <c r="AP132" t="inlineStr">
        <is>
          <t>No</t>
        </is>
      </c>
      <c r="AQ132" t="inlineStr">
        <is>
          <t>No</t>
        </is>
      </c>
      <c r="AS132">
        <f>HYPERLINK("https://creighton-primo.hosted.exlibrisgroup.com/primo-explore/search?tab=default_tab&amp;search_scope=EVERYTHING&amp;vid=01CRU&amp;lang=en_US&amp;offset=0&amp;query=any,contains,991003032099702656","Catalog Record")</f>
        <v/>
      </c>
      <c r="AT132">
        <f>HYPERLINK("http://www.worldcat.org/oclc/41548555","WorldCat Record")</f>
        <v/>
      </c>
      <c r="AU132" t="inlineStr">
        <is>
          <t>44638576:eng</t>
        </is>
      </c>
      <c r="AV132" t="inlineStr">
        <is>
          <t>41548555</t>
        </is>
      </c>
      <c r="AW132" t="inlineStr">
        <is>
          <t>991003032099702656</t>
        </is>
      </c>
      <c r="AX132" t="inlineStr">
        <is>
          <t>991003032099702656</t>
        </is>
      </c>
      <c r="AY132" t="inlineStr">
        <is>
          <t>2257499960002656</t>
        </is>
      </c>
      <c r="AZ132" t="inlineStr">
        <is>
          <t>BOOK</t>
        </is>
      </c>
      <c r="BB132" t="inlineStr">
        <is>
          <t>9780815700630</t>
        </is>
      </c>
      <c r="BC132" t="inlineStr">
        <is>
          <t>32285003620092</t>
        </is>
      </c>
      <c r="BD132" t="inlineStr">
        <is>
          <t>893799310</t>
        </is>
      </c>
    </row>
    <row r="133">
      <c r="A133" t="inlineStr">
        <is>
          <t>No</t>
        </is>
      </c>
      <c r="B133" t="inlineStr">
        <is>
          <t>HQ1063.2.U6 B67 2008</t>
        </is>
      </c>
      <c r="C133" t="inlineStr">
        <is>
          <t>0                      HQ 1063200U  6                  B  67          2008</t>
        </is>
      </c>
      <c r="D133" t="inlineStr">
        <is>
          <t>The joy of retirement : finding happiness, freedom, and the life you've always wanted / David C. Borchard with Patricia A. Donohoe.</t>
        </is>
      </c>
      <c r="F133" t="inlineStr">
        <is>
          <t>No</t>
        </is>
      </c>
      <c r="G133" t="inlineStr">
        <is>
          <t>1</t>
        </is>
      </c>
      <c r="H133" t="inlineStr">
        <is>
          <t>No</t>
        </is>
      </c>
      <c r="I133" t="inlineStr">
        <is>
          <t>No</t>
        </is>
      </c>
      <c r="J133" t="inlineStr">
        <is>
          <t>0</t>
        </is>
      </c>
      <c r="K133" t="inlineStr">
        <is>
          <t>Borchard, David C.</t>
        </is>
      </c>
      <c r="L133" t="inlineStr">
        <is>
          <t>New York : AMACOM, c2008.</t>
        </is>
      </c>
      <c r="M133" t="inlineStr">
        <is>
          <t>2008</t>
        </is>
      </c>
      <c r="O133" t="inlineStr">
        <is>
          <t>eng</t>
        </is>
      </c>
      <c r="P133" t="inlineStr">
        <is>
          <t>nyu</t>
        </is>
      </c>
      <c r="R133" t="inlineStr">
        <is>
          <t xml:space="preserve">HQ </t>
        </is>
      </c>
      <c r="S133" t="n">
        <v>3</v>
      </c>
      <c r="T133" t="n">
        <v>3</v>
      </c>
      <c r="U133" t="inlineStr">
        <is>
          <t>2010-07-21</t>
        </is>
      </c>
      <c r="V133" t="inlineStr">
        <is>
          <t>2010-07-21</t>
        </is>
      </c>
      <c r="W133" t="inlineStr">
        <is>
          <t>2008-04-14</t>
        </is>
      </c>
      <c r="X133" t="inlineStr">
        <is>
          <t>2008-04-14</t>
        </is>
      </c>
      <c r="Y133" t="n">
        <v>311</v>
      </c>
      <c r="Z133" t="n">
        <v>276</v>
      </c>
      <c r="AA133" t="n">
        <v>1029</v>
      </c>
      <c r="AB133" t="n">
        <v>6</v>
      </c>
      <c r="AC133" t="n">
        <v>25</v>
      </c>
      <c r="AD133" t="n">
        <v>1</v>
      </c>
      <c r="AE133" t="n">
        <v>21</v>
      </c>
      <c r="AF133" t="n">
        <v>0</v>
      </c>
      <c r="AG133" t="n">
        <v>5</v>
      </c>
      <c r="AH133" t="n">
        <v>0</v>
      </c>
      <c r="AI133" t="n">
        <v>3</v>
      </c>
      <c r="AJ133" t="n">
        <v>0</v>
      </c>
      <c r="AK133" t="n">
        <v>4</v>
      </c>
      <c r="AL133" t="n">
        <v>1</v>
      </c>
      <c r="AM133" t="n">
        <v>11</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HYPERLINK("https://creighton-primo.hosted.exlibrisgroup.com/primo-explore/search?tab=default_tab&amp;search_scope=EVERYTHING&amp;vid=01CRU&amp;lang=en_US&amp;offset=0&amp;query=any,contains,991005205479702656","Catalog Record")</f>
        <v/>
      </c>
      <c r="AT133">
        <f>HYPERLINK("http://www.worldcat.org/oclc/183265110","WorldCat Record")</f>
        <v/>
      </c>
      <c r="AU133" t="inlineStr">
        <is>
          <t>802946717:eng</t>
        </is>
      </c>
      <c r="AV133" t="inlineStr">
        <is>
          <t>183265110</t>
        </is>
      </c>
      <c r="AW133" t="inlineStr">
        <is>
          <t>991005205479702656</t>
        </is>
      </c>
      <c r="AX133" t="inlineStr">
        <is>
          <t>991005205479702656</t>
        </is>
      </c>
      <c r="AY133" t="inlineStr">
        <is>
          <t>2270222810002656</t>
        </is>
      </c>
      <c r="AZ133" t="inlineStr">
        <is>
          <t>BOOK</t>
        </is>
      </c>
      <c r="BB133" t="inlineStr">
        <is>
          <t>9780814480564</t>
        </is>
      </c>
      <c r="BC133" t="inlineStr">
        <is>
          <t>32285005402374</t>
        </is>
      </c>
      <c r="BD133" t="inlineStr">
        <is>
          <t>893594658</t>
        </is>
      </c>
    </row>
    <row r="134">
      <c r="A134" t="inlineStr">
        <is>
          <t>No</t>
        </is>
      </c>
      <c r="B134" t="inlineStr">
        <is>
          <t>HQ1063.2.U6 D55 1998</t>
        </is>
      </c>
      <c r="C134" t="inlineStr">
        <is>
          <t>0                      HQ 1063200U  6                  D  55          1998</t>
        </is>
      </c>
      <c r="D134" t="inlineStr">
        <is>
          <t>How to plan for a secure retirement / Barry Dickman, Trudy Lieberman, Elias Zuckerman and the editors of Consumer Reports Books.</t>
        </is>
      </c>
      <c r="F134" t="inlineStr">
        <is>
          <t>No</t>
        </is>
      </c>
      <c r="G134" t="inlineStr">
        <is>
          <t>1</t>
        </is>
      </c>
      <c r="H134" t="inlineStr">
        <is>
          <t>No</t>
        </is>
      </c>
      <c r="I134" t="inlineStr">
        <is>
          <t>No</t>
        </is>
      </c>
      <c r="J134" t="inlineStr">
        <is>
          <t>0</t>
        </is>
      </c>
      <c r="K134" t="inlineStr">
        <is>
          <t>Dickman, Barry.</t>
        </is>
      </c>
      <c r="L134" t="inlineStr">
        <is>
          <t>Yonkers, N.Y. : Consumer Reports Books, c1998.</t>
        </is>
      </c>
      <c r="M134" t="inlineStr">
        <is>
          <t>1998</t>
        </is>
      </c>
      <c r="N134" t="inlineStr">
        <is>
          <t>Completely rev, and updated.</t>
        </is>
      </c>
      <c r="O134" t="inlineStr">
        <is>
          <t>eng</t>
        </is>
      </c>
      <c r="P134" t="inlineStr">
        <is>
          <t>nyu</t>
        </is>
      </c>
      <c r="R134" t="inlineStr">
        <is>
          <t xml:space="preserve">HQ </t>
        </is>
      </c>
      <c r="S134" t="n">
        <v>3</v>
      </c>
      <c r="T134" t="n">
        <v>3</v>
      </c>
      <c r="U134" t="inlineStr">
        <is>
          <t>2010-07-21</t>
        </is>
      </c>
      <c r="V134" t="inlineStr">
        <is>
          <t>2010-07-21</t>
        </is>
      </c>
      <c r="W134" t="inlineStr">
        <is>
          <t>1999-04-19</t>
        </is>
      </c>
      <c r="X134" t="inlineStr">
        <is>
          <t>1999-04-19</t>
        </is>
      </c>
      <c r="Y134" t="n">
        <v>115</v>
      </c>
      <c r="Z134" t="n">
        <v>115</v>
      </c>
      <c r="AA134" t="n">
        <v>383</v>
      </c>
      <c r="AB134" t="n">
        <v>1</v>
      </c>
      <c r="AC134" t="n">
        <v>1</v>
      </c>
      <c r="AD134" t="n">
        <v>0</v>
      </c>
      <c r="AE134" t="n">
        <v>3</v>
      </c>
      <c r="AF134" t="n">
        <v>0</v>
      </c>
      <c r="AG134" t="n">
        <v>0</v>
      </c>
      <c r="AH134" t="n">
        <v>0</v>
      </c>
      <c r="AI134" t="n">
        <v>0</v>
      </c>
      <c r="AJ134" t="n">
        <v>0</v>
      </c>
      <c r="AK134" t="n">
        <v>2</v>
      </c>
      <c r="AL134" t="n">
        <v>0</v>
      </c>
      <c r="AM134" t="n">
        <v>0</v>
      </c>
      <c r="AN134" t="n">
        <v>0</v>
      </c>
      <c r="AO134" t="n">
        <v>1</v>
      </c>
      <c r="AP134" t="inlineStr">
        <is>
          <t>No</t>
        </is>
      </c>
      <c r="AQ134" t="inlineStr">
        <is>
          <t>Yes</t>
        </is>
      </c>
      <c r="AR134">
        <f>HYPERLINK("http://catalog.hathitrust.org/Record/010617186","HathiTrust Record")</f>
        <v/>
      </c>
      <c r="AS134">
        <f>HYPERLINK("https://creighton-primo.hosted.exlibrisgroup.com/primo-explore/search?tab=default_tab&amp;search_scope=EVERYTHING&amp;vid=01CRU&amp;lang=en_US&amp;offset=0&amp;query=any,contains,991002993629702656","Catalog Record")</f>
        <v/>
      </c>
      <c r="AT134">
        <f>HYPERLINK("http://www.worldcat.org/oclc/40447646","WorldCat Record")</f>
        <v/>
      </c>
      <c r="AU134" t="inlineStr">
        <is>
          <t>26295891:eng</t>
        </is>
      </c>
      <c r="AV134" t="inlineStr">
        <is>
          <t>40447646</t>
        </is>
      </c>
      <c r="AW134" t="inlineStr">
        <is>
          <t>991002993629702656</t>
        </is>
      </c>
      <c r="AX134" t="inlineStr">
        <is>
          <t>991002993629702656</t>
        </is>
      </c>
      <c r="AY134" t="inlineStr">
        <is>
          <t>2266985580002656</t>
        </is>
      </c>
      <c r="AZ134" t="inlineStr">
        <is>
          <t>BOOK</t>
        </is>
      </c>
      <c r="BB134" t="inlineStr">
        <is>
          <t>9780890438893</t>
        </is>
      </c>
      <c r="BC134" t="inlineStr">
        <is>
          <t>32285003553848</t>
        </is>
      </c>
      <c r="BD134" t="inlineStr">
        <is>
          <t>893530739</t>
        </is>
      </c>
    </row>
    <row r="135">
      <c r="A135" t="inlineStr">
        <is>
          <t>No</t>
        </is>
      </c>
      <c r="B135" t="inlineStr">
        <is>
          <t>HQ1063.2.U6 S395 2006</t>
        </is>
      </c>
      <c r="C135" t="inlineStr">
        <is>
          <t>0                      HQ 1063200U  6                  S  395         2006</t>
        </is>
      </c>
      <c r="D135" t="inlineStr">
        <is>
          <t>Aging nation : the economics and politics of growing older in America / James H. Schulz and Robert H. Binstock.</t>
        </is>
      </c>
      <c r="F135" t="inlineStr">
        <is>
          <t>No</t>
        </is>
      </c>
      <c r="G135" t="inlineStr">
        <is>
          <t>1</t>
        </is>
      </c>
      <c r="H135" t="inlineStr">
        <is>
          <t>No</t>
        </is>
      </c>
      <c r="I135" t="inlineStr">
        <is>
          <t>No</t>
        </is>
      </c>
      <c r="J135" t="inlineStr">
        <is>
          <t>0</t>
        </is>
      </c>
      <c r="K135" t="inlineStr">
        <is>
          <t>Schulz, James H.</t>
        </is>
      </c>
      <c r="L135" t="inlineStr">
        <is>
          <t>Westport, Conn. : Praeger Publishers, 2006.</t>
        </is>
      </c>
      <c r="M135" t="inlineStr">
        <is>
          <t>2006</t>
        </is>
      </c>
      <c r="O135" t="inlineStr">
        <is>
          <t>eng</t>
        </is>
      </c>
      <c r="P135" t="inlineStr">
        <is>
          <t>ctu</t>
        </is>
      </c>
      <c r="R135" t="inlineStr">
        <is>
          <t xml:space="preserve">HQ </t>
        </is>
      </c>
      <c r="S135" t="n">
        <v>4</v>
      </c>
      <c r="T135" t="n">
        <v>4</v>
      </c>
      <c r="U135" t="inlineStr">
        <is>
          <t>2007-09-24</t>
        </is>
      </c>
      <c r="V135" t="inlineStr">
        <is>
          <t>2007-09-24</t>
        </is>
      </c>
      <c r="W135" t="inlineStr">
        <is>
          <t>2007-01-23</t>
        </is>
      </c>
      <c r="X135" t="inlineStr">
        <is>
          <t>2007-01-23</t>
        </is>
      </c>
      <c r="Y135" t="n">
        <v>608</v>
      </c>
      <c r="Z135" t="n">
        <v>547</v>
      </c>
      <c r="AA135" t="n">
        <v>1028</v>
      </c>
      <c r="AB135" t="n">
        <v>5</v>
      </c>
      <c r="AC135" t="n">
        <v>6</v>
      </c>
      <c r="AD135" t="n">
        <v>20</v>
      </c>
      <c r="AE135" t="n">
        <v>28</v>
      </c>
      <c r="AF135" t="n">
        <v>7</v>
      </c>
      <c r="AG135" t="n">
        <v>13</v>
      </c>
      <c r="AH135" t="n">
        <v>6</v>
      </c>
      <c r="AI135" t="n">
        <v>6</v>
      </c>
      <c r="AJ135" t="n">
        <v>6</v>
      </c>
      <c r="AK135" t="n">
        <v>9</v>
      </c>
      <c r="AL135" t="n">
        <v>3</v>
      </c>
      <c r="AM135" t="n">
        <v>4</v>
      </c>
      <c r="AN135" t="n">
        <v>1</v>
      </c>
      <c r="AO135" t="n">
        <v>1</v>
      </c>
      <c r="AP135" t="inlineStr">
        <is>
          <t>No</t>
        </is>
      </c>
      <c r="AQ135" t="inlineStr">
        <is>
          <t>Yes</t>
        </is>
      </c>
      <c r="AR135">
        <f>HYPERLINK("http://catalog.hathitrust.org/Record/005376251","HathiTrust Record")</f>
        <v/>
      </c>
      <c r="AS135">
        <f>HYPERLINK("https://creighton-primo.hosted.exlibrisgroup.com/primo-explore/search?tab=default_tab&amp;search_scope=EVERYTHING&amp;vid=01CRU&amp;lang=en_US&amp;offset=0&amp;query=any,contains,991005013939702656","Catalog Record")</f>
        <v/>
      </c>
      <c r="AT135">
        <f>HYPERLINK("http://www.worldcat.org/oclc/71126668","WorldCat Record")</f>
        <v/>
      </c>
      <c r="AU135" t="inlineStr">
        <is>
          <t>802926193:eng</t>
        </is>
      </c>
      <c r="AV135" t="inlineStr">
        <is>
          <t>71126668</t>
        </is>
      </c>
      <c r="AW135" t="inlineStr">
        <is>
          <t>991005013939702656</t>
        </is>
      </c>
      <c r="AX135" t="inlineStr">
        <is>
          <t>991005013939702656</t>
        </is>
      </c>
      <c r="AY135" t="inlineStr">
        <is>
          <t>2272313440002656</t>
        </is>
      </c>
      <c r="AZ135" t="inlineStr">
        <is>
          <t>BOOK</t>
        </is>
      </c>
      <c r="BB135" t="inlineStr">
        <is>
          <t>9780275984151</t>
        </is>
      </c>
      <c r="BC135" t="inlineStr">
        <is>
          <t>32285005272561</t>
        </is>
      </c>
      <c r="BD135" t="inlineStr">
        <is>
          <t>893254326</t>
        </is>
      </c>
    </row>
    <row r="136">
      <c r="A136" t="inlineStr">
        <is>
          <t>No</t>
        </is>
      </c>
      <c r="B136" t="inlineStr">
        <is>
          <t>HQ1063.4 .D38 1985</t>
        </is>
      </c>
      <c r="C136" t="inlineStr">
        <is>
          <t>0                      HQ 1063400D  38          1985</t>
        </is>
      </c>
      <c r="D136" t="inlineStr">
        <is>
          <t>TV's image of the elderly : a practical guide for change / Richard H. Davis, James A. Davis.</t>
        </is>
      </c>
      <c r="F136" t="inlineStr">
        <is>
          <t>No</t>
        </is>
      </c>
      <c r="G136" t="inlineStr">
        <is>
          <t>1</t>
        </is>
      </c>
      <c r="H136" t="inlineStr">
        <is>
          <t>Yes</t>
        </is>
      </c>
      <c r="I136" t="inlineStr">
        <is>
          <t>No</t>
        </is>
      </c>
      <c r="J136" t="inlineStr">
        <is>
          <t>0</t>
        </is>
      </c>
      <c r="K136" t="inlineStr">
        <is>
          <t>Davis, Richard H.</t>
        </is>
      </c>
      <c r="L136" t="inlineStr">
        <is>
          <t>Lexington, Mass. : Lexington Books, c1985.</t>
        </is>
      </c>
      <c r="M136" t="inlineStr">
        <is>
          <t>1985</t>
        </is>
      </c>
      <c r="O136" t="inlineStr">
        <is>
          <t>eng</t>
        </is>
      </c>
      <c r="P136" t="inlineStr">
        <is>
          <t>mau</t>
        </is>
      </c>
      <c r="R136" t="inlineStr">
        <is>
          <t xml:space="preserve">HQ </t>
        </is>
      </c>
      <c r="S136" t="n">
        <v>5</v>
      </c>
      <c r="T136" t="n">
        <v>5</v>
      </c>
      <c r="U136" t="inlineStr">
        <is>
          <t>1997-03-11</t>
        </is>
      </c>
      <c r="V136" t="inlineStr">
        <is>
          <t>1997-03-11</t>
        </is>
      </c>
      <c r="W136" t="inlineStr">
        <is>
          <t>1990-04-09</t>
        </is>
      </c>
      <c r="X136" t="inlineStr">
        <is>
          <t>1990-04-09</t>
        </is>
      </c>
      <c r="Y136" t="n">
        <v>601</v>
      </c>
      <c r="Z136" t="n">
        <v>534</v>
      </c>
      <c r="AA136" t="n">
        <v>540</v>
      </c>
      <c r="AB136" t="n">
        <v>5</v>
      </c>
      <c r="AC136" t="n">
        <v>5</v>
      </c>
      <c r="AD136" t="n">
        <v>22</v>
      </c>
      <c r="AE136" t="n">
        <v>22</v>
      </c>
      <c r="AF136" t="n">
        <v>9</v>
      </c>
      <c r="AG136" t="n">
        <v>9</v>
      </c>
      <c r="AH136" t="n">
        <v>4</v>
      </c>
      <c r="AI136" t="n">
        <v>4</v>
      </c>
      <c r="AJ136" t="n">
        <v>12</v>
      </c>
      <c r="AK136" t="n">
        <v>12</v>
      </c>
      <c r="AL136" t="n">
        <v>3</v>
      </c>
      <c r="AM136" t="n">
        <v>3</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HYPERLINK("https://creighton-primo.hosted.exlibrisgroup.com/primo-explore/search?tab=default_tab&amp;search_scope=EVERYTHING&amp;vid=01CRU&amp;lang=en_US&amp;offset=0&amp;query=any,contains,991001782869702656","Catalog Record")</f>
        <v/>
      </c>
      <c r="AT136">
        <f>HYPERLINK("http://www.worldcat.org/oclc/11533354","WorldCat Record")</f>
        <v/>
      </c>
      <c r="AU136" t="inlineStr">
        <is>
          <t>865019843:eng</t>
        </is>
      </c>
      <c r="AV136" t="inlineStr">
        <is>
          <t>11533354</t>
        </is>
      </c>
      <c r="AW136" t="inlineStr">
        <is>
          <t>991001782869702656</t>
        </is>
      </c>
      <c r="AX136" t="inlineStr">
        <is>
          <t>991001782869702656</t>
        </is>
      </c>
      <c r="AY136" t="inlineStr">
        <is>
          <t>2258351790002656</t>
        </is>
      </c>
      <c r="AZ136" t="inlineStr">
        <is>
          <t>BOOK</t>
        </is>
      </c>
      <c r="BB136" t="inlineStr">
        <is>
          <t>9780669067644</t>
        </is>
      </c>
      <c r="BC136" t="inlineStr">
        <is>
          <t>32285000112697</t>
        </is>
      </c>
      <c r="BD136" t="inlineStr">
        <is>
          <t>893408351</t>
        </is>
      </c>
    </row>
    <row r="137">
      <c r="A137" t="inlineStr">
        <is>
          <t>No</t>
        </is>
      </c>
      <c r="B137" t="inlineStr">
        <is>
          <t>HQ1063.6 .M47 1997</t>
        </is>
      </c>
      <c r="C137" t="inlineStr">
        <is>
          <t>0                      HQ 1063600M  47          1997</t>
        </is>
      </c>
      <c r="D137" t="inlineStr">
        <is>
          <t>Caring for elderly parents : juggling work, family, and caregiving in middle and working class families / Deborah M. Merrill.</t>
        </is>
      </c>
      <c r="F137" t="inlineStr">
        <is>
          <t>No</t>
        </is>
      </c>
      <c r="G137" t="inlineStr">
        <is>
          <t>1</t>
        </is>
      </c>
      <c r="H137" t="inlineStr">
        <is>
          <t>No</t>
        </is>
      </c>
      <c r="I137" t="inlineStr">
        <is>
          <t>No</t>
        </is>
      </c>
      <c r="J137" t="inlineStr">
        <is>
          <t>0</t>
        </is>
      </c>
      <c r="K137" t="inlineStr">
        <is>
          <t>Merrill, Deborah M., 1962-</t>
        </is>
      </c>
      <c r="L137" t="inlineStr">
        <is>
          <t>Westport, Conn. : Auburn House, 1997.</t>
        </is>
      </c>
      <c r="M137" t="inlineStr">
        <is>
          <t>1997</t>
        </is>
      </c>
      <c r="O137" t="inlineStr">
        <is>
          <t>eng</t>
        </is>
      </c>
      <c r="P137" t="inlineStr">
        <is>
          <t>ctu</t>
        </is>
      </c>
      <c r="R137" t="inlineStr">
        <is>
          <t xml:space="preserve">HQ </t>
        </is>
      </c>
      <c r="S137" t="n">
        <v>3</v>
      </c>
      <c r="T137" t="n">
        <v>3</v>
      </c>
      <c r="U137" t="inlineStr">
        <is>
          <t>2003-05-14</t>
        </is>
      </c>
      <c r="V137" t="inlineStr">
        <is>
          <t>2003-05-14</t>
        </is>
      </c>
      <c r="W137" t="inlineStr">
        <is>
          <t>1998-06-23</t>
        </is>
      </c>
      <c r="X137" t="inlineStr">
        <is>
          <t>1998-06-23</t>
        </is>
      </c>
      <c r="Y137" t="n">
        <v>464</v>
      </c>
      <c r="Z137" t="n">
        <v>407</v>
      </c>
      <c r="AA137" t="n">
        <v>750</v>
      </c>
      <c r="AB137" t="n">
        <v>4</v>
      </c>
      <c r="AC137" t="n">
        <v>6</v>
      </c>
      <c r="AD137" t="n">
        <v>24</v>
      </c>
      <c r="AE137" t="n">
        <v>28</v>
      </c>
      <c r="AF137" t="n">
        <v>9</v>
      </c>
      <c r="AG137" t="n">
        <v>11</v>
      </c>
      <c r="AH137" t="n">
        <v>6</v>
      </c>
      <c r="AI137" t="n">
        <v>6</v>
      </c>
      <c r="AJ137" t="n">
        <v>12</v>
      </c>
      <c r="AK137" t="n">
        <v>12</v>
      </c>
      <c r="AL137" t="n">
        <v>3</v>
      </c>
      <c r="AM137" t="n">
        <v>5</v>
      </c>
      <c r="AN137" t="n">
        <v>1</v>
      </c>
      <c r="AO137" t="n">
        <v>1</v>
      </c>
      <c r="AP137" t="inlineStr">
        <is>
          <t>No</t>
        </is>
      </c>
      <c r="AQ137" t="inlineStr">
        <is>
          <t>Yes</t>
        </is>
      </c>
      <c r="AR137">
        <f>HYPERLINK("http://catalog.hathitrust.org/Record/003161842","HathiTrust Record")</f>
        <v/>
      </c>
      <c r="AS137">
        <f>HYPERLINK("https://creighton-primo.hosted.exlibrisgroup.com/primo-explore/search?tab=default_tab&amp;search_scope=EVERYTHING&amp;vid=01CRU&amp;lang=en_US&amp;offset=0&amp;query=any,contains,991002728319702656","Catalog Record")</f>
        <v/>
      </c>
      <c r="AT137">
        <f>HYPERLINK("http://www.worldcat.org/oclc/35784459","WorldCat Record")</f>
        <v/>
      </c>
      <c r="AU137" t="inlineStr">
        <is>
          <t>797263113:eng</t>
        </is>
      </c>
      <c r="AV137" t="inlineStr">
        <is>
          <t>35784459</t>
        </is>
      </c>
      <c r="AW137" t="inlineStr">
        <is>
          <t>991002728319702656</t>
        </is>
      </c>
      <c r="AX137" t="inlineStr">
        <is>
          <t>991002728319702656</t>
        </is>
      </c>
      <c r="AY137" t="inlineStr">
        <is>
          <t>2270500330002656</t>
        </is>
      </c>
      <c r="AZ137" t="inlineStr">
        <is>
          <t>BOOK</t>
        </is>
      </c>
      <c r="BB137" t="inlineStr">
        <is>
          <t>9780865692695</t>
        </is>
      </c>
      <c r="BC137" t="inlineStr">
        <is>
          <t>32285003423182</t>
        </is>
      </c>
      <c r="BD137" t="inlineStr">
        <is>
          <t>893627276</t>
        </is>
      </c>
    </row>
    <row r="138">
      <c r="A138" t="inlineStr">
        <is>
          <t>No</t>
        </is>
      </c>
      <c r="B138" t="inlineStr">
        <is>
          <t>HQ1063.6 .S74 1988</t>
        </is>
      </c>
      <c r="C138" t="inlineStr">
        <is>
          <t>0                      HQ 1063600S  74          1988</t>
        </is>
      </c>
      <c r="D138" t="inlineStr">
        <is>
          <t>Duty bound : elder abuse and family care / Suzanne K. Steinmetz.</t>
        </is>
      </c>
      <c r="F138" t="inlineStr">
        <is>
          <t>No</t>
        </is>
      </c>
      <c r="G138" t="inlineStr">
        <is>
          <t>1</t>
        </is>
      </c>
      <c r="H138" t="inlineStr">
        <is>
          <t>Yes</t>
        </is>
      </c>
      <c r="I138" t="inlineStr">
        <is>
          <t>No</t>
        </is>
      </c>
      <c r="J138" t="inlineStr">
        <is>
          <t>0</t>
        </is>
      </c>
      <c r="K138" t="inlineStr">
        <is>
          <t>Steinmetz, Suzanne K.</t>
        </is>
      </c>
      <c r="L138" t="inlineStr">
        <is>
          <t>Newbury Park, Calif. : Sage Publications, c1988.</t>
        </is>
      </c>
      <c r="M138" t="inlineStr">
        <is>
          <t>1988</t>
        </is>
      </c>
      <c r="O138" t="inlineStr">
        <is>
          <t>eng</t>
        </is>
      </c>
      <c r="P138" t="inlineStr">
        <is>
          <t>cau</t>
        </is>
      </c>
      <c r="Q138" t="inlineStr">
        <is>
          <t>Sage library of social research ; v. 166</t>
        </is>
      </c>
      <c r="R138" t="inlineStr">
        <is>
          <t xml:space="preserve">HQ </t>
        </is>
      </c>
      <c r="S138" t="n">
        <v>8</v>
      </c>
      <c r="T138" t="n">
        <v>15</v>
      </c>
      <c r="U138" t="inlineStr">
        <is>
          <t>1994-02-21</t>
        </is>
      </c>
      <c r="V138" t="inlineStr">
        <is>
          <t>1994-02-21</t>
        </is>
      </c>
      <c r="W138" t="inlineStr">
        <is>
          <t>1990-06-04</t>
        </is>
      </c>
      <c r="X138" t="inlineStr">
        <is>
          <t>1990-06-04</t>
        </is>
      </c>
      <c r="Y138" t="n">
        <v>774</v>
      </c>
      <c r="Z138" t="n">
        <v>641</v>
      </c>
      <c r="AA138" t="n">
        <v>647</v>
      </c>
      <c r="AB138" t="n">
        <v>11</v>
      </c>
      <c r="AC138" t="n">
        <v>11</v>
      </c>
      <c r="AD138" t="n">
        <v>35</v>
      </c>
      <c r="AE138" t="n">
        <v>35</v>
      </c>
      <c r="AF138" t="n">
        <v>13</v>
      </c>
      <c r="AG138" t="n">
        <v>13</v>
      </c>
      <c r="AH138" t="n">
        <v>5</v>
      </c>
      <c r="AI138" t="n">
        <v>5</v>
      </c>
      <c r="AJ138" t="n">
        <v>16</v>
      </c>
      <c r="AK138" t="n">
        <v>16</v>
      </c>
      <c r="AL138" t="n">
        <v>9</v>
      </c>
      <c r="AM138" t="n">
        <v>9</v>
      </c>
      <c r="AN138" t="n">
        <v>1</v>
      </c>
      <c r="AO138" t="n">
        <v>1</v>
      </c>
      <c r="AP138" t="inlineStr">
        <is>
          <t>No</t>
        </is>
      </c>
      <c r="AQ138" t="inlineStr">
        <is>
          <t>Yes</t>
        </is>
      </c>
      <c r="AR138">
        <f>HYPERLINK("http://catalog.hathitrust.org/Record/000925782","HathiTrust Record")</f>
        <v/>
      </c>
      <c r="AS138">
        <f>HYPERLINK("https://creighton-primo.hosted.exlibrisgroup.com/primo-explore/search?tab=default_tab&amp;search_scope=EVERYTHING&amp;vid=01CRU&amp;lang=en_US&amp;offset=0&amp;query=any,contains,991001792039702656","Catalog Record")</f>
        <v/>
      </c>
      <c r="AT138">
        <f>HYPERLINK("http://www.worldcat.org/oclc/16980035","WorldCat Record")</f>
        <v/>
      </c>
      <c r="AU138" t="inlineStr">
        <is>
          <t>13745445:eng</t>
        </is>
      </c>
      <c r="AV138" t="inlineStr">
        <is>
          <t>16980035</t>
        </is>
      </c>
      <c r="AW138" t="inlineStr">
        <is>
          <t>991001792039702656</t>
        </is>
      </c>
      <c r="AX138" t="inlineStr">
        <is>
          <t>991001792039702656</t>
        </is>
      </c>
      <c r="AY138" t="inlineStr">
        <is>
          <t>2256676730002656</t>
        </is>
      </c>
      <c r="AZ138" t="inlineStr">
        <is>
          <t>BOOK</t>
        </is>
      </c>
      <c r="BB138" t="inlineStr">
        <is>
          <t>9780803929180</t>
        </is>
      </c>
      <c r="BC138" t="inlineStr">
        <is>
          <t>32285000156835</t>
        </is>
      </c>
      <c r="BD138" t="inlineStr">
        <is>
          <t>893596737</t>
        </is>
      </c>
    </row>
    <row r="139">
      <c r="A139" t="inlineStr">
        <is>
          <t>No</t>
        </is>
      </c>
      <c r="B139" t="inlineStr">
        <is>
          <t>HQ1064.C38 A385 1995</t>
        </is>
      </c>
      <c r="C139" t="inlineStr">
        <is>
          <t>0                      HQ 1064000C  38                 A  385         1995</t>
        </is>
      </c>
      <c r="D139" t="inlineStr">
        <is>
          <t>Aging and inequality : cultural constructions of differences / edited by Robynne Neugebauer-Visano.</t>
        </is>
      </c>
      <c r="F139" t="inlineStr">
        <is>
          <t>No</t>
        </is>
      </c>
      <c r="G139" t="inlineStr">
        <is>
          <t>1</t>
        </is>
      </c>
      <c r="H139" t="inlineStr">
        <is>
          <t>No</t>
        </is>
      </c>
      <c r="I139" t="inlineStr">
        <is>
          <t>No</t>
        </is>
      </c>
      <c r="J139" t="inlineStr">
        <is>
          <t>0</t>
        </is>
      </c>
      <c r="L139" t="inlineStr">
        <is>
          <t>Toronto, Ont. : Canadian Scholars' Press, 1995.</t>
        </is>
      </c>
      <c r="M139" t="inlineStr">
        <is>
          <t>1995</t>
        </is>
      </c>
      <c r="O139" t="inlineStr">
        <is>
          <t>eng</t>
        </is>
      </c>
      <c r="P139" t="inlineStr">
        <is>
          <t>onc</t>
        </is>
      </c>
      <c r="R139" t="inlineStr">
        <is>
          <t xml:space="preserve">HQ </t>
        </is>
      </c>
      <c r="S139" t="n">
        <v>1</v>
      </c>
      <c r="T139" t="n">
        <v>1</v>
      </c>
      <c r="U139" t="inlineStr">
        <is>
          <t>2000-07-08</t>
        </is>
      </c>
      <c r="V139" t="inlineStr">
        <is>
          <t>2000-07-08</t>
        </is>
      </c>
      <c r="W139" t="inlineStr">
        <is>
          <t>1998-12-01</t>
        </is>
      </c>
      <c r="X139" t="inlineStr">
        <is>
          <t>1998-12-01</t>
        </is>
      </c>
      <c r="Y139" t="n">
        <v>88</v>
      </c>
      <c r="Z139" t="n">
        <v>31</v>
      </c>
      <c r="AA139" t="n">
        <v>33</v>
      </c>
      <c r="AB139" t="n">
        <v>1</v>
      </c>
      <c r="AC139" t="n">
        <v>1</v>
      </c>
      <c r="AD139" t="n">
        <v>1</v>
      </c>
      <c r="AE139" t="n">
        <v>1</v>
      </c>
      <c r="AF139" t="n">
        <v>0</v>
      </c>
      <c r="AG139" t="n">
        <v>0</v>
      </c>
      <c r="AH139" t="n">
        <v>0</v>
      </c>
      <c r="AI139" t="n">
        <v>0</v>
      </c>
      <c r="AJ139" t="n">
        <v>1</v>
      </c>
      <c r="AK139" t="n">
        <v>1</v>
      </c>
      <c r="AL139" t="n">
        <v>0</v>
      </c>
      <c r="AM139" t="n">
        <v>0</v>
      </c>
      <c r="AN139" t="n">
        <v>0</v>
      </c>
      <c r="AO139" t="n">
        <v>0</v>
      </c>
      <c r="AP139" t="inlineStr">
        <is>
          <t>No</t>
        </is>
      </c>
      <c r="AQ139" t="inlineStr">
        <is>
          <t>Yes</t>
        </is>
      </c>
      <c r="AR139">
        <f>HYPERLINK("http://catalog.hathitrust.org/Record/004541012","HathiTrust Record")</f>
        <v/>
      </c>
      <c r="AS139">
        <f>HYPERLINK("https://creighton-primo.hosted.exlibrisgroup.com/primo-explore/search?tab=default_tab&amp;search_scope=EVERYTHING&amp;vid=01CRU&amp;lang=en_US&amp;offset=0&amp;query=any,contains,991002710239702656","Catalog Record")</f>
        <v/>
      </c>
      <c r="AT139">
        <f>HYPERLINK("http://www.worldcat.org/oclc/35525151","WorldCat Record")</f>
        <v/>
      </c>
      <c r="AU139" t="inlineStr">
        <is>
          <t>894519420:eng</t>
        </is>
      </c>
      <c r="AV139" t="inlineStr">
        <is>
          <t>35525151</t>
        </is>
      </c>
      <c r="AW139" t="inlineStr">
        <is>
          <t>991002710239702656</t>
        </is>
      </c>
      <c r="AX139" t="inlineStr">
        <is>
          <t>991002710239702656</t>
        </is>
      </c>
      <c r="AY139" t="inlineStr">
        <is>
          <t>2264112320002656</t>
        </is>
      </c>
      <c r="AZ139" t="inlineStr">
        <is>
          <t>BOOK</t>
        </is>
      </c>
      <c r="BB139" t="inlineStr">
        <is>
          <t>9781551300627</t>
        </is>
      </c>
      <c r="BC139" t="inlineStr">
        <is>
          <t>32285003492435</t>
        </is>
      </c>
      <c r="BD139" t="inlineStr">
        <is>
          <t>893904047</t>
        </is>
      </c>
    </row>
    <row r="140">
      <c r="A140" t="inlineStr">
        <is>
          <t>No</t>
        </is>
      </c>
      <c r="B140" t="inlineStr">
        <is>
          <t>HQ1064.C38 A39 1987</t>
        </is>
      </c>
      <c r="C140" t="inlineStr">
        <is>
          <t>0                      HQ 1064000C  38                 A  39          1987</t>
        </is>
      </c>
      <c r="D140" t="inlineStr">
        <is>
          <t>Aging in Canada : social perspectives / [edited by] Victor W. Marshall.</t>
        </is>
      </c>
      <c r="F140" t="inlineStr">
        <is>
          <t>No</t>
        </is>
      </c>
      <c r="G140" t="inlineStr">
        <is>
          <t>1</t>
        </is>
      </c>
      <c r="H140" t="inlineStr">
        <is>
          <t>No</t>
        </is>
      </c>
      <c r="I140" t="inlineStr">
        <is>
          <t>No</t>
        </is>
      </c>
      <c r="J140" t="inlineStr">
        <is>
          <t>0</t>
        </is>
      </c>
      <c r="L140" t="inlineStr">
        <is>
          <t>Markham, Ont. : Fitzhenry &amp; Whiteside, c1987.</t>
        </is>
      </c>
      <c r="M140" t="inlineStr">
        <is>
          <t>1987</t>
        </is>
      </c>
      <c r="N140" t="inlineStr">
        <is>
          <t>2nd ed.</t>
        </is>
      </c>
      <c r="O140" t="inlineStr">
        <is>
          <t>eng</t>
        </is>
      </c>
      <c r="P140" t="inlineStr">
        <is>
          <t>onc</t>
        </is>
      </c>
      <c r="R140" t="inlineStr">
        <is>
          <t xml:space="preserve">HQ </t>
        </is>
      </c>
      <c r="S140" t="n">
        <v>5</v>
      </c>
      <c r="T140" t="n">
        <v>5</v>
      </c>
      <c r="U140" t="inlineStr">
        <is>
          <t>1999-06-07</t>
        </is>
      </c>
      <c r="V140" t="inlineStr">
        <is>
          <t>1999-06-07</t>
        </is>
      </c>
      <c r="W140" t="inlineStr">
        <is>
          <t>1993-04-26</t>
        </is>
      </c>
      <c r="X140" t="inlineStr">
        <is>
          <t>1993-04-26</t>
        </is>
      </c>
      <c r="Y140" t="n">
        <v>139</v>
      </c>
      <c r="Z140" t="n">
        <v>40</v>
      </c>
      <c r="AA140" t="n">
        <v>89</v>
      </c>
      <c r="AB140" t="n">
        <v>1</v>
      </c>
      <c r="AC140" t="n">
        <v>1</v>
      </c>
      <c r="AD140" t="n">
        <v>0</v>
      </c>
      <c r="AE140" t="n">
        <v>2</v>
      </c>
      <c r="AF140" t="n">
        <v>0</v>
      </c>
      <c r="AG140" t="n">
        <v>1</v>
      </c>
      <c r="AH140" t="n">
        <v>0</v>
      </c>
      <c r="AI140" t="n">
        <v>0</v>
      </c>
      <c r="AJ140" t="n">
        <v>0</v>
      </c>
      <c r="AK140" t="n">
        <v>2</v>
      </c>
      <c r="AL140" t="n">
        <v>0</v>
      </c>
      <c r="AM140" t="n">
        <v>0</v>
      </c>
      <c r="AN140" t="n">
        <v>0</v>
      </c>
      <c r="AO140" t="n">
        <v>0</v>
      </c>
      <c r="AP140" t="inlineStr">
        <is>
          <t>No</t>
        </is>
      </c>
      <c r="AQ140" t="inlineStr">
        <is>
          <t>Yes</t>
        </is>
      </c>
      <c r="AR140">
        <f>HYPERLINK("http://catalog.hathitrust.org/Record/000857153","HathiTrust Record")</f>
        <v/>
      </c>
      <c r="AS140">
        <f>HYPERLINK("https://creighton-primo.hosted.exlibrisgroup.com/primo-explore/search?tab=default_tab&amp;search_scope=EVERYTHING&amp;vid=01CRU&amp;lang=en_US&amp;offset=0&amp;query=any,contains,991001093989702656","Catalog Record")</f>
        <v/>
      </c>
      <c r="AT140">
        <f>HYPERLINK("http://www.worldcat.org/oclc/16227335","WorldCat Record")</f>
        <v/>
      </c>
      <c r="AU140" t="inlineStr">
        <is>
          <t>890513261:eng</t>
        </is>
      </c>
      <c r="AV140" t="inlineStr">
        <is>
          <t>16227335</t>
        </is>
      </c>
      <c r="AW140" t="inlineStr">
        <is>
          <t>991001093989702656</t>
        </is>
      </c>
      <c r="AX140" t="inlineStr">
        <is>
          <t>991001093989702656</t>
        </is>
      </c>
      <c r="AY140" t="inlineStr">
        <is>
          <t>2264848700002656</t>
        </is>
      </c>
      <c r="AZ140" t="inlineStr">
        <is>
          <t>BOOK</t>
        </is>
      </c>
      <c r="BB140" t="inlineStr">
        <is>
          <t>9780889028791</t>
        </is>
      </c>
      <c r="BC140" t="inlineStr">
        <is>
          <t>32285001625952</t>
        </is>
      </c>
      <c r="BD140" t="inlineStr">
        <is>
          <t>893708988</t>
        </is>
      </c>
    </row>
    <row r="141">
      <c r="A141" t="inlineStr">
        <is>
          <t>No</t>
        </is>
      </c>
      <c r="B141" t="inlineStr">
        <is>
          <t>HQ1064.C5 P45</t>
        </is>
      </c>
      <c r="C141" t="inlineStr">
        <is>
          <t>0                      HQ 1064000C  5                  P  45</t>
        </is>
      </c>
      <c r="D141" t="inlineStr">
        <is>
          <t>"Plain-Clothes" investigator in cockroach castles : toward a qualitative methodology and interactionist analysis of aging in the Tenderloin / by Anabel Oliver Pelham.</t>
        </is>
      </c>
      <c r="F141" t="inlineStr">
        <is>
          <t>No</t>
        </is>
      </c>
      <c r="G141" t="inlineStr">
        <is>
          <t>1</t>
        </is>
      </c>
      <c r="H141" t="inlineStr">
        <is>
          <t>No</t>
        </is>
      </c>
      <c r="I141" t="inlineStr">
        <is>
          <t>No</t>
        </is>
      </c>
      <c r="J141" t="inlineStr">
        <is>
          <t>0</t>
        </is>
      </c>
      <c r="K141" t="inlineStr">
        <is>
          <t>Pelham, Anabel Oliver, 1947-</t>
        </is>
      </c>
      <c r="M141" t="inlineStr">
        <is>
          <t>1980</t>
        </is>
      </c>
      <c r="O141" t="inlineStr">
        <is>
          <t>eng</t>
        </is>
      </c>
      <c r="P141" t="inlineStr">
        <is>
          <t xml:space="preserve">xx </t>
        </is>
      </c>
      <c r="R141" t="inlineStr">
        <is>
          <t xml:space="preserve">HQ </t>
        </is>
      </c>
      <c r="S141" t="n">
        <v>1</v>
      </c>
      <c r="T141" t="n">
        <v>1</v>
      </c>
      <c r="U141" t="inlineStr">
        <is>
          <t>2005-08-29</t>
        </is>
      </c>
      <c r="V141" t="inlineStr">
        <is>
          <t>2005-08-29</t>
        </is>
      </c>
      <c r="W141" t="inlineStr">
        <is>
          <t>1993-04-26</t>
        </is>
      </c>
      <c r="X141" t="inlineStr">
        <is>
          <t>1993-04-26</t>
        </is>
      </c>
      <c r="Y141" t="n">
        <v>3</v>
      </c>
      <c r="Z141" t="n">
        <v>3</v>
      </c>
      <c r="AA141" t="n">
        <v>6</v>
      </c>
      <c r="AB141" t="n">
        <v>1</v>
      </c>
      <c r="AC141" t="n">
        <v>1</v>
      </c>
      <c r="AD141" t="n">
        <v>0</v>
      </c>
      <c r="AE141" t="n">
        <v>0</v>
      </c>
      <c r="AF141" t="n">
        <v>0</v>
      </c>
      <c r="AG141" t="n">
        <v>0</v>
      </c>
      <c r="AH141" t="n">
        <v>0</v>
      </c>
      <c r="AI141" t="n">
        <v>0</v>
      </c>
      <c r="AJ141" t="n">
        <v>0</v>
      </c>
      <c r="AK141" t="n">
        <v>0</v>
      </c>
      <c r="AL141" t="n">
        <v>0</v>
      </c>
      <c r="AM141" t="n">
        <v>0</v>
      </c>
      <c r="AN141" t="n">
        <v>0</v>
      </c>
      <c r="AO141" t="n">
        <v>0</v>
      </c>
      <c r="AP141" t="inlineStr">
        <is>
          <t>No</t>
        </is>
      </c>
      <c r="AQ141" t="inlineStr">
        <is>
          <t>Yes</t>
        </is>
      </c>
      <c r="AR141">
        <f>HYPERLINK("http://catalog.hathitrust.org/Record/102259920","HathiTrust Record")</f>
        <v/>
      </c>
      <c r="AS141">
        <f>HYPERLINK("https://creighton-primo.hosted.exlibrisgroup.com/primo-explore/search?tab=default_tab&amp;search_scope=EVERYTHING&amp;vid=01CRU&amp;lang=en_US&amp;offset=0&amp;query=any,contains,991005241179702656","Catalog Record")</f>
        <v/>
      </c>
      <c r="AT141">
        <f>HYPERLINK("http://www.worldcat.org/oclc/8418622","WorldCat Record")</f>
        <v/>
      </c>
      <c r="AU141" t="inlineStr">
        <is>
          <t>11402455:eng</t>
        </is>
      </c>
      <c r="AV141" t="inlineStr">
        <is>
          <t>8418622</t>
        </is>
      </c>
      <c r="AW141" t="inlineStr">
        <is>
          <t>991005241179702656</t>
        </is>
      </c>
      <c r="AX141" t="inlineStr">
        <is>
          <t>991005241179702656</t>
        </is>
      </c>
      <c r="AY141" t="inlineStr">
        <is>
          <t>2272140100002656</t>
        </is>
      </c>
      <c r="AZ141" t="inlineStr">
        <is>
          <t>BOOK</t>
        </is>
      </c>
      <c r="BC141" t="inlineStr">
        <is>
          <t>32285001625960</t>
        </is>
      </c>
      <c r="BD141" t="inlineStr">
        <is>
          <t>893688818</t>
        </is>
      </c>
    </row>
    <row r="142">
      <c r="A142" t="inlineStr">
        <is>
          <t>No</t>
        </is>
      </c>
      <c r="B142" t="inlineStr">
        <is>
          <t>HQ1064.C6 D38 1991</t>
        </is>
      </c>
      <c r="C142" t="inlineStr">
        <is>
          <t>0                      HQ 1064000C  6                  D  38          1991</t>
        </is>
      </c>
      <c r="D142" t="inlineStr">
        <is>
          <t>Long lives : Chinese elderly and the Communist Revolution / Deborah Davis-Friedmann.</t>
        </is>
      </c>
      <c r="F142" t="inlineStr">
        <is>
          <t>No</t>
        </is>
      </c>
      <c r="G142" t="inlineStr">
        <is>
          <t>1</t>
        </is>
      </c>
      <c r="H142" t="inlineStr">
        <is>
          <t>No</t>
        </is>
      </c>
      <c r="I142" t="inlineStr">
        <is>
          <t>No</t>
        </is>
      </c>
      <c r="J142" t="inlineStr">
        <is>
          <t>0</t>
        </is>
      </c>
      <c r="K142" t="inlineStr">
        <is>
          <t>Davis, Deborah, 1945-</t>
        </is>
      </c>
      <c r="L142" t="inlineStr">
        <is>
          <t>Stanford, Calif. : Stanford University Press, 1991.</t>
        </is>
      </c>
      <c r="M142" t="inlineStr">
        <is>
          <t>1991</t>
        </is>
      </c>
      <c r="N142" t="inlineStr">
        <is>
          <t>Expanded ed.</t>
        </is>
      </c>
      <c r="O142" t="inlineStr">
        <is>
          <t>eng</t>
        </is>
      </c>
      <c r="P142" t="inlineStr">
        <is>
          <t>cau</t>
        </is>
      </c>
      <c r="R142" t="inlineStr">
        <is>
          <t xml:space="preserve">HQ </t>
        </is>
      </c>
      <c r="S142" t="n">
        <v>3</v>
      </c>
      <c r="T142" t="n">
        <v>3</v>
      </c>
      <c r="U142" t="inlineStr">
        <is>
          <t>2004-09-03</t>
        </is>
      </c>
      <c r="V142" t="inlineStr">
        <is>
          <t>2004-09-03</t>
        </is>
      </c>
      <c r="W142" t="inlineStr">
        <is>
          <t>1991-12-13</t>
        </is>
      </c>
      <c r="X142" t="inlineStr">
        <is>
          <t>1991-12-13</t>
        </is>
      </c>
      <c r="Y142" t="n">
        <v>190</v>
      </c>
      <c r="Z142" t="n">
        <v>150</v>
      </c>
      <c r="AA142" t="n">
        <v>420</v>
      </c>
      <c r="AB142" t="n">
        <v>3</v>
      </c>
      <c r="AC142" t="n">
        <v>3</v>
      </c>
      <c r="AD142" t="n">
        <v>10</v>
      </c>
      <c r="AE142" t="n">
        <v>19</v>
      </c>
      <c r="AF142" t="n">
        <v>3</v>
      </c>
      <c r="AG142" t="n">
        <v>8</v>
      </c>
      <c r="AH142" t="n">
        <v>3</v>
      </c>
      <c r="AI142" t="n">
        <v>4</v>
      </c>
      <c r="AJ142" t="n">
        <v>7</v>
      </c>
      <c r="AK142" t="n">
        <v>12</v>
      </c>
      <c r="AL142" t="n">
        <v>2</v>
      </c>
      <c r="AM142" t="n">
        <v>2</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HYPERLINK("https://creighton-primo.hosted.exlibrisgroup.com/primo-explore/search?tab=default_tab&amp;search_scope=EVERYTHING&amp;vid=01CRU&amp;lang=en_US&amp;offset=0&amp;query=any,contains,991001889539702656","Catalog Record")</f>
        <v/>
      </c>
      <c r="AT142">
        <f>HYPERLINK("http://www.worldcat.org/oclc/23831510","WorldCat Record")</f>
        <v/>
      </c>
      <c r="AU142" t="inlineStr">
        <is>
          <t>25411767:eng</t>
        </is>
      </c>
      <c r="AV142" t="inlineStr">
        <is>
          <t>23831510</t>
        </is>
      </c>
      <c r="AW142" t="inlineStr">
        <is>
          <t>991001889539702656</t>
        </is>
      </c>
      <c r="AX142" t="inlineStr">
        <is>
          <t>991001889539702656</t>
        </is>
      </c>
      <c r="AY142" t="inlineStr">
        <is>
          <t>2269728360002656</t>
        </is>
      </c>
      <c r="AZ142" t="inlineStr">
        <is>
          <t>BOOK</t>
        </is>
      </c>
      <c r="BB142" t="inlineStr">
        <is>
          <t>9780804718066</t>
        </is>
      </c>
      <c r="BC142" t="inlineStr">
        <is>
          <t>32285000819564</t>
        </is>
      </c>
      <c r="BD142" t="inlineStr">
        <is>
          <t>893414577</t>
        </is>
      </c>
    </row>
    <row r="143">
      <c r="A143" t="inlineStr">
        <is>
          <t>No</t>
        </is>
      </c>
      <c r="B143" t="inlineStr">
        <is>
          <t>HQ1064.E8 A34 1993</t>
        </is>
      </c>
      <c r="C143" t="inlineStr">
        <is>
          <t>0                      HQ 1064000E  8                  A  34          1993</t>
        </is>
      </c>
      <c r="D143" t="inlineStr">
        <is>
          <t>Age, work, and social security / edited by A.B. Atkinson and Martin Rein.</t>
        </is>
      </c>
      <c r="F143" t="inlineStr">
        <is>
          <t>No</t>
        </is>
      </c>
      <c r="G143" t="inlineStr">
        <is>
          <t>1</t>
        </is>
      </c>
      <c r="H143" t="inlineStr">
        <is>
          <t>No</t>
        </is>
      </c>
      <c r="I143" t="inlineStr">
        <is>
          <t>No</t>
        </is>
      </c>
      <c r="J143" t="inlineStr">
        <is>
          <t>0</t>
        </is>
      </c>
      <c r="L143" t="inlineStr">
        <is>
          <t>New York, N.Y. : St. Martin's Press, 1993.</t>
        </is>
      </c>
      <c r="M143" t="inlineStr">
        <is>
          <t>1993</t>
        </is>
      </c>
      <c r="O143" t="inlineStr">
        <is>
          <t>eng</t>
        </is>
      </c>
      <c r="P143" t="inlineStr">
        <is>
          <t>nyu</t>
        </is>
      </c>
      <c r="R143" t="inlineStr">
        <is>
          <t xml:space="preserve">HQ </t>
        </is>
      </c>
      <c r="S143" t="n">
        <v>8</v>
      </c>
      <c r="T143" t="n">
        <v>8</v>
      </c>
      <c r="U143" t="inlineStr">
        <is>
          <t>2000-07-08</t>
        </is>
      </c>
      <c r="V143" t="inlineStr">
        <is>
          <t>2000-07-08</t>
        </is>
      </c>
      <c r="W143" t="inlineStr">
        <is>
          <t>1994-12-28</t>
        </is>
      </c>
      <c r="X143" t="inlineStr">
        <is>
          <t>1994-12-28</t>
        </is>
      </c>
      <c r="Y143" t="n">
        <v>174</v>
      </c>
      <c r="Z143" t="n">
        <v>103</v>
      </c>
      <c r="AA143" t="n">
        <v>111</v>
      </c>
      <c r="AB143" t="n">
        <v>2</v>
      </c>
      <c r="AC143" t="n">
        <v>2</v>
      </c>
      <c r="AD143" t="n">
        <v>3</v>
      </c>
      <c r="AE143" t="n">
        <v>4</v>
      </c>
      <c r="AF143" t="n">
        <v>1</v>
      </c>
      <c r="AG143" t="n">
        <v>2</v>
      </c>
      <c r="AH143" t="n">
        <v>0</v>
      </c>
      <c r="AI143" t="n">
        <v>0</v>
      </c>
      <c r="AJ143" t="n">
        <v>2</v>
      </c>
      <c r="AK143" t="n">
        <v>3</v>
      </c>
      <c r="AL143" t="n">
        <v>1</v>
      </c>
      <c r="AM143" t="n">
        <v>1</v>
      </c>
      <c r="AN143" t="n">
        <v>0</v>
      </c>
      <c r="AO143" t="n">
        <v>0</v>
      </c>
      <c r="AP143" t="inlineStr">
        <is>
          <t>No</t>
        </is>
      </c>
      <c r="AQ143" t="inlineStr">
        <is>
          <t>Yes</t>
        </is>
      </c>
      <c r="AR143">
        <f>HYPERLINK("http://catalog.hathitrust.org/Record/002645229","HathiTrust Record")</f>
        <v/>
      </c>
      <c r="AS143">
        <f>HYPERLINK("https://creighton-primo.hosted.exlibrisgroup.com/primo-explore/search?tab=default_tab&amp;search_scope=EVERYTHING&amp;vid=01CRU&amp;lang=en_US&amp;offset=0&amp;query=any,contains,991002044869702656","Catalog Record")</f>
        <v/>
      </c>
      <c r="AT143">
        <f>HYPERLINK("http://www.worldcat.org/oclc/26096456","WorldCat Record")</f>
        <v/>
      </c>
      <c r="AU143" t="inlineStr">
        <is>
          <t>757129062:eng</t>
        </is>
      </c>
      <c r="AV143" t="inlineStr">
        <is>
          <t>26096456</t>
        </is>
      </c>
      <c r="AW143" t="inlineStr">
        <is>
          <t>991002044869702656</t>
        </is>
      </c>
      <c r="AX143" t="inlineStr">
        <is>
          <t>991002044869702656</t>
        </is>
      </c>
      <c r="AY143" t="inlineStr">
        <is>
          <t>2268160930002656</t>
        </is>
      </c>
      <c r="AZ143" t="inlineStr">
        <is>
          <t>BOOK</t>
        </is>
      </c>
      <c r="BB143" t="inlineStr">
        <is>
          <t>9780312085483</t>
        </is>
      </c>
      <c r="BC143" t="inlineStr">
        <is>
          <t>32285001979862</t>
        </is>
      </c>
      <c r="BD143" t="inlineStr">
        <is>
          <t>893340963</t>
        </is>
      </c>
    </row>
    <row r="144">
      <c r="A144" t="inlineStr">
        <is>
          <t>No</t>
        </is>
      </c>
      <c r="B144" t="inlineStr">
        <is>
          <t>HQ1064.F7 S73 1976</t>
        </is>
      </c>
      <c r="C144" t="inlineStr">
        <is>
          <t>0                      HQ 1064000F  7                  S  73          1976</t>
        </is>
      </c>
      <c r="D144" t="inlineStr">
        <is>
          <t>Old age in European society : the case of France / Peter N. Stearns.</t>
        </is>
      </c>
      <c r="F144" t="inlineStr">
        <is>
          <t>No</t>
        </is>
      </c>
      <c r="G144" t="inlineStr">
        <is>
          <t>1</t>
        </is>
      </c>
      <c r="H144" t="inlineStr">
        <is>
          <t>No</t>
        </is>
      </c>
      <c r="I144" t="inlineStr">
        <is>
          <t>No</t>
        </is>
      </c>
      <c r="J144" t="inlineStr">
        <is>
          <t>0</t>
        </is>
      </c>
      <c r="K144" t="inlineStr">
        <is>
          <t>Stearns, Peter N.</t>
        </is>
      </c>
      <c r="L144" t="inlineStr">
        <is>
          <t>New York : Holmes &amp; Meier Publishers, 1976.</t>
        </is>
      </c>
      <c r="M144" t="inlineStr">
        <is>
          <t>1976</t>
        </is>
      </c>
      <c r="O144" t="inlineStr">
        <is>
          <t>eng</t>
        </is>
      </c>
      <c r="P144" t="inlineStr">
        <is>
          <t>nyu</t>
        </is>
      </c>
      <c r="R144" t="inlineStr">
        <is>
          <t xml:space="preserve">HQ </t>
        </is>
      </c>
      <c r="S144" t="n">
        <v>1</v>
      </c>
      <c r="T144" t="n">
        <v>1</v>
      </c>
      <c r="U144" t="inlineStr">
        <is>
          <t>2005-03-09</t>
        </is>
      </c>
      <c r="V144" t="inlineStr">
        <is>
          <t>2005-03-09</t>
        </is>
      </c>
      <c r="W144" t="inlineStr">
        <is>
          <t>1997-08-14</t>
        </is>
      </c>
      <c r="X144" t="inlineStr">
        <is>
          <t>1997-08-14</t>
        </is>
      </c>
      <c r="Y144" t="n">
        <v>356</v>
      </c>
      <c r="Z144" t="n">
        <v>315</v>
      </c>
      <c r="AA144" t="n">
        <v>352</v>
      </c>
      <c r="AB144" t="n">
        <v>2</v>
      </c>
      <c r="AC144" t="n">
        <v>2</v>
      </c>
      <c r="AD144" t="n">
        <v>14</v>
      </c>
      <c r="AE144" t="n">
        <v>16</v>
      </c>
      <c r="AF144" t="n">
        <v>5</v>
      </c>
      <c r="AG144" t="n">
        <v>5</v>
      </c>
      <c r="AH144" t="n">
        <v>3</v>
      </c>
      <c r="AI144" t="n">
        <v>4</v>
      </c>
      <c r="AJ144" t="n">
        <v>8</v>
      </c>
      <c r="AK144" t="n">
        <v>10</v>
      </c>
      <c r="AL144" t="n">
        <v>1</v>
      </c>
      <c r="AM144" t="n">
        <v>1</v>
      </c>
      <c r="AN144" t="n">
        <v>0</v>
      </c>
      <c r="AO144" t="n">
        <v>0</v>
      </c>
      <c r="AP144" t="inlineStr">
        <is>
          <t>No</t>
        </is>
      </c>
      <c r="AQ144" t="inlineStr">
        <is>
          <t>Yes</t>
        </is>
      </c>
      <c r="AR144">
        <f>HYPERLINK("http://catalog.hathitrust.org/Record/000029902","HathiTrust Record")</f>
        <v/>
      </c>
      <c r="AS144">
        <f>HYPERLINK("https://creighton-primo.hosted.exlibrisgroup.com/primo-explore/search?tab=default_tab&amp;search_scope=EVERYTHING&amp;vid=01CRU&amp;lang=en_US&amp;offset=0&amp;query=any,contains,991004092899702656","Catalog Record")</f>
        <v/>
      </c>
      <c r="AT144">
        <f>HYPERLINK("http://www.worldcat.org/oclc/2346939","WorldCat Record")</f>
        <v/>
      </c>
      <c r="AU144" t="inlineStr">
        <is>
          <t>5029988:eng</t>
        </is>
      </c>
      <c r="AV144" t="inlineStr">
        <is>
          <t>2346939</t>
        </is>
      </c>
      <c r="AW144" t="inlineStr">
        <is>
          <t>991004092899702656</t>
        </is>
      </c>
      <c r="AX144" t="inlineStr">
        <is>
          <t>991004092899702656</t>
        </is>
      </c>
      <c r="AY144" t="inlineStr">
        <is>
          <t>2260689170002656</t>
        </is>
      </c>
      <c r="AZ144" t="inlineStr">
        <is>
          <t>BOOK</t>
        </is>
      </c>
      <c r="BB144" t="inlineStr">
        <is>
          <t>9780841902855</t>
        </is>
      </c>
      <c r="BC144" t="inlineStr">
        <is>
          <t>32285003103453</t>
        </is>
      </c>
      <c r="BD144" t="inlineStr">
        <is>
          <t>893794464</t>
        </is>
      </c>
    </row>
    <row r="145">
      <c r="A145" t="inlineStr">
        <is>
          <t>No</t>
        </is>
      </c>
      <c r="B145" t="inlineStr">
        <is>
          <t>HQ1064.G7 A73 1991</t>
        </is>
      </c>
      <c r="C145" t="inlineStr">
        <is>
          <t>0                      HQ 1064000G  7                  A  73          1991</t>
        </is>
      </c>
      <c r="D145" t="inlineStr">
        <is>
          <t>Gender and later life : a sociological analysis of resources and constraints / Sara Arber and Jay Ginn.</t>
        </is>
      </c>
      <c r="F145" t="inlineStr">
        <is>
          <t>No</t>
        </is>
      </c>
      <c r="G145" t="inlineStr">
        <is>
          <t>1</t>
        </is>
      </c>
      <c r="H145" t="inlineStr">
        <is>
          <t>No</t>
        </is>
      </c>
      <c r="I145" t="inlineStr">
        <is>
          <t>No</t>
        </is>
      </c>
      <c r="J145" t="inlineStr">
        <is>
          <t>0</t>
        </is>
      </c>
      <c r="K145" t="inlineStr">
        <is>
          <t>Arber, Sara, 1949-</t>
        </is>
      </c>
      <c r="L145" t="inlineStr">
        <is>
          <t>London ; Newbury Park, Calif. : Sage Publications, 1991.</t>
        </is>
      </c>
      <c r="M145" t="inlineStr">
        <is>
          <t>1991</t>
        </is>
      </c>
      <c r="O145" t="inlineStr">
        <is>
          <t>eng</t>
        </is>
      </c>
      <c r="P145" t="inlineStr">
        <is>
          <t>enk</t>
        </is>
      </c>
      <c r="R145" t="inlineStr">
        <is>
          <t xml:space="preserve">HQ </t>
        </is>
      </c>
      <c r="S145" t="n">
        <v>15</v>
      </c>
      <c r="T145" t="n">
        <v>15</v>
      </c>
      <c r="U145" t="inlineStr">
        <is>
          <t>2000-07-08</t>
        </is>
      </c>
      <c r="V145" t="inlineStr">
        <is>
          <t>2000-07-08</t>
        </is>
      </c>
      <c r="W145" t="inlineStr">
        <is>
          <t>1992-11-09</t>
        </is>
      </c>
      <c r="X145" t="inlineStr">
        <is>
          <t>1992-11-09</t>
        </is>
      </c>
      <c r="Y145" t="n">
        <v>424</v>
      </c>
      <c r="Z145" t="n">
        <v>258</v>
      </c>
      <c r="AA145" t="n">
        <v>266</v>
      </c>
      <c r="AB145" t="n">
        <v>3</v>
      </c>
      <c r="AC145" t="n">
        <v>3</v>
      </c>
      <c r="AD145" t="n">
        <v>15</v>
      </c>
      <c r="AE145" t="n">
        <v>15</v>
      </c>
      <c r="AF145" t="n">
        <v>5</v>
      </c>
      <c r="AG145" t="n">
        <v>5</v>
      </c>
      <c r="AH145" t="n">
        <v>4</v>
      </c>
      <c r="AI145" t="n">
        <v>4</v>
      </c>
      <c r="AJ145" t="n">
        <v>8</v>
      </c>
      <c r="AK145" t="n">
        <v>8</v>
      </c>
      <c r="AL145" t="n">
        <v>2</v>
      </c>
      <c r="AM145" t="n">
        <v>2</v>
      </c>
      <c r="AN145" t="n">
        <v>0</v>
      </c>
      <c r="AO145" t="n">
        <v>0</v>
      </c>
      <c r="AP145" t="inlineStr">
        <is>
          <t>No</t>
        </is>
      </c>
      <c r="AQ145" t="inlineStr">
        <is>
          <t>Yes</t>
        </is>
      </c>
      <c r="AR145">
        <f>HYPERLINK("http://catalog.hathitrust.org/Record/002528863","HathiTrust Record")</f>
        <v/>
      </c>
      <c r="AS145">
        <f>HYPERLINK("https://creighton-primo.hosted.exlibrisgroup.com/primo-explore/search?tab=default_tab&amp;search_scope=EVERYTHING&amp;vid=01CRU&amp;lang=en_US&amp;offset=0&amp;query=any,contains,991002027759702656","Catalog Record")</f>
        <v/>
      </c>
      <c r="AT145">
        <f>HYPERLINK("http://www.worldcat.org/oclc/24743115","WorldCat Record")</f>
        <v/>
      </c>
      <c r="AU145" t="inlineStr">
        <is>
          <t>196898815:eng</t>
        </is>
      </c>
      <c r="AV145" t="inlineStr">
        <is>
          <t>24743115</t>
        </is>
      </c>
      <c r="AW145" t="inlineStr">
        <is>
          <t>991002027759702656</t>
        </is>
      </c>
      <c r="AX145" t="inlineStr">
        <is>
          <t>991002027759702656</t>
        </is>
      </c>
      <c r="AY145" t="inlineStr">
        <is>
          <t>2256851740002656</t>
        </is>
      </c>
      <c r="AZ145" t="inlineStr">
        <is>
          <t>BOOK</t>
        </is>
      </c>
      <c r="BB145" t="inlineStr">
        <is>
          <t>9780803983960</t>
        </is>
      </c>
      <c r="BC145" t="inlineStr">
        <is>
          <t>32285001360725</t>
        </is>
      </c>
      <c r="BD145" t="inlineStr">
        <is>
          <t>893516812</t>
        </is>
      </c>
    </row>
    <row r="146">
      <c r="A146" t="inlineStr">
        <is>
          <t>No</t>
        </is>
      </c>
      <c r="B146" t="inlineStr">
        <is>
          <t>HQ1064.G7 P37 1982</t>
        </is>
      </c>
      <c r="C146" t="inlineStr">
        <is>
          <t>0                      HQ 1064000G  7                  P  37          1982</t>
        </is>
      </c>
      <c r="D146" t="inlineStr">
        <is>
          <t>Work and retirement / Stanley Parker.</t>
        </is>
      </c>
      <c r="F146" t="inlineStr">
        <is>
          <t>No</t>
        </is>
      </c>
      <c r="G146" t="inlineStr">
        <is>
          <t>1</t>
        </is>
      </c>
      <c r="H146" t="inlineStr">
        <is>
          <t>No</t>
        </is>
      </c>
      <c r="I146" t="inlineStr">
        <is>
          <t>No</t>
        </is>
      </c>
      <c r="J146" t="inlineStr">
        <is>
          <t>0</t>
        </is>
      </c>
      <c r="K146" t="inlineStr">
        <is>
          <t>Parker, Stanley, 1927-</t>
        </is>
      </c>
      <c r="L146" t="inlineStr">
        <is>
          <t>London ; Boston : Allen &amp; Unwin, 1982.</t>
        </is>
      </c>
      <c r="M146" t="inlineStr">
        <is>
          <t>1982</t>
        </is>
      </c>
      <c r="O146" t="inlineStr">
        <is>
          <t>eng</t>
        </is>
      </c>
      <c r="P146" t="inlineStr">
        <is>
          <t>enk</t>
        </is>
      </c>
      <c r="R146" t="inlineStr">
        <is>
          <t xml:space="preserve">HQ </t>
        </is>
      </c>
      <c r="S146" t="n">
        <v>2</v>
      </c>
      <c r="T146" t="n">
        <v>2</v>
      </c>
      <c r="U146" t="inlineStr">
        <is>
          <t>1993-04-12</t>
        </is>
      </c>
      <c r="V146" t="inlineStr">
        <is>
          <t>1993-04-12</t>
        </is>
      </c>
      <c r="W146" t="inlineStr">
        <is>
          <t>1990-03-28</t>
        </is>
      </c>
      <c r="X146" t="inlineStr">
        <is>
          <t>1990-03-28</t>
        </is>
      </c>
      <c r="Y146" t="n">
        <v>317</v>
      </c>
      <c r="Z146" t="n">
        <v>168</v>
      </c>
      <c r="AA146" t="n">
        <v>173</v>
      </c>
      <c r="AB146" t="n">
        <v>2</v>
      </c>
      <c r="AC146" t="n">
        <v>2</v>
      </c>
      <c r="AD146" t="n">
        <v>5</v>
      </c>
      <c r="AE146" t="n">
        <v>5</v>
      </c>
      <c r="AF146" t="n">
        <v>1</v>
      </c>
      <c r="AG146" t="n">
        <v>1</v>
      </c>
      <c r="AH146" t="n">
        <v>1</v>
      </c>
      <c r="AI146" t="n">
        <v>1</v>
      </c>
      <c r="AJ146" t="n">
        <v>3</v>
      </c>
      <c r="AK146" t="n">
        <v>3</v>
      </c>
      <c r="AL146" t="n">
        <v>1</v>
      </c>
      <c r="AM146" t="n">
        <v>1</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HYPERLINK("https://creighton-primo.hosted.exlibrisgroup.com/primo-explore/search?tab=default_tab&amp;search_scope=EVERYTHING&amp;vid=01CRU&amp;lang=en_US&amp;offset=0&amp;query=any,contains,991005232989702656","Catalog Record")</f>
        <v/>
      </c>
      <c r="AT146">
        <f>HYPERLINK("http://www.worldcat.org/oclc/8346053","WorldCat Record")</f>
        <v/>
      </c>
      <c r="AU146" t="inlineStr">
        <is>
          <t>375484450:eng</t>
        </is>
      </c>
      <c r="AV146" t="inlineStr">
        <is>
          <t>8346053</t>
        </is>
      </c>
      <c r="AW146" t="inlineStr">
        <is>
          <t>991005232989702656</t>
        </is>
      </c>
      <c r="AX146" t="inlineStr">
        <is>
          <t>991005232989702656</t>
        </is>
      </c>
      <c r="AY146" t="inlineStr">
        <is>
          <t>2263397310002656</t>
        </is>
      </c>
      <c r="AZ146" t="inlineStr">
        <is>
          <t>BOOK</t>
        </is>
      </c>
      <c r="BB146" t="inlineStr">
        <is>
          <t>9780046582388</t>
        </is>
      </c>
      <c r="BC146" t="inlineStr">
        <is>
          <t>32285000100007</t>
        </is>
      </c>
      <c r="BD146" t="inlineStr">
        <is>
          <t>893446671</t>
        </is>
      </c>
    </row>
    <row r="147">
      <c r="A147" t="inlineStr">
        <is>
          <t>No</t>
        </is>
      </c>
      <c r="B147" t="inlineStr">
        <is>
          <t>HQ1064.G7 S5 1973</t>
        </is>
      </c>
      <c r="C147" t="inlineStr">
        <is>
          <t>0                      HQ 1064000G  7                  S  5           1973</t>
        </is>
      </c>
      <c r="D147" t="inlineStr">
        <is>
          <t>Social policies for old age : a review of social provision for old age in Great Britain / by B. E. Shenfield.</t>
        </is>
      </c>
      <c r="F147" t="inlineStr">
        <is>
          <t>No</t>
        </is>
      </c>
      <c r="G147" t="inlineStr">
        <is>
          <t>1</t>
        </is>
      </c>
      <c r="H147" t="inlineStr">
        <is>
          <t>No</t>
        </is>
      </c>
      <c r="I147" t="inlineStr">
        <is>
          <t>No</t>
        </is>
      </c>
      <c r="J147" t="inlineStr">
        <is>
          <t>0</t>
        </is>
      </c>
      <c r="K147" t="inlineStr">
        <is>
          <t>Shenfield, Barbara Estelle.</t>
        </is>
      </c>
      <c r="L147" t="inlineStr">
        <is>
          <t>Westport, Conn. : Greenwood Press, [1973]</t>
        </is>
      </c>
      <c r="M147" t="inlineStr">
        <is>
          <t>1973</t>
        </is>
      </c>
      <c r="O147" t="inlineStr">
        <is>
          <t>eng</t>
        </is>
      </c>
      <c r="P147" t="inlineStr">
        <is>
          <t>ctu</t>
        </is>
      </c>
      <c r="R147" t="inlineStr">
        <is>
          <t xml:space="preserve">HQ </t>
        </is>
      </c>
      <c r="S147" t="n">
        <v>2</v>
      </c>
      <c r="T147" t="n">
        <v>2</v>
      </c>
      <c r="U147" t="inlineStr">
        <is>
          <t>1997-12-01</t>
        </is>
      </c>
      <c r="V147" t="inlineStr">
        <is>
          <t>1997-12-01</t>
        </is>
      </c>
      <c r="W147" t="inlineStr">
        <is>
          <t>1993-05-05</t>
        </is>
      </c>
      <c r="X147" t="inlineStr">
        <is>
          <t>1993-05-05</t>
        </is>
      </c>
      <c r="Y147" t="n">
        <v>100</v>
      </c>
      <c r="Z147" t="n">
        <v>87</v>
      </c>
      <c r="AA147" t="n">
        <v>224</v>
      </c>
      <c r="AB147" t="n">
        <v>2</v>
      </c>
      <c r="AC147" t="n">
        <v>2</v>
      </c>
      <c r="AD147" t="n">
        <v>4</v>
      </c>
      <c r="AE147" t="n">
        <v>8</v>
      </c>
      <c r="AF147" t="n">
        <v>1</v>
      </c>
      <c r="AG147" t="n">
        <v>1</v>
      </c>
      <c r="AH147" t="n">
        <v>1</v>
      </c>
      <c r="AI147" t="n">
        <v>3</v>
      </c>
      <c r="AJ147" t="n">
        <v>1</v>
      </c>
      <c r="AK147" t="n">
        <v>3</v>
      </c>
      <c r="AL147" t="n">
        <v>1</v>
      </c>
      <c r="AM147" t="n">
        <v>1</v>
      </c>
      <c r="AN147" t="n">
        <v>1</v>
      </c>
      <c r="AO147" t="n">
        <v>1</v>
      </c>
      <c r="AP147" t="inlineStr">
        <is>
          <t>No</t>
        </is>
      </c>
      <c r="AQ147" t="inlineStr">
        <is>
          <t>No</t>
        </is>
      </c>
      <c r="AS147">
        <f>HYPERLINK("https://creighton-primo.hosted.exlibrisgroup.com/primo-explore/search?tab=default_tab&amp;search_scope=EVERYTHING&amp;vid=01CRU&amp;lang=en_US&amp;offset=0&amp;query=any,contains,991003156059702656","Catalog Record")</f>
        <v/>
      </c>
      <c r="AT147">
        <f>HYPERLINK("http://www.worldcat.org/oclc/695516","WorldCat Record")</f>
        <v/>
      </c>
      <c r="AU147" t="inlineStr">
        <is>
          <t>1811218:eng</t>
        </is>
      </c>
      <c r="AV147" t="inlineStr">
        <is>
          <t>695516</t>
        </is>
      </c>
      <c r="AW147" t="inlineStr">
        <is>
          <t>991003156059702656</t>
        </is>
      </c>
      <c r="AX147" t="inlineStr">
        <is>
          <t>991003156059702656</t>
        </is>
      </c>
      <c r="AY147" t="inlineStr">
        <is>
          <t>2267622040002656</t>
        </is>
      </c>
      <c r="AZ147" t="inlineStr">
        <is>
          <t>BOOK</t>
        </is>
      </c>
      <c r="BB147" t="inlineStr">
        <is>
          <t>9780837168777</t>
        </is>
      </c>
      <c r="BC147" t="inlineStr">
        <is>
          <t>32285001650042</t>
        </is>
      </c>
      <c r="BD147" t="inlineStr">
        <is>
          <t>893880868</t>
        </is>
      </c>
    </row>
    <row r="148">
      <c r="A148" t="inlineStr">
        <is>
          <t>No</t>
        </is>
      </c>
      <c r="B148" t="inlineStr">
        <is>
          <t>HQ1064.G7 T44 2000</t>
        </is>
      </c>
      <c r="C148" t="inlineStr">
        <is>
          <t>0                      HQ 1064000G  7                  T  44          2000</t>
        </is>
      </c>
      <c r="D148" t="inlineStr">
        <is>
          <t>Old age in English history : past experiences, present issues / Pat Thane.</t>
        </is>
      </c>
      <c r="F148" t="inlineStr">
        <is>
          <t>No</t>
        </is>
      </c>
      <c r="G148" t="inlineStr">
        <is>
          <t>1</t>
        </is>
      </c>
      <c r="H148" t="inlineStr">
        <is>
          <t>No</t>
        </is>
      </c>
      <c r="I148" t="inlineStr">
        <is>
          <t>No</t>
        </is>
      </c>
      <c r="J148" t="inlineStr">
        <is>
          <t>0</t>
        </is>
      </c>
      <c r="K148" t="inlineStr">
        <is>
          <t>Thane, Pat.</t>
        </is>
      </c>
      <c r="L148" t="inlineStr">
        <is>
          <t>Oxford [UK] ; New York : Oxford University Press, 2000.</t>
        </is>
      </c>
      <c r="M148" t="inlineStr">
        <is>
          <t>2000</t>
        </is>
      </c>
      <c r="O148" t="inlineStr">
        <is>
          <t>eng</t>
        </is>
      </c>
      <c r="P148" t="inlineStr">
        <is>
          <t>enk</t>
        </is>
      </c>
      <c r="R148" t="inlineStr">
        <is>
          <t xml:space="preserve">HQ </t>
        </is>
      </c>
      <c r="S148" t="n">
        <v>3</v>
      </c>
      <c r="T148" t="n">
        <v>3</v>
      </c>
      <c r="U148" t="inlineStr">
        <is>
          <t>2005-03-09</t>
        </is>
      </c>
      <c r="V148" t="inlineStr">
        <is>
          <t>2005-03-09</t>
        </is>
      </c>
      <c r="W148" t="inlineStr">
        <is>
          <t>2002-01-08</t>
        </is>
      </c>
      <c r="X148" t="inlineStr">
        <is>
          <t>2002-01-08</t>
        </is>
      </c>
      <c r="Y148" t="n">
        <v>385</v>
      </c>
      <c r="Z148" t="n">
        <v>251</v>
      </c>
      <c r="AA148" t="n">
        <v>274</v>
      </c>
      <c r="AB148" t="n">
        <v>2</v>
      </c>
      <c r="AC148" t="n">
        <v>2</v>
      </c>
      <c r="AD148" t="n">
        <v>14</v>
      </c>
      <c r="AE148" t="n">
        <v>14</v>
      </c>
      <c r="AF148" t="n">
        <v>3</v>
      </c>
      <c r="AG148" t="n">
        <v>3</v>
      </c>
      <c r="AH148" t="n">
        <v>5</v>
      </c>
      <c r="AI148" t="n">
        <v>5</v>
      </c>
      <c r="AJ148" t="n">
        <v>9</v>
      </c>
      <c r="AK148" t="n">
        <v>9</v>
      </c>
      <c r="AL148" t="n">
        <v>1</v>
      </c>
      <c r="AM148" t="n">
        <v>1</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HYPERLINK("https://creighton-primo.hosted.exlibrisgroup.com/primo-explore/search?tab=default_tab&amp;search_scope=EVERYTHING&amp;vid=01CRU&amp;lang=en_US&amp;offset=0&amp;query=any,contains,991003695529702656","Catalog Record")</f>
        <v/>
      </c>
      <c r="AT148">
        <f>HYPERLINK("http://www.worldcat.org/oclc/42726175","WorldCat Record")</f>
        <v/>
      </c>
      <c r="AU148" t="inlineStr">
        <is>
          <t>831137886:eng</t>
        </is>
      </c>
      <c r="AV148" t="inlineStr">
        <is>
          <t>42726175</t>
        </is>
      </c>
      <c r="AW148" t="inlineStr">
        <is>
          <t>991003695529702656</t>
        </is>
      </c>
      <c r="AX148" t="inlineStr">
        <is>
          <t>991003695529702656</t>
        </is>
      </c>
      <c r="AY148" t="inlineStr">
        <is>
          <t>2262241890002656</t>
        </is>
      </c>
      <c r="AZ148" t="inlineStr">
        <is>
          <t>BOOK</t>
        </is>
      </c>
      <c r="BB148" t="inlineStr">
        <is>
          <t>9780198203827</t>
        </is>
      </c>
      <c r="BC148" t="inlineStr">
        <is>
          <t>32285004446489</t>
        </is>
      </c>
      <c r="BD148" t="inlineStr">
        <is>
          <t>893330666</t>
        </is>
      </c>
    </row>
    <row r="149">
      <c r="A149" t="inlineStr">
        <is>
          <t>No</t>
        </is>
      </c>
      <c r="B149" t="inlineStr">
        <is>
          <t>HQ1064.G7 T46 1990</t>
        </is>
      </c>
      <c r="C149" t="inlineStr">
        <is>
          <t>0                      HQ 1064000G  7                  T  46          1990</t>
        </is>
      </c>
      <c r="D149" t="inlineStr">
        <is>
          <t>I don't feel old : the experience of later life / by Paul Thompson, Catherine Itzin, and Michele Abendstern.</t>
        </is>
      </c>
      <c r="F149" t="inlineStr">
        <is>
          <t>No</t>
        </is>
      </c>
      <c r="G149" t="inlineStr">
        <is>
          <t>1</t>
        </is>
      </c>
      <c r="H149" t="inlineStr">
        <is>
          <t>No</t>
        </is>
      </c>
      <c r="I149" t="inlineStr">
        <is>
          <t>No</t>
        </is>
      </c>
      <c r="J149" t="inlineStr">
        <is>
          <t>0</t>
        </is>
      </c>
      <c r="K149" t="inlineStr">
        <is>
          <t>Thompson, Paul, 1935-</t>
        </is>
      </c>
      <c r="L149" t="inlineStr">
        <is>
          <t>Oxford ; New York : Oxford University Press, 1990.</t>
        </is>
      </c>
      <c r="M149" t="inlineStr">
        <is>
          <t>1990</t>
        </is>
      </c>
      <c r="O149" t="inlineStr">
        <is>
          <t>eng</t>
        </is>
      </c>
      <c r="P149" t="inlineStr">
        <is>
          <t>enk</t>
        </is>
      </c>
      <c r="R149" t="inlineStr">
        <is>
          <t xml:space="preserve">HQ </t>
        </is>
      </c>
      <c r="S149" t="n">
        <v>7</v>
      </c>
      <c r="T149" t="n">
        <v>7</v>
      </c>
      <c r="U149" t="inlineStr">
        <is>
          <t>2002-02-17</t>
        </is>
      </c>
      <c r="V149" t="inlineStr">
        <is>
          <t>2002-02-17</t>
        </is>
      </c>
      <c r="W149" t="inlineStr">
        <is>
          <t>1990-11-27</t>
        </is>
      </c>
      <c r="X149" t="inlineStr">
        <is>
          <t>1990-11-27</t>
        </is>
      </c>
      <c r="Y149" t="n">
        <v>309</v>
      </c>
      <c r="Z149" t="n">
        <v>198</v>
      </c>
      <c r="AA149" t="n">
        <v>206</v>
      </c>
      <c r="AB149" t="n">
        <v>3</v>
      </c>
      <c r="AC149" t="n">
        <v>3</v>
      </c>
      <c r="AD149" t="n">
        <v>8</v>
      </c>
      <c r="AE149" t="n">
        <v>8</v>
      </c>
      <c r="AF149" t="n">
        <v>2</v>
      </c>
      <c r="AG149" t="n">
        <v>2</v>
      </c>
      <c r="AH149" t="n">
        <v>1</v>
      </c>
      <c r="AI149" t="n">
        <v>1</v>
      </c>
      <c r="AJ149" t="n">
        <v>4</v>
      </c>
      <c r="AK149" t="n">
        <v>4</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HYPERLINK("https://creighton-primo.hosted.exlibrisgroup.com/primo-explore/search?tab=default_tab&amp;search_scope=EVERYTHING&amp;vid=01CRU&amp;lang=en_US&amp;offset=0&amp;query=any,contains,991001582229702656","Catalog Record")</f>
        <v/>
      </c>
      <c r="AT149">
        <f>HYPERLINK("http://www.worldcat.org/oclc/20491406","WorldCat Record")</f>
        <v/>
      </c>
      <c r="AU149" t="inlineStr">
        <is>
          <t>1151398498:eng</t>
        </is>
      </c>
      <c r="AV149" t="inlineStr">
        <is>
          <t>20491406</t>
        </is>
      </c>
      <c r="AW149" t="inlineStr">
        <is>
          <t>991001582229702656</t>
        </is>
      </c>
      <c r="AX149" t="inlineStr">
        <is>
          <t>991001582229702656</t>
        </is>
      </c>
      <c r="AY149" t="inlineStr">
        <is>
          <t>2267204380002656</t>
        </is>
      </c>
      <c r="AZ149" t="inlineStr">
        <is>
          <t>BOOK</t>
        </is>
      </c>
      <c r="BB149" t="inlineStr">
        <is>
          <t>9780198201472</t>
        </is>
      </c>
      <c r="BC149" t="inlineStr">
        <is>
          <t>32285000357037</t>
        </is>
      </c>
      <c r="BD149" t="inlineStr">
        <is>
          <t>893432936</t>
        </is>
      </c>
    </row>
    <row r="150">
      <c r="A150" t="inlineStr">
        <is>
          <t>No</t>
        </is>
      </c>
      <c r="B150" t="inlineStr">
        <is>
          <t>HQ1064.G8 S93 1991</t>
        </is>
      </c>
      <c r="C150" t="inlineStr">
        <is>
          <t>0                      HQ 1064000G  8                  S  93          1991</t>
        </is>
      </c>
      <c r="D150" t="inlineStr">
        <is>
          <t>Geras : old age in Greco-Roman antiquity, a classified bibliography / by Wiesław Suder.</t>
        </is>
      </c>
      <c r="F150" t="inlineStr">
        <is>
          <t>No</t>
        </is>
      </c>
      <c r="G150" t="inlineStr">
        <is>
          <t>1</t>
        </is>
      </c>
      <c r="H150" t="inlineStr">
        <is>
          <t>No</t>
        </is>
      </c>
      <c r="I150" t="inlineStr">
        <is>
          <t>No</t>
        </is>
      </c>
      <c r="J150" t="inlineStr">
        <is>
          <t>0</t>
        </is>
      </c>
      <c r="K150" t="inlineStr">
        <is>
          <t>Suder, Wiesław.</t>
        </is>
      </c>
      <c r="L150" t="inlineStr">
        <is>
          <t>Wrocław : Profil, 1991.</t>
        </is>
      </c>
      <c r="M150" t="inlineStr">
        <is>
          <t>1991</t>
        </is>
      </c>
      <c r="O150" t="inlineStr">
        <is>
          <t>eng</t>
        </is>
      </c>
      <c r="P150" t="inlineStr">
        <is>
          <t xml:space="preserve">pl </t>
        </is>
      </c>
      <c r="R150" t="inlineStr">
        <is>
          <t xml:space="preserve">HQ </t>
        </is>
      </c>
      <c r="S150" t="n">
        <v>1</v>
      </c>
      <c r="T150" t="n">
        <v>1</v>
      </c>
      <c r="U150" t="inlineStr">
        <is>
          <t>1995-02-17</t>
        </is>
      </c>
      <c r="V150" t="inlineStr">
        <is>
          <t>1995-02-17</t>
        </is>
      </c>
      <c r="W150" t="inlineStr">
        <is>
          <t>1992-09-23</t>
        </is>
      </c>
      <c r="X150" t="inlineStr">
        <is>
          <t>1992-09-23</t>
        </is>
      </c>
      <c r="Y150" t="n">
        <v>56</v>
      </c>
      <c r="Z150" t="n">
        <v>24</v>
      </c>
      <c r="AA150" t="n">
        <v>24</v>
      </c>
      <c r="AB150" t="n">
        <v>1</v>
      </c>
      <c r="AC150" t="n">
        <v>1</v>
      </c>
      <c r="AD150" t="n">
        <v>1</v>
      </c>
      <c r="AE150" t="n">
        <v>1</v>
      </c>
      <c r="AF150" t="n">
        <v>0</v>
      </c>
      <c r="AG150" t="n">
        <v>0</v>
      </c>
      <c r="AH150" t="n">
        <v>1</v>
      </c>
      <c r="AI150" t="n">
        <v>1</v>
      </c>
      <c r="AJ150" t="n">
        <v>0</v>
      </c>
      <c r="AK150" t="n">
        <v>0</v>
      </c>
      <c r="AL150" t="n">
        <v>0</v>
      </c>
      <c r="AM150" t="n">
        <v>0</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HYPERLINK("https://creighton-primo.hosted.exlibrisgroup.com/primo-explore/search?tab=default_tab&amp;search_scope=EVERYTHING&amp;vid=01CRU&amp;lang=en_US&amp;offset=0&amp;query=any,contains,991002053879702656","Catalog Record")</f>
        <v/>
      </c>
      <c r="AT150">
        <f>HYPERLINK("http://www.worldcat.org/oclc/26247786","WorldCat Record")</f>
        <v/>
      </c>
      <c r="AU150" t="inlineStr">
        <is>
          <t>792114644:eng</t>
        </is>
      </c>
      <c r="AV150" t="inlineStr">
        <is>
          <t>26247786</t>
        </is>
      </c>
      <c r="AW150" t="inlineStr">
        <is>
          <t>991002053879702656</t>
        </is>
      </c>
      <c r="AX150" t="inlineStr">
        <is>
          <t>991002053879702656</t>
        </is>
      </c>
      <c r="AY150" t="inlineStr">
        <is>
          <t>2254963260002656</t>
        </is>
      </c>
      <c r="AZ150" t="inlineStr">
        <is>
          <t>BOOK</t>
        </is>
      </c>
      <c r="BB150" t="inlineStr">
        <is>
          <t>9788390010229</t>
        </is>
      </c>
      <c r="BC150" t="inlineStr">
        <is>
          <t>32285001288983</t>
        </is>
      </c>
      <c r="BD150" t="inlineStr">
        <is>
          <t>893340976</t>
        </is>
      </c>
    </row>
    <row r="151">
      <c r="A151" t="inlineStr">
        <is>
          <t>No</t>
        </is>
      </c>
      <c r="B151" t="inlineStr">
        <is>
          <t>HQ1064.J3 C36 1992</t>
        </is>
      </c>
      <c r="C151" t="inlineStr">
        <is>
          <t>0                      HQ 1064000J  3                  C  36          1992</t>
        </is>
      </c>
      <c r="D151" t="inlineStr">
        <is>
          <t>How policies change : the Japanese government and the aging society / John Creighton Campbell.</t>
        </is>
      </c>
      <c r="F151" t="inlineStr">
        <is>
          <t>No</t>
        </is>
      </c>
      <c r="G151" t="inlineStr">
        <is>
          <t>1</t>
        </is>
      </c>
      <c r="H151" t="inlineStr">
        <is>
          <t>No</t>
        </is>
      </c>
      <c r="I151" t="inlineStr">
        <is>
          <t>No</t>
        </is>
      </c>
      <c r="J151" t="inlineStr">
        <is>
          <t>0</t>
        </is>
      </c>
      <c r="K151" t="inlineStr">
        <is>
          <t>Campbell, John Creighton.</t>
        </is>
      </c>
      <c r="L151" t="inlineStr">
        <is>
          <t>Princeton, N.J. : Princeton University Press, c1992.</t>
        </is>
      </c>
      <c r="M151" t="inlineStr">
        <is>
          <t>1992</t>
        </is>
      </c>
      <c r="O151" t="inlineStr">
        <is>
          <t>eng</t>
        </is>
      </c>
      <c r="P151" t="inlineStr">
        <is>
          <t>nju</t>
        </is>
      </c>
      <c r="R151" t="inlineStr">
        <is>
          <t xml:space="preserve">HQ </t>
        </is>
      </c>
      <c r="S151" t="n">
        <v>11</v>
      </c>
      <c r="T151" t="n">
        <v>11</v>
      </c>
      <c r="U151" t="inlineStr">
        <is>
          <t>1996-04-10</t>
        </is>
      </c>
      <c r="V151" t="inlineStr">
        <is>
          <t>1996-04-10</t>
        </is>
      </c>
      <c r="W151" t="inlineStr">
        <is>
          <t>1992-11-20</t>
        </is>
      </c>
      <c r="X151" t="inlineStr">
        <is>
          <t>1992-11-20</t>
        </is>
      </c>
      <c r="Y151" t="n">
        <v>458</v>
      </c>
      <c r="Z151" t="n">
        <v>341</v>
      </c>
      <c r="AA151" t="n">
        <v>586</v>
      </c>
      <c r="AB151" t="n">
        <v>5</v>
      </c>
      <c r="AC151" t="n">
        <v>6</v>
      </c>
      <c r="AD151" t="n">
        <v>27</v>
      </c>
      <c r="AE151" t="n">
        <v>36</v>
      </c>
      <c r="AF151" t="n">
        <v>7</v>
      </c>
      <c r="AG151" t="n">
        <v>14</v>
      </c>
      <c r="AH151" t="n">
        <v>5</v>
      </c>
      <c r="AI151" t="n">
        <v>8</v>
      </c>
      <c r="AJ151" t="n">
        <v>15</v>
      </c>
      <c r="AK151" t="n">
        <v>17</v>
      </c>
      <c r="AL151" t="n">
        <v>4</v>
      </c>
      <c r="AM151" t="n">
        <v>4</v>
      </c>
      <c r="AN151" t="n">
        <v>3</v>
      </c>
      <c r="AO151" t="n">
        <v>3</v>
      </c>
      <c r="AP151" t="inlineStr">
        <is>
          <t>No</t>
        </is>
      </c>
      <c r="AQ151" t="inlineStr">
        <is>
          <t>No</t>
        </is>
      </c>
      <c r="AS151">
        <f>HYPERLINK("https://creighton-primo.hosted.exlibrisgroup.com/primo-explore/search?tab=default_tab&amp;search_scope=EVERYTHING&amp;vid=01CRU&amp;lang=en_US&amp;offset=0&amp;query=any,contains,991001905329702656","Catalog Record")</f>
        <v/>
      </c>
      <c r="AT151">
        <f>HYPERLINK("http://www.worldcat.org/oclc/24067340","WorldCat Record")</f>
        <v/>
      </c>
      <c r="AU151" t="inlineStr">
        <is>
          <t>585140999:eng</t>
        </is>
      </c>
      <c r="AV151" t="inlineStr">
        <is>
          <t>24067340</t>
        </is>
      </c>
      <c r="AW151" t="inlineStr">
        <is>
          <t>991001905329702656</t>
        </is>
      </c>
      <c r="AX151" t="inlineStr">
        <is>
          <t>991001905329702656</t>
        </is>
      </c>
      <c r="AY151" t="inlineStr">
        <is>
          <t>2258365280002656</t>
        </is>
      </c>
      <c r="AZ151" t="inlineStr">
        <is>
          <t>BOOK</t>
        </is>
      </c>
      <c r="BB151" t="inlineStr">
        <is>
          <t>9780691078847</t>
        </is>
      </c>
      <c r="BC151" t="inlineStr">
        <is>
          <t>32285001364602</t>
        </is>
      </c>
      <c r="BD151" t="inlineStr">
        <is>
          <t>893803987</t>
        </is>
      </c>
    </row>
    <row r="152">
      <c r="A152" t="inlineStr">
        <is>
          <t>No</t>
        </is>
      </c>
      <c r="B152" t="inlineStr">
        <is>
          <t>HQ1064.U5 A26</t>
        </is>
      </c>
      <c r="C152" t="inlineStr">
        <is>
          <t>0                      HQ 1064000U  5                  A  26</t>
        </is>
      </c>
      <c r="D152" t="inlineStr">
        <is>
          <t>Old age in the new land : the American experience since 1790 / W. Andrew Achenbaum.</t>
        </is>
      </c>
      <c r="F152" t="inlineStr">
        <is>
          <t>No</t>
        </is>
      </c>
      <c r="G152" t="inlineStr">
        <is>
          <t>1</t>
        </is>
      </c>
      <c r="H152" t="inlineStr">
        <is>
          <t>No</t>
        </is>
      </c>
      <c r="I152" t="inlineStr">
        <is>
          <t>No</t>
        </is>
      </c>
      <c r="J152" t="inlineStr">
        <is>
          <t>0</t>
        </is>
      </c>
      <c r="K152" t="inlineStr">
        <is>
          <t>Achenbaum, W. Andrew.</t>
        </is>
      </c>
      <c r="L152" t="inlineStr">
        <is>
          <t>Baltimore : Johns Hopkins University Press, 1978.</t>
        </is>
      </c>
      <c r="M152" t="inlineStr">
        <is>
          <t>1978</t>
        </is>
      </c>
      <c r="O152" t="inlineStr">
        <is>
          <t>eng</t>
        </is>
      </c>
      <c r="P152" t="inlineStr">
        <is>
          <t>mdu</t>
        </is>
      </c>
      <c r="R152" t="inlineStr">
        <is>
          <t xml:space="preserve">HQ </t>
        </is>
      </c>
      <c r="S152" t="n">
        <v>4</v>
      </c>
      <c r="T152" t="n">
        <v>4</v>
      </c>
      <c r="U152" t="inlineStr">
        <is>
          <t>1995-11-10</t>
        </is>
      </c>
      <c r="V152" t="inlineStr">
        <is>
          <t>1995-11-10</t>
        </is>
      </c>
      <c r="W152" t="inlineStr">
        <is>
          <t>1993-04-26</t>
        </is>
      </c>
      <c r="X152" t="inlineStr">
        <is>
          <t>1993-04-26</t>
        </is>
      </c>
      <c r="Y152" t="n">
        <v>1155</v>
      </c>
      <c r="Z152" t="n">
        <v>1040</v>
      </c>
      <c r="AA152" t="n">
        <v>1148</v>
      </c>
      <c r="AB152" t="n">
        <v>5</v>
      </c>
      <c r="AC152" t="n">
        <v>7</v>
      </c>
      <c r="AD152" t="n">
        <v>41</v>
      </c>
      <c r="AE152" t="n">
        <v>45</v>
      </c>
      <c r="AF152" t="n">
        <v>19</v>
      </c>
      <c r="AG152" t="n">
        <v>21</v>
      </c>
      <c r="AH152" t="n">
        <v>9</v>
      </c>
      <c r="AI152" t="n">
        <v>10</v>
      </c>
      <c r="AJ152" t="n">
        <v>20</v>
      </c>
      <c r="AK152" t="n">
        <v>20</v>
      </c>
      <c r="AL152" t="n">
        <v>4</v>
      </c>
      <c r="AM152" t="n">
        <v>6</v>
      </c>
      <c r="AN152" t="n">
        <v>0</v>
      </c>
      <c r="AO152" t="n">
        <v>0</v>
      </c>
      <c r="AP152" t="inlineStr">
        <is>
          <t>No</t>
        </is>
      </c>
      <c r="AQ152" t="inlineStr">
        <is>
          <t>Yes</t>
        </is>
      </c>
      <c r="AR152">
        <f>HYPERLINK("http://catalog.hathitrust.org/Record/000044533","HathiTrust Record")</f>
        <v/>
      </c>
      <c r="AS152">
        <f>HYPERLINK("https://creighton-primo.hosted.exlibrisgroup.com/primo-explore/search?tab=default_tab&amp;search_scope=EVERYTHING&amp;vid=01CRU&amp;lang=en_US&amp;offset=0&amp;query=any,contains,991004682129702656","Catalog Record")</f>
        <v/>
      </c>
      <c r="AT152">
        <f>HYPERLINK("http://www.worldcat.org/oclc/4571798","WorldCat Record")</f>
        <v/>
      </c>
      <c r="AU152" t="inlineStr">
        <is>
          <t>803566688:eng</t>
        </is>
      </c>
      <c r="AV152" t="inlineStr">
        <is>
          <t>4571798</t>
        </is>
      </c>
      <c r="AW152" t="inlineStr">
        <is>
          <t>991004682129702656</t>
        </is>
      </c>
      <c r="AX152" t="inlineStr">
        <is>
          <t>991004682129702656</t>
        </is>
      </c>
      <c r="AY152" t="inlineStr">
        <is>
          <t>2267769320002656</t>
        </is>
      </c>
      <c r="AZ152" t="inlineStr">
        <is>
          <t>BOOK</t>
        </is>
      </c>
      <c r="BC152" t="inlineStr">
        <is>
          <t>32285001625986</t>
        </is>
      </c>
      <c r="BD152" t="inlineStr">
        <is>
          <t>893810644</t>
        </is>
      </c>
    </row>
    <row r="153">
      <c r="A153" t="inlineStr">
        <is>
          <t>No</t>
        </is>
      </c>
      <c r="B153" t="inlineStr">
        <is>
          <t>HQ1064.U5 A6334 1983</t>
        </is>
      </c>
      <c r="C153" t="inlineStr">
        <is>
          <t>0                      HQ 1064000U  5                  A  6334        1983</t>
        </is>
      </c>
      <c r="D153" t="inlineStr">
        <is>
          <t>Aging and public policy : the politics of growing old in America / edited by William P. Browne and Laura Katz Olson.</t>
        </is>
      </c>
      <c r="F153" t="inlineStr">
        <is>
          <t>No</t>
        </is>
      </c>
      <c r="G153" t="inlineStr">
        <is>
          <t>1</t>
        </is>
      </c>
      <c r="H153" t="inlineStr">
        <is>
          <t>No</t>
        </is>
      </c>
      <c r="I153" t="inlineStr">
        <is>
          <t>No</t>
        </is>
      </c>
      <c r="J153" t="inlineStr">
        <is>
          <t>0</t>
        </is>
      </c>
      <c r="L153" t="inlineStr">
        <is>
          <t>Westport, Conn. : Greenwood Press, 1983.</t>
        </is>
      </c>
      <c r="M153" t="inlineStr">
        <is>
          <t>1983</t>
        </is>
      </c>
      <c r="O153" t="inlineStr">
        <is>
          <t>eng</t>
        </is>
      </c>
      <c r="P153" t="inlineStr">
        <is>
          <t>ctu</t>
        </is>
      </c>
      <c r="Q153" t="inlineStr">
        <is>
          <t>Contributions in political science, 0147-1066 ; no. 83</t>
        </is>
      </c>
      <c r="R153" t="inlineStr">
        <is>
          <t xml:space="preserve">HQ </t>
        </is>
      </c>
      <c r="S153" t="n">
        <v>3</v>
      </c>
      <c r="T153" t="n">
        <v>3</v>
      </c>
      <c r="U153" t="inlineStr">
        <is>
          <t>1995-10-26</t>
        </is>
      </c>
      <c r="V153" t="inlineStr">
        <is>
          <t>1995-10-26</t>
        </is>
      </c>
      <c r="W153" t="inlineStr">
        <is>
          <t>1990-06-15</t>
        </is>
      </c>
      <c r="X153" t="inlineStr">
        <is>
          <t>1990-06-15</t>
        </is>
      </c>
      <c r="Y153" t="n">
        <v>590</v>
      </c>
      <c r="Z153" t="n">
        <v>518</v>
      </c>
      <c r="AA153" t="n">
        <v>524</v>
      </c>
      <c r="AB153" t="n">
        <v>6</v>
      </c>
      <c r="AC153" t="n">
        <v>6</v>
      </c>
      <c r="AD153" t="n">
        <v>30</v>
      </c>
      <c r="AE153" t="n">
        <v>30</v>
      </c>
      <c r="AF153" t="n">
        <v>7</v>
      </c>
      <c r="AG153" t="n">
        <v>7</v>
      </c>
      <c r="AH153" t="n">
        <v>9</v>
      </c>
      <c r="AI153" t="n">
        <v>9</v>
      </c>
      <c r="AJ153" t="n">
        <v>11</v>
      </c>
      <c r="AK153" t="n">
        <v>11</v>
      </c>
      <c r="AL153" t="n">
        <v>4</v>
      </c>
      <c r="AM153" t="n">
        <v>4</v>
      </c>
      <c r="AN153" t="n">
        <v>5</v>
      </c>
      <c r="AO153" t="n">
        <v>5</v>
      </c>
      <c r="AP153" t="inlineStr">
        <is>
          <t>No</t>
        </is>
      </c>
      <c r="AQ153" t="inlineStr">
        <is>
          <t>Yes</t>
        </is>
      </c>
      <c r="AR153">
        <f>HYPERLINK("http://catalog.hathitrust.org/Record/000767496","HathiTrust Record")</f>
        <v/>
      </c>
      <c r="AS153">
        <f>HYPERLINK("https://creighton-primo.hosted.exlibrisgroup.com/primo-explore/search?tab=default_tab&amp;search_scope=EVERYTHING&amp;vid=01CRU&amp;lang=en_US&amp;offset=0&amp;query=any,contains,991005239479702656","Catalog Record")</f>
        <v/>
      </c>
      <c r="AT153">
        <f>HYPERLINK("http://www.worldcat.org/oclc/8408874","WorldCat Record")</f>
        <v/>
      </c>
      <c r="AU153" t="inlineStr">
        <is>
          <t>836692490:eng</t>
        </is>
      </c>
      <c r="AV153" t="inlineStr">
        <is>
          <t>8408874</t>
        </is>
      </c>
      <c r="AW153" t="inlineStr">
        <is>
          <t>991005239479702656</t>
        </is>
      </c>
      <c r="AX153" t="inlineStr">
        <is>
          <t>991005239479702656</t>
        </is>
      </c>
      <c r="AY153" t="inlineStr">
        <is>
          <t>2272613870002656</t>
        </is>
      </c>
      <c r="AZ153" t="inlineStr">
        <is>
          <t>BOOK</t>
        </is>
      </c>
      <c r="BB153" t="inlineStr">
        <is>
          <t>9780313228551</t>
        </is>
      </c>
      <c r="BC153" t="inlineStr">
        <is>
          <t>32285000196575</t>
        </is>
      </c>
      <c r="BD153" t="inlineStr">
        <is>
          <t>893789665</t>
        </is>
      </c>
    </row>
    <row r="154">
      <c r="A154" t="inlineStr">
        <is>
          <t>No</t>
        </is>
      </c>
      <c r="B154" t="inlineStr">
        <is>
          <t>HQ1064.U5 A6335</t>
        </is>
      </c>
      <c r="C154" t="inlineStr">
        <is>
          <t>0                      HQ 1064000U  5                  A  6335</t>
        </is>
      </c>
      <c r="D154" t="inlineStr">
        <is>
          <t>Aging and retirement : prospects, planning, and policy / edited by Neil G. McCluskey, Edgar F. Borgatta.</t>
        </is>
      </c>
      <c r="F154" t="inlineStr">
        <is>
          <t>No</t>
        </is>
      </c>
      <c r="G154" t="inlineStr">
        <is>
          <t>1</t>
        </is>
      </c>
      <c r="H154" t="inlineStr">
        <is>
          <t>No</t>
        </is>
      </c>
      <c r="I154" t="inlineStr">
        <is>
          <t>No</t>
        </is>
      </c>
      <c r="J154" t="inlineStr">
        <is>
          <t>0</t>
        </is>
      </c>
      <c r="L154" t="inlineStr">
        <is>
          <t>Beverly Hills : Sage Publications, c1981.</t>
        </is>
      </c>
      <c r="M154" t="inlineStr">
        <is>
          <t>1981</t>
        </is>
      </c>
      <c r="O154" t="inlineStr">
        <is>
          <t>eng</t>
        </is>
      </c>
      <c r="P154" t="inlineStr">
        <is>
          <t>cau</t>
        </is>
      </c>
      <c r="Q154" t="inlineStr">
        <is>
          <t>Sage focus editions ; 43</t>
        </is>
      </c>
      <c r="R154" t="inlineStr">
        <is>
          <t xml:space="preserve">HQ </t>
        </is>
      </c>
      <c r="S154" t="n">
        <v>3</v>
      </c>
      <c r="T154" t="n">
        <v>3</v>
      </c>
      <c r="U154" t="inlineStr">
        <is>
          <t>1996-05-02</t>
        </is>
      </c>
      <c r="V154" t="inlineStr">
        <is>
          <t>1996-05-02</t>
        </is>
      </c>
      <c r="W154" t="inlineStr">
        <is>
          <t>1991-12-13</t>
        </is>
      </c>
      <c r="X154" t="inlineStr">
        <is>
          <t>1991-12-13</t>
        </is>
      </c>
      <c r="Y154" t="n">
        <v>435</v>
      </c>
      <c r="Z154" t="n">
        <v>355</v>
      </c>
      <c r="AA154" t="n">
        <v>361</v>
      </c>
      <c r="AB154" t="n">
        <v>3</v>
      </c>
      <c r="AC154" t="n">
        <v>3</v>
      </c>
      <c r="AD154" t="n">
        <v>10</v>
      </c>
      <c r="AE154" t="n">
        <v>10</v>
      </c>
      <c r="AF154" t="n">
        <v>3</v>
      </c>
      <c r="AG154" t="n">
        <v>3</v>
      </c>
      <c r="AH154" t="n">
        <v>0</v>
      </c>
      <c r="AI154" t="n">
        <v>0</v>
      </c>
      <c r="AJ154" t="n">
        <v>6</v>
      </c>
      <c r="AK154" t="n">
        <v>6</v>
      </c>
      <c r="AL154" t="n">
        <v>2</v>
      </c>
      <c r="AM154" t="n">
        <v>2</v>
      </c>
      <c r="AN154" t="n">
        <v>1</v>
      </c>
      <c r="AO154" t="n">
        <v>1</v>
      </c>
      <c r="AP154" t="inlineStr">
        <is>
          <t>No</t>
        </is>
      </c>
      <c r="AQ154" t="inlineStr">
        <is>
          <t>Yes</t>
        </is>
      </c>
      <c r="AR154">
        <f>HYPERLINK("http://catalog.hathitrust.org/Record/000264787","HathiTrust Record")</f>
        <v/>
      </c>
      <c r="AS154">
        <f>HYPERLINK("https://creighton-primo.hosted.exlibrisgroup.com/primo-explore/search?tab=default_tab&amp;search_scope=EVERYTHING&amp;vid=01CRU&amp;lang=en_US&amp;offset=0&amp;query=any,contains,991005160089702656","Catalog Record")</f>
        <v/>
      </c>
      <c r="AT154">
        <f>HYPERLINK("http://www.worldcat.org/oclc/7774490","WorldCat Record")</f>
        <v/>
      </c>
      <c r="AU154" t="inlineStr">
        <is>
          <t>145419296:eng</t>
        </is>
      </c>
      <c r="AV154" t="inlineStr">
        <is>
          <t>7774490</t>
        </is>
      </c>
      <c r="AW154" t="inlineStr">
        <is>
          <t>991005160089702656</t>
        </is>
      </c>
      <c r="AX154" t="inlineStr">
        <is>
          <t>991005160089702656</t>
        </is>
      </c>
      <c r="AY154" t="inlineStr">
        <is>
          <t>2267042900002656</t>
        </is>
      </c>
      <c r="AZ154" t="inlineStr">
        <is>
          <t>BOOK</t>
        </is>
      </c>
      <c r="BB154" t="inlineStr">
        <is>
          <t>9780803917569</t>
        </is>
      </c>
      <c r="BC154" t="inlineStr">
        <is>
          <t>32285000895622</t>
        </is>
      </c>
      <c r="BD154" t="inlineStr">
        <is>
          <t>893430961</t>
        </is>
      </c>
    </row>
    <row r="155">
      <c r="A155" t="inlineStr">
        <is>
          <t>No</t>
        </is>
      </c>
      <c r="B155" t="inlineStr">
        <is>
          <t>HQ1064.U5 A6336</t>
        </is>
      </c>
      <c r="C155" t="inlineStr">
        <is>
          <t>0                      HQ 1064000U  5                  A  6336</t>
        </is>
      </c>
      <c r="D155" t="inlineStr">
        <is>
          <t>Aging and society : current research and policy perspectives / edited by Edgar F. Borgatta and Neil G. McCluskey.</t>
        </is>
      </c>
      <c r="F155" t="inlineStr">
        <is>
          <t>No</t>
        </is>
      </c>
      <c r="G155" t="inlineStr">
        <is>
          <t>1</t>
        </is>
      </c>
      <c r="H155" t="inlineStr">
        <is>
          <t>No</t>
        </is>
      </c>
      <c r="I155" t="inlineStr">
        <is>
          <t>No</t>
        </is>
      </c>
      <c r="J155" t="inlineStr">
        <is>
          <t>0</t>
        </is>
      </c>
      <c r="L155" t="inlineStr">
        <is>
          <t>Beverly Hlls, Calif. : Sage Publications, c1980.</t>
        </is>
      </c>
      <c r="M155" t="inlineStr">
        <is>
          <t>1980</t>
        </is>
      </c>
      <c r="O155" t="inlineStr">
        <is>
          <t>eng</t>
        </is>
      </c>
      <c r="P155" t="inlineStr">
        <is>
          <t>cau</t>
        </is>
      </c>
      <c r="Q155" t="inlineStr">
        <is>
          <t>Sage focus editions ; 18</t>
        </is>
      </c>
      <c r="R155" t="inlineStr">
        <is>
          <t xml:space="preserve">HQ </t>
        </is>
      </c>
      <c r="S155" t="n">
        <v>4</v>
      </c>
      <c r="T155" t="n">
        <v>4</v>
      </c>
      <c r="U155" t="inlineStr">
        <is>
          <t>1997-04-09</t>
        </is>
      </c>
      <c r="V155" t="inlineStr">
        <is>
          <t>1997-04-09</t>
        </is>
      </c>
      <c r="W155" t="inlineStr">
        <is>
          <t>1993-04-26</t>
        </is>
      </c>
      <c r="X155" t="inlineStr">
        <is>
          <t>1993-04-26</t>
        </is>
      </c>
      <c r="Y155" t="n">
        <v>534</v>
      </c>
      <c r="Z155" t="n">
        <v>432</v>
      </c>
      <c r="AA155" t="n">
        <v>434</v>
      </c>
      <c r="AB155" t="n">
        <v>2</v>
      </c>
      <c r="AC155" t="n">
        <v>2</v>
      </c>
      <c r="AD155" t="n">
        <v>22</v>
      </c>
      <c r="AE155" t="n">
        <v>22</v>
      </c>
      <c r="AF155" t="n">
        <v>7</v>
      </c>
      <c r="AG155" t="n">
        <v>7</v>
      </c>
      <c r="AH155" t="n">
        <v>7</v>
      </c>
      <c r="AI155" t="n">
        <v>7</v>
      </c>
      <c r="AJ155" t="n">
        <v>13</v>
      </c>
      <c r="AK155" t="n">
        <v>13</v>
      </c>
      <c r="AL155" t="n">
        <v>1</v>
      </c>
      <c r="AM155" t="n">
        <v>1</v>
      </c>
      <c r="AN155" t="n">
        <v>1</v>
      </c>
      <c r="AO155" t="n">
        <v>1</v>
      </c>
      <c r="AP155" t="inlineStr">
        <is>
          <t>No</t>
        </is>
      </c>
      <c r="AQ155" t="inlineStr">
        <is>
          <t>Yes</t>
        </is>
      </c>
      <c r="AR155">
        <f>HYPERLINK("http://catalog.hathitrust.org/Record/000694949","HathiTrust Record")</f>
        <v/>
      </c>
      <c r="AS155">
        <f>HYPERLINK("https://creighton-primo.hosted.exlibrisgroup.com/primo-explore/search?tab=default_tab&amp;search_scope=EVERYTHING&amp;vid=01CRU&amp;lang=en_US&amp;offset=0&amp;query=any,contains,991004873989702656","Catalog Record")</f>
        <v/>
      </c>
      <c r="AT155">
        <f>HYPERLINK("http://www.worldcat.org/oclc/5777312","WorldCat Record")</f>
        <v/>
      </c>
      <c r="AU155" t="inlineStr">
        <is>
          <t>889550029:eng</t>
        </is>
      </c>
      <c r="AV155" t="inlineStr">
        <is>
          <t>5777312</t>
        </is>
      </c>
      <c r="AW155" t="inlineStr">
        <is>
          <t>991004873989702656</t>
        </is>
      </c>
      <c r="AX155" t="inlineStr">
        <is>
          <t>991004873989702656</t>
        </is>
      </c>
      <c r="AY155" t="inlineStr">
        <is>
          <t>2256303290002656</t>
        </is>
      </c>
      <c r="AZ155" t="inlineStr">
        <is>
          <t>BOOK</t>
        </is>
      </c>
      <c r="BB155" t="inlineStr">
        <is>
          <t>9780803911819</t>
        </is>
      </c>
      <c r="BC155" t="inlineStr">
        <is>
          <t>32285001625994</t>
        </is>
      </c>
      <c r="BD155" t="inlineStr">
        <is>
          <t>893332140</t>
        </is>
      </c>
    </row>
    <row r="156">
      <c r="A156" t="inlineStr">
        <is>
          <t>No</t>
        </is>
      </c>
      <c r="B156" t="inlineStr">
        <is>
          <t>HQ1064.U5 A634</t>
        </is>
      </c>
      <c r="C156" t="inlineStr">
        <is>
          <t>0                      HQ 1064000U  5                  A  634</t>
        </is>
      </c>
      <c r="D156" t="inlineStr">
        <is>
          <t>Aging in America : readings in social gerontology / [compiled by] Cary S. Kart, and Barbara B. Manard.</t>
        </is>
      </c>
      <c r="F156" t="inlineStr">
        <is>
          <t>No</t>
        </is>
      </c>
      <c r="G156" t="inlineStr">
        <is>
          <t>1</t>
        </is>
      </c>
      <c r="H156" t="inlineStr">
        <is>
          <t>No</t>
        </is>
      </c>
      <c r="I156" t="inlineStr">
        <is>
          <t>No</t>
        </is>
      </c>
      <c r="J156" t="inlineStr">
        <is>
          <t>0</t>
        </is>
      </c>
      <c r="L156" t="inlineStr">
        <is>
          <t>Port Washington, N.Y. : Alfred Pub. Co., c1976.</t>
        </is>
      </c>
      <c r="M156" t="inlineStr">
        <is>
          <t>1976</t>
        </is>
      </c>
      <c r="O156" t="inlineStr">
        <is>
          <t>eng</t>
        </is>
      </c>
      <c r="P156" t="inlineStr">
        <is>
          <t>nyu</t>
        </is>
      </c>
      <c r="R156" t="inlineStr">
        <is>
          <t xml:space="preserve">HQ </t>
        </is>
      </c>
      <c r="S156" t="n">
        <v>3</v>
      </c>
      <c r="T156" t="n">
        <v>3</v>
      </c>
      <c r="U156" t="inlineStr">
        <is>
          <t>1995-09-22</t>
        </is>
      </c>
      <c r="V156" t="inlineStr">
        <is>
          <t>1995-09-22</t>
        </is>
      </c>
      <c r="W156" t="inlineStr">
        <is>
          <t>1992-04-06</t>
        </is>
      </c>
      <c r="X156" t="inlineStr">
        <is>
          <t>1992-04-06</t>
        </is>
      </c>
      <c r="Y156" t="n">
        <v>543</v>
      </c>
      <c r="Z156" t="n">
        <v>488</v>
      </c>
      <c r="AA156" t="n">
        <v>578</v>
      </c>
      <c r="AB156" t="n">
        <v>4</v>
      </c>
      <c r="AC156" t="n">
        <v>6</v>
      </c>
      <c r="AD156" t="n">
        <v>20</v>
      </c>
      <c r="AE156" t="n">
        <v>24</v>
      </c>
      <c r="AF156" t="n">
        <v>7</v>
      </c>
      <c r="AG156" t="n">
        <v>8</v>
      </c>
      <c r="AH156" t="n">
        <v>4</v>
      </c>
      <c r="AI156" t="n">
        <v>5</v>
      </c>
      <c r="AJ156" t="n">
        <v>13</v>
      </c>
      <c r="AK156" t="n">
        <v>14</v>
      </c>
      <c r="AL156" t="n">
        <v>2</v>
      </c>
      <c r="AM156" t="n">
        <v>4</v>
      </c>
      <c r="AN156" t="n">
        <v>0</v>
      </c>
      <c r="AO156" t="n">
        <v>0</v>
      </c>
      <c r="AP156" t="inlineStr">
        <is>
          <t>No</t>
        </is>
      </c>
      <c r="AQ156" t="inlineStr">
        <is>
          <t>Yes</t>
        </is>
      </c>
      <c r="AR156">
        <f>HYPERLINK("http://catalog.hathitrust.org/Record/000703235","HathiTrust Record")</f>
        <v/>
      </c>
      <c r="AS156">
        <f>HYPERLINK("https://creighton-primo.hosted.exlibrisgroup.com/primo-explore/search?tab=default_tab&amp;search_scope=EVERYTHING&amp;vid=01CRU&amp;lang=en_US&amp;offset=0&amp;query=any,contains,991003976729702656","Catalog Record")</f>
        <v/>
      </c>
      <c r="AT156">
        <f>HYPERLINK("http://www.worldcat.org/oclc/2006061","WorldCat Record")</f>
        <v/>
      </c>
      <c r="AU156" t="inlineStr">
        <is>
          <t>894523247:eng</t>
        </is>
      </c>
      <c r="AV156" t="inlineStr">
        <is>
          <t>2006061</t>
        </is>
      </c>
      <c r="AW156" t="inlineStr">
        <is>
          <t>991003976729702656</t>
        </is>
      </c>
      <c r="AX156" t="inlineStr">
        <is>
          <t>991003976729702656</t>
        </is>
      </c>
      <c r="AY156" t="inlineStr">
        <is>
          <t>2262407740002656</t>
        </is>
      </c>
      <c r="AZ156" t="inlineStr">
        <is>
          <t>BOOK</t>
        </is>
      </c>
      <c r="BB156" t="inlineStr">
        <is>
          <t>9780882840352</t>
        </is>
      </c>
      <c r="BC156" t="inlineStr">
        <is>
          <t>32285001009702</t>
        </is>
      </c>
      <c r="BD156" t="inlineStr">
        <is>
          <t>893875537</t>
        </is>
      </c>
    </row>
    <row r="157">
      <c r="A157" t="inlineStr">
        <is>
          <t>No</t>
        </is>
      </c>
      <c r="B157" t="inlineStr">
        <is>
          <t>HQ1064.U5 A6342 1993</t>
        </is>
      </c>
      <c r="C157" t="inlineStr">
        <is>
          <t>0                      HQ 1064000U  5                  A  6342        1993</t>
        </is>
      </c>
      <c r="D157" t="inlineStr">
        <is>
          <t>Aging in Black America / edited by James S. Jackson, Linda M. Chatters, Robert Joseph Taylor.</t>
        </is>
      </c>
      <c r="F157" t="inlineStr">
        <is>
          <t>No</t>
        </is>
      </c>
      <c r="G157" t="inlineStr">
        <is>
          <t>1</t>
        </is>
      </c>
      <c r="H157" t="inlineStr">
        <is>
          <t>No</t>
        </is>
      </c>
      <c r="I157" t="inlineStr">
        <is>
          <t>No</t>
        </is>
      </c>
      <c r="J157" t="inlineStr">
        <is>
          <t>0</t>
        </is>
      </c>
      <c r="L157" t="inlineStr">
        <is>
          <t>Newbury Park, Calif. : Sage Publications, c1993.</t>
        </is>
      </c>
      <c r="M157" t="inlineStr">
        <is>
          <t>1993</t>
        </is>
      </c>
      <c r="O157" t="inlineStr">
        <is>
          <t>eng</t>
        </is>
      </c>
      <c r="P157" t="inlineStr">
        <is>
          <t>cau</t>
        </is>
      </c>
      <c r="R157" t="inlineStr">
        <is>
          <t xml:space="preserve">HQ </t>
        </is>
      </c>
      <c r="S157" t="n">
        <v>3</v>
      </c>
      <c r="T157" t="n">
        <v>3</v>
      </c>
      <c r="U157" t="inlineStr">
        <is>
          <t>2001-06-12</t>
        </is>
      </c>
      <c r="V157" t="inlineStr">
        <is>
          <t>2001-06-12</t>
        </is>
      </c>
      <c r="W157" t="inlineStr">
        <is>
          <t>1993-09-28</t>
        </is>
      </c>
      <c r="X157" t="inlineStr">
        <is>
          <t>1993-09-28</t>
        </is>
      </c>
      <c r="Y157" t="n">
        <v>569</v>
      </c>
      <c r="Z157" t="n">
        <v>525</v>
      </c>
      <c r="AA157" t="n">
        <v>531</v>
      </c>
      <c r="AB157" t="n">
        <v>3</v>
      </c>
      <c r="AC157" t="n">
        <v>3</v>
      </c>
      <c r="AD157" t="n">
        <v>27</v>
      </c>
      <c r="AE157" t="n">
        <v>27</v>
      </c>
      <c r="AF157" t="n">
        <v>10</v>
      </c>
      <c r="AG157" t="n">
        <v>10</v>
      </c>
      <c r="AH157" t="n">
        <v>7</v>
      </c>
      <c r="AI157" t="n">
        <v>7</v>
      </c>
      <c r="AJ157" t="n">
        <v>14</v>
      </c>
      <c r="AK157" t="n">
        <v>14</v>
      </c>
      <c r="AL157" t="n">
        <v>2</v>
      </c>
      <c r="AM157" t="n">
        <v>2</v>
      </c>
      <c r="AN157" t="n">
        <v>1</v>
      </c>
      <c r="AO157" t="n">
        <v>1</v>
      </c>
      <c r="AP157" t="inlineStr">
        <is>
          <t>No</t>
        </is>
      </c>
      <c r="AQ157" t="inlineStr">
        <is>
          <t>Yes</t>
        </is>
      </c>
      <c r="AR157">
        <f>HYPERLINK("http://catalog.hathitrust.org/Record/002599091","HathiTrust Record")</f>
        <v/>
      </c>
      <c r="AS157">
        <f>HYPERLINK("https://creighton-primo.hosted.exlibrisgroup.com/primo-explore/search?tab=default_tab&amp;search_scope=EVERYTHING&amp;vid=01CRU&amp;lang=en_US&amp;offset=0&amp;query=any,contains,991002064649702656","Catalog Record")</f>
        <v/>
      </c>
      <c r="AT157">
        <f>HYPERLINK("http://www.worldcat.org/oclc/26401165","WorldCat Record")</f>
        <v/>
      </c>
      <c r="AU157" t="inlineStr">
        <is>
          <t>476435455:eng</t>
        </is>
      </c>
      <c r="AV157" t="inlineStr">
        <is>
          <t>26401165</t>
        </is>
      </c>
      <c r="AW157" t="inlineStr">
        <is>
          <t>991002064649702656</t>
        </is>
      </c>
      <c r="AX157" t="inlineStr">
        <is>
          <t>991002064649702656</t>
        </is>
      </c>
      <c r="AY157" t="inlineStr">
        <is>
          <t>2265213920002656</t>
        </is>
      </c>
      <c r="AZ157" t="inlineStr">
        <is>
          <t>BOOK</t>
        </is>
      </c>
      <c r="BB157" t="inlineStr">
        <is>
          <t>9780803935358</t>
        </is>
      </c>
      <c r="BC157" t="inlineStr">
        <is>
          <t>32285001768786</t>
        </is>
      </c>
      <c r="BD157" t="inlineStr">
        <is>
          <t>893523147</t>
        </is>
      </c>
    </row>
    <row r="158">
      <c r="A158" t="inlineStr">
        <is>
          <t>No</t>
        </is>
      </c>
      <c r="B158" t="inlineStr">
        <is>
          <t>HQ1064.U5 A6345</t>
        </is>
      </c>
      <c r="C158" t="inlineStr">
        <is>
          <t>0                      HQ 1064000U  5                  A  6345</t>
        </is>
      </c>
      <c r="D158" t="inlineStr">
        <is>
          <t>The Aging in politics : process and policy / edited by Robert B. Hudson.</t>
        </is>
      </c>
      <c r="F158" t="inlineStr">
        <is>
          <t>No</t>
        </is>
      </c>
      <c r="G158" t="inlineStr">
        <is>
          <t>1</t>
        </is>
      </c>
      <c r="H158" t="inlineStr">
        <is>
          <t>No</t>
        </is>
      </c>
      <c r="I158" t="inlineStr">
        <is>
          <t>No</t>
        </is>
      </c>
      <c r="J158" t="inlineStr">
        <is>
          <t>0</t>
        </is>
      </c>
      <c r="L158" t="inlineStr">
        <is>
          <t>Springfield, Ill. : C. C. Thomas, c1981.</t>
        </is>
      </c>
      <c r="M158" t="inlineStr">
        <is>
          <t>1981</t>
        </is>
      </c>
      <c r="O158" t="inlineStr">
        <is>
          <t>eng</t>
        </is>
      </c>
      <c r="P158" t="inlineStr">
        <is>
          <t>ilu</t>
        </is>
      </c>
      <c r="R158" t="inlineStr">
        <is>
          <t xml:space="preserve">HQ </t>
        </is>
      </c>
      <c r="S158" t="n">
        <v>2</v>
      </c>
      <c r="T158" t="n">
        <v>2</v>
      </c>
      <c r="U158" t="inlineStr">
        <is>
          <t>1995-10-30</t>
        </is>
      </c>
      <c r="V158" t="inlineStr">
        <is>
          <t>1995-10-30</t>
        </is>
      </c>
      <c r="W158" t="inlineStr">
        <is>
          <t>1993-04-26</t>
        </is>
      </c>
      <c r="X158" t="inlineStr">
        <is>
          <t>1993-04-26</t>
        </is>
      </c>
      <c r="Y158" t="n">
        <v>230</v>
      </c>
      <c r="Z158" t="n">
        <v>200</v>
      </c>
      <c r="AA158" t="n">
        <v>202</v>
      </c>
      <c r="AB158" t="n">
        <v>2</v>
      </c>
      <c r="AC158" t="n">
        <v>2</v>
      </c>
      <c r="AD158" t="n">
        <v>9</v>
      </c>
      <c r="AE158" t="n">
        <v>9</v>
      </c>
      <c r="AF158" t="n">
        <v>2</v>
      </c>
      <c r="AG158" t="n">
        <v>2</v>
      </c>
      <c r="AH158" t="n">
        <v>4</v>
      </c>
      <c r="AI158" t="n">
        <v>4</v>
      </c>
      <c r="AJ158" t="n">
        <v>7</v>
      </c>
      <c r="AK158" t="n">
        <v>7</v>
      </c>
      <c r="AL158" t="n">
        <v>1</v>
      </c>
      <c r="AM158" t="n">
        <v>1</v>
      </c>
      <c r="AN158" t="n">
        <v>0</v>
      </c>
      <c r="AO158" t="n">
        <v>0</v>
      </c>
      <c r="AP158" t="inlineStr">
        <is>
          <t>No</t>
        </is>
      </c>
      <c r="AQ158" t="inlineStr">
        <is>
          <t>Yes</t>
        </is>
      </c>
      <c r="AR158">
        <f>HYPERLINK("http://catalog.hathitrust.org/Record/000128682","HathiTrust Record")</f>
        <v/>
      </c>
      <c r="AS158">
        <f>HYPERLINK("https://creighton-primo.hosted.exlibrisgroup.com/primo-explore/search?tab=default_tab&amp;search_scope=EVERYTHING&amp;vid=01CRU&amp;lang=en_US&amp;offset=0&amp;query=any,contains,991005012449702656","Catalog Record")</f>
        <v/>
      </c>
      <c r="AT158">
        <f>HYPERLINK("http://www.worldcat.org/oclc/6603811","WorldCat Record")</f>
        <v/>
      </c>
      <c r="AU158" t="inlineStr">
        <is>
          <t>472269:eng</t>
        </is>
      </c>
      <c r="AV158" t="inlineStr">
        <is>
          <t>6603811</t>
        </is>
      </c>
      <c r="AW158" t="inlineStr">
        <is>
          <t>991005012449702656</t>
        </is>
      </c>
      <c r="AX158" t="inlineStr">
        <is>
          <t>991005012449702656</t>
        </is>
      </c>
      <c r="AY158" t="inlineStr">
        <is>
          <t>2254931770002656</t>
        </is>
      </c>
      <c r="AZ158" t="inlineStr">
        <is>
          <t>BOOK</t>
        </is>
      </c>
      <c r="BB158" t="inlineStr">
        <is>
          <t>9780398041502</t>
        </is>
      </c>
      <c r="BC158" t="inlineStr">
        <is>
          <t>32285001626000</t>
        </is>
      </c>
      <c r="BD158" t="inlineStr">
        <is>
          <t>893242070</t>
        </is>
      </c>
    </row>
    <row r="159">
      <c r="A159" t="inlineStr">
        <is>
          <t>No</t>
        </is>
      </c>
      <c r="B159" t="inlineStr">
        <is>
          <t>HQ1064.U5 A63457 1993</t>
        </is>
      </c>
      <c r="C159" t="inlineStr">
        <is>
          <t>0                      HQ 1064000U  5                  A  63457       1993</t>
        </is>
      </c>
      <c r="D159" t="inlineStr">
        <is>
          <t>Aging in rural America / C. Neil Bull, editor.</t>
        </is>
      </c>
      <c r="F159" t="inlineStr">
        <is>
          <t>No</t>
        </is>
      </c>
      <c r="G159" t="inlineStr">
        <is>
          <t>1</t>
        </is>
      </c>
      <c r="H159" t="inlineStr">
        <is>
          <t>No</t>
        </is>
      </c>
      <c r="I159" t="inlineStr">
        <is>
          <t>No</t>
        </is>
      </c>
      <c r="J159" t="inlineStr">
        <is>
          <t>0</t>
        </is>
      </c>
      <c r="L159" t="inlineStr">
        <is>
          <t>Newbury Park, Calif. : Sage Publications, c1993.</t>
        </is>
      </c>
      <c r="M159" t="inlineStr">
        <is>
          <t>1993</t>
        </is>
      </c>
      <c r="O159" t="inlineStr">
        <is>
          <t>eng</t>
        </is>
      </c>
      <c r="P159" t="inlineStr">
        <is>
          <t>cau</t>
        </is>
      </c>
      <c r="Q159" t="inlineStr">
        <is>
          <t>Sage focus editions ; 162</t>
        </is>
      </c>
      <c r="R159" t="inlineStr">
        <is>
          <t xml:space="preserve">HQ </t>
        </is>
      </c>
      <c r="S159" t="n">
        <v>6</v>
      </c>
      <c r="T159" t="n">
        <v>6</v>
      </c>
      <c r="U159" t="inlineStr">
        <is>
          <t>2000-02-07</t>
        </is>
      </c>
      <c r="V159" t="inlineStr">
        <is>
          <t>2000-02-07</t>
        </is>
      </c>
      <c r="W159" t="inlineStr">
        <is>
          <t>1995-01-27</t>
        </is>
      </c>
      <c r="X159" t="inlineStr">
        <is>
          <t>1995-01-27</t>
        </is>
      </c>
      <c r="Y159" t="n">
        <v>484</v>
      </c>
      <c r="Z159" t="n">
        <v>442</v>
      </c>
      <c r="AA159" t="n">
        <v>447</v>
      </c>
      <c r="AB159" t="n">
        <v>8</v>
      </c>
      <c r="AC159" t="n">
        <v>8</v>
      </c>
      <c r="AD159" t="n">
        <v>23</v>
      </c>
      <c r="AE159" t="n">
        <v>23</v>
      </c>
      <c r="AF159" t="n">
        <v>4</v>
      </c>
      <c r="AG159" t="n">
        <v>4</v>
      </c>
      <c r="AH159" t="n">
        <v>5</v>
      </c>
      <c r="AI159" t="n">
        <v>5</v>
      </c>
      <c r="AJ159" t="n">
        <v>9</v>
      </c>
      <c r="AK159" t="n">
        <v>9</v>
      </c>
      <c r="AL159" t="n">
        <v>7</v>
      </c>
      <c r="AM159" t="n">
        <v>7</v>
      </c>
      <c r="AN159" t="n">
        <v>1</v>
      </c>
      <c r="AO159" t="n">
        <v>1</v>
      </c>
      <c r="AP159" t="inlineStr">
        <is>
          <t>No</t>
        </is>
      </c>
      <c r="AQ159" t="inlineStr">
        <is>
          <t>Yes</t>
        </is>
      </c>
      <c r="AR159">
        <f>HYPERLINK("http://catalog.hathitrust.org/Record/002784272","HathiTrust Record")</f>
        <v/>
      </c>
      <c r="AS159">
        <f>HYPERLINK("https://creighton-primo.hosted.exlibrisgroup.com/primo-explore/search?tab=default_tab&amp;search_scope=EVERYTHING&amp;vid=01CRU&amp;lang=en_US&amp;offset=0&amp;query=any,contains,991002205259702656","Catalog Record")</f>
        <v/>
      </c>
      <c r="AT159">
        <f>HYPERLINK("http://www.worldcat.org/oclc/28375732","WorldCat Record")</f>
        <v/>
      </c>
      <c r="AU159" t="inlineStr">
        <is>
          <t>54920224:eng</t>
        </is>
      </c>
      <c r="AV159" t="inlineStr">
        <is>
          <t>28375732</t>
        </is>
      </c>
      <c r="AW159" t="inlineStr">
        <is>
          <t>991002205259702656</t>
        </is>
      </c>
      <c r="AX159" t="inlineStr">
        <is>
          <t>991002205259702656</t>
        </is>
      </c>
      <c r="AY159" t="inlineStr">
        <is>
          <t>2255409660002656</t>
        </is>
      </c>
      <c r="AZ159" t="inlineStr">
        <is>
          <t>BOOK</t>
        </is>
      </c>
      <c r="BB159" t="inlineStr">
        <is>
          <t>9780803948853</t>
        </is>
      </c>
      <c r="BC159" t="inlineStr">
        <is>
          <t>32285001995041</t>
        </is>
      </c>
      <c r="BD159" t="inlineStr">
        <is>
          <t>893792158</t>
        </is>
      </c>
    </row>
    <row r="160">
      <c r="A160" t="inlineStr">
        <is>
          <t>No</t>
        </is>
      </c>
      <c r="B160" t="inlineStr">
        <is>
          <t>HQ1064.U5 A635</t>
        </is>
      </c>
      <c r="C160" t="inlineStr">
        <is>
          <t>0                      HQ 1064000U  5                  A  635</t>
        </is>
      </c>
      <c r="D160" t="inlineStr">
        <is>
          <t>Aging parents / edited by Pauline K. Ragan.</t>
        </is>
      </c>
      <c r="F160" t="inlineStr">
        <is>
          <t>No</t>
        </is>
      </c>
      <c r="G160" t="inlineStr">
        <is>
          <t>1</t>
        </is>
      </c>
      <c r="H160" t="inlineStr">
        <is>
          <t>No</t>
        </is>
      </c>
      <c r="I160" t="inlineStr">
        <is>
          <t>No</t>
        </is>
      </c>
      <c r="J160" t="inlineStr">
        <is>
          <t>0</t>
        </is>
      </c>
      <c r="L160" t="inlineStr">
        <is>
          <t>[Los Angeles] : Ethel Percy Andrus Gerontology Center, University of Southern California, c1979.</t>
        </is>
      </c>
      <c r="M160" t="inlineStr">
        <is>
          <t>1979</t>
        </is>
      </c>
      <c r="O160" t="inlineStr">
        <is>
          <t>eng</t>
        </is>
      </c>
      <c r="P160" t="inlineStr">
        <is>
          <t>cau</t>
        </is>
      </c>
      <c r="R160" t="inlineStr">
        <is>
          <t xml:space="preserve">HQ </t>
        </is>
      </c>
      <c r="S160" t="n">
        <v>5</v>
      </c>
      <c r="T160" t="n">
        <v>5</v>
      </c>
      <c r="U160" t="inlineStr">
        <is>
          <t>2002-03-25</t>
        </is>
      </c>
      <c r="V160" t="inlineStr">
        <is>
          <t>2002-03-25</t>
        </is>
      </c>
      <c r="W160" t="inlineStr">
        <is>
          <t>1992-11-30</t>
        </is>
      </c>
      <c r="X160" t="inlineStr">
        <is>
          <t>1992-11-30</t>
        </is>
      </c>
      <c r="Y160" t="n">
        <v>325</v>
      </c>
      <c r="Z160" t="n">
        <v>286</v>
      </c>
      <c r="AA160" t="n">
        <v>288</v>
      </c>
      <c r="AB160" t="n">
        <v>2</v>
      </c>
      <c r="AC160" t="n">
        <v>2</v>
      </c>
      <c r="AD160" t="n">
        <v>11</v>
      </c>
      <c r="AE160" t="n">
        <v>11</v>
      </c>
      <c r="AF160" t="n">
        <v>2</v>
      </c>
      <c r="AG160" t="n">
        <v>2</v>
      </c>
      <c r="AH160" t="n">
        <v>5</v>
      </c>
      <c r="AI160" t="n">
        <v>5</v>
      </c>
      <c r="AJ160" t="n">
        <v>6</v>
      </c>
      <c r="AK160" t="n">
        <v>6</v>
      </c>
      <c r="AL160" t="n">
        <v>1</v>
      </c>
      <c r="AM160" t="n">
        <v>1</v>
      </c>
      <c r="AN160" t="n">
        <v>0</v>
      </c>
      <c r="AO160" t="n">
        <v>0</v>
      </c>
      <c r="AP160" t="inlineStr">
        <is>
          <t>No</t>
        </is>
      </c>
      <c r="AQ160" t="inlineStr">
        <is>
          <t>Yes</t>
        </is>
      </c>
      <c r="AR160">
        <f>HYPERLINK("http://catalog.hathitrust.org/Record/000039548","HathiTrust Record")</f>
        <v/>
      </c>
      <c r="AS160">
        <f>HYPERLINK("https://creighton-primo.hosted.exlibrisgroup.com/primo-explore/search?tab=default_tab&amp;search_scope=EVERYTHING&amp;vid=01CRU&amp;lang=en_US&amp;offset=0&amp;query=any,contains,991004936749702656","Catalog Record")</f>
        <v/>
      </c>
      <c r="AT160">
        <f>HYPERLINK("http://www.worldcat.org/oclc/5289940","WorldCat Record")</f>
        <v/>
      </c>
      <c r="AU160" t="inlineStr">
        <is>
          <t>54316092:eng</t>
        </is>
      </c>
      <c r="AV160" t="inlineStr">
        <is>
          <t>5289940</t>
        </is>
      </c>
      <c r="AW160" t="inlineStr">
        <is>
          <t>991004936749702656</t>
        </is>
      </c>
      <c r="AX160" t="inlineStr">
        <is>
          <t>991004936749702656</t>
        </is>
      </c>
      <c r="AY160" t="inlineStr">
        <is>
          <t>2260051830002656</t>
        </is>
      </c>
      <c r="AZ160" t="inlineStr">
        <is>
          <t>BOOK</t>
        </is>
      </c>
      <c r="BB160" t="inlineStr">
        <is>
          <t>9780884740872</t>
        </is>
      </c>
      <c r="BC160" t="inlineStr">
        <is>
          <t>32285001410207</t>
        </is>
      </c>
      <c r="BD160" t="inlineStr">
        <is>
          <t>893325957</t>
        </is>
      </c>
    </row>
    <row r="161">
      <c r="A161" t="inlineStr">
        <is>
          <t>No</t>
        </is>
      </c>
      <c r="B161" t="inlineStr">
        <is>
          <t>HQ1064.U5 A6364</t>
        </is>
      </c>
      <c r="C161" t="inlineStr">
        <is>
          <t>0                      HQ 1064000U  5                  A  6364</t>
        </is>
      </c>
      <c r="D161" t="inlineStr">
        <is>
          <t>Aging--stability and change in the family / edited by Robert W. Fogel ... [et al.] ; James G. March, editor-in-chief.</t>
        </is>
      </c>
      <c r="F161" t="inlineStr">
        <is>
          <t>No</t>
        </is>
      </c>
      <c r="G161" t="inlineStr">
        <is>
          <t>1</t>
        </is>
      </c>
      <c r="H161" t="inlineStr">
        <is>
          <t>Yes</t>
        </is>
      </c>
      <c r="I161" t="inlineStr">
        <is>
          <t>No</t>
        </is>
      </c>
      <c r="J161" t="inlineStr">
        <is>
          <t>0</t>
        </is>
      </c>
      <c r="L161" t="inlineStr">
        <is>
          <t>New York : Academic Press, 1981.</t>
        </is>
      </c>
      <c r="M161" t="inlineStr">
        <is>
          <t>1981</t>
        </is>
      </c>
      <c r="O161" t="inlineStr">
        <is>
          <t>eng</t>
        </is>
      </c>
      <c r="P161" t="inlineStr">
        <is>
          <t>nyu</t>
        </is>
      </c>
      <c r="R161" t="inlineStr">
        <is>
          <t xml:space="preserve">HQ </t>
        </is>
      </c>
      <c r="S161" t="n">
        <v>6</v>
      </c>
      <c r="T161" t="n">
        <v>8</v>
      </c>
      <c r="U161" t="inlineStr">
        <is>
          <t>2010-04-27</t>
        </is>
      </c>
      <c r="V161" t="inlineStr">
        <is>
          <t>2010-04-27</t>
        </is>
      </c>
      <c r="W161" t="inlineStr">
        <is>
          <t>1991-12-10</t>
        </is>
      </c>
      <c r="X161" t="inlineStr">
        <is>
          <t>1991-12-10</t>
        </is>
      </c>
      <c r="Y161" t="n">
        <v>566</v>
      </c>
      <c r="Z161" t="n">
        <v>455</v>
      </c>
      <c r="AA161" t="n">
        <v>462</v>
      </c>
      <c r="AB161" t="n">
        <v>4</v>
      </c>
      <c r="AC161" t="n">
        <v>4</v>
      </c>
      <c r="AD161" t="n">
        <v>21</v>
      </c>
      <c r="AE161" t="n">
        <v>21</v>
      </c>
      <c r="AF161" t="n">
        <v>7</v>
      </c>
      <c r="AG161" t="n">
        <v>7</v>
      </c>
      <c r="AH161" t="n">
        <v>7</v>
      </c>
      <c r="AI161" t="n">
        <v>7</v>
      </c>
      <c r="AJ161" t="n">
        <v>12</v>
      </c>
      <c r="AK161" t="n">
        <v>12</v>
      </c>
      <c r="AL161" t="n">
        <v>2</v>
      </c>
      <c r="AM161" t="n">
        <v>2</v>
      </c>
      <c r="AN161" t="n">
        <v>0</v>
      </c>
      <c r="AO161" t="n">
        <v>0</v>
      </c>
      <c r="AP161" t="inlineStr">
        <is>
          <t>No</t>
        </is>
      </c>
      <c r="AQ161" t="inlineStr">
        <is>
          <t>Yes</t>
        </is>
      </c>
      <c r="AR161">
        <f>HYPERLINK("http://catalog.hathitrust.org/Record/000106285","HathiTrust Record")</f>
        <v/>
      </c>
      <c r="AS161">
        <f>HYPERLINK("https://creighton-primo.hosted.exlibrisgroup.com/primo-explore/search?tab=default_tab&amp;search_scope=EVERYTHING&amp;vid=01CRU&amp;lang=en_US&amp;offset=0&amp;query=any,contains,991001782459702656","Catalog Record")</f>
        <v/>
      </c>
      <c r="AT161">
        <f>HYPERLINK("http://www.worldcat.org/oclc/7672479","WorldCat Record")</f>
        <v/>
      </c>
      <c r="AU161" t="inlineStr">
        <is>
          <t>570423:eng</t>
        </is>
      </c>
      <c r="AV161" t="inlineStr">
        <is>
          <t>7672479</t>
        </is>
      </c>
      <c r="AW161" t="inlineStr">
        <is>
          <t>991001782459702656</t>
        </is>
      </c>
      <c r="AX161" t="inlineStr">
        <is>
          <t>991001782459702656</t>
        </is>
      </c>
      <c r="AY161" t="inlineStr">
        <is>
          <t>2271463120002656</t>
        </is>
      </c>
      <c r="AZ161" t="inlineStr">
        <is>
          <t>BOOK</t>
        </is>
      </c>
      <c r="BB161" t="inlineStr">
        <is>
          <t>9780120400034</t>
        </is>
      </c>
      <c r="BC161" t="inlineStr">
        <is>
          <t>32285000886191</t>
        </is>
      </c>
      <c r="BD161" t="inlineStr">
        <is>
          <t>893340695</t>
        </is>
      </c>
    </row>
    <row r="162">
      <c r="A162" t="inlineStr">
        <is>
          <t>No</t>
        </is>
      </c>
      <c r="B162" t="inlineStr">
        <is>
          <t>HQ1064.U5 B325 1984</t>
        </is>
      </c>
      <c r="C162" t="inlineStr">
        <is>
          <t>0                      HQ 1064000U  5                  B  325         1984</t>
        </is>
      </c>
      <c r="D162" t="inlineStr">
        <is>
          <t>The Hispanic elderly : a research reference guide / Rosina M. Becerra, David Shaw.</t>
        </is>
      </c>
      <c r="F162" t="inlineStr">
        <is>
          <t>No</t>
        </is>
      </c>
      <c r="G162" t="inlineStr">
        <is>
          <t>1</t>
        </is>
      </c>
      <c r="H162" t="inlineStr">
        <is>
          <t>No</t>
        </is>
      </c>
      <c r="I162" t="inlineStr">
        <is>
          <t>No</t>
        </is>
      </c>
      <c r="J162" t="inlineStr">
        <is>
          <t>0</t>
        </is>
      </c>
      <c r="K162" t="inlineStr">
        <is>
          <t>Becerra, Rosina M.</t>
        </is>
      </c>
      <c r="L162" t="inlineStr">
        <is>
          <t>Lanham : University Press of America, c1984.</t>
        </is>
      </c>
      <c r="M162" t="inlineStr">
        <is>
          <t>1984</t>
        </is>
      </c>
      <c r="O162" t="inlineStr">
        <is>
          <t>eng</t>
        </is>
      </c>
      <c r="P162" t="inlineStr">
        <is>
          <t>mdu</t>
        </is>
      </c>
      <c r="R162" t="inlineStr">
        <is>
          <t xml:space="preserve">HQ </t>
        </is>
      </c>
      <c r="S162" t="n">
        <v>2</v>
      </c>
      <c r="T162" t="n">
        <v>2</v>
      </c>
      <c r="U162" t="inlineStr">
        <is>
          <t>1994-11-30</t>
        </is>
      </c>
      <c r="V162" t="inlineStr">
        <is>
          <t>1994-11-30</t>
        </is>
      </c>
      <c r="W162" t="inlineStr">
        <is>
          <t>1992-03-24</t>
        </is>
      </c>
      <c r="X162" t="inlineStr">
        <is>
          <t>1992-03-24</t>
        </is>
      </c>
      <c r="Y162" t="n">
        <v>401</v>
      </c>
      <c r="Z162" t="n">
        <v>377</v>
      </c>
      <c r="AA162" t="n">
        <v>384</v>
      </c>
      <c r="AB162" t="n">
        <v>5</v>
      </c>
      <c r="AC162" t="n">
        <v>5</v>
      </c>
      <c r="AD162" t="n">
        <v>18</v>
      </c>
      <c r="AE162" t="n">
        <v>18</v>
      </c>
      <c r="AF162" t="n">
        <v>4</v>
      </c>
      <c r="AG162" t="n">
        <v>4</v>
      </c>
      <c r="AH162" t="n">
        <v>4</v>
      </c>
      <c r="AI162" t="n">
        <v>4</v>
      </c>
      <c r="AJ162" t="n">
        <v>9</v>
      </c>
      <c r="AK162" t="n">
        <v>9</v>
      </c>
      <c r="AL162" t="n">
        <v>4</v>
      </c>
      <c r="AM162" t="n">
        <v>4</v>
      </c>
      <c r="AN162" t="n">
        <v>0</v>
      </c>
      <c r="AO162" t="n">
        <v>0</v>
      </c>
      <c r="AP162" t="inlineStr">
        <is>
          <t>No</t>
        </is>
      </c>
      <c r="AQ162" t="inlineStr">
        <is>
          <t>Yes</t>
        </is>
      </c>
      <c r="AR162">
        <f>HYPERLINK("http://catalog.hathitrust.org/Record/003600754","HathiTrust Record")</f>
        <v/>
      </c>
      <c r="AS162">
        <f>HYPERLINK("https://creighton-primo.hosted.exlibrisgroup.com/primo-explore/search?tab=default_tab&amp;search_scope=EVERYTHING&amp;vid=01CRU&amp;lang=en_US&amp;offset=0&amp;query=any,contains,991000298109702656","Catalog Record")</f>
        <v/>
      </c>
      <c r="AT162">
        <f>HYPERLINK("http://www.worldcat.org/oclc/10018817","WorldCat Record")</f>
        <v/>
      </c>
      <c r="AU162" t="inlineStr">
        <is>
          <t>3133271:eng</t>
        </is>
      </c>
      <c r="AV162" t="inlineStr">
        <is>
          <t>10018817</t>
        </is>
      </c>
      <c r="AW162" t="inlineStr">
        <is>
          <t>991000298109702656</t>
        </is>
      </c>
      <c r="AX162" t="inlineStr">
        <is>
          <t>991000298109702656</t>
        </is>
      </c>
      <c r="AY162" t="inlineStr">
        <is>
          <t>2269264640002656</t>
        </is>
      </c>
      <c r="AZ162" t="inlineStr">
        <is>
          <t>BOOK</t>
        </is>
      </c>
      <c r="BB162" t="inlineStr">
        <is>
          <t>9780819136275</t>
        </is>
      </c>
      <c r="BC162" t="inlineStr">
        <is>
          <t>32285001003986</t>
        </is>
      </c>
      <c r="BD162" t="inlineStr">
        <is>
          <t>893595452</t>
        </is>
      </c>
    </row>
    <row r="163">
      <c r="A163" t="inlineStr">
        <is>
          <t>No</t>
        </is>
      </c>
      <c r="B163" t="inlineStr">
        <is>
          <t>HQ1064.U5 B387 1990</t>
        </is>
      </c>
      <c r="C163" t="inlineStr">
        <is>
          <t>0                      HQ 1064000U  5                  B  387         1990</t>
        </is>
      </c>
      <c r="D163" t="inlineStr">
        <is>
          <t>Black aged : understanding diversity and service needs / Zev Harel, Edward A. McKinney, Michael Williams, editors.</t>
        </is>
      </c>
      <c r="F163" t="inlineStr">
        <is>
          <t>No</t>
        </is>
      </c>
      <c r="G163" t="inlineStr">
        <is>
          <t>1</t>
        </is>
      </c>
      <c r="H163" t="inlineStr">
        <is>
          <t>No</t>
        </is>
      </c>
      <c r="I163" t="inlineStr">
        <is>
          <t>No</t>
        </is>
      </c>
      <c r="J163" t="inlineStr">
        <is>
          <t>0</t>
        </is>
      </c>
      <c r="L163" t="inlineStr">
        <is>
          <t>Newbury Park, Calif. : Sage Publications, c1990.</t>
        </is>
      </c>
      <c r="M163" t="inlineStr">
        <is>
          <t>1990</t>
        </is>
      </c>
      <c r="O163" t="inlineStr">
        <is>
          <t>eng</t>
        </is>
      </c>
      <c r="P163" t="inlineStr">
        <is>
          <t>cau</t>
        </is>
      </c>
      <c r="Q163" t="inlineStr">
        <is>
          <t>Sage focus editions</t>
        </is>
      </c>
      <c r="R163" t="inlineStr">
        <is>
          <t xml:space="preserve">HQ </t>
        </is>
      </c>
      <c r="S163" t="n">
        <v>2</v>
      </c>
      <c r="T163" t="n">
        <v>2</v>
      </c>
      <c r="U163" t="inlineStr">
        <is>
          <t>1993-10-05</t>
        </is>
      </c>
      <c r="V163" t="inlineStr">
        <is>
          <t>1993-10-05</t>
        </is>
      </c>
      <c r="W163" t="inlineStr">
        <is>
          <t>1991-06-05</t>
        </is>
      </c>
      <c r="X163" t="inlineStr">
        <is>
          <t>1991-06-05</t>
        </is>
      </c>
      <c r="Y163" t="n">
        <v>453</v>
      </c>
      <c r="Z163" t="n">
        <v>403</v>
      </c>
      <c r="AA163" t="n">
        <v>405</v>
      </c>
      <c r="AB163" t="n">
        <v>4</v>
      </c>
      <c r="AC163" t="n">
        <v>4</v>
      </c>
      <c r="AD163" t="n">
        <v>18</v>
      </c>
      <c r="AE163" t="n">
        <v>18</v>
      </c>
      <c r="AF163" t="n">
        <v>8</v>
      </c>
      <c r="AG163" t="n">
        <v>8</v>
      </c>
      <c r="AH163" t="n">
        <v>2</v>
      </c>
      <c r="AI163" t="n">
        <v>2</v>
      </c>
      <c r="AJ163" t="n">
        <v>8</v>
      </c>
      <c r="AK163" t="n">
        <v>8</v>
      </c>
      <c r="AL163" t="n">
        <v>3</v>
      </c>
      <c r="AM163" t="n">
        <v>3</v>
      </c>
      <c r="AN163" t="n">
        <v>1</v>
      </c>
      <c r="AO163" t="n">
        <v>1</v>
      </c>
      <c r="AP163" t="inlineStr">
        <is>
          <t>No</t>
        </is>
      </c>
      <c r="AQ163" t="inlineStr">
        <is>
          <t>Yes</t>
        </is>
      </c>
      <c r="AR163">
        <f>HYPERLINK("http://catalog.hathitrust.org/Record/002424124","HathiTrust Record")</f>
        <v/>
      </c>
      <c r="AS163">
        <f>HYPERLINK("https://creighton-primo.hosted.exlibrisgroup.com/primo-explore/search?tab=default_tab&amp;search_scope=EVERYTHING&amp;vid=01CRU&amp;lang=en_US&amp;offset=0&amp;query=any,contains,991001673099702656","Catalog Record")</f>
        <v/>
      </c>
      <c r="AT163">
        <f>HYPERLINK("http://www.worldcat.org/oclc/21301803","WorldCat Record")</f>
        <v/>
      </c>
      <c r="AU163" t="inlineStr">
        <is>
          <t>836883926:eng</t>
        </is>
      </c>
      <c r="AV163" t="inlineStr">
        <is>
          <t>21301803</t>
        </is>
      </c>
      <c r="AW163" t="inlineStr">
        <is>
          <t>991001673099702656</t>
        </is>
      </c>
      <c r="AX163" t="inlineStr">
        <is>
          <t>991001673099702656</t>
        </is>
      </c>
      <c r="AY163" t="inlineStr">
        <is>
          <t>2261916280002656</t>
        </is>
      </c>
      <c r="AZ163" t="inlineStr">
        <is>
          <t>BOOK</t>
        </is>
      </c>
      <c r="BB163" t="inlineStr">
        <is>
          <t>9780803938373</t>
        </is>
      </c>
      <c r="BC163" t="inlineStr">
        <is>
          <t>32285000592732</t>
        </is>
      </c>
      <c r="BD163" t="inlineStr">
        <is>
          <t>893891725</t>
        </is>
      </c>
    </row>
    <row r="164">
      <c r="A164" t="inlineStr">
        <is>
          <t>No</t>
        </is>
      </c>
      <c r="B164" t="inlineStr">
        <is>
          <t>HQ1064.U5 B67</t>
        </is>
      </c>
      <c r="C164" t="inlineStr">
        <is>
          <t>0                      HQ 1064000U  5                  B  67</t>
        </is>
      </c>
      <c r="D164" t="inlineStr">
        <is>
          <t>We are aging / Jack Botwinick.</t>
        </is>
      </c>
      <c r="F164" t="inlineStr">
        <is>
          <t>No</t>
        </is>
      </c>
      <c r="G164" t="inlineStr">
        <is>
          <t>1</t>
        </is>
      </c>
      <c r="H164" t="inlineStr">
        <is>
          <t>Yes</t>
        </is>
      </c>
      <c r="I164" t="inlineStr">
        <is>
          <t>No</t>
        </is>
      </c>
      <c r="J164" t="inlineStr">
        <is>
          <t>0</t>
        </is>
      </c>
      <c r="K164" t="inlineStr">
        <is>
          <t>Botwinick, Jack.</t>
        </is>
      </c>
      <c r="L164" t="inlineStr">
        <is>
          <t>New York : Springer Pub. Co., c1981.</t>
        </is>
      </c>
      <c r="M164" t="inlineStr">
        <is>
          <t>1981</t>
        </is>
      </c>
      <c r="O164" t="inlineStr">
        <is>
          <t>eng</t>
        </is>
      </c>
      <c r="P164" t="inlineStr">
        <is>
          <t>nyu</t>
        </is>
      </c>
      <c r="R164" t="inlineStr">
        <is>
          <t xml:space="preserve">HQ </t>
        </is>
      </c>
      <c r="S164" t="n">
        <v>9</v>
      </c>
      <c r="T164" t="n">
        <v>10</v>
      </c>
      <c r="U164" t="inlineStr">
        <is>
          <t>2002-02-17</t>
        </is>
      </c>
      <c r="V164" t="inlineStr">
        <is>
          <t>2002-02-17</t>
        </is>
      </c>
      <c r="W164" t="inlineStr">
        <is>
          <t>1993-04-26</t>
        </is>
      </c>
      <c r="X164" t="inlineStr">
        <is>
          <t>1993-04-26</t>
        </is>
      </c>
      <c r="Y164" t="n">
        <v>318</v>
      </c>
      <c r="Z164" t="n">
        <v>279</v>
      </c>
      <c r="AA164" t="n">
        <v>281</v>
      </c>
      <c r="AB164" t="n">
        <v>4</v>
      </c>
      <c r="AC164" t="n">
        <v>4</v>
      </c>
      <c r="AD164" t="n">
        <v>13</v>
      </c>
      <c r="AE164" t="n">
        <v>13</v>
      </c>
      <c r="AF164" t="n">
        <v>8</v>
      </c>
      <c r="AG164" t="n">
        <v>8</v>
      </c>
      <c r="AH164" t="n">
        <v>2</v>
      </c>
      <c r="AI164" t="n">
        <v>2</v>
      </c>
      <c r="AJ164" t="n">
        <v>6</v>
      </c>
      <c r="AK164" t="n">
        <v>6</v>
      </c>
      <c r="AL164" t="n">
        <v>2</v>
      </c>
      <c r="AM164" t="n">
        <v>2</v>
      </c>
      <c r="AN164" t="n">
        <v>0</v>
      </c>
      <c r="AO164" t="n">
        <v>0</v>
      </c>
      <c r="AP164" t="inlineStr">
        <is>
          <t>No</t>
        </is>
      </c>
      <c r="AQ164" t="inlineStr">
        <is>
          <t>Yes</t>
        </is>
      </c>
      <c r="AR164">
        <f>HYPERLINK("http://catalog.hathitrust.org/Record/000224007","HathiTrust Record")</f>
        <v/>
      </c>
      <c r="AS164">
        <f>HYPERLINK("https://creighton-primo.hosted.exlibrisgroup.com/primo-explore/search?tab=default_tab&amp;search_scope=EVERYTHING&amp;vid=01CRU&amp;lang=en_US&amp;offset=0&amp;query=any,contains,991001781959702656","Catalog Record")</f>
        <v/>
      </c>
      <c r="AT164">
        <f>HYPERLINK("http://www.worldcat.org/oclc/6981496","WorldCat Record")</f>
        <v/>
      </c>
      <c r="AU164" t="inlineStr">
        <is>
          <t>24980651:eng</t>
        </is>
      </c>
      <c r="AV164" t="inlineStr">
        <is>
          <t>6981496</t>
        </is>
      </c>
      <c r="AW164" t="inlineStr">
        <is>
          <t>991001781959702656</t>
        </is>
      </c>
      <c r="AX164" t="inlineStr">
        <is>
          <t>991001781959702656</t>
        </is>
      </c>
      <c r="AY164" t="inlineStr">
        <is>
          <t>2271307850002656</t>
        </is>
      </c>
      <c r="AZ164" t="inlineStr">
        <is>
          <t>BOOK</t>
        </is>
      </c>
      <c r="BB164" t="inlineStr">
        <is>
          <t>9780826133809</t>
        </is>
      </c>
      <c r="BC164" t="inlineStr">
        <is>
          <t>32285001626034</t>
        </is>
      </c>
      <c r="BD164" t="inlineStr">
        <is>
          <t>893866475</t>
        </is>
      </c>
    </row>
    <row r="165">
      <c r="A165" t="inlineStr">
        <is>
          <t>No</t>
        </is>
      </c>
      <c r="B165" t="inlineStr">
        <is>
          <t>HQ1064.U5 B77 1985</t>
        </is>
      </c>
      <c r="C165" t="inlineStr">
        <is>
          <t>0                      HQ 1064000U  5                  B  77          1985</t>
        </is>
      </c>
      <c r="D165" t="inlineStr">
        <is>
          <t>Later life families / Timothy H. Brubaker.</t>
        </is>
      </c>
      <c r="F165" t="inlineStr">
        <is>
          <t>No</t>
        </is>
      </c>
      <c r="G165" t="inlineStr">
        <is>
          <t>1</t>
        </is>
      </c>
      <c r="H165" t="inlineStr">
        <is>
          <t>Yes</t>
        </is>
      </c>
      <c r="I165" t="inlineStr">
        <is>
          <t>No</t>
        </is>
      </c>
      <c r="J165" t="inlineStr">
        <is>
          <t>0</t>
        </is>
      </c>
      <c r="K165" t="inlineStr">
        <is>
          <t>Brubaker, Timothy H.</t>
        </is>
      </c>
      <c r="L165" t="inlineStr">
        <is>
          <t>Beverly Hills : Sage Publications, c1985.</t>
        </is>
      </c>
      <c r="M165" t="inlineStr">
        <is>
          <t>1985</t>
        </is>
      </c>
      <c r="O165" t="inlineStr">
        <is>
          <t>eng</t>
        </is>
      </c>
      <c r="P165" t="inlineStr">
        <is>
          <t>cau</t>
        </is>
      </c>
      <c r="Q165" t="inlineStr">
        <is>
          <t>Family studies text series ; v. 1</t>
        </is>
      </c>
      <c r="R165" t="inlineStr">
        <is>
          <t xml:space="preserve">HQ </t>
        </is>
      </c>
      <c r="S165" t="n">
        <v>2</v>
      </c>
      <c r="T165" t="n">
        <v>2</v>
      </c>
      <c r="U165" t="inlineStr">
        <is>
          <t>1994-09-05</t>
        </is>
      </c>
      <c r="V165" t="inlineStr">
        <is>
          <t>1994-09-05</t>
        </is>
      </c>
      <c r="W165" t="inlineStr">
        <is>
          <t>1993-04-26</t>
        </is>
      </c>
      <c r="X165" t="inlineStr">
        <is>
          <t>1993-04-26</t>
        </is>
      </c>
      <c r="Y165" t="n">
        <v>513</v>
      </c>
      <c r="Z165" t="n">
        <v>424</v>
      </c>
      <c r="AA165" t="n">
        <v>430</v>
      </c>
      <c r="AB165" t="n">
        <v>6</v>
      </c>
      <c r="AC165" t="n">
        <v>6</v>
      </c>
      <c r="AD165" t="n">
        <v>21</v>
      </c>
      <c r="AE165" t="n">
        <v>21</v>
      </c>
      <c r="AF165" t="n">
        <v>8</v>
      </c>
      <c r="AG165" t="n">
        <v>8</v>
      </c>
      <c r="AH165" t="n">
        <v>5</v>
      </c>
      <c r="AI165" t="n">
        <v>5</v>
      </c>
      <c r="AJ165" t="n">
        <v>9</v>
      </c>
      <c r="AK165" t="n">
        <v>9</v>
      </c>
      <c r="AL165" t="n">
        <v>4</v>
      </c>
      <c r="AM165" t="n">
        <v>4</v>
      </c>
      <c r="AN165" t="n">
        <v>0</v>
      </c>
      <c r="AO165" t="n">
        <v>0</v>
      </c>
      <c r="AP165" t="inlineStr">
        <is>
          <t>No</t>
        </is>
      </c>
      <c r="AQ165" t="inlineStr">
        <is>
          <t>Yes</t>
        </is>
      </c>
      <c r="AR165">
        <f>HYPERLINK("http://catalog.hathitrust.org/Record/000576607","HathiTrust Record")</f>
        <v/>
      </c>
      <c r="AS165">
        <f>HYPERLINK("https://creighton-primo.hosted.exlibrisgroup.com/primo-explore/search?tab=default_tab&amp;search_scope=EVERYTHING&amp;vid=01CRU&amp;lang=en_US&amp;offset=0&amp;query=any,contains,991001758029702656","Catalog Record")</f>
        <v/>
      </c>
      <c r="AT165">
        <f>HYPERLINK("http://www.worldcat.org/oclc/11159547","WorldCat Record")</f>
        <v/>
      </c>
      <c r="AU165" t="inlineStr">
        <is>
          <t>3857063:eng</t>
        </is>
      </c>
      <c r="AV165" t="inlineStr">
        <is>
          <t>11159547</t>
        </is>
      </c>
      <c r="AW165" t="inlineStr">
        <is>
          <t>991001758029702656</t>
        </is>
      </c>
      <c r="AX165" t="inlineStr">
        <is>
          <t>991001758029702656</t>
        </is>
      </c>
      <c r="AY165" t="inlineStr">
        <is>
          <t>2257983190002656</t>
        </is>
      </c>
      <c r="AZ165" t="inlineStr">
        <is>
          <t>BOOK</t>
        </is>
      </c>
      <c r="BB165" t="inlineStr">
        <is>
          <t>9780803922938</t>
        </is>
      </c>
      <c r="BC165" t="inlineStr">
        <is>
          <t>32285001626059</t>
        </is>
      </c>
      <c r="BD165" t="inlineStr">
        <is>
          <t>893715694</t>
        </is>
      </c>
    </row>
    <row r="166">
      <c r="A166" t="inlineStr">
        <is>
          <t>No</t>
        </is>
      </c>
      <c r="B166" t="inlineStr">
        <is>
          <t>HQ1064.U5 C5</t>
        </is>
      </c>
      <c r="C166" t="inlineStr">
        <is>
          <t>0                      HQ 1064000U  5                  C  5</t>
        </is>
      </c>
      <c r="D166" t="inlineStr">
        <is>
          <t>Culture and aging : an anthropological study of older Americans / by Margaret Clark and Barbara Gallatin Anderson. With the collaboration of Gerard G. Brissette, Majda T. Thurnher [and] Terry Camacho.</t>
        </is>
      </c>
      <c r="F166" t="inlineStr">
        <is>
          <t>No</t>
        </is>
      </c>
      <c r="G166" t="inlineStr">
        <is>
          <t>1</t>
        </is>
      </c>
      <c r="H166" t="inlineStr">
        <is>
          <t>No</t>
        </is>
      </c>
      <c r="I166" t="inlineStr">
        <is>
          <t>No</t>
        </is>
      </c>
      <c r="J166" t="inlineStr">
        <is>
          <t>0</t>
        </is>
      </c>
      <c r="K166" t="inlineStr">
        <is>
          <t>Clark, Margaret, 1925-2003.</t>
        </is>
      </c>
      <c r="L166" t="inlineStr">
        <is>
          <t>Springfield, Ill. : C. C. Thomas, [1967]</t>
        </is>
      </c>
      <c r="M166" t="inlineStr">
        <is>
          <t>1967</t>
        </is>
      </c>
      <c r="O166" t="inlineStr">
        <is>
          <t>eng</t>
        </is>
      </c>
      <c r="P166" t="inlineStr">
        <is>
          <t>ilu</t>
        </is>
      </c>
      <c r="Q166" t="inlineStr">
        <is>
          <t>Langley Porter Institute studies of aging</t>
        </is>
      </c>
      <c r="R166" t="inlineStr">
        <is>
          <t xml:space="preserve">HQ </t>
        </is>
      </c>
      <c r="S166" t="n">
        <v>4</v>
      </c>
      <c r="T166" t="n">
        <v>4</v>
      </c>
      <c r="U166" t="inlineStr">
        <is>
          <t>2005-03-09</t>
        </is>
      </c>
      <c r="V166" t="inlineStr">
        <is>
          <t>2005-03-09</t>
        </is>
      </c>
      <c r="W166" t="inlineStr">
        <is>
          <t>1991-09-24</t>
        </is>
      </c>
      <c r="X166" t="inlineStr">
        <is>
          <t>1991-09-24</t>
        </is>
      </c>
      <c r="Y166" t="n">
        <v>514</v>
      </c>
      <c r="Z166" t="n">
        <v>446</v>
      </c>
      <c r="AA166" t="n">
        <v>512</v>
      </c>
      <c r="AB166" t="n">
        <v>3</v>
      </c>
      <c r="AC166" t="n">
        <v>3</v>
      </c>
      <c r="AD166" t="n">
        <v>19</v>
      </c>
      <c r="AE166" t="n">
        <v>22</v>
      </c>
      <c r="AF166" t="n">
        <v>7</v>
      </c>
      <c r="AG166" t="n">
        <v>9</v>
      </c>
      <c r="AH166" t="n">
        <v>4</v>
      </c>
      <c r="AI166" t="n">
        <v>5</v>
      </c>
      <c r="AJ166" t="n">
        <v>10</v>
      </c>
      <c r="AK166" t="n">
        <v>12</v>
      </c>
      <c r="AL166" t="n">
        <v>2</v>
      </c>
      <c r="AM166" t="n">
        <v>2</v>
      </c>
      <c r="AN166" t="n">
        <v>0</v>
      </c>
      <c r="AO166" t="n">
        <v>0</v>
      </c>
      <c r="AP166" t="inlineStr">
        <is>
          <t>No</t>
        </is>
      </c>
      <c r="AQ166" t="inlineStr">
        <is>
          <t>Yes</t>
        </is>
      </c>
      <c r="AR166">
        <f>HYPERLINK("http://catalog.hathitrust.org/Record/000004982","HathiTrust Record")</f>
        <v/>
      </c>
      <c r="AS166">
        <f>HYPERLINK("https://creighton-primo.hosted.exlibrisgroup.com/primo-explore/search?tab=default_tab&amp;search_scope=EVERYTHING&amp;vid=01CRU&amp;lang=en_US&amp;offset=0&amp;query=any,contains,991002431219702656","Catalog Record")</f>
        <v/>
      </c>
      <c r="AT166">
        <f>HYPERLINK("http://www.worldcat.org/oclc/347104","WorldCat Record")</f>
        <v/>
      </c>
      <c r="AU166" t="inlineStr">
        <is>
          <t>1498523:eng</t>
        </is>
      </c>
      <c r="AV166" t="inlineStr">
        <is>
          <t>347104</t>
        </is>
      </c>
      <c r="AW166" t="inlineStr">
        <is>
          <t>991002431219702656</t>
        </is>
      </c>
      <c r="AX166" t="inlineStr">
        <is>
          <t>991002431219702656</t>
        </is>
      </c>
      <c r="AY166" t="inlineStr">
        <is>
          <t>2272375910002656</t>
        </is>
      </c>
      <c r="AZ166" t="inlineStr">
        <is>
          <t>BOOK</t>
        </is>
      </c>
      <c r="BC166" t="inlineStr">
        <is>
          <t>32285000760537</t>
        </is>
      </c>
      <c r="BD166" t="inlineStr">
        <is>
          <t>893792461</t>
        </is>
      </c>
    </row>
    <row r="167">
      <c r="A167" t="inlineStr">
        <is>
          <t>No</t>
        </is>
      </c>
      <c r="B167" t="inlineStr">
        <is>
          <t>HQ1064.U5 C526 1993</t>
        </is>
      </c>
      <c r="C167" t="inlineStr">
        <is>
          <t>0                      HQ 1064000U  5                  C  526         1993</t>
        </is>
      </c>
      <c r="D167" t="inlineStr">
        <is>
          <t>The journey of life : a cultural history of aging in America / Thomas R. Cole.</t>
        </is>
      </c>
      <c r="F167" t="inlineStr">
        <is>
          <t>No</t>
        </is>
      </c>
      <c r="G167" t="inlineStr">
        <is>
          <t>1</t>
        </is>
      </c>
      <c r="H167" t="inlineStr">
        <is>
          <t>No</t>
        </is>
      </c>
      <c r="I167" t="inlineStr">
        <is>
          <t>No</t>
        </is>
      </c>
      <c r="J167" t="inlineStr">
        <is>
          <t>0</t>
        </is>
      </c>
      <c r="K167" t="inlineStr">
        <is>
          <t>Cole, Thomas R., 1949-</t>
        </is>
      </c>
      <c r="L167" t="inlineStr">
        <is>
          <t>Cambridge [England] ; New York : Cambridge University Press, 1993, c1992.</t>
        </is>
      </c>
      <c r="M167" t="inlineStr">
        <is>
          <t>1993</t>
        </is>
      </c>
      <c r="N167" t="inlineStr">
        <is>
          <t>1st pbk. ed.</t>
        </is>
      </c>
      <c r="O167" t="inlineStr">
        <is>
          <t>eng</t>
        </is>
      </c>
      <c r="P167" t="inlineStr">
        <is>
          <t>enk</t>
        </is>
      </c>
      <c r="R167" t="inlineStr">
        <is>
          <t xml:space="preserve">HQ </t>
        </is>
      </c>
      <c r="S167" t="n">
        <v>3</v>
      </c>
      <c r="T167" t="n">
        <v>3</v>
      </c>
      <c r="U167" t="inlineStr">
        <is>
          <t>1998-04-06</t>
        </is>
      </c>
      <c r="V167" t="inlineStr">
        <is>
          <t>1998-04-06</t>
        </is>
      </c>
      <c r="W167" t="inlineStr">
        <is>
          <t>1997-11-24</t>
        </is>
      </c>
      <c r="X167" t="inlineStr">
        <is>
          <t>1997-11-24</t>
        </is>
      </c>
      <c r="Y167" t="n">
        <v>102</v>
      </c>
      <c r="Z167" t="n">
        <v>90</v>
      </c>
      <c r="AA167" t="n">
        <v>1029</v>
      </c>
      <c r="AB167" t="n">
        <v>1</v>
      </c>
      <c r="AC167" t="n">
        <v>5</v>
      </c>
      <c r="AD167" t="n">
        <v>5</v>
      </c>
      <c r="AE167" t="n">
        <v>47</v>
      </c>
      <c r="AF167" t="n">
        <v>2</v>
      </c>
      <c r="AG167" t="n">
        <v>21</v>
      </c>
      <c r="AH167" t="n">
        <v>2</v>
      </c>
      <c r="AI167" t="n">
        <v>10</v>
      </c>
      <c r="AJ167" t="n">
        <v>1</v>
      </c>
      <c r="AK167" t="n">
        <v>21</v>
      </c>
      <c r="AL167" t="n">
        <v>0</v>
      </c>
      <c r="AM167" t="n">
        <v>4</v>
      </c>
      <c r="AN167" t="n">
        <v>0</v>
      </c>
      <c r="AO167" t="n">
        <v>2</v>
      </c>
      <c r="AP167" t="inlineStr">
        <is>
          <t>No</t>
        </is>
      </c>
      <c r="AQ167" t="inlineStr">
        <is>
          <t>No</t>
        </is>
      </c>
      <c r="AS167">
        <f>HYPERLINK("https://creighton-primo.hosted.exlibrisgroup.com/primo-explore/search?tab=default_tab&amp;search_scope=EVERYTHING&amp;vid=01CRU&amp;lang=en_US&amp;offset=0&amp;query=any,contains,991002192849702656","Catalog Record")</f>
        <v/>
      </c>
      <c r="AT167">
        <f>HYPERLINK("http://www.worldcat.org/oclc/28204609","WorldCat Record")</f>
        <v/>
      </c>
      <c r="AU167" t="inlineStr">
        <is>
          <t>343367:eng</t>
        </is>
      </c>
      <c r="AV167" t="inlineStr">
        <is>
          <t>28204609</t>
        </is>
      </c>
      <c r="AW167" t="inlineStr">
        <is>
          <t>991002192849702656</t>
        </is>
      </c>
      <c r="AX167" t="inlineStr">
        <is>
          <t>991002192849702656</t>
        </is>
      </c>
      <c r="AY167" t="inlineStr">
        <is>
          <t>2264521400002656</t>
        </is>
      </c>
      <c r="AZ167" t="inlineStr">
        <is>
          <t>BOOK</t>
        </is>
      </c>
      <c r="BB167" t="inlineStr">
        <is>
          <t>9780521447652</t>
        </is>
      </c>
      <c r="BC167" t="inlineStr">
        <is>
          <t>32285003273553</t>
        </is>
      </c>
      <c r="BD167" t="inlineStr">
        <is>
          <t>893322663</t>
        </is>
      </c>
    </row>
    <row r="168">
      <c r="A168" t="inlineStr">
        <is>
          <t>No</t>
        </is>
      </c>
      <c r="B168" t="inlineStr">
        <is>
          <t>HQ1064.U5 C623</t>
        </is>
      </c>
      <c r="C168" t="inlineStr">
        <is>
          <t>0                      HQ 1064000U  5                  C  623</t>
        </is>
      </c>
      <c r="D168" t="inlineStr">
        <is>
          <t>Aging and the aged / [by] Fred Cottrell. --</t>
        </is>
      </c>
      <c r="F168" t="inlineStr">
        <is>
          <t>No</t>
        </is>
      </c>
      <c r="G168" t="inlineStr">
        <is>
          <t>1</t>
        </is>
      </c>
      <c r="H168" t="inlineStr">
        <is>
          <t>No</t>
        </is>
      </c>
      <c r="I168" t="inlineStr">
        <is>
          <t>No</t>
        </is>
      </c>
      <c r="J168" t="inlineStr">
        <is>
          <t>0</t>
        </is>
      </c>
      <c r="K168" t="inlineStr">
        <is>
          <t>Cottrell, Fred, 1903-1979.</t>
        </is>
      </c>
      <c r="L168" t="inlineStr">
        <is>
          <t>Dubuque, Iowa : W. C. Brown Co., [1974]</t>
        </is>
      </c>
      <c r="M168" t="inlineStr">
        <is>
          <t>1974</t>
        </is>
      </c>
      <c r="O168" t="inlineStr">
        <is>
          <t>eng</t>
        </is>
      </c>
      <c r="P168" t="inlineStr">
        <is>
          <t>iau</t>
        </is>
      </c>
      <c r="Q168" t="inlineStr">
        <is>
          <t>Elements of sociology</t>
        </is>
      </c>
      <c r="R168" t="inlineStr">
        <is>
          <t xml:space="preserve">HQ </t>
        </is>
      </c>
      <c r="S168" t="n">
        <v>2</v>
      </c>
      <c r="T168" t="n">
        <v>2</v>
      </c>
      <c r="U168" t="inlineStr">
        <is>
          <t>1993-11-29</t>
        </is>
      </c>
      <c r="V168" t="inlineStr">
        <is>
          <t>1993-11-29</t>
        </is>
      </c>
      <c r="W168" t="inlineStr">
        <is>
          <t>1993-04-26</t>
        </is>
      </c>
      <c r="X168" t="inlineStr">
        <is>
          <t>1993-04-26</t>
        </is>
      </c>
      <c r="Y168" t="n">
        <v>347</v>
      </c>
      <c r="Z168" t="n">
        <v>295</v>
      </c>
      <c r="AA168" t="n">
        <v>296</v>
      </c>
      <c r="AB168" t="n">
        <v>3</v>
      </c>
      <c r="AC168" t="n">
        <v>3</v>
      </c>
      <c r="AD168" t="n">
        <v>13</v>
      </c>
      <c r="AE168" t="n">
        <v>13</v>
      </c>
      <c r="AF168" t="n">
        <v>4</v>
      </c>
      <c r="AG168" t="n">
        <v>4</v>
      </c>
      <c r="AH168" t="n">
        <v>5</v>
      </c>
      <c r="AI168" t="n">
        <v>5</v>
      </c>
      <c r="AJ168" t="n">
        <v>6</v>
      </c>
      <c r="AK168" t="n">
        <v>6</v>
      </c>
      <c r="AL168" t="n">
        <v>2</v>
      </c>
      <c r="AM168" t="n">
        <v>2</v>
      </c>
      <c r="AN168" t="n">
        <v>0</v>
      </c>
      <c r="AO168" t="n">
        <v>0</v>
      </c>
      <c r="AP168" t="inlineStr">
        <is>
          <t>No</t>
        </is>
      </c>
      <c r="AQ168" t="inlineStr">
        <is>
          <t>Yes</t>
        </is>
      </c>
      <c r="AR168">
        <f>HYPERLINK("http://catalog.hathitrust.org/Record/000014745","HathiTrust Record")</f>
        <v/>
      </c>
      <c r="AS168">
        <f>HYPERLINK("https://creighton-primo.hosted.exlibrisgroup.com/primo-explore/search?tab=default_tab&amp;search_scope=EVERYTHING&amp;vid=01CRU&amp;lang=en_US&amp;offset=0&amp;query=any,contains,991003385579702656","Catalog Record")</f>
        <v/>
      </c>
      <c r="AT168">
        <f>HYPERLINK("http://www.worldcat.org/oclc/922514","WorldCat Record")</f>
        <v/>
      </c>
      <c r="AU168" t="inlineStr">
        <is>
          <t>252582888:eng</t>
        </is>
      </c>
      <c r="AV168" t="inlineStr">
        <is>
          <t>922514</t>
        </is>
      </c>
      <c r="AW168" t="inlineStr">
        <is>
          <t>991003385579702656</t>
        </is>
      </c>
      <c r="AX168" t="inlineStr">
        <is>
          <t>991003385579702656</t>
        </is>
      </c>
      <c r="AY168" t="inlineStr">
        <is>
          <t>2264835500002656</t>
        </is>
      </c>
      <c r="AZ168" t="inlineStr">
        <is>
          <t>BOOK</t>
        </is>
      </c>
      <c r="BB168" t="inlineStr">
        <is>
          <t>9780697075260</t>
        </is>
      </c>
      <c r="BC168" t="inlineStr">
        <is>
          <t>32285001626083</t>
        </is>
      </c>
      <c r="BD168" t="inlineStr">
        <is>
          <t>893617299</t>
        </is>
      </c>
    </row>
    <row r="169">
      <c r="A169" t="inlineStr">
        <is>
          <t>No</t>
        </is>
      </c>
      <c r="B169" t="inlineStr">
        <is>
          <t>HQ1064.U5 C76 1991</t>
        </is>
      </c>
      <c r="C169" t="inlineStr">
        <is>
          <t>0                      HQ 1064000U  5                  C  76          1991</t>
        </is>
      </c>
      <c r="D169" t="inlineStr">
        <is>
          <t>Critical perspectives on aging : the political and moral economy of growing old / edited by Meredith Minkler and Carroll L. Estes, with the assistance of Ida V.S.W. Red, editorial consultant.</t>
        </is>
      </c>
      <c r="F169" t="inlineStr">
        <is>
          <t>No</t>
        </is>
      </c>
      <c r="G169" t="inlineStr">
        <is>
          <t>1</t>
        </is>
      </c>
      <c r="H169" t="inlineStr">
        <is>
          <t>No</t>
        </is>
      </c>
      <c r="I169" t="inlineStr">
        <is>
          <t>No</t>
        </is>
      </c>
      <c r="J169" t="inlineStr">
        <is>
          <t>0</t>
        </is>
      </c>
      <c r="L169" t="inlineStr">
        <is>
          <t>Amityville, N.Y. : Baywood Pub. Co., c1991.</t>
        </is>
      </c>
      <c r="M169" t="inlineStr">
        <is>
          <t>1991</t>
        </is>
      </c>
      <c r="O169" t="inlineStr">
        <is>
          <t>eng</t>
        </is>
      </c>
      <c r="P169" t="inlineStr">
        <is>
          <t>nyu</t>
        </is>
      </c>
      <c r="Q169" t="inlineStr">
        <is>
          <t>Policy, politics, health, and medicine series</t>
        </is>
      </c>
      <c r="R169" t="inlineStr">
        <is>
          <t xml:space="preserve">HQ </t>
        </is>
      </c>
      <c r="S169" t="n">
        <v>8</v>
      </c>
      <c r="T169" t="n">
        <v>8</v>
      </c>
      <c r="U169" t="inlineStr">
        <is>
          <t>1994-01-26</t>
        </is>
      </c>
      <c r="V169" t="inlineStr">
        <is>
          <t>1994-01-26</t>
        </is>
      </c>
      <c r="W169" t="inlineStr">
        <is>
          <t>1991-04-17</t>
        </is>
      </c>
      <c r="X169" t="inlineStr">
        <is>
          <t>1991-04-17</t>
        </is>
      </c>
      <c r="Y169" t="n">
        <v>509</v>
      </c>
      <c r="Z169" t="n">
        <v>404</v>
      </c>
      <c r="AA169" t="n">
        <v>423</v>
      </c>
      <c r="AB169" t="n">
        <v>4</v>
      </c>
      <c r="AC169" t="n">
        <v>4</v>
      </c>
      <c r="AD169" t="n">
        <v>21</v>
      </c>
      <c r="AE169" t="n">
        <v>21</v>
      </c>
      <c r="AF169" t="n">
        <v>7</v>
      </c>
      <c r="AG169" t="n">
        <v>7</v>
      </c>
      <c r="AH169" t="n">
        <v>5</v>
      </c>
      <c r="AI169" t="n">
        <v>5</v>
      </c>
      <c r="AJ169" t="n">
        <v>12</v>
      </c>
      <c r="AK169" t="n">
        <v>12</v>
      </c>
      <c r="AL169" t="n">
        <v>3</v>
      </c>
      <c r="AM169" t="n">
        <v>3</v>
      </c>
      <c r="AN169" t="n">
        <v>0</v>
      </c>
      <c r="AO169" t="n">
        <v>0</v>
      </c>
      <c r="AP169" t="inlineStr">
        <is>
          <t>No</t>
        </is>
      </c>
      <c r="AQ169" t="inlineStr">
        <is>
          <t>Yes</t>
        </is>
      </c>
      <c r="AR169">
        <f>HYPERLINK("http://catalog.hathitrust.org/Record/002488780","HathiTrust Record")</f>
        <v/>
      </c>
      <c r="AS169">
        <f>HYPERLINK("https://creighton-primo.hosted.exlibrisgroup.com/primo-explore/search?tab=default_tab&amp;search_scope=EVERYTHING&amp;vid=01CRU&amp;lang=en_US&amp;offset=0&amp;query=any,contains,991001799349702656","Catalog Record")</f>
        <v/>
      </c>
      <c r="AT169">
        <f>HYPERLINK("http://www.worldcat.org/oclc/22628982","WorldCat Record")</f>
        <v/>
      </c>
      <c r="AU169" t="inlineStr">
        <is>
          <t>795600712:eng</t>
        </is>
      </c>
      <c r="AV169" t="inlineStr">
        <is>
          <t>22628982</t>
        </is>
      </c>
      <c r="AW169" t="inlineStr">
        <is>
          <t>991001799349702656</t>
        </is>
      </c>
      <c r="AX169" t="inlineStr">
        <is>
          <t>991001799349702656</t>
        </is>
      </c>
      <c r="AY169" t="inlineStr">
        <is>
          <t>2269397550002656</t>
        </is>
      </c>
      <c r="AZ169" t="inlineStr">
        <is>
          <t>BOOK</t>
        </is>
      </c>
      <c r="BB169" t="inlineStr">
        <is>
          <t>9780895030757</t>
        </is>
      </c>
      <c r="BC169" t="inlineStr">
        <is>
          <t>32285000568492</t>
        </is>
      </c>
      <c r="BD169" t="inlineStr">
        <is>
          <t>893590655</t>
        </is>
      </c>
    </row>
    <row r="170">
      <c r="A170" t="inlineStr">
        <is>
          <t>No</t>
        </is>
      </c>
      <c r="B170" t="inlineStr">
        <is>
          <t>HQ1064.U5 C79 1982</t>
        </is>
      </c>
      <c r="C170" t="inlineStr">
        <is>
          <t>0                      HQ 1064000U  5                  C  79          1982</t>
        </is>
      </c>
      <c r="D170" t="inlineStr">
        <is>
          <t>America's old age crisis : public policy and the two worlds of aging / Stephen Crystal.</t>
        </is>
      </c>
      <c r="F170" t="inlineStr">
        <is>
          <t>No</t>
        </is>
      </c>
      <c r="G170" t="inlineStr">
        <is>
          <t>1</t>
        </is>
      </c>
      <c r="H170" t="inlineStr">
        <is>
          <t>No</t>
        </is>
      </c>
      <c r="I170" t="inlineStr">
        <is>
          <t>No</t>
        </is>
      </c>
      <c r="J170" t="inlineStr">
        <is>
          <t>0</t>
        </is>
      </c>
      <c r="K170" t="inlineStr">
        <is>
          <t>Crystal, Stephen, 1946-</t>
        </is>
      </c>
      <c r="L170" t="inlineStr">
        <is>
          <t>New York : Basic Books, c1982.</t>
        </is>
      </c>
      <c r="M170" t="inlineStr">
        <is>
          <t>1982</t>
        </is>
      </c>
      <c r="O170" t="inlineStr">
        <is>
          <t>eng</t>
        </is>
      </c>
      <c r="P170" t="inlineStr">
        <is>
          <t>nyu</t>
        </is>
      </c>
      <c r="R170" t="inlineStr">
        <is>
          <t xml:space="preserve">HQ </t>
        </is>
      </c>
      <c r="S170" t="n">
        <v>3</v>
      </c>
      <c r="T170" t="n">
        <v>3</v>
      </c>
      <c r="U170" t="inlineStr">
        <is>
          <t>1995-04-12</t>
        </is>
      </c>
      <c r="V170" t="inlineStr">
        <is>
          <t>1995-04-12</t>
        </is>
      </c>
      <c r="W170" t="inlineStr">
        <is>
          <t>1993-04-26</t>
        </is>
      </c>
      <c r="X170" t="inlineStr">
        <is>
          <t>1993-04-26</t>
        </is>
      </c>
      <c r="Y170" t="n">
        <v>852</v>
      </c>
      <c r="Z170" t="n">
        <v>782</v>
      </c>
      <c r="AA170" t="n">
        <v>788</v>
      </c>
      <c r="AB170" t="n">
        <v>7</v>
      </c>
      <c r="AC170" t="n">
        <v>7</v>
      </c>
      <c r="AD170" t="n">
        <v>29</v>
      </c>
      <c r="AE170" t="n">
        <v>29</v>
      </c>
      <c r="AF170" t="n">
        <v>11</v>
      </c>
      <c r="AG170" t="n">
        <v>11</v>
      </c>
      <c r="AH170" t="n">
        <v>4</v>
      </c>
      <c r="AI170" t="n">
        <v>4</v>
      </c>
      <c r="AJ170" t="n">
        <v>12</v>
      </c>
      <c r="AK170" t="n">
        <v>12</v>
      </c>
      <c r="AL170" t="n">
        <v>5</v>
      </c>
      <c r="AM170" t="n">
        <v>5</v>
      </c>
      <c r="AN170" t="n">
        <v>3</v>
      </c>
      <c r="AO170" t="n">
        <v>3</v>
      </c>
      <c r="AP170" t="inlineStr">
        <is>
          <t>No</t>
        </is>
      </c>
      <c r="AQ170" t="inlineStr">
        <is>
          <t>Yes</t>
        </is>
      </c>
      <c r="AR170">
        <f>HYPERLINK("http://catalog.hathitrust.org/Record/000270214","HathiTrust Record")</f>
        <v/>
      </c>
      <c r="AS170">
        <f>HYPERLINK("https://creighton-primo.hosted.exlibrisgroup.com/primo-explore/search?tab=default_tab&amp;search_scope=EVERYTHING&amp;vid=01CRU&amp;lang=en_US&amp;offset=0&amp;query=any,contains,991000057529702656","Catalog Record")</f>
        <v/>
      </c>
      <c r="AT170">
        <f>HYPERLINK("http://www.worldcat.org/oclc/8709449","WorldCat Record")</f>
        <v/>
      </c>
      <c r="AU170" t="inlineStr">
        <is>
          <t>221945803:eng</t>
        </is>
      </c>
      <c r="AV170" t="inlineStr">
        <is>
          <t>8709449</t>
        </is>
      </c>
      <c r="AW170" t="inlineStr">
        <is>
          <t>991000057529702656</t>
        </is>
      </c>
      <c r="AX170" t="inlineStr">
        <is>
          <t>991000057529702656</t>
        </is>
      </c>
      <c r="AY170" t="inlineStr">
        <is>
          <t>2256662130002656</t>
        </is>
      </c>
      <c r="AZ170" t="inlineStr">
        <is>
          <t>BOOK</t>
        </is>
      </c>
      <c r="BB170" t="inlineStr">
        <is>
          <t>9780465001248</t>
        </is>
      </c>
      <c r="BC170" t="inlineStr">
        <is>
          <t>32285001626091</t>
        </is>
      </c>
      <c r="BD170" t="inlineStr">
        <is>
          <t>893689369</t>
        </is>
      </c>
    </row>
    <row r="171">
      <c r="A171" t="inlineStr">
        <is>
          <t>No</t>
        </is>
      </c>
      <c r="B171" t="inlineStr">
        <is>
          <t>HQ1064.U5 D36</t>
        </is>
      </c>
      <c r="C171" t="inlineStr">
        <is>
          <t>0                      HQ 1064000U  5                  D  36</t>
        </is>
      </c>
      <c r="D171" t="inlineStr">
        <is>
          <t>A time to enjoy : the pleasures of aging / Lillian R. Dangott, Richard A. Kalish.</t>
        </is>
      </c>
      <c r="F171" t="inlineStr">
        <is>
          <t>No</t>
        </is>
      </c>
      <c r="G171" t="inlineStr">
        <is>
          <t>1</t>
        </is>
      </c>
      <c r="H171" t="inlineStr">
        <is>
          <t>Yes</t>
        </is>
      </c>
      <c r="I171" t="inlineStr">
        <is>
          <t>No</t>
        </is>
      </c>
      <c r="J171" t="inlineStr">
        <is>
          <t>0</t>
        </is>
      </c>
      <c r="K171" t="inlineStr">
        <is>
          <t>Dangott, Lillian R.</t>
        </is>
      </c>
      <c r="L171" t="inlineStr">
        <is>
          <t>Englewood Cliffs, N.J. : Prentice-Hall, c1979.</t>
        </is>
      </c>
      <c r="M171" t="inlineStr">
        <is>
          <t>1979</t>
        </is>
      </c>
      <c r="O171" t="inlineStr">
        <is>
          <t>eng</t>
        </is>
      </c>
      <c r="P171" t="inlineStr">
        <is>
          <t>nju</t>
        </is>
      </c>
      <c r="Q171" t="inlineStr">
        <is>
          <t>A Spectrum book</t>
        </is>
      </c>
      <c r="R171" t="inlineStr">
        <is>
          <t xml:space="preserve">HQ </t>
        </is>
      </c>
      <c r="S171" t="n">
        <v>5</v>
      </c>
      <c r="T171" t="n">
        <v>10</v>
      </c>
      <c r="U171" t="inlineStr">
        <is>
          <t>1998-04-29</t>
        </is>
      </c>
      <c r="V171" t="inlineStr">
        <is>
          <t>1998-04-29</t>
        </is>
      </c>
      <c r="W171" t="inlineStr">
        <is>
          <t>1993-04-26</t>
        </is>
      </c>
      <c r="X171" t="inlineStr">
        <is>
          <t>1993-04-26</t>
        </is>
      </c>
      <c r="Y171" t="n">
        <v>407</v>
      </c>
      <c r="Z171" t="n">
        <v>348</v>
      </c>
      <c r="AA171" t="n">
        <v>350</v>
      </c>
      <c r="AB171" t="n">
        <v>2</v>
      </c>
      <c r="AC171" t="n">
        <v>2</v>
      </c>
      <c r="AD171" t="n">
        <v>8</v>
      </c>
      <c r="AE171" t="n">
        <v>8</v>
      </c>
      <c r="AF171" t="n">
        <v>3</v>
      </c>
      <c r="AG171" t="n">
        <v>3</v>
      </c>
      <c r="AH171" t="n">
        <v>2</v>
      </c>
      <c r="AI171" t="n">
        <v>2</v>
      </c>
      <c r="AJ171" t="n">
        <v>6</v>
      </c>
      <c r="AK171" t="n">
        <v>6</v>
      </c>
      <c r="AL171" t="n">
        <v>0</v>
      </c>
      <c r="AM171" t="n">
        <v>0</v>
      </c>
      <c r="AN171" t="n">
        <v>0</v>
      </c>
      <c r="AO171" t="n">
        <v>0</v>
      </c>
      <c r="AP171" t="inlineStr">
        <is>
          <t>No</t>
        </is>
      </c>
      <c r="AQ171" t="inlineStr">
        <is>
          <t>Yes</t>
        </is>
      </c>
      <c r="AR171">
        <f>HYPERLINK("http://catalog.hathitrust.org/Record/000734072","HathiTrust Record")</f>
        <v/>
      </c>
      <c r="AS171">
        <f>HYPERLINK("https://creighton-primo.hosted.exlibrisgroup.com/primo-explore/search?tab=default_tab&amp;search_scope=EVERYTHING&amp;vid=01CRU&amp;lang=en_US&amp;offset=0&amp;query=any,contains,991001757669702656","Catalog Record")</f>
        <v/>
      </c>
      <c r="AT171">
        <f>HYPERLINK("http://www.worldcat.org/oclc/4497261","WorldCat Record")</f>
        <v/>
      </c>
      <c r="AU171" t="inlineStr">
        <is>
          <t>14777798:eng</t>
        </is>
      </c>
      <c r="AV171" t="inlineStr">
        <is>
          <t>4497261</t>
        </is>
      </c>
      <c r="AW171" t="inlineStr">
        <is>
          <t>991001757669702656</t>
        </is>
      </c>
      <c r="AX171" t="inlineStr">
        <is>
          <t>991001757669702656</t>
        </is>
      </c>
      <c r="AY171" t="inlineStr">
        <is>
          <t>2266953320002656</t>
        </is>
      </c>
      <c r="AZ171" t="inlineStr">
        <is>
          <t>BOOK</t>
        </is>
      </c>
      <c r="BB171" t="inlineStr">
        <is>
          <t>9780139216923</t>
        </is>
      </c>
      <c r="BC171" t="inlineStr">
        <is>
          <t>32285001626109</t>
        </is>
      </c>
      <c r="BD171" t="inlineStr">
        <is>
          <t>893797811</t>
        </is>
      </c>
    </row>
    <row r="172">
      <c r="A172" t="inlineStr">
        <is>
          <t>No</t>
        </is>
      </c>
      <c r="B172" t="inlineStr">
        <is>
          <t>HQ1064.U5 D39 1990</t>
        </is>
      </c>
      <c r="C172" t="inlineStr">
        <is>
          <t>0                      HQ 1064000U  5                  D  39          1990</t>
        </is>
      </c>
      <c r="D172" t="inlineStr">
        <is>
          <t>What older Americans think : interest groups and aging policy / Christine L. Day.</t>
        </is>
      </c>
      <c r="F172" t="inlineStr">
        <is>
          <t>No</t>
        </is>
      </c>
      <c r="G172" t="inlineStr">
        <is>
          <t>1</t>
        </is>
      </c>
      <c r="H172" t="inlineStr">
        <is>
          <t>No</t>
        </is>
      </c>
      <c r="I172" t="inlineStr">
        <is>
          <t>No</t>
        </is>
      </c>
      <c r="J172" t="inlineStr">
        <is>
          <t>0</t>
        </is>
      </c>
      <c r="K172" t="inlineStr">
        <is>
          <t>Day, Christine L., 1954-</t>
        </is>
      </c>
      <c r="L172" t="inlineStr">
        <is>
          <t>Princeton, N.J. : Princeton University Press, 1990.</t>
        </is>
      </c>
      <c r="M172" t="inlineStr">
        <is>
          <t>1990</t>
        </is>
      </c>
      <c r="O172" t="inlineStr">
        <is>
          <t>eng</t>
        </is>
      </c>
      <c r="P172" t="inlineStr">
        <is>
          <t>nju</t>
        </is>
      </c>
      <c r="R172" t="inlineStr">
        <is>
          <t xml:space="preserve">HQ </t>
        </is>
      </c>
      <c r="S172" t="n">
        <v>3</v>
      </c>
      <c r="T172" t="n">
        <v>3</v>
      </c>
      <c r="U172" t="inlineStr">
        <is>
          <t>1992-11-17</t>
        </is>
      </c>
      <c r="V172" t="inlineStr">
        <is>
          <t>1992-11-17</t>
        </is>
      </c>
      <c r="W172" t="inlineStr">
        <is>
          <t>1991-01-03</t>
        </is>
      </c>
      <c r="X172" t="inlineStr">
        <is>
          <t>1991-01-03</t>
        </is>
      </c>
      <c r="Y172" t="n">
        <v>411</v>
      </c>
      <c r="Z172" t="n">
        <v>357</v>
      </c>
      <c r="AA172" t="n">
        <v>596</v>
      </c>
      <c r="AB172" t="n">
        <v>3</v>
      </c>
      <c r="AC172" t="n">
        <v>5</v>
      </c>
      <c r="AD172" t="n">
        <v>16</v>
      </c>
      <c r="AE172" t="n">
        <v>28</v>
      </c>
      <c r="AF172" t="n">
        <v>6</v>
      </c>
      <c r="AG172" t="n">
        <v>13</v>
      </c>
      <c r="AH172" t="n">
        <v>4</v>
      </c>
      <c r="AI172" t="n">
        <v>8</v>
      </c>
      <c r="AJ172" t="n">
        <v>9</v>
      </c>
      <c r="AK172" t="n">
        <v>12</v>
      </c>
      <c r="AL172" t="n">
        <v>2</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HYPERLINK("https://creighton-primo.hosted.exlibrisgroup.com/primo-explore/search?tab=default_tab&amp;search_scope=EVERYTHING&amp;vid=01CRU&amp;lang=en_US&amp;offset=0&amp;query=any,contains,991001601379702656","Catalog Record")</f>
        <v/>
      </c>
      <c r="AT172">
        <f>HYPERLINK("http://www.worldcat.org/oclc/20670746","WorldCat Record")</f>
        <v/>
      </c>
      <c r="AU172" t="inlineStr">
        <is>
          <t>152288301:eng</t>
        </is>
      </c>
      <c r="AV172" t="inlineStr">
        <is>
          <t>20670746</t>
        </is>
      </c>
      <c r="AW172" t="inlineStr">
        <is>
          <t>991001601379702656</t>
        </is>
      </c>
      <c r="AX172" t="inlineStr">
        <is>
          <t>991001601379702656</t>
        </is>
      </c>
      <c r="AY172" t="inlineStr">
        <is>
          <t>2259865600002656</t>
        </is>
      </c>
      <c r="AZ172" t="inlineStr">
        <is>
          <t>BOOK</t>
        </is>
      </c>
      <c r="BB172" t="inlineStr">
        <is>
          <t>9780691078250</t>
        </is>
      </c>
      <c r="BC172" t="inlineStr">
        <is>
          <t>32285000406834</t>
        </is>
      </c>
      <c r="BD172" t="inlineStr">
        <is>
          <t>893529036</t>
        </is>
      </c>
    </row>
    <row r="173">
      <c r="A173" t="inlineStr">
        <is>
          <t>No</t>
        </is>
      </c>
      <c r="B173" t="inlineStr">
        <is>
          <t>HQ1064.U5 E42 1985</t>
        </is>
      </c>
      <c r="C173" t="inlineStr">
        <is>
          <t>0                      HQ 1064000U  5                  E  42          1985</t>
        </is>
      </c>
      <c r="D173" t="inlineStr">
        <is>
          <t>The Elderly in rural society : every fourth elder / Raymond T. Coward, Gary R. Lee, editors.</t>
        </is>
      </c>
      <c r="F173" t="inlineStr">
        <is>
          <t>No</t>
        </is>
      </c>
      <c r="G173" t="inlineStr">
        <is>
          <t>1</t>
        </is>
      </c>
      <c r="H173" t="inlineStr">
        <is>
          <t>No</t>
        </is>
      </c>
      <c r="I173" t="inlineStr">
        <is>
          <t>No</t>
        </is>
      </c>
      <c r="J173" t="inlineStr">
        <is>
          <t>0</t>
        </is>
      </c>
      <c r="L173" t="inlineStr">
        <is>
          <t>New York : Springer Pub. Co., c1985.</t>
        </is>
      </c>
      <c r="M173" t="inlineStr">
        <is>
          <t>1985</t>
        </is>
      </c>
      <c r="O173" t="inlineStr">
        <is>
          <t>eng</t>
        </is>
      </c>
      <c r="P173" t="inlineStr">
        <is>
          <t>nyu</t>
        </is>
      </c>
      <c r="Q173" t="inlineStr">
        <is>
          <t>Springer series on adulthood and aging ; v. 13</t>
        </is>
      </c>
      <c r="R173" t="inlineStr">
        <is>
          <t xml:space="preserve">HQ </t>
        </is>
      </c>
      <c r="S173" t="n">
        <v>3</v>
      </c>
      <c r="T173" t="n">
        <v>3</v>
      </c>
      <c r="U173" t="inlineStr">
        <is>
          <t>1993-11-23</t>
        </is>
      </c>
      <c r="V173" t="inlineStr">
        <is>
          <t>1993-11-23</t>
        </is>
      </c>
      <c r="W173" t="inlineStr">
        <is>
          <t>1992-04-14</t>
        </is>
      </c>
      <c r="X173" t="inlineStr">
        <is>
          <t>1992-04-14</t>
        </is>
      </c>
      <c r="Y173" t="n">
        <v>557</v>
      </c>
      <c r="Z173" t="n">
        <v>495</v>
      </c>
      <c r="AA173" t="n">
        <v>502</v>
      </c>
      <c r="AB173" t="n">
        <v>7</v>
      </c>
      <c r="AC173" t="n">
        <v>7</v>
      </c>
      <c r="AD173" t="n">
        <v>17</v>
      </c>
      <c r="AE173" t="n">
        <v>17</v>
      </c>
      <c r="AF173" t="n">
        <v>5</v>
      </c>
      <c r="AG173" t="n">
        <v>5</v>
      </c>
      <c r="AH173" t="n">
        <v>2</v>
      </c>
      <c r="AI173" t="n">
        <v>2</v>
      </c>
      <c r="AJ173" t="n">
        <v>5</v>
      </c>
      <c r="AK173" t="n">
        <v>5</v>
      </c>
      <c r="AL173" t="n">
        <v>6</v>
      </c>
      <c r="AM173" t="n">
        <v>6</v>
      </c>
      <c r="AN173" t="n">
        <v>1</v>
      </c>
      <c r="AO173" t="n">
        <v>1</v>
      </c>
      <c r="AP173" t="inlineStr">
        <is>
          <t>No</t>
        </is>
      </c>
      <c r="AQ173" t="inlineStr">
        <is>
          <t>Yes</t>
        </is>
      </c>
      <c r="AR173">
        <f>HYPERLINK("http://catalog.hathitrust.org/Record/000612706","HathiTrust Record")</f>
        <v/>
      </c>
      <c r="AS173">
        <f>HYPERLINK("https://creighton-primo.hosted.exlibrisgroup.com/primo-explore/search?tab=default_tab&amp;search_scope=EVERYTHING&amp;vid=01CRU&amp;lang=en_US&amp;offset=0&amp;query=any,contains,991000462759702656","Catalog Record")</f>
        <v/>
      </c>
      <c r="AT173">
        <f>HYPERLINK("http://www.worldcat.org/oclc/10948673","WorldCat Record")</f>
        <v/>
      </c>
      <c r="AU173" t="inlineStr">
        <is>
          <t>894518099:eng</t>
        </is>
      </c>
      <c r="AV173" t="inlineStr">
        <is>
          <t>10948673</t>
        </is>
      </c>
      <c r="AW173" t="inlineStr">
        <is>
          <t>991000462759702656</t>
        </is>
      </c>
      <c r="AX173" t="inlineStr">
        <is>
          <t>991000462759702656</t>
        </is>
      </c>
      <c r="AY173" t="inlineStr">
        <is>
          <t>2272787280002656</t>
        </is>
      </c>
      <c r="AZ173" t="inlineStr">
        <is>
          <t>BOOK</t>
        </is>
      </c>
      <c r="BB173" t="inlineStr">
        <is>
          <t>9780826141200</t>
        </is>
      </c>
      <c r="BC173" t="inlineStr">
        <is>
          <t>32285001060184</t>
        </is>
      </c>
      <c r="BD173" t="inlineStr">
        <is>
          <t>893614189</t>
        </is>
      </c>
    </row>
    <row r="174">
      <c r="A174" t="inlineStr">
        <is>
          <t>No</t>
        </is>
      </c>
      <c r="B174" t="inlineStr">
        <is>
          <t>HQ1064.U5 E76 1984</t>
        </is>
      </c>
      <c r="C174" t="inlineStr">
        <is>
          <t>0                      HQ 1064000U  5                  E  76          1984</t>
        </is>
      </c>
      <c r="D174" t="inlineStr">
        <is>
          <t>Ethnicity and aging : a bibliography / compiled by Edward Murguia ... [et al.].</t>
        </is>
      </c>
      <c r="F174" t="inlineStr">
        <is>
          <t>No</t>
        </is>
      </c>
      <c r="G174" t="inlineStr">
        <is>
          <t>1</t>
        </is>
      </c>
      <c r="H174" t="inlineStr">
        <is>
          <t>No</t>
        </is>
      </c>
      <c r="I174" t="inlineStr">
        <is>
          <t>No</t>
        </is>
      </c>
      <c r="J174" t="inlineStr">
        <is>
          <t>0</t>
        </is>
      </c>
      <c r="L174" t="inlineStr">
        <is>
          <t>San Antonio, Tex. : Trinity University Press, c1984.</t>
        </is>
      </c>
      <c r="M174" t="inlineStr">
        <is>
          <t>1984</t>
        </is>
      </c>
      <c r="O174" t="inlineStr">
        <is>
          <t>eng</t>
        </is>
      </c>
      <c r="P174" t="inlineStr">
        <is>
          <t>txu</t>
        </is>
      </c>
      <c r="Q174" t="inlineStr">
        <is>
          <t>Checklist in the humanities and education ; no. 8</t>
        </is>
      </c>
      <c r="R174" t="inlineStr">
        <is>
          <t xml:space="preserve">HQ </t>
        </is>
      </c>
      <c r="S174" t="n">
        <v>4</v>
      </c>
      <c r="T174" t="n">
        <v>4</v>
      </c>
      <c r="U174" t="inlineStr">
        <is>
          <t>1995-02-04</t>
        </is>
      </c>
      <c r="V174" t="inlineStr">
        <is>
          <t>1995-02-04</t>
        </is>
      </c>
      <c r="W174" t="inlineStr">
        <is>
          <t>1992-03-30</t>
        </is>
      </c>
      <c r="X174" t="inlineStr">
        <is>
          <t>1992-03-30</t>
        </is>
      </c>
      <c r="Y174" t="n">
        <v>341</v>
      </c>
      <c r="Z174" t="n">
        <v>304</v>
      </c>
      <c r="AA174" t="n">
        <v>311</v>
      </c>
      <c r="AB174" t="n">
        <v>2</v>
      </c>
      <c r="AC174" t="n">
        <v>2</v>
      </c>
      <c r="AD174" t="n">
        <v>12</v>
      </c>
      <c r="AE174" t="n">
        <v>12</v>
      </c>
      <c r="AF174" t="n">
        <v>4</v>
      </c>
      <c r="AG174" t="n">
        <v>4</v>
      </c>
      <c r="AH174" t="n">
        <v>1</v>
      </c>
      <c r="AI174" t="n">
        <v>1</v>
      </c>
      <c r="AJ174" t="n">
        <v>9</v>
      </c>
      <c r="AK174" t="n">
        <v>9</v>
      </c>
      <c r="AL174" t="n">
        <v>1</v>
      </c>
      <c r="AM174" t="n">
        <v>1</v>
      </c>
      <c r="AN174" t="n">
        <v>0</v>
      </c>
      <c r="AO174" t="n">
        <v>0</v>
      </c>
      <c r="AP174" t="inlineStr">
        <is>
          <t>No</t>
        </is>
      </c>
      <c r="AQ174" t="inlineStr">
        <is>
          <t>Yes</t>
        </is>
      </c>
      <c r="AR174">
        <f>HYPERLINK("http://catalog.hathitrust.org/Record/000454960","HathiTrust Record")</f>
        <v/>
      </c>
      <c r="AS174">
        <f>HYPERLINK("https://creighton-primo.hosted.exlibrisgroup.com/primo-explore/search?tab=default_tab&amp;search_scope=EVERYTHING&amp;vid=01CRU&amp;lang=en_US&amp;offset=0&amp;query=any,contains,991000297899702656","Catalog Record")</f>
        <v/>
      </c>
      <c r="AT174">
        <f>HYPERLINK("http://www.worldcat.org/oclc/10018672","WorldCat Record")</f>
        <v/>
      </c>
      <c r="AU174" t="inlineStr">
        <is>
          <t>3115095:eng</t>
        </is>
      </c>
      <c r="AV174" t="inlineStr">
        <is>
          <t>10018672</t>
        </is>
      </c>
      <c r="AW174" t="inlineStr">
        <is>
          <t>991000297899702656</t>
        </is>
      </c>
      <c r="AX174" t="inlineStr">
        <is>
          <t>991000297899702656</t>
        </is>
      </c>
      <c r="AY174" t="inlineStr">
        <is>
          <t>2269291140002656</t>
        </is>
      </c>
      <c r="AZ174" t="inlineStr">
        <is>
          <t>BOOK</t>
        </is>
      </c>
      <c r="BB174" t="inlineStr">
        <is>
          <t>9780939980031</t>
        </is>
      </c>
      <c r="BC174" t="inlineStr">
        <is>
          <t>32285001041168</t>
        </is>
      </c>
      <c r="BD174" t="inlineStr">
        <is>
          <t>893626265</t>
        </is>
      </c>
    </row>
    <row r="175">
      <c r="A175" t="inlineStr">
        <is>
          <t>No</t>
        </is>
      </c>
      <c r="B175" t="inlineStr">
        <is>
          <t>HQ1064.U5 E78 1987</t>
        </is>
      </c>
      <c r="C175" t="inlineStr">
        <is>
          <t>0                      HQ 1064000U  5                  E  78          1987</t>
        </is>
      </c>
      <c r="D175" t="inlineStr">
        <is>
          <t>Ethnic dimensions of aging / Donald E. Gelfand, Charles M. Barresi, editors.</t>
        </is>
      </c>
      <c r="F175" t="inlineStr">
        <is>
          <t>No</t>
        </is>
      </c>
      <c r="G175" t="inlineStr">
        <is>
          <t>1</t>
        </is>
      </c>
      <c r="H175" t="inlineStr">
        <is>
          <t>No</t>
        </is>
      </c>
      <c r="I175" t="inlineStr">
        <is>
          <t>No</t>
        </is>
      </c>
      <c r="J175" t="inlineStr">
        <is>
          <t>0</t>
        </is>
      </c>
      <c r="L175" t="inlineStr">
        <is>
          <t>New York : Springer Pub. Co., c1987.</t>
        </is>
      </c>
      <c r="M175" t="inlineStr">
        <is>
          <t>1987</t>
        </is>
      </c>
      <c r="O175" t="inlineStr">
        <is>
          <t>eng</t>
        </is>
      </c>
      <c r="P175" t="inlineStr">
        <is>
          <t>nyu</t>
        </is>
      </c>
      <c r="Q175" t="inlineStr">
        <is>
          <t>Springer series on adulthood and aging ; v. 18</t>
        </is>
      </c>
      <c r="R175" t="inlineStr">
        <is>
          <t xml:space="preserve">HQ </t>
        </is>
      </c>
      <c r="S175" t="n">
        <v>8</v>
      </c>
      <c r="T175" t="n">
        <v>8</v>
      </c>
      <c r="U175" t="inlineStr">
        <is>
          <t>2002-05-08</t>
        </is>
      </c>
      <c r="V175" t="inlineStr">
        <is>
          <t>2002-05-08</t>
        </is>
      </c>
      <c r="W175" t="inlineStr">
        <is>
          <t>1990-04-10</t>
        </is>
      </c>
      <c r="X175" t="inlineStr">
        <is>
          <t>1990-04-10</t>
        </is>
      </c>
      <c r="Y175" t="n">
        <v>664</v>
      </c>
      <c r="Z175" t="n">
        <v>592</v>
      </c>
      <c r="AA175" t="n">
        <v>599</v>
      </c>
      <c r="AB175" t="n">
        <v>2</v>
      </c>
      <c r="AC175" t="n">
        <v>2</v>
      </c>
      <c r="AD175" t="n">
        <v>30</v>
      </c>
      <c r="AE175" t="n">
        <v>30</v>
      </c>
      <c r="AF175" t="n">
        <v>15</v>
      </c>
      <c r="AG175" t="n">
        <v>15</v>
      </c>
      <c r="AH175" t="n">
        <v>7</v>
      </c>
      <c r="AI175" t="n">
        <v>7</v>
      </c>
      <c r="AJ175" t="n">
        <v>16</v>
      </c>
      <c r="AK175" t="n">
        <v>16</v>
      </c>
      <c r="AL175" t="n">
        <v>1</v>
      </c>
      <c r="AM175" t="n">
        <v>1</v>
      </c>
      <c r="AN175" t="n">
        <v>0</v>
      </c>
      <c r="AO175" t="n">
        <v>0</v>
      </c>
      <c r="AP175" t="inlineStr">
        <is>
          <t>No</t>
        </is>
      </c>
      <c r="AQ175" t="inlineStr">
        <is>
          <t>Yes</t>
        </is>
      </c>
      <c r="AR175">
        <f>HYPERLINK("http://catalog.hathitrust.org/Record/000877210","HathiTrust Record")</f>
        <v/>
      </c>
      <c r="AS175">
        <f>HYPERLINK("https://creighton-primo.hosted.exlibrisgroup.com/primo-explore/search?tab=default_tab&amp;search_scope=EVERYTHING&amp;vid=01CRU&amp;lang=en_US&amp;offset=0&amp;query=any,contains,991001166399702656","Catalog Record")</f>
        <v/>
      </c>
      <c r="AT175">
        <f>HYPERLINK("http://www.worldcat.org/oclc/16924013","WorldCat Record")</f>
        <v/>
      </c>
      <c r="AU175" t="inlineStr">
        <is>
          <t>428790012:eng</t>
        </is>
      </c>
      <c r="AV175" t="inlineStr">
        <is>
          <t>16924013</t>
        </is>
      </c>
      <c r="AW175" t="inlineStr">
        <is>
          <t>991001166399702656</t>
        </is>
      </c>
      <c r="AX175" t="inlineStr">
        <is>
          <t>991001166399702656</t>
        </is>
      </c>
      <c r="AY175" t="inlineStr">
        <is>
          <t>2271113730002656</t>
        </is>
      </c>
      <c r="AZ175" t="inlineStr">
        <is>
          <t>BOOK</t>
        </is>
      </c>
      <c r="BB175" t="inlineStr">
        <is>
          <t>9780826156105</t>
        </is>
      </c>
      <c r="BC175" t="inlineStr">
        <is>
          <t>32285000120286</t>
        </is>
      </c>
      <c r="BD175" t="inlineStr">
        <is>
          <t>893315573</t>
        </is>
      </c>
    </row>
    <row r="176">
      <c r="A176" t="inlineStr">
        <is>
          <t>No</t>
        </is>
      </c>
      <c r="B176" t="inlineStr">
        <is>
          <t>HQ1064.U5 E85 1986</t>
        </is>
      </c>
      <c r="C176" t="inlineStr">
        <is>
          <t>0                      HQ 1064000U  5                  E  85          1986</t>
        </is>
      </c>
      <c r="D176" t="inlineStr">
        <is>
          <t>European-American elderly : a guide for practice / Christopher L. Hayes, Richard A. Kalish, David Guttmann, editors.</t>
        </is>
      </c>
      <c r="F176" t="inlineStr">
        <is>
          <t>No</t>
        </is>
      </c>
      <c r="G176" t="inlineStr">
        <is>
          <t>1</t>
        </is>
      </c>
      <c r="H176" t="inlineStr">
        <is>
          <t>Yes</t>
        </is>
      </c>
      <c r="I176" t="inlineStr">
        <is>
          <t>No</t>
        </is>
      </c>
      <c r="J176" t="inlineStr">
        <is>
          <t>0</t>
        </is>
      </c>
      <c r="L176" t="inlineStr">
        <is>
          <t>New York : Springer Pub. Co., c1986.</t>
        </is>
      </c>
      <c r="M176" t="inlineStr">
        <is>
          <t>1986</t>
        </is>
      </c>
      <c r="O176" t="inlineStr">
        <is>
          <t>eng</t>
        </is>
      </c>
      <c r="P176" t="inlineStr">
        <is>
          <t>nyu</t>
        </is>
      </c>
      <c r="R176" t="inlineStr">
        <is>
          <t xml:space="preserve">HQ </t>
        </is>
      </c>
      <c r="S176" t="n">
        <v>2</v>
      </c>
      <c r="T176" t="n">
        <v>2</v>
      </c>
      <c r="U176" t="inlineStr">
        <is>
          <t>1995-02-04</t>
        </is>
      </c>
      <c r="V176" t="inlineStr">
        <is>
          <t>1995-02-04</t>
        </is>
      </c>
      <c r="W176" t="inlineStr">
        <is>
          <t>1993-04-26</t>
        </is>
      </c>
      <c r="X176" t="inlineStr">
        <is>
          <t>1993-04-26</t>
        </is>
      </c>
      <c r="Y176" t="n">
        <v>281</v>
      </c>
      <c r="Z176" t="n">
        <v>246</v>
      </c>
      <c r="AA176" t="n">
        <v>253</v>
      </c>
      <c r="AB176" t="n">
        <v>6</v>
      </c>
      <c r="AC176" t="n">
        <v>6</v>
      </c>
      <c r="AD176" t="n">
        <v>12</v>
      </c>
      <c r="AE176" t="n">
        <v>12</v>
      </c>
      <c r="AF176" t="n">
        <v>3</v>
      </c>
      <c r="AG176" t="n">
        <v>3</v>
      </c>
      <c r="AH176" t="n">
        <v>1</v>
      </c>
      <c r="AI176" t="n">
        <v>1</v>
      </c>
      <c r="AJ176" t="n">
        <v>6</v>
      </c>
      <c r="AK176" t="n">
        <v>6</v>
      </c>
      <c r="AL176" t="n">
        <v>4</v>
      </c>
      <c r="AM176" t="n">
        <v>4</v>
      </c>
      <c r="AN176" t="n">
        <v>0</v>
      </c>
      <c r="AO176" t="n">
        <v>0</v>
      </c>
      <c r="AP176" t="inlineStr">
        <is>
          <t>No</t>
        </is>
      </c>
      <c r="AQ176" t="inlineStr">
        <is>
          <t>Yes</t>
        </is>
      </c>
      <c r="AR176">
        <f>HYPERLINK("http://catalog.hathitrust.org/Record/000555807","HathiTrust Record")</f>
        <v/>
      </c>
      <c r="AS176">
        <f>HYPERLINK("https://creighton-primo.hosted.exlibrisgroup.com/primo-explore/search?tab=default_tab&amp;search_scope=EVERYTHING&amp;vid=01CRU&amp;lang=en_US&amp;offset=0&amp;query=any,contains,991001761309702656","Catalog Record")</f>
        <v/>
      </c>
      <c r="AT176">
        <f>HYPERLINK("http://www.worldcat.org/oclc/13580860","WorldCat Record")</f>
        <v/>
      </c>
      <c r="AU176" t="inlineStr">
        <is>
          <t>894441964:eng</t>
        </is>
      </c>
      <c r="AV176" t="inlineStr">
        <is>
          <t>13580860</t>
        </is>
      </c>
      <c r="AW176" t="inlineStr">
        <is>
          <t>991001761309702656</t>
        </is>
      </c>
      <c r="AX176" t="inlineStr">
        <is>
          <t>991001761309702656</t>
        </is>
      </c>
      <c r="AY176" t="inlineStr">
        <is>
          <t>2257643250002656</t>
        </is>
      </c>
      <c r="AZ176" t="inlineStr">
        <is>
          <t>BOOK</t>
        </is>
      </c>
      <c r="BB176" t="inlineStr">
        <is>
          <t>9780826154507</t>
        </is>
      </c>
      <c r="BC176" t="inlineStr">
        <is>
          <t>32285001626117</t>
        </is>
      </c>
      <c r="BD176" t="inlineStr">
        <is>
          <t>893615359</t>
        </is>
      </c>
    </row>
    <row r="177">
      <c r="A177" t="inlineStr">
        <is>
          <t>No</t>
        </is>
      </c>
      <c r="B177" t="inlineStr">
        <is>
          <t>HQ1064.U5 F27</t>
        </is>
      </c>
      <c r="C177" t="inlineStr">
        <is>
          <t>0                      HQ 1064000U  5                  F  27</t>
        </is>
      </c>
      <c r="D177" t="inlineStr">
        <is>
          <t>Aging in America and other cultures / by Gerhard Falk, Ursula Falk and George V. Tomashevich.</t>
        </is>
      </c>
      <c r="F177" t="inlineStr">
        <is>
          <t>No</t>
        </is>
      </c>
      <c r="G177" t="inlineStr">
        <is>
          <t>1</t>
        </is>
      </c>
      <c r="H177" t="inlineStr">
        <is>
          <t>No</t>
        </is>
      </c>
      <c r="I177" t="inlineStr">
        <is>
          <t>No</t>
        </is>
      </c>
      <c r="J177" t="inlineStr">
        <is>
          <t>0</t>
        </is>
      </c>
      <c r="K177" t="inlineStr">
        <is>
          <t>Falk, Gerhard.</t>
        </is>
      </c>
      <c r="L177" t="inlineStr">
        <is>
          <t>Saratoga, Calif. : Century Twenty One Pub., c1981.</t>
        </is>
      </c>
      <c r="M177" t="inlineStr">
        <is>
          <t>1981</t>
        </is>
      </c>
      <c r="O177" t="inlineStr">
        <is>
          <t>eng</t>
        </is>
      </c>
      <c r="P177" t="inlineStr">
        <is>
          <t>cau</t>
        </is>
      </c>
      <c r="R177" t="inlineStr">
        <is>
          <t xml:space="preserve">HQ </t>
        </is>
      </c>
      <c r="S177" t="n">
        <v>2</v>
      </c>
      <c r="T177" t="n">
        <v>2</v>
      </c>
      <c r="U177" t="inlineStr">
        <is>
          <t>1994-07-29</t>
        </is>
      </c>
      <c r="V177" t="inlineStr">
        <is>
          <t>1994-07-29</t>
        </is>
      </c>
      <c r="W177" t="inlineStr">
        <is>
          <t>1993-04-26</t>
        </is>
      </c>
      <c r="X177" t="inlineStr">
        <is>
          <t>1993-04-26</t>
        </is>
      </c>
      <c r="Y177" t="n">
        <v>234</v>
      </c>
      <c r="Z177" t="n">
        <v>204</v>
      </c>
      <c r="AA177" t="n">
        <v>206</v>
      </c>
      <c r="AB177" t="n">
        <v>1</v>
      </c>
      <c r="AC177" t="n">
        <v>1</v>
      </c>
      <c r="AD177" t="n">
        <v>6</v>
      </c>
      <c r="AE177" t="n">
        <v>6</v>
      </c>
      <c r="AF177" t="n">
        <v>3</v>
      </c>
      <c r="AG177" t="n">
        <v>3</v>
      </c>
      <c r="AH177" t="n">
        <v>2</v>
      </c>
      <c r="AI177" t="n">
        <v>2</v>
      </c>
      <c r="AJ177" t="n">
        <v>5</v>
      </c>
      <c r="AK177" t="n">
        <v>5</v>
      </c>
      <c r="AL177" t="n">
        <v>0</v>
      </c>
      <c r="AM177" t="n">
        <v>0</v>
      </c>
      <c r="AN177" t="n">
        <v>0</v>
      </c>
      <c r="AO177" t="n">
        <v>0</v>
      </c>
      <c r="AP177" t="inlineStr">
        <is>
          <t>No</t>
        </is>
      </c>
      <c r="AQ177" t="inlineStr">
        <is>
          <t>Yes</t>
        </is>
      </c>
      <c r="AR177">
        <f>HYPERLINK("http://catalog.hathitrust.org/Record/000223421","HathiTrust Record")</f>
        <v/>
      </c>
      <c r="AS177">
        <f>HYPERLINK("https://creighton-primo.hosted.exlibrisgroup.com/primo-explore/search?tab=default_tab&amp;search_scope=EVERYTHING&amp;vid=01CRU&amp;lang=en_US&amp;offset=0&amp;query=any,contains,991005119499702656","Catalog Record")</f>
        <v/>
      </c>
      <c r="AT177">
        <f>HYPERLINK("http://www.worldcat.org/oclc/7487955","WorldCat Record")</f>
        <v/>
      </c>
      <c r="AU177" t="inlineStr">
        <is>
          <t>43665698:eng</t>
        </is>
      </c>
      <c r="AV177" t="inlineStr">
        <is>
          <t>7487955</t>
        </is>
      </c>
      <c r="AW177" t="inlineStr">
        <is>
          <t>991005119499702656</t>
        </is>
      </c>
      <c r="AX177" t="inlineStr">
        <is>
          <t>991005119499702656</t>
        </is>
      </c>
      <c r="AY177" t="inlineStr">
        <is>
          <t>2272514850002656</t>
        </is>
      </c>
      <c r="AZ177" t="inlineStr">
        <is>
          <t>BOOK</t>
        </is>
      </c>
      <c r="BB177" t="inlineStr">
        <is>
          <t>9780865480346</t>
        </is>
      </c>
      <c r="BC177" t="inlineStr">
        <is>
          <t>32285001626125</t>
        </is>
      </c>
      <c r="BD177" t="inlineStr">
        <is>
          <t>893260580</t>
        </is>
      </c>
    </row>
    <row r="178">
      <c r="A178" t="inlineStr">
        <is>
          <t>No</t>
        </is>
      </c>
      <c r="B178" t="inlineStr">
        <is>
          <t>HQ1064.U5 F275 1986</t>
        </is>
      </c>
      <c r="C178" t="inlineStr">
        <is>
          <t>0                      HQ 1064000U  5                  F  275         1986</t>
        </is>
      </c>
      <c r="D178" t="inlineStr">
        <is>
          <t>Family issues in current gerontology / sponsored by the Gerontological Society of America ; Lillian E. Troll, editor.</t>
        </is>
      </c>
      <c r="F178" t="inlineStr">
        <is>
          <t>No</t>
        </is>
      </c>
      <c r="G178" t="inlineStr">
        <is>
          <t>1</t>
        </is>
      </c>
      <c r="H178" t="inlineStr">
        <is>
          <t>Yes</t>
        </is>
      </c>
      <c r="I178" t="inlineStr">
        <is>
          <t>No</t>
        </is>
      </c>
      <c r="J178" t="inlineStr">
        <is>
          <t>0</t>
        </is>
      </c>
      <c r="L178" t="inlineStr">
        <is>
          <t>New York : Springer Pub. Co., c1986.</t>
        </is>
      </c>
      <c r="M178" t="inlineStr">
        <is>
          <t>1986</t>
        </is>
      </c>
      <c r="O178" t="inlineStr">
        <is>
          <t>eng</t>
        </is>
      </c>
      <c r="P178" t="inlineStr">
        <is>
          <t>nyu</t>
        </is>
      </c>
      <c r="Q178" t="inlineStr">
        <is>
          <t>Current gerontology</t>
        </is>
      </c>
      <c r="R178" t="inlineStr">
        <is>
          <t xml:space="preserve">HQ </t>
        </is>
      </c>
      <c r="S178" t="n">
        <v>5</v>
      </c>
      <c r="T178" t="n">
        <v>5</v>
      </c>
      <c r="U178" t="inlineStr">
        <is>
          <t>2010-04-27</t>
        </is>
      </c>
      <c r="V178" t="inlineStr">
        <is>
          <t>2010-04-27</t>
        </is>
      </c>
      <c r="W178" t="inlineStr">
        <is>
          <t>1992-11-30</t>
        </is>
      </c>
      <c r="X178" t="inlineStr">
        <is>
          <t>1992-11-30</t>
        </is>
      </c>
      <c r="Y178" t="n">
        <v>349</v>
      </c>
      <c r="Z178" t="n">
        <v>310</v>
      </c>
      <c r="AA178" t="n">
        <v>315</v>
      </c>
      <c r="AB178" t="n">
        <v>5</v>
      </c>
      <c r="AC178" t="n">
        <v>5</v>
      </c>
      <c r="AD178" t="n">
        <v>18</v>
      </c>
      <c r="AE178" t="n">
        <v>18</v>
      </c>
      <c r="AF178" t="n">
        <v>6</v>
      </c>
      <c r="AG178" t="n">
        <v>6</v>
      </c>
      <c r="AH178" t="n">
        <v>3</v>
      </c>
      <c r="AI178" t="n">
        <v>3</v>
      </c>
      <c r="AJ178" t="n">
        <v>10</v>
      </c>
      <c r="AK178" t="n">
        <v>10</v>
      </c>
      <c r="AL178" t="n">
        <v>3</v>
      </c>
      <c r="AM178" t="n">
        <v>3</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HYPERLINK("https://creighton-primo.hosted.exlibrisgroup.com/primo-explore/search?tab=default_tab&amp;search_scope=EVERYTHING&amp;vid=01CRU&amp;lang=en_US&amp;offset=0&amp;query=any,contains,991000920009702656","Catalog Record")</f>
        <v/>
      </c>
      <c r="AT178">
        <f>HYPERLINK("http://www.worldcat.org/oclc/14189492","WorldCat Record")</f>
        <v/>
      </c>
      <c r="AU178" t="inlineStr">
        <is>
          <t>372603734:eng</t>
        </is>
      </c>
      <c r="AV178" t="inlineStr">
        <is>
          <t>14189492</t>
        </is>
      </c>
      <c r="AW178" t="inlineStr">
        <is>
          <t>991000920009702656</t>
        </is>
      </c>
      <c r="AX178" t="inlineStr">
        <is>
          <t>991000920009702656</t>
        </is>
      </c>
      <c r="AY178" t="inlineStr">
        <is>
          <t>2261353040002656</t>
        </is>
      </c>
      <c r="AZ178" t="inlineStr">
        <is>
          <t>BOOK</t>
        </is>
      </c>
      <c r="BB178" t="inlineStr">
        <is>
          <t>9780826155610</t>
        </is>
      </c>
      <c r="BC178" t="inlineStr">
        <is>
          <t>32285001410199</t>
        </is>
      </c>
      <c r="BD178" t="inlineStr">
        <is>
          <t>893515739</t>
        </is>
      </c>
    </row>
    <row r="179">
      <c r="A179" t="inlineStr">
        <is>
          <t>No</t>
        </is>
      </c>
      <c r="B179" t="inlineStr">
        <is>
          <t>HQ1064.U5 F295 1990</t>
        </is>
      </c>
      <c r="C179" t="inlineStr">
        <is>
          <t>0                      HQ 1064000U  5                  F  295         1990</t>
        </is>
      </c>
      <c r="D179" t="inlineStr">
        <is>
          <t>Family relationships in later life / edited by Timothy H. Brubaker.</t>
        </is>
      </c>
      <c r="F179" t="inlineStr">
        <is>
          <t>No</t>
        </is>
      </c>
      <c r="G179" t="inlineStr">
        <is>
          <t>1</t>
        </is>
      </c>
      <c r="H179" t="inlineStr">
        <is>
          <t>No</t>
        </is>
      </c>
      <c r="I179" t="inlineStr">
        <is>
          <t>No</t>
        </is>
      </c>
      <c r="J179" t="inlineStr">
        <is>
          <t>0</t>
        </is>
      </c>
      <c r="L179" t="inlineStr">
        <is>
          <t>Newbury Park, Calif. : Sage Publications, c1990.</t>
        </is>
      </c>
      <c r="M179" t="inlineStr">
        <is>
          <t>1990</t>
        </is>
      </c>
      <c r="N179" t="inlineStr">
        <is>
          <t>2nd ed.</t>
        </is>
      </c>
      <c r="O179" t="inlineStr">
        <is>
          <t>eng</t>
        </is>
      </c>
      <c r="P179" t="inlineStr">
        <is>
          <t>cau</t>
        </is>
      </c>
      <c r="Q179" t="inlineStr">
        <is>
          <t>Sage focus editions ; 64</t>
        </is>
      </c>
      <c r="R179" t="inlineStr">
        <is>
          <t xml:space="preserve">HQ </t>
        </is>
      </c>
      <c r="S179" t="n">
        <v>4</v>
      </c>
      <c r="T179" t="n">
        <v>4</v>
      </c>
      <c r="U179" t="inlineStr">
        <is>
          <t>2010-04-27</t>
        </is>
      </c>
      <c r="V179" t="inlineStr">
        <is>
          <t>2010-04-27</t>
        </is>
      </c>
      <c r="W179" t="inlineStr">
        <is>
          <t>1991-10-31</t>
        </is>
      </c>
      <c r="X179" t="inlineStr">
        <is>
          <t>1991-10-31</t>
        </is>
      </c>
      <c r="Y179" t="n">
        <v>489</v>
      </c>
      <c r="Z179" t="n">
        <v>384</v>
      </c>
      <c r="AA179" t="n">
        <v>436</v>
      </c>
      <c r="AB179" t="n">
        <v>5</v>
      </c>
      <c r="AC179" t="n">
        <v>5</v>
      </c>
      <c r="AD179" t="n">
        <v>19</v>
      </c>
      <c r="AE179" t="n">
        <v>23</v>
      </c>
      <c r="AF179" t="n">
        <v>7</v>
      </c>
      <c r="AG179" t="n">
        <v>9</v>
      </c>
      <c r="AH179" t="n">
        <v>3</v>
      </c>
      <c r="AI179" t="n">
        <v>5</v>
      </c>
      <c r="AJ179" t="n">
        <v>10</v>
      </c>
      <c r="AK179" t="n">
        <v>11</v>
      </c>
      <c r="AL179" t="n">
        <v>4</v>
      </c>
      <c r="AM179" t="n">
        <v>4</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HYPERLINK("https://creighton-primo.hosted.exlibrisgroup.com/primo-explore/search?tab=default_tab&amp;search_scope=EVERYTHING&amp;vid=01CRU&amp;lang=en_US&amp;offset=0&amp;query=any,contains,991001527379702656","Catalog Record")</f>
        <v/>
      </c>
      <c r="AT179">
        <f>HYPERLINK("http://www.worldcat.org/oclc/20013690","WorldCat Record")</f>
        <v/>
      </c>
      <c r="AU179" t="inlineStr">
        <is>
          <t>54580444:eng</t>
        </is>
      </c>
      <c r="AV179" t="inlineStr">
        <is>
          <t>20013690</t>
        </is>
      </c>
      <c r="AW179" t="inlineStr">
        <is>
          <t>991001527379702656</t>
        </is>
      </c>
      <c r="AX179" t="inlineStr">
        <is>
          <t>991001527379702656</t>
        </is>
      </c>
      <c r="AY179" t="inlineStr">
        <is>
          <t>2262252570002656</t>
        </is>
      </c>
      <c r="AZ179" t="inlineStr">
        <is>
          <t>BOOK</t>
        </is>
      </c>
      <c r="BB179" t="inlineStr">
        <is>
          <t>9780803933224</t>
        </is>
      </c>
      <c r="BC179" t="inlineStr">
        <is>
          <t>32285000728583</t>
        </is>
      </c>
      <c r="BD179" t="inlineStr">
        <is>
          <t>893439192</t>
        </is>
      </c>
    </row>
    <row r="180">
      <c r="A180" t="inlineStr">
        <is>
          <t>No</t>
        </is>
      </c>
      <c r="B180" t="inlineStr">
        <is>
          <t>HQ1064.U5 F49</t>
        </is>
      </c>
      <c r="C180" t="inlineStr">
        <is>
          <t>0                      HQ 1064000U  5                  F  49</t>
        </is>
      </c>
      <c r="D180" t="inlineStr">
        <is>
          <t>Growing old in America / by David Hackett Fischer.</t>
        </is>
      </c>
      <c r="F180" t="inlineStr">
        <is>
          <t>No</t>
        </is>
      </c>
      <c r="G180" t="inlineStr">
        <is>
          <t>1</t>
        </is>
      </c>
      <c r="H180" t="inlineStr">
        <is>
          <t>No</t>
        </is>
      </c>
      <c r="I180" t="inlineStr">
        <is>
          <t>No</t>
        </is>
      </c>
      <c r="J180" t="inlineStr">
        <is>
          <t>0</t>
        </is>
      </c>
      <c r="K180" t="inlineStr">
        <is>
          <t>Fischer, David Hackett, 1935-</t>
        </is>
      </c>
      <c r="L180" t="inlineStr">
        <is>
          <t>New York : Oxford University Press, 1977.</t>
        </is>
      </c>
      <c r="M180" t="inlineStr">
        <is>
          <t>1977</t>
        </is>
      </c>
      <c r="O180" t="inlineStr">
        <is>
          <t>eng</t>
        </is>
      </c>
      <c r="P180" t="inlineStr">
        <is>
          <t>nyu</t>
        </is>
      </c>
      <c r="Q180" t="inlineStr">
        <is>
          <t>The Bland-Lee lectures</t>
        </is>
      </c>
      <c r="R180" t="inlineStr">
        <is>
          <t xml:space="preserve">HQ </t>
        </is>
      </c>
      <c r="S180" t="n">
        <v>4</v>
      </c>
      <c r="T180" t="n">
        <v>4</v>
      </c>
      <c r="U180" t="inlineStr">
        <is>
          <t>1995-09-22</t>
        </is>
      </c>
      <c r="V180" t="inlineStr">
        <is>
          <t>1995-09-22</t>
        </is>
      </c>
      <c r="W180" t="inlineStr">
        <is>
          <t>1991-09-24</t>
        </is>
      </c>
      <c r="X180" t="inlineStr">
        <is>
          <t>1991-09-24</t>
        </is>
      </c>
      <c r="Y180" t="n">
        <v>1185</v>
      </c>
      <c r="Z180" t="n">
        <v>1095</v>
      </c>
      <c r="AA180" t="n">
        <v>1352</v>
      </c>
      <c r="AB180" t="n">
        <v>10</v>
      </c>
      <c r="AC180" t="n">
        <v>11</v>
      </c>
      <c r="AD180" t="n">
        <v>37</v>
      </c>
      <c r="AE180" t="n">
        <v>43</v>
      </c>
      <c r="AF180" t="n">
        <v>13</v>
      </c>
      <c r="AG180" t="n">
        <v>16</v>
      </c>
      <c r="AH180" t="n">
        <v>8</v>
      </c>
      <c r="AI180" t="n">
        <v>8</v>
      </c>
      <c r="AJ180" t="n">
        <v>17</v>
      </c>
      <c r="AK180" t="n">
        <v>19</v>
      </c>
      <c r="AL180" t="n">
        <v>8</v>
      </c>
      <c r="AM180" t="n">
        <v>9</v>
      </c>
      <c r="AN180" t="n">
        <v>0</v>
      </c>
      <c r="AO180" t="n">
        <v>1</v>
      </c>
      <c r="AP180" t="inlineStr">
        <is>
          <t>No</t>
        </is>
      </c>
      <c r="AQ180" t="inlineStr">
        <is>
          <t>Yes</t>
        </is>
      </c>
      <c r="AR180">
        <f>HYPERLINK("http://catalog.hathitrust.org/Record/000731167","HathiTrust Record")</f>
        <v/>
      </c>
      <c r="AS180">
        <f>HYPERLINK("https://creighton-primo.hosted.exlibrisgroup.com/primo-explore/search?tab=default_tab&amp;search_scope=EVERYTHING&amp;vid=01CRU&amp;lang=en_US&amp;offset=0&amp;query=any,contains,991004273729702656","Catalog Record")</f>
        <v/>
      </c>
      <c r="AT180">
        <f>HYPERLINK("http://www.worldcat.org/oclc/2887281","WorldCat Record")</f>
        <v/>
      </c>
      <c r="AU180" t="inlineStr">
        <is>
          <t>5611638465:eng</t>
        </is>
      </c>
      <c r="AV180" t="inlineStr">
        <is>
          <t>2887281</t>
        </is>
      </c>
      <c r="AW180" t="inlineStr">
        <is>
          <t>991004273729702656</t>
        </is>
      </c>
      <c r="AX180" t="inlineStr">
        <is>
          <t>991004273729702656</t>
        </is>
      </c>
      <c r="AY180" t="inlineStr">
        <is>
          <t>2259612600002656</t>
        </is>
      </c>
      <c r="AZ180" t="inlineStr">
        <is>
          <t>BOOK</t>
        </is>
      </c>
      <c r="BB180" t="inlineStr">
        <is>
          <t>9780195021592</t>
        </is>
      </c>
      <c r="BC180" t="inlineStr">
        <is>
          <t>32285000760545</t>
        </is>
      </c>
      <c r="BD180" t="inlineStr">
        <is>
          <t>893229142</t>
        </is>
      </c>
    </row>
    <row r="181">
      <c r="A181" t="inlineStr">
        <is>
          <t>No</t>
        </is>
      </c>
      <c r="B181" t="inlineStr">
        <is>
          <t>HQ1064.U5 F753 1993</t>
        </is>
      </c>
      <c r="C181" t="inlineStr">
        <is>
          <t>0                      HQ 1064000U  5                  F  753         1993</t>
        </is>
      </c>
      <c r="D181" t="inlineStr">
        <is>
          <t>The fountain of age / Betty Friedan.</t>
        </is>
      </c>
      <c r="F181" t="inlineStr">
        <is>
          <t>No</t>
        </is>
      </c>
      <c r="G181" t="inlineStr">
        <is>
          <t>1</t>
        </is>
      </c>
      <c r="H181" t="inlineStr">
        <is>
          <t>No</t>
        </is>
      </c>
      <c r="I181" t="inlineStr">
        <is>
          <t>No</t>
        </is>
      </c>
      <c r="J181" t="inlineStr">
        <is>
          <t>0</t>
        </is>
      </c>
      <c r="K181" t="inlineStr">
        <is>
          <t>Friedan, Betty.</t>
        </is>
      </c>
      <c r="L181" t="inlineStr">
        <is>
          <t>New York : Simon &amp; Schuster, c1993.</t>
        </is>
      </c>
      <c r="M181" t="inlineStr">
        <is>
          <t>1993</t>
        </is>
      </c>
      <c r="O181" t="inlineStr">
        <is>
          <t>eng</t>
        </is>
      </c>
      <c r="P181" t="inlineStr">
        <is>
          <t>nyu</t>
        </is>
      </c>
      <c r="R181" t="inlineStr">
        <is>
          <t xml:space="preserve">HQ </t>
        </is>
      </c>
      <c r="S181" t="n">
        <v>2</v>
      </c>
      <c r="T181" t="n">
        <v>2</v>
      </c>
      <c r="U181" t="inlineStr">
        <is>
          <t>1996-03-04</t>
        </is>
      </c>
      <c r="V181" t="inlineStr">
        <is>
          <t>1996-03-04</t>
        </is>
      </c>
      <c r="W181" t="inlineStr">
        <is>
          <t>1994-01-11</t>
        </is>
      </c>
      <c r="X181" t="inlineStr">
        <is>
          <t>1994-01-11</t>
        </is>
      </c>
      <c r="Y181" t="n">
        <v>2698</v>
      </c>
      <c r="Z181" t="n">
        <v>2469</v>
      </c>
      <c r="AA181" t="n">
        <v>2538</v>
      </c>
      <c r="AB181" t="n">
        <v>24</v>
      </c>
      <c r="AC181" t="n">
        <v>24</v>
      </c>
      <c r="AD181" t="n">
        <v>52</v>
      </c>
      <c r="AE181" t="n">
        <v>52</v>
      </c>
      <c r="AF181" t="n">
        <v>20</v>
      </c>
      <c r="AG181" t="n">
        <v>20</v>
      </c>
      <c r="AH181" t="n">
        <v>9</v>
      </c>
      <c r="AI181" t="n">
        <v>9</v>
      </c>
      <c r="AJ181" t="n">
        <v>23</v>
      </c>
      <c r="AK181" t="n">
        <v>23</v>
      </c>
      <c r="AL181" t="n">
        <v>10</v>
      </c>
      <c r="AM181" t="n">
        <v>10</v>
      </c>
      <c r="AN181" t="n">
        <v>1</v>
      </c>
      <c r="AO181" t="n">
        <v>1</v>
      </c>
      <c r="AP181" t="inlineStr">
        <is>
          <t>No</t>
        </is>
      </c>
      <c r="AQ181" t="inlineStr">
        <is>
          <t>Yes</t>
        </is>
      </c>
      <c r="AR181">
        <f>HYPERLINK("http://catalog.hathitrust.org/Record/002730362","HathiTrust Record")</f>
        <v/>
      </c>
      <c r="AS181">
        <f>HYPERLINK("https://creighton-primo.hosted.exlibrisgroup.com/primo-explore/search?tab=default_tab&amp;search_scope=EVERYTHING&amp;vid=01CRU&amp;lang=en_US&amp;offset=0&amp;query=any,contains,991002175669702656","Catalog Record")</f>
        <v/>
      </c>
      <c r="AT181">
        <f>HYPERLINK("http://www.worldcat.org/oclc/28017373","WorldCat Record")</f>
        <v/>
      </c>
      <c r="AU181" t="inlineStr">
        <is>
          <t>345518:eng</t>
        </is>
      </c>
      <c r="AV181" t="inlineStr">
        <is>
          <t>28017373</t>
        </is>
      </c>
      <c r="AW181" t="inlineStr">
        <is>
          <t>991002175669702656</t>
        </is>
      </c>
      <c r="AX181" t="inlineStr">
        <is>
          <t>991002175669702656</t>
        </is>
      </c>
      <c r="AY181" t="inlineStr">
        <is>
          <t>2255778320002656</t>
        </is>
      </c>
      <c r="AZ181" t="inlineStr">
        <is>
          <t>BOOK</t>
        </is>
      </c>
      <c r="BB181" t="inlineStr">
        <is>
          <t>9780671400279</t>
        </is>
      </c>
      <c r="BC181" t="inlineStr">
        <is>
          <t>32285001830958</t>
        </is>
      </c>
      <c r="BD181" t="inlineStr">
        <is>
          <t>893335012</t>
        </is>
      </c>
    </row>
    <row r="182">
      <c r="A182" t="inlineStr">
        <is>
          <t>No</t>
        </is>
      </c>
      <c r="B182" t="inlineStr">
        <is>
          <t>HQ1064.U5 G384 1992</t>
        </is>
      </c>
      <c r="C182" t="inlineStr">
        <is>
          <t>0                      HQ 1064000U  5                  G  384         1992</t>
        </is>
      </c>
      <c r="D182" t="inlineStr">
        <is>
          <t>Gender &amp; aging / Lou Glasse and Jon Hendricks, editors.</t>
        </is>
      </c>
      <c r="F182" t="inlineStr">
        <is>
          <t>No</t>
        </is>
      </c>
      <c r="G182" t="inlineStr">
        <is>
          <t>1</t>
        </is>
      </c>
      <c r="H182" t="inlineStr">
        <is>
          <t>No</t>
        </is>
      </c>
      <c r="I182" t="inlineStr">
        <is>
          <t>No</t>
        </is>
      </c>
      <c r="J182" t="inlineStr">
        <is>
          <t>0</t>
        </is>
      </c>
      <c r="L182" t="inlineStr">
        <is>
          <t>Amityville, N.Y. : Baywood Pub. Co., 1992.</t>
        </is>
      </c>
      <c r="M182" t="inlineStr">
        <is>
          <t>1992</t>
        </is>
      </c>
      <c r="O182" t="inlineStr">
        <is>
          <t>eng</t>
        </is>
      </c>
      <c r="P182" t="inlineStr">
        <is>
          <t>nyu</t>
        </is>
      </c>
      <c r="Q182" t="inlineStr">
        <is>
          <t>Generations and aging series</t>
        </is>
      </c>
      <c r="R182" t="inlineStr">
        <is>
          <t xml:space="preserve">HQ </t>
        </is>
      </c>
      <c r="S182" t="n">
        <v>7</v>
      </c>
      <c r="T182" t="n">
        <v>7</v>
      </c>
      <c r="U182" t="inlineStr">
        <is>
          <t>2002-04-22</t>
        </is>
      </c>
      <c r="V182" t="inlineStr">
        <is>
          <t>2002-04-22</t>
        </is>
      </c>
      <c r="W182" t="inlineStr">
        <is>
          <t>1992-03-11</t>
        </is>
      </c>
      <c r="X182" t="inlineStr">
        <is>
          <t>1992-03-11</t>
        </is>
      </c>
      <c r="Y182" t="n">
        <v>332</v>
      </c>
      <c r="Z182" t="n">
        <v>282</v>
      </c>
      <c r="AA182" t="n">
        <v>285</v>
      </c>
      <c r="AB182" t="n">
        <v>4</v>
      </c>
      <c r="AC182" t="n">
        <v>4</v>
      </c>
      <c r="AD182" t="n">
        <v>17</v>
      </c>
      <c r="AE182" t="n">
        <v>17</v>
      </c>
      <c r="AF182" t="n">
        <v>6</v>
      </c>
      <c r="AG182" t="n">
        <v>6</v>
      </c>
      <c r="AH182" t="n">
        <v>4</v>
      </c>
      <c r="AI182" t="n">
        <v>4</v>
      </c>
      <c r="AJ182" t="n">
        <v>7</v>
      </c>
      <c r="AK182" t="n">
        <v>7</v>
      </c>
      <c r="AL182" t="n">
        <v>3</v>
      </c>
      <c r="AM182" t="n">
        <v>3</v>
      </c>
      <c r="AN182" t="n">
        <v>0</v>
      </c>
      <c r="AO182" t="n">
        <v>0</v>
      </c>
      <c r="AP182" t="inlineStr">
        <is>
          <t>No</t>
        </is>
      </c>
      <c r="AQ182" t="inlineStr">
        <is>
          <t>Yes</t>
        </is>
      </c>
      <c r="AR182">
        <f>HYPERLINK("http://catalog.hathitrust.org/Record/002617292","HathiTrust Record")</f>
        <v/>
      </c>
      <c r="AS182">
        <f>HYPERLINK("https://creighton-primo.hosted.exlibrisgroup.com/primo-explore/search?tab=default_tab&amp;search_scope=EVERYTHING&amp;vid=01CRU&amp;lang=en_US&amp;offset=0&amp;query=any,contains,991001939569702656","Catalog Record")</f>
        <v/>
      </c>
      <c r="AT182">
        <f>HYPERLINK("http://www.worldcat.org/oclc/24503090","WorldCat Record")</f>
        <v/>
      </c>
      <c r="AU182" t="inlineStr">
        <is>
          <t>476249895:eng</t>
        </is>
      </c>
      <c r="AV182" t="inlineStr">
        <is>
          <t>24503090</t>
        </is>
      </c>
      <c r="AW182" t="inlineStr">
        <is>
          <t>991001939569702656</t>
        </is>
      </c>
      <c r="AX182" t="inlineStr">
        <is>
          <t>991001939569702656</t>
        </is>
      </c>
      <c r="AY182" t="inlineStr">
        <is>
          <t>2261620030002656</t>
        </is>
      </c>
      <c r="AZ182" t="inlineStr">
        <is>
          <t>BOOK</t>
        </is>
      </c>
      <c r="BB182" t="inlineStr">
        <is>
          <t>9780895030900</t>
        </is>
      </c>
      <c r="BC182" t="inlineStr">
        <is>
          <t>32285000939164</t>
        </is>
      </c>
      <c r="BD182" t="inlineStr">
        <is>
          <t>893232397</t>
        </is>
      </c>
    </row>
    <row r="183">
      <c r="A183" t="inlineStr">
        <is>
          <t>No</t>
        </is>
      </c>
      <c r="B183" t="inlineStr">
        <is>
          <t>HQ1064.U5 G566 2007</t>
        </is>
      </c>
      <c r="C183" t="inlineStr">
        <is>
          <t>0                      HQ 1064000U  5                  G  566         2007</t>
        </is>
      </c>
      <c r="D183" t="inlineStr">
        <is>
          <t>Government spending on the elderly / edited by Dimitri B. Papadimitriou.</t>
        </is>
      </c>
      <c r="F183" t="inlineStr">
        <is>
          <t>No</t>
        </is>
      </c>
      <c r="G183" t="inlineStr">
        <is>
          <t>1</t>
        </is>
      </c>
      <c r="H183" t="inlineStr">
        <is>
          <t>No</t>
        </is>
      </c>
      <c r="I183" t="inlineStr">
        <is>
          <t>No</t>
        </is>
      </c>
      <c r="J183" t="inlineStr">
        <is>
          <t>0</t>
        </is>
      </c>
      <c r="L183" t="inlineStr">
        <is>
          <t>Basingstoke [England] ; New York : Palgrave Macmillan, 2007.</t>
        </is>
      </c>
      <c r="M183" t="inlineStr">
        <is>
          <t>2007</t>
        </is>
      </c>
      <c r="O183" t="inlineStr">
        <is>
          <t>eng</t>
        </is>
      </c>
      <c r="P183" t="inlineStr">
        <is>
          <t>enk</t>
        </is>
      </c>
      <c r="R183" t="inlineStr">
        <is>
          <t xml:space="preserve">HQ </t>
        </is>
      </c>
      <c r="S183" t="n">
        <v>1</v>
      </c>
      <c r="T183" t="n">
        <v>1</v>
      </c>
      <c r="U183" t="inlineStr">
        <is>
          <t>2008-12-17</t>
        </is>
      </c>
      <c r="V183" t="inlineStr">
        <is>
          <t>2008-12-17</t>
        </is>
      </c>
      <c r="W183" t="inlineStr">
        <is>
          <t>2008-12-17</t>
        </is>
      </c>
      <c r="X183" t="inlineStr">
        <is>
          <t>2008-12-17</t>
        </is>
      </c>
      <c r="Y183" t="n">
        <v>187</v>
      </c>
      <c r="Z183" t="n">
        <v>143</v>
      </c>
      <c r="AA183" t="n">
        <v>172</v>
      </c>
      <c r="AB183" t="n">
        <v>1</v>
      </c>
      <c r="AC183" t="n">
        <v>1</v>
      </c>
      <c r="AD183" t="n">
        <v>11</v>
      </c>
      <c r="AE183" t="n">
        <v>12</v>
      </c>
      <c r="AF183" t="n">
        <v>5</v>
      </c>
      <c r="AG183" t="n">
        <v>6</v>
      </c>
      <c r="AH183" t="n">
        <v>2</v>
      </c>
      <c r="AI183" t="n">
        <v>2</v>
      </c>
      <c r="AJ183" t="n">
        <v>7</v>
      </c>
      <c r="AK183" t="n">
        <v>8</v>
      </c>
      <c r="AL183" t="n">
        <v>0</v>
      </c>
      <c r="AM183" t="n">
        <v>0</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HYPERLINK("https://creighton-primo.hosted.exlibrisgroup.com/primo-explore/search?tab=default_tab&amp;search_scope=EVERYTHING&amp;vid=01CRU&amp;lang=en_US&amp;offset=0&amp;query=any,contains,991005263809702656","Catalog Record")</f>
        <v/>
      </c>
      <c r="AT183">
        <f>HYPERLINK("http://www.worldcat.org/oclc/140104423","WorldCat Record")</f>
        <v/>
      </c>
      <c r="AU183" t="inlineStr">
        <is>
          <t>766244013:eng</t>
        </is>
      </c>
      <c r="AV183" t="inlineStr">
        <is>
          <t>140104423</t>
        </is>
      </c>
      <c r="AW183" t="inlineStr">
        <is>
          <t>991005263809702656</t>
        </is>
      </c>
      <c r="AX183" t="inlineStr">
        <is>
          <t>991005263809702656</t>
        </is>
      </c>
      <c r="AY183" t="inlineStr">
        <is>
          <t>2268078520002656</t>
        </is>
      </c>
      <c r="AZ183" t="inlineStr">
        <is>
          <t>BOOK</t>
        </is>
      </c>
      <c r="BB183" t="inlineStr">
        <is>
          <t>9780230500617</t>
        </is>
      </c>
      <c r="BC183" t="inlineStr">
        <is>
          <t>32285005474027</t>
        </is>
      </c>
      <c r="BD183" t="inlineStr">
        <is>
          <t>893527197</t>
        </is>
      </c>
    </row>
    <row r="184">
      <c r="A184" t="inlineStr">
        <is>
          <t>No</t>
        </is>
      </c>
      <c r="B184" t="inlineStr">
        <is>
          <t>HQ1064.U5 G67</t>
        </is>
      </c>
      <c r="C184" t="inlineStr">
        <is>
          <t>0                      HQ 1064000U  5                  G  67</t>
        </is>
      </c>
      <c r="D184" t="inlineStr">
        <is>
          <t>A history of retirement : the meaning and function of an America institution, 1885-1978 / William Graebner.</t>
        </is>
      </c>
      <c r="F184" t="inlineStr">
        <is>
          <t>No</t>
        </is>
      </c>
      <c r="G184" t="inlineStr">
        <is>
          <t>1</t>
        </is>
      </c>
      <c r="H184" t="inlineStr">
        <is>
          <t>No</t>
        </is>
      </c>
      <c r="I184" t="inlineStr">
        <is>
          <t>No</t>
        </is>
      </c>
      <c r="J184" t="inlineStr">
        <is>
          <t>0</t>
        </is>
      </c>
      <c r="K184" t="inlineStr">
        <is>
          <t>Graebner, William.</t>
        </is>
      </c>
      <c r="L184" t="inlineStr">
        <is>
          <t>New Haven, Conn. : Yale University Press, 1980.</t>
        </is>
      </c>
      <c r="M184" t="inlineStr">
        <is>
          <t>1980</t>
        </is>
      </c>
      <c r="O184" t="inlineStr">
        <is>
          <t>eng</t>
        </is>
      </c>
      <c r="P184" t="inlineStr">
        <is>
          <t>ctu</t>
        </is>
      </c>
      <c r="R184" t="inlineStr">
        <is>
          <t xml:space="preserve">HQ </t>
        </is>
      </c>
      <c r="S184" t="n">
        <v>8</v>
      </c>
      <c r="T184" t="n">
        <v>8</v>
      </c>
      <c r="U184" t="inlineStr">
        <is>
          <t>2005-03-09</t>
        </is>
      </c>
      <c r="V184" t="inlineStr">
        <is>
          <t>2005-03-09</t>
        </is>
      </c>
      <c r="W184" t="inlineStr">
        <is>
          <t>1993-04-26</t>
        </is>
      </c>
      <c r="X184" t="inlineStr">
        <is>
          <t>1993-04-26</t>
        </is>
      </c>
      <c r="Y184" t="n">
        <v>906</v>
      </c>
      <c r="Z184" t="n">
        <v>773</v>
      </c>
      <c r="AA184" t="n">
        <v>786</v>
      </c>
      <c r="AB184" t="n">
        <v>5</v>
      </c>
      <c r="AC184" t="n">
        <v>5</v>
      </c>
      <c r="AD184" t="n">
        <v>34</v>
      </c>
      <c r="AE184" t="n">
        <v>34</v>
      </c>
      <c r="AF184" t="n">
        <v>12</v>
      </c>
      <c r="AG184" t="n">
        <v>12</v>
      </c>
      <c r="AH184" t="n">
        <v>7</v>
      </c>
      <c r="AI184" t="n">
        <v>7</v>
      </c>
      <c r="AJ184" t="n">
        <v>15</v>
      </c>
      <c r="AK184" t="n">
        <v>15</v>
      </c>
      <c r="AL184" t="n">
        <v>4</v>
      </c>
      <c r="AM184" t="n">
        <v>4</v>
      </c>
      <c r="AN184" t="n">
        <v>4</v>
      </c>
      <c r="AO184" t="n">
        <v>4</v>
      </c>
      <c r="AP184" t="inlineStr">
        <is>
          <t>No</t>
        </is>
      </c>
      <c r="AQ184" t="inlineStr">
        <is>
          <t>No</t>
        </is>
      </c>
      <c r="AS184">
        <f>HYPERLINK("https://creighton-primo.hosted.exlibrisgroup.com/primo-explore/search?tab=default_tab&amp;search_scope=EVERYTHING&amp;vid=01CRU&amp;lang=en_US&amp;offset=0&amp;query=any,contains,991004903829702656","Catalog Record")</f>
        <v/>
      </c>
      <c r="AT184">
        <f>HYPERLINK("http://www.worldcat.org/oclc/5942858","WorldCat Record")</f>
        <v/>
      </c>
      <c r="AU184" t="inlineStr">
        <is>
          <t>836619746:eng</t>
        </is>
      </c>
      <c r="AV184" t="inlineStr">
        <is>
          <t>5942858</t>
        </is>
      </c>
      <c r="AW184" t="inlineStr">
        <is>
          <t>991004903829702656</t>
        </is>
      </c>
      <c r="AX184" t="inlineStr">
        <is>
          <t>991004903829702656</t>
        </is>
      </c>
      <c r="AY184" t="inlineStr">
        <is>
          <t>2270842170002656</t>
        </is>
      </c>
      <c r="AZ184" t="inlineStr">
        <is>
          <t>BOOK</t>
        </is>
      </c>
      <c r="BB184" t="inlineStr">
        <is>
          <t>9780300023565</t>
        </is>
      </c>
      <c r="BC184" t="inlineStr">
        <is>
          <t>32285001626141</t>
        </is>
      </c>
      <c r="BD184" t="inlineStr">
        <is>
          <t>893254207</t>
        </is>
      </c>
    </row>
    <row r="185">
      <c r="A185" t="inlineStr">
        <is>
          <t>No</t>
        </is>
      </c>
      <c r="B185" t="inlineStr">
        <is>
          <t>HQ1064.U5 H183 1994</t>
        </is>
      </c>
      <c r="C185" t="inlineStr">
        <is>
          <t>0                      HQ 1064000U  5                  H  183         1994</t>
        </is>
      </c>
      <c r="D185" t="inlineStr">
        <is>
          <t>Old age and the search for security : an American social history / Carole Haber and Brian Gratton.</t>
        </is>
      </c>
      <c r="F185" t="inlineStr">
        <is>
          <t>No</t>
        </is>
      </c>
      <c r="G185" t="inlineStr">
        <is>
          <t>1</t>
        </is>
      </c>
      <c r="H185" t="inlineStr">
        <is>
          <t>No</t>
        </is>
      </c>
      <c r="I185" t="inlineStr">
        <is>
          <t>No</t>
        </is>
      </c>
      <c r="J185" t="inlineStr">
        <is>
          <t>0</t>
        </is>
      </c>
      <c r="K185" t="inlineStr">
        <is>
          <t>Haber, Carole, 1951-</t>
        </is>
      </c>
      <c r="L185" t="inlineStr">
        <is>
          <t>Bloomington : Indiana University Press, c1993.</t>
        </is>
      </c>
      <c r="M185" t="inlineStr">
        <is>
          <t>1994</t>
        </is>
      </c>
      <c r="O185" t="inlineStr">
        <is>
          <t>eng</t>
        </is>
      </c>
      <c r="P185" t="inlineStr">
        <is>
          <t>inu</t>
        </is>
      </c>
      <c r="Q185" t="inlineStr">
        <is>
          <t>Interdisciplinary studies in history</t>
        </is>
      </c>
      <c r="R185" t="inlineStr">
        <is>
          <t xml:space="preserve">HQ </t>
        </is>
      </c>
      <c r="S185" t="n">
        <v>1</v>
      </c>
      <c r="T185" t="n">
        <v>1</v>
      </c>
      <c r="U185" t="inlineStr">
        <is>
          <t>1995-02-21</t>
        </is>
      </c>
      <c r="V185" t="inlineStr">
        <is>
          <t>1995-02-21</t>
        </is>
      </c>
      <c r="W185" t="inlineStr">
        <is>
          <t>1994-07-12</t>
        </is>
      </c>
      <c r="X185" t="inlineStr">
        <is>
          <t>1994-07-12</t>
        </is>
      </c>
      <c r="Y185" t="n">
        <v>519</v>
      </c>
      <c r="Z185" t="n">
        <v>487</v>
      </c>
      <c r="AA185" t="n">
        <v>1480</v>
      </c>
      <c r="AB185" t="n">
        <v>4</v>
      </c>
      <c r="AC185" t="n">
        <v>16</v>
      </c>
      <c r="AD185" t="n">
        <v>26</v>
      </c>
      <c r="AE185" t="n">
        <v>51</v>
      </c>
      <c r="AF185" t="n">
        <v>9</v>
      </c>
      <c r="AG185" t="n">
        <v>17</v>
      </c>
      <c r="AH185" t="n">
        <v>4</v>
      </c>
      <c r="AI185" t="n">
        <v>8</v>
      </c>
      <c r="AJ185" t="n">
        <v>13</v>
      </c>
      <c r="AK185" t="n">
        <v>20</v>
      </c>
      <c r="AL185" t="n">
        <v>3</v>
      </c>
      <c r="AM185" t="n">
        <v>14</v>
      </c>
      <c r="AN185" t="n">
        <v>2</v>
      </c>
      <c r="AO185" t="n">
        <v>2</v>
      </c>
      <c r="AP185" t="inlineStr">
        <is>
          <t>No</t>
        </is>
      </c>
      <c r="AQ185" t="inlineStr">
        <is>
          <t>Yes</t>
        </is>
      </c>
      <c r="AR185">
        <f>HYPERLINK("http://catalog.hathitrust.org/Record/002806074","HathiTrust Record")</f>
        <v/>
      </c>
      <c r="AS185">
        <f>HYPERLINK("https://creighton-primo.hosted.exlibrisgroup.com/primo-explore/search?tab=default_tab&amp;search_scope=EVERYTHING&amp;vid=01CRU&amp;lang=en_US&amp;offset=0&amp;query=any,contains,991002137829702656","Catalog Record")</f>
        <v/>
      </c>
      <c r="AT185">
        <f>HYPERLINK("http://www.worldcat.org/oclc/27429515","WorldCat Record")</f>
        <v/>
      </c>
      <c r="AU185" t="inlineStr">
        <is>
          <t>329161:eng</t>
        </is>
      </c>
      <c r="AV185" t="inlineStr">
        <is>
          <t>27429515</t>
        </is>
      </c>
      <c r="AW185" t="inlineStr">
        <is>
          <t>991002137829702656</t>
        </is>
      </c>
      <c r="AX185" t="inlineStr">
        <is>
          <t>991002137829702656</t>
        </is>
      </c>
      <c r="AY185" t="inlineStr">
        <is>
          <t>2258522760002656</t>
        </is>
      </c>
      <c r="AZ185" t="inlineStr">
        <is>
          <t>BOOK</t>
        </is>
      </c>
      <c r="BB185" t="inlineStr">
        <is>
          <t>9780253208361</t>
        </is>
      </c>
      <c r="BC185" t="inlineStr">
        <is>
          <t>32285001931897</t>
        </is>
      </c>
      <c r="BD185" t="inlineStr">
        <is>
          <t>893316430</t>
        </is>
      </c>
    </row>
    <row r="186">
      <c r="A186" t="inlineStr">
        <is>
          <t>No</t>
        </is>
      </c>
      <c r="B186" t="inlineStr">
        <is>
          <t>HQ1064.U5 H22</t>
        </is>
      </c>
      <c r="C186" t="inlineStr">
        <is>
          <t>0                      HQ 1064000U  5                  H  22</t>
        </is>
      </c>
      <c r="D186" t="inlineStr">
        <is>
          <t>Handbook of American aging programs / edited by Lorin A. Baumhover and Joan Dechow Jones ; foreword by Walter Flowers.</t>
        </is>
      </c>
      <c r="F186" t="inlineStr">
        <is>
          <t>No</t>
        </is>
      </c>
      <c r="G186" t="inlineStr">
        <is>
          <t>1</t>
        </is>
      </c>
      <c r="H186" t="inlineStr">
        <is>
          <t>No</t>
        </is>
      </c>
      <c r="I186" t="inlineStr">
        <is>
          <t>No</t>
        </is>
      </c>
      <c r="J186" t="inlineStr">
        <is>
          <t>0</t>
        </is>
      </c>
      <c r="L186" t="inlineStr">
        <is>
          <t>Westport, Conn. : Greenwood Press, 1977.</t>
        </is>
      </c>
      <c r="M186" t="inlineStr">
        <is>
          <t>1977</t>
        </is>
      </c>
      <c r="O186" t="inlineStr">
        <is>
          <t>eng</t>
        </is>
      </c>
      <c r="P186" t="inlineStr">
        <is>
          <t>ctu</t>
        </is>
      </c>
      <c r="R186" t="inlineStr">
        <is>
          <t xml:space="preserve">HQ </t>
        </is>
      </c>
      <c r="S186" t="n">
        <v>2</v>
      </c>
      <c r="T186" t="n">
        <v>2</v>
      </c>
      <c r="U186" t="inlineStr">
        <is>
          <t>1994-10-20</t>
        </is>
      </c>
      <c r="V186" t="inlineStr">
        <is>
          <t>1994-10-20</t>
        </is>
      </c>
      <c r="W186" t="inlineStr">
        <is>
          <t>1993-04-26</t>
        </is>
      </c>
      <c r="X186" t="inlineStr">
        <is>
          <t>1993-04-26</t>
        </is>
      </c>
      <c r="Y186" t="n">
        <v>529</v>
      </c>
      <c r="Z186" t="n">
        <v>478</v>
      </c>
      <c r="AA186" t="n">
        <v>484</v>
      </c>
      <c r="AB186" t="n">
        <v>5</v>
      </c>
      <c r="AC186" t="n">
        <v>5</v>
      </c>
      <c r="AD186" t="n">
        <v>27</v>
      </c>
      <c r="AE186" t="n">
        <v>27</v>
      </c>
      <c r="AF186" t="n">
        <v>7</v>
      </c>
      <c r="AG186" t="n">
        <v>7</v>
      </c>
      <c r="AH186" t="n">
        <v>6</v>
      </c>
      <c r="AI186" t="n">
        <v>6</v>
      </c>
      <c r="AJ186" t="n">
        <v>12</v>
      </c>
      <c r="AK186" t="n">
        <v>12</v>
      </c>
      <c r="AL186" t="n">
        <v>4</v>
      </c>
      <c r="AM186" t="n">
        <v>4</v>
      </c>
      <c r="AN186" t="n">
        <v>5</v>
      </c>
      <c r="AO186" t="n">
        <v>5</v>
      </c>
      <c r="AP186" t="inlineStr">
        <is>
          <t>No</t>
        </is>
      </c>
      <c r="AQ186" t="inlineStr">
        <is>
          <t>Yes</t>
        </is>
      </c>
      <c r="AR186">
        <f>HYPERLINK("http://catalog.hathitrust.org/Record/000251385","HathiTrust Record")</f>
        <v/>
      </c>
      <c r="AS186">
        <f>HYPERLINK("https://creighton-primo.hosted.exlibrisgroup.com/primo-explore/search?tab=default_tab&amp;search_scope=EVERYTHING&amp;vid=01CRU&amp;lang=en_US&amp;offset=0&amp;query=any,contains,991004314789702656","Catalog Record")</f>
        <v/>
      </c>
      <c r="AT186">
        <f>HYPERLINK("http://www.worldcat.org/oclc/3003315","WorldCat Record")</f>
        <v/>
      </c>
      <c r="AU186" t="inlineStr">
        <is>
          <t>181192848:eng</t>
        </is>
      </c>
      <c r="AV186" t="inlineStr">
        <is>
          <t>3003315</t>
        </is>
      </c>
      <c r="AW186" t="inlineStr">
        <is>
          <t>991004314789702656</t>
        </is>
      </c>
      <c r="AX186" t="inlineStr">
        <is>
          <t>991004314789702656</t>
        </is>
      </c>
      <c r="AY186" t="inlineStr">
        <is>
          <t>2270929280002656</t>
        </is>
      </c>
      <c r="AZ186" t="inlineStr">
        <is>
          <t>BOOK</t>
        </is>
      </c>
      <c r="BB186" t="inlineStr">
        <is>
          <t>9780837192871</t>
        </is>
      </c>
      <c r="BC186" t="inlineStr">
        <is>
          <t>32285001626166</t>
        </is>
      </c>
      <c r="BD186" t="inlineStr">
        <is>
          <t>893349862</t>
        </is>
      </c>
    </row>
    <row r="187">
      <c r="A187" t="inlineStr">
        <is>
          <t>No</t>
        </is>
      </c>
      <c r="B187" t="inlineStr">
        <is>
          <t>HQ1064.U5 H88</t>
        </is>
      </c>
      <c r="C187" t="inlineStr">
        <is>
          <t>0                      HQ 1064000U  5                  H  88</t>
        </is>
      </c>
      <c r="D187" t="inlineStr">
        <is>
          <t>Growing older : things you need to know about aging.</t>
        </is>
      </c>
      <c r="F187" t="inlineStr">
        <is>
          <t>No</t>
        </is>
      </c>
      <c r="G187" t="inlineStr">
        <is>
          <t>1</t>
        </is>
      </c>
      <c r="H187" t="inlineStr">
        <is>
          <t>No</t>
        </is>
      </c>
      <c r="I187" t="inlineStr">
        <is>
          <t>No</t>
        </is>
      </c>
      <c r="J187" t="inlineStr">
        <is>
          <t>0</t>
        </is>
      </c>
      <c r="K187" t="inlineStr">
        <is>
          <t>Huyck, Margaret Hellie.</t>
        </is>
      </c>
      <c r="L187" t="inlineStr">
        <is>
          <t>Englewood Cliffs, N.J. : Prentice-Hall, [1974]</t>
        </is>
      </c>
      <c r="M187" t="inlineStr">
        <is>
          <t>1974</t>
        </is>
      </c>
      <c r="O187" t="inlineStr">
        <is>
          <t>eng</t>
        </is>
      </c>
      <c r="P187" t="inlineStr">
        <is>
          <t>nju</t>
        </is>
      </c>
      <c r="Q187" t="inlineStr">
        <is>
          <t>A Spectrum book</t>
        </is>
      </c>
      <c r="R187" t="inlineStr">
        <is>
          <t xml:space="preserve">HQ </t>
        </is>
      </c>
      <c r="S187" t="n">
        <v>1</v>
      </c>
      <c r="T187" t="n">
        <v>1</v>
      </c>
      <c r="U187" t="inlineStr">
        <is>
          <t>1993-11-23</t>
        </is>
      </c>
      <c r="V187" t="inlineStr">
        <is>
          <t>1993-11-23</t>
        </is>
      </c>
      <c r="W187" t="inlineStr">
        <is>
          <t>1991-09-24</t>
        </is>
      </c>
      <c r="X187" t="inlineStr">
        <is>
          <t>1991-09-24</t>
        </is>
      </c>
      <c r="Y187" t="n">
        <v>632</v>
      </c>
      <c r="Z187" t="n">
        <v>545</v>
      </c>
      <c r="AA187" t="n">
        <v>584</v>
      </c>
      <c r="AB187" t="n">
        <v>6</v>
      </c>
      <c r="AC187" t="n">
        <v>6</v>
      </c>
      <c r="AD187" t="n">
        <v>21</v>
      </c>
      <c r="AE187" t="n">
        <v>22</v>
      </c>
      <c r="AF187" t="n">
        <v>8</v>
      </c>
      <c r="AG187" t="n">
        <v>9</v>
      </c>
      <c r="AH187" t="n">
        <v>3</v>
      </c>
      <c r="AI187" t="n">
        <v>3</v>
      </c>
      <c r="AJ187" t="n">
        <v>8</v>
      </c>
      <c r="AK187" t="n">
        <v>9</v>
      </c>
      <c r="AL187" t="n">
        <v>5</v>
      </c>
      <c r="AM187" t="n">
        <v>5</v>
      </c>
      <c r="AN187" t="n">
        <v>0</v>
      </c>
      <c r="AO187" t="n">
        <v>0</v>
      </c>
      <c r="AP187" t="inlineStr">
        <is>
          <t>No</t>
        </is>
      </c>
      <c r="AQ187" t="inlineStr">
        <is>
          <t>Yes</t>
        </is>
      </c>
      <c r="AR187">
        <f>HYPERLINK("http://catalog.hathitrust.org/Record/000978771","HathiTrust Record")</f>
        <v/>
      </c>
      <c r="AS187">
        <f>HYPERLINK("https://creighton-primo.hosted.exlibrisgroup.com/primo-explore/search?tab=default_tab&amp;search_scope=EVERYTHING&amp;vid=01CRU&amp;lang=en_US&amp;offset=0&amp;query=any,contains,991003362399702656","Catalog Record")</f>
        <v/>
      </c>
      <c r="AT187">
        <f>HYPERLINK("http://www.worldcat.org/oclc/898081","WorldCat Record")</f>
        <v/>
      </c>
      <c r="AU187" t="inlineStr">
        <is>
          <t>293126675:eng</t>
        </is>
      </c>
      <c r="AV187" t="inlineStr">
        <is>
          <t>898081</t>
        </is>
      </c>
      <c r="AW187" t="inlineStr">
        <is>
          <t>991003362399702656</t>
        </is>
      </c>
      <c r="AX187" t="inlineStr">
        <is>
          <t>991003362399702656</t>
        </is>
      </c>
      <c r="AY187" t="inlineStr">
        <is>
          <t>2259425520002656</t>
        </is>
      </c>
      <c r="AZ187" t="inlineStr">
        <is>
          <t>BOOK</t>
        </is>
      </c>
      <c r="BB187" t="inlineStr">
        <is>
          <t>9780133677713</t>
        </is>
      </c>
      <c r="BC187" t="inlineStr">
        <is>
          <t>32285000760552</t>
        </is>
      </c>
      <c r="BD187" t="inlineStr">
        <is>
          <t>893518417</t>
        </is>
      </c>
    </row>
    <row r="188">
      <c r="A188" t="inlineStr">
        <is>
          <t>No</t>
        </is>
      </c>
      <c r="B188" t="inlineStr">
        <is>
          <t>HQ1064.U5 K475 1993</t>
        </is>
      </c>
      <c r="C188" t="inlineStr">
        <is>
          <t>0                      HQ 1064000U  5                  K  475         1993</t>
        </is>
      </c>
      <c r="D188" t="inlineStr">
        <is>
          <t>Old friends / Tracy Kidder.</t>
        </is>
      </c>
      <c r="F188" t="inlineStr">
        <is>
          <t>No</t>
        </is>
      </c>
      <c r="G188" t="inlineStr">
        <is>
          <t>1</t>
        </is>
      </c>
      <c r="H188" t="inlineStr">
        <is>
          <t>No</t>
        </is>
      </c>
      <c r="I188" t="inlineStr">
        <is>
          <t>No</t>
        </is>
      </c>
      <c r="J188" t="inlineStr">
        <is>
          <t>0</t>
        </is>
      </c>
      <c r="K188" t="inlineStr">
        <is>
          <t>Kidder, Tracy.</t>
        </is>
      </c>
      <c r="L188" t="inlineStr">
        <is>
          <t>Boston : Houghton Mifflin, 1993.</t>
        </is>
      </c>
      <c r="M188" t="inlineStr">
        <is>
          <t>1993</t>
        </is>
      </c>
      <c r="O188" t="inlineStr">
        <is>
          <t>eng</t>
        </is>
      </c>
      <c r="P188" t="inlineStr">
        <is>
          <t>mau</t>
        </is>
      </c>
      <c r="R188" t="inlineStr">
        <is>
          <t xml:space="preserve">HQ </t>
        </is>
      </c>
      <c r="S188" t="n">
        <v>4</v>
      </c>
      <c r="T188" t="n">
        <v>4</v>
      </c>
      <c r="U188" t="inlineStr">
        <is>
          <t>1996-11-18</t>
        </is>
      </c>
      <c r="V188" t="inlineStr">
        <is>
          <t>1996-11-18</t>
        </is>
      </c>
      <c r="W188" t="inlineStr">
        <is>
          <t>1993-12-22</t>
        </is>
      </c>
      <c r="X188" t="inlineStr">
        <is>
          <t>1993-12-22</t>
        </is>
      </c>
      <c r="Y188" t="n">
        <v>1715</v>
      </c>
      <c r="Z188" t="n">
        <v>1652</v>
      </c>
      <c r="AA188" t="n">
        <v>1841</v>
      </c>
      <c r="AB188" t="n">
        <v>13</v>
      </c>
      <c r="AC188" t="n">
        <v>13</v>
      </c>
      <c r="AD188" t="n">
        <v>39</v>
      </c>
      <c r="AE188" t="n">
        <v>41</v>
      </c>
      <c r="AF188" t="n">
        <v>17</v>
      </c>
      <c r="AG188" t="n">
        <v>19</v>
      </c>
      <c r="AH188" t="n">
        <v>8</v>
      </c>
      <c r="AI188" t="n">
        <v>9</v>
      </c>
      <c r="AJ188" t="n">
        <v>17</v>
      </c>
      <c r="AK188" t="n">
        <v>17</v>
      </c>
      <c r="AL188" t="n">
        <v>6</v>
      </c>
      <c r="AM188" t="n">
        <v>6</v>
      </c>
      <c r="AN188" t="n">
        <v>0</v>
      </c>
      <c r="AO188" t="n">
        <v>0</v>
      </c>
      <c r="AP188" t="inlineStr">
        <is>
          <t>No</t>
        </is>
      </c>
      <c r="AQ188" t="inlineStr">
        <is>
          <t>Yes</t>
        </is>
      </c>
      <c r="AR188">
        <f>HYPERLINK("http://catalog.hathitrust.org/Record/002734513","HathiTrust Record")</f>
        <v/>
      </c>
      <c r="AS188">
        <f>HYPERLINK("https://creighton-primo.hosted.exlibrisgroup.com/primo-explore/search?tab=default_tab&amp;search_scope=EVERYTHING&amp;vid=01CRU&amp;lang=en_US&amp;offset=0&amp;query=any,contains,991002195259702656","Catalog Record")</f>
        <v/>
      </c>
      <c r="AT188">
        <f>HYPERLINK("http://www.worldcat.org/oclc/28221658","WorldCat Record")</f>
        <v/>
      </c>
      <c r="AU188" t="inlineStr">
        <is>
          <t>336023:eng</t>
        </is>
      </c>
      <c r="AV188" t="inlineStr">
        <is>
          <t>28221658</t>
        </is>
      </c>
      <c r="AW188" t="inlineStr">
        <is>
          <t>991002195259702656</t>
        </is>
      </c>
      <c r="AX188" t="inlineStr">
        <is>
          <t>991002195259702656</t>
        </is>
      </c>
      <c r="AY188" t="inlineStr">
        <is>
          <t>2261490960002656</t>
        </is>
      </c>
      <c r="AZ188" t="inlineStr">
        <is>
          <t>BOOK</t>
        </is>
      </c>
      <c r="BB188" t="inlineStr">
        <is>
          <t>9780395593035</t>
        </is>
      </c>
      <c r="BC188" t="inlineStr">
        <is>
          <t>32285001817070</t>
        </is>
      </c>
      <c r="BD188" t="inlineStr">
        <is>
          <t>893785835</t>
        </is>
      </c>
    </row>
    <row r="189">
      <c r="A189" t="inlineStr">
        <is>
          <t>No</t>
        </is>
      </c>
      <c r="B189" t="inlineStr">
        <is>
          <t>HQ1064.U5 K477 1986</t>
        </is>
      </c>
      <c r="C189" t="inlineStr">
        <is>
          <t>0                      HQ 1064000U  5                  K  477         1986</t>
        </is>
      </c>
      <c r="D189" t="inlineStr">
        <is>
          <t>Ties that bind : the interdependence of generations / Eric R. Kingson, Barbara A. Hirshorn, John M. Cornman.</t>
        </is>
      </c>
      <c r="F189" t="inlineStr">
        <is>
          <t>No</t>
        </is>
      </c>
      <c r="G189" t="inlineStr">
        <is>
          <t>1</t>
        </is>
      </c>
      <c r="H189" t="inlineStr">
        <is>
          <t>Yes</t>
        </is>
      </c>
      <c r="I189" t="inlineStr">
        <is>
          <t>No</t>
        </is>
      </c>
      <c r="J189" t="inlineStr">
        <is>
          <t>0</t>
        </is>
      </c>
      <c r="K189" t="inlineStr">
        <is>
          <t>Kingson, Eric R.</t>
        </is>
      </c>
      <c r="L189" t="inlineStr">
        <is>
          <t>Cabin John, MD : Seven Locks Press, 1986.</t>
        </is>
      </c>
      <c r="M189" t="inlineStr">
        <is>
          <t>1986</t>
        </is>
      </c>
      <c r="N189" t="inlineStr">
        <is>
          <t>1st ed.</t>
        </is>
      </c>
      <c r="O189" t="inlineStr">
        <is>
          <t>eng</t>
        </is>
      </c>
      <c r="P189" t="inlineStr">
        <is>
          <t>mdu</t>
        </is>
      </c>
      <c r="R189" t="inlineStr">
        <is>
          <t xml:space="preserve">HQ </t>
        </is>
      </c>
      <c r="S189" t="n">
        <v>0</v>
      </c>
      <c r="T189" t="n">
        <v>3</v>
      </c>
      <c r="V189" t="inlineStr">
        <is>
          <t>1996-07-28</t>
        </is>
      </c>
      <c r="W189" t="inlineStr">
        <is>
          <t>1993-04-26</t>
        </is>
      </c>
      <c r="X189" t="inlineStr">
        <is>
          <t>1993-04-26</t>
        </is>
      </c>
      <c r="Y189" t="n">
        <v>686</v>
      </c>
      <c r="Z189" t="n">
        <v>639</v>
      </c>
      <c r="AA189" t="n">
        <v>646</v>
      </c>
      <c r="AB189" t="n">
        <v>6</v>
      </c>
      <c r="AC189" t="n">
        <v>6</v>
      </c>
      <c r="AD189" t="n">
        <v>26</v>
      </c>
      <c r="AE189" t="n">
        <v>26</v>
      </c>
      <c r="AF189" t="n">
        <v>11</v>
      </c>
      <c r="AG189" t="n">
        <v>11</v>
      </c>
      <c r="AH189" t="n">
        <v>5</v>
      </c>
      <c r="AI189" t="n">
        <v>5</v>
      </c>
      <c r="AJ189" t="n">
        <v>15</v>
      </c>
      <c r="AK189" t="n">
        <v>15</v>
      </c>
      <c r="AL189" t="n">
        <v>4</v>
      </c>
      <c r="AM189" t="n">
        <v>4</v>
      </c>
      <c r="AN189" t="n">
        <v>0</v>
      </c>
      <c r="AO189" t="n">
        <v>0</v>
      </c>
      <c r="AP189" t="inlineStr">
        <is>
          <t>No</t>
        </is>
      </c>
      <c r="AQ189" t="inlineStr">
        <is>
          <t>Yes</t>
        </is>
      </c>
      <c r="AR189">
        <f>HYPERLINK("http://catalog.hathitrust.org/Record/000595280","HathiTrust Record")</f>
        <v/>
      </c>
      <c r="AS189">
        <f>HYPERLINK("https://creighton-primo.hosted.exlibrisgroup.com/primo-explore/search?tab=default_tab&amp;search_scope=EVERYTHING&amp;vid=01CRU&amp;lang=en_US&amp;offset=0&amp;query=any,contains,991001782759702656","Catalog Record")</f>
        <v/>
      </c>
      <c r="AT189">
        <f>HYPERLINK("http://www.worldcat.org/oclc/13902627","WorldCat Record")</f>
        <v/>
      </c>
      <c r="AU189" t="inlineStr">
        <is>
          <t>312607637:eng</t>
        </is>
      </c>
      <c r="AV189" t="inlineStr">
        <is>
          <t>13902627</t>
        </is>
      </c>
      <c r="AW189" t="inlineStr">
        <is>
          <t>991001782759702656</t>
        </is>
      </c>
      <c r="AX189" t="inlineStr">
        <is>
          <t>991001782759702656</t>
        </is>
      </c>
      <c r="AY189" t="inlineStr">
        <is>
          <t>2268553910002656</t>
        </is>
      </c>
      <c r="AZ189" t="inlineStr">
        <is>
          <t>BOOK</t>
        </is>
      </c>
      <c r="BB189" t="inlineStr">
        <is>
          <t>9780932020444</t>
        </is>
      </c>
      <c r="BC189" t="inlineStr">
        <is>
          <t>32285001626240</t>
        </is>
      </c>
      <c r="BD189" t="inlineStr">
        <is>
          <t>893609137</t>
        </is>
      </c>
    </row>
    <row r="190">
      <c r="A190" t="inlineStr">
        <is>
          <t>No</t>
        </is>
      </c>
      <c r="B190" t="inlineStr">
        <is>
          <t>HQ1064.U5 K64 1993</t>
        </is>
      </c>
      <c r="C190" t="inlineStr">
        <is>
          <t>0                      HQ 1064000U  5                  K  64          1993</t>
        </is>
      </c>
      <c r="D190" t="inlineStr">
        <is>
          <t>Aging public policy : bonding the generations / Theodore H. Koff and Richard W. Park.</t>
        </is>
      </c>
      <c r="F190" t="inlineStr">
        <is>
          <t>No</t>
        </is>
      </c>
      <c r="G190" t="inlineStr">
        <is>
          <t>1</t>
        </is>
      </c>
      <c r="H190" t="inlineStr">
        <is>
          <t>No</t>
        </is>
      </c>
      <c r="I190" t="inlineStr">
        <is>
          <t>No</t>
        </is>
      </c>
      <c r="J190" t="inlineStr">
        <is>
          <t>0</t>
        </is>
      </c>
      <c r="K190" t="inlineStr">
        <is>
          <t>Koff, Theodore H.</t>
        </is>
      </c>
      <c r="L190" t="inlineStr">
        <is>
          <t>Amityville, N.Y. : Baywood Pub. Co., 1993.</t>
        </is>
      </c>
      <c r="M190" t="inlineStr">
        <is>
          <t>1993</t>
        </is>
      </c>
      <c r="O190" t="inlineStr">
        <is>
          <t>eng</t>
        </is>
      </c>
      <c r="P190" t="inlineStr">
        <is>
          <t>nyu</t>
        </is>
      </c>
      <c r="Q190" t="inlineStr">
        <is>
          <t>Society and aging series</t>
        </is>
      </c>
      <c r="R190" t="inlineStr">
        <is>
          <t xml:space="preserve">HQ </t>
        </is>
      </c>
      <c r="S190" t="n">
        <v>8</v>
      </c>
      <c r="T190" t="n">
        <v>8</v>
      </c>
      <c r="U190" t="inlineStr">
        <is>
          <t>2000-10-01</t>
        </is>
      </c>
      <c r="V190" t="inlineStr">
        <is>
          <t>2000-10-01</t>
        </is>
      </c>
      <c r="W190" t="inlineStr">
        <is>
          <t>1993-08-16</t>
        </is>
      </c>
      <c r="X190" t="inlineStr">
        <is>
          <t>1993-08-16</t>
        </is>
      </c>
      <c r="Y190" t="n">
        <v>240</v>
      </c>
      <c r="Z190" t="n">
        <v>216</v>
      </c>
      <c r="AA190" t="n">
        <v>352</v>
      </c>
      <c r="AB190" t="n">
        <v>1</v>
      </c>
      <c r="AC190" t="n">
        <v>2</v>
      </c>
      <c r="AD190" t="n">
        <v>12</v>
      </c>
      <c r="AE190" t="n">
        <v>17</v>
      </c>
      <c r="AF190" t="n">
        <v>6</v>
      </c>
      <c r="AG190" t="n">
        <v>8</v>
      </c>
      <c r="AH190" t="n">
        <v>1</v>
      </c>
      <c r="AI190" t="n">
        <v>2</v>
      </c>
      <c r="AJ190" t="n">
        <v>8</v>
      </c>
      <c r="AK190" t="n">
        <v>9</v>
      </c>
      <c r="AL190" t="n">
        <v>0</v>
      </c>
      <c r="AM190" t="n">
        <v>1</v>
      </c>
      <c r="AN190" t="n">
        <v>0</v>
      </c>
      <c r="AO190" t="n">
        <v>1</v>
      </c>
      <c r="AP190" t="inlineStr">
        <is>
          <t>No</t>
        </is>
      </c>
      <c r="AQ190" t="inlineStr">
        <is>
          <t>Yes</t>
        </is>
      </c>
      <c r="AR190">
        <f>HYPERLINK("http://catalog.hathitrust.org/Record/004565450","HathiTrust Record")</f>
        <v/>
      </c>
      <c r="AS190">
        <f>HYPERLINK("https://creighton-primo.hosted.exlibrisgroup.com/primo-explore/search?tab=default_tab&amp;search_scope=EVERYTHING&amp;vid=01CRU&amp;lang=en_US&amp;offset=0&amp;query=any,contains,991002106099702656","Catalog Record")</f>
        <v/>
      </c>
      <c r="AT190">
        <f>HYPERLINK("http://www.worldcat.org/oclc/27013216","WorldCat Record")</f>
        <v/>
      </c>
      <c r="AU190" t="inlineStr">
        <is>
          <t>379344:eng</t>
        </is>
      </c>
      <c r="AV190" t="inlineStr">
        <is>
          <t>27013216</t>
        </is>
      </c>
      <c r="AW190" t="inlineStr">
        <is>
          <t>991002106099702656</t>
        </is>
      </c>
      <c r="AX190" t="inlineStr">
        <is>
          <t>991002106099702656</t>
        </is>
      </c>
      <c r="AY190" t="inlineStr">
        <is>
          <t>2256303950002656</t>
        </is>
      </c>
      <c r="AZ190" t="inlineStr">
        <is>
          <t>BOOK</t>
        </is>
      </c>
      <c r="BB190" t="inlineStr">
        <is>
          <t>9780895031112</t>
        </is>
      </c>
      <c r="BC190" t="inlineStr">
        <is>
          <t>32285001727006</t>
        </is>
      </c>
      <c r="BD190" t="inlineStr">
        <is>
          <t>893703677</t>
        </is>
      </c>
    </row>
    <row r="191">
      <c r="A191" t="inlineStr">
        <is>
          <t>No</t>
        </is>
      </c>
      <c r="B191" t="inlineStr">
        <is>
          <t>HQ1064.U5 K7</t>
        </is>
      </c>
      <c r="C191" t="inlineStr">
        <is>
          <t>0                      HQ 1064000U  5                  K  7</t>
        </is>
      </c>
      <c r="D191" t="inlineStr">
        <is>
          <t>Employment, income, and retirement problems of the aged / [by] Juanita M. Kreps [and others]</t>
        </is>
      </c>
      <c r="F191" t="inlineStr">
        <is>
          <t>No</t>
        </is>
      </c>
      <c r="G191" t="inlineStr">
        <is>
          <t>1</t>
        </is>
      </c>
      <c r="H191" t="inlineStr">
        <is>
          <t>No</t>
        </is>
      </c>
      <c r="I191" t="inlineStr">
        <is>
          <t>No</t>
        </is>
      </c>
      <c r="J191" t="inlineStr">
        <is>
          <t>0</t>
        </is>
      </c>
      <c r="K191" t="inlineStr">
        <is>
          <t>Kreps, Juanita M. (Juanita Morris), 1921-2010 editor.</t>
        </is>
      </c>
      <c r="L191" t="inlineStr">
        <is>
          <t>Durham, N.C. : Duke University Press, 1963.</t>
        </is>
      </c>
      <c r="M191" t="inlineStr">
        <is>
          <t>1963</t>
        </is>
      </c>
      <c r="O191" t="inlineStr">
        <is>
          <t>eng</t>
        </is>
      </c>
      <c r="P191" t="inlineStr">
        <is>
          <t>ncu</t>
        </is>
      </c>
      <c r="R191" t="inlineStr">
        <is>
          <t xml:space="preserve">HQ </t>
        </is>
      </c>
      <c r="S191" t="n">
        <v>2</v>
      </c>
      <c r="T191" t="n">
        <v>2</v>
      </c>
      <c r="U191" t="inlineStr">
        <is>
          <t>1993-04-12</t>
        </is>
      </c>
      <c r="V191" t="inlineStr">
        <is>
          <t>1993-04-12</t>
        </is>
      </c>
      <c r="W191" t="inlineStr">
        <is>
          <t>1992-05-13</t>
        </is>
      </c>
      <c r="X191" t="inlineStr">
        <is>
          <t>1992-05-13</t>
        </is>
      </c>
      <c r="Y191" t="n">
        <v>682</v>
      </c>
      <c r="Z191" t="n">
        <v>580</v>
      </c>
      <c r="AA191" t="n">
        <v>603</v>
      </c>
      <c r="AB191" t="n">
        <v>4</v>
      </c>
      <c r="AC191" t="n">
        <v>4</v>
      </c>
      <c r="AD191" t="n">
        <v>28</v>
      </c>
      <c r="AE191" t="n">
        <v>28</v>
      </c>
      <c r="AF191" t="n">
        <v>6</v>
      </c>
      <c r="AG191" t="n">
        <v>6</v>
      </c>
      <c r="AH191" t="n">
        <v>6</v>
      </c>
      <c r="AI191" t="n">
        <v>6</v>
      </c>
      <c r="AJ191" t="n">
        <v>17</v>
      </c>
      <c r="AK191" t="n">
        <v>17</v>
      </c>
      <c r="AL191" t="n">
        <v>3</v>
      </c>
      <c r="AM191" t="n">
        <v>3</v>
      </c>
      <c r="AN191" t="n">
        <v>3</v>
      </c>
      <c r="AO191" t="n">
        <v>3</v>
      </c>
      <c r="AP191" t="inlineStr">
        <is>
          <t>No</t>
        </is>
      </c>
      <c r="AQ191" t="inlineStr">
        <is>
          <t>No</t>
        </is>
      </c>
      <c r="AR191">
        <f>HYPERLINK("http://catalog.hathitrust.org/Record/001108437","HathiTrust Record")</f>
        <v/>
      </c>
      <c r="AS191">
        <f>HYPERLINK("https://creighton-primo.hosted.exlibrisgroup.com/primo-explore/search?tab=default_tab&amp;search_scope=EVERYTHING&amp;vid=01CRU&amp;lang=en_US&amp;offset=0&amp;query=any,contains,991001104429702656","Catalog Record")</f>
        <v/>
      </c>
      <c r="AT191">
        <f>HYPERLINK("http://www.worldcat.org/oclc/183669","WorldCat Record")</f>
        <v/>
      </c>
      <c r="AU191" t="inlineStr">
        <is>
          <t>1329622:eng</t>
        </is>
      </c>
      <c r="AV191" t="inlineStr">
        <is>
          <t>183669</t>
        </is>
      </c>
      <c r="AW191" t="inlineStr">
        <is>
          <t>991001104429702656</t>
        </is>
      </c>
      <c r="AX191" t="inlineStr">
        <is>
          <t>991001104429702656</t>
        </is>
      </c>
      <c r="AY191" t="inlineStr">
        <is>
          <t>2267020420002656</t>
        </is>
      </c>
      <c r="AZ191" t="inlineStr">
        <is>
          <t>BOOK</t>
        </is>
      </c>
      <c r="BC191" t="inlineStr">
        <is>
          <t>32285001108959</t>
        </is>
      </c>
      <c r="BD191" t="inlineStr">
        <is>
          <t>893256017</t>
        </is>
      </c>
    </row>
    <row r="192">
      <c r="A192" t="inlineStr">
        <is>
          <t>No</t>
        </is>
      </c>
      <c r="B192" t="inlineStr">
        <is>
          <t>HQ1064.U5 L29 1983</t>
        </is>
      </c>
      <c r="C192" t="inlineStr">
        <is>
          <t>0                      HQ 1064000U  5                  L  29          1983</t>
        </is>
      </c>
      <c r="D192" t="inlineStr">
        <is>
          <t>Public policy and the aging / William W. Lammers.</t>
        </is>
      </c>
      <c r="F192" t="inlineStr">
        <is>
          <t>No</t>
        </is>
      </c>
      <c r="G192" t="inlineStr">
        <is>
          <t>1</t>
        </is>
      </c>
      <c r="H192" t="inlineStr">
        <is>
          <t>Yes</t>
        </is>
      </c>
      <c r="I192" t="inlineStr">
        <is>
          <t>No</t>
        </is>
      </c>
      <c r="J192" t="inlineStr">
        <is>
          <t>0</t>
        </is>
      </c>
      <c r="K192" t="inlineStr">
        <is>
          <t>Lammers, William W.</t>
        </is>
      </c>
      <c r="L192" t="inlineStr">
        <is>
          <t>Washington, D.C. : CQ Press, c1983.</t>
        </is>
      </c>
      <c r="M192" t="inlineStr">
        <is>
          <t>1983</t>
        </is>
      </c>
      <c r="O192" t="inlineStr">
        <is>
          <t>eng</t>
        </is>
      </c>
      <c r="P192" t="inlineStr">
        <is>
          <t>dcu</t>
        </is>
      </c>
      <c r="Q192" t="inlineStr">
        <is>
          <t>Issues in public policy</t>
        </is>
      </c>
      <c r="R192" t="inlineStr">
        <is>
          <t xml:space="preserve">HQ </t>
        </is>
      </c>
      <c r="S192" t="n">
        <v>7</v>
      </c>
      <c r="T192" t="n">
        <v>11</v>
      </c>
      <c r="U192" t="inlineStr">
        <is>
          <t>1997-04-09</t>
        </is>
      </c>
      <c r="V192" t="inlineStr">
        <is>
          <t>1998-03-27</t>
        </is>
      </c>
      <c r="W192" t="inlineStr">
        <is>
          <t>1993-05-03</t>
        </is>
      </c>
      <c r="X192" t="inlineStr">
        <is>
          <t>1993-05-03</t>
        </is>
      </c>
      <c r="Y192" t="n">
        <v>908</v>
      </c>
      <c r="Z192" t="n">
        <v>854</v>
      </c>
      <c r="AA192" t="n">
        <v>856</v>
      </c>
      <c r="AB192" t="n">
        <v>9</v>
      </c>
      <c r="AC192" t="n">
        <v>9</v>
      </c>
      <c r="AD192" t="n">
        <v>34</v>
      </c>
      <c r="AE192" t="n">
        <v>34</v>
      </c>
      <c r="AF192" t="n">
        <v>11</v>
      </c>
      <c r="AG192" t="n">
        <v>11</v>
      </c>
      <c r="AH192" t="n">
        <v>7</v>
      </c>
      <c r="AI192" t="n">
        <v>7</v>
      </c>
      <c r="AJ192" t="n">
        <v>17</v>
      </c>
      <c r="AK192" t="n">
        <v>17</v>
      </c>
      <c r="AL192" t="n">
        <v>7</v>
      </c>
      <c r="AM192" t="n">
        <v>7</v>
      </c>
      <c r="AN192" t="n">
        <v>2</v>
      </c>
      <c r="AO192" t="n">
        <v>2</v>
      </c>
      <c r="AP192" t="inlineStr">
        <is>
          <t>No</t>
        </is>
      </c>
      <c r="AQ192" t="inlineStr">
        <is>
          <t>Yes</t>
        </is>
      </c>
      <c r="AR192">
        <f>HYPERLINK("http://catalog.hathitrust.org/Record/000162947","HathiTrust Record")</f>
        <v/>
      </c>
      <c r="AS192">
        <f>HYPERLINK("https://creighton-primo.hosted.exlibrisgroup.com/primo-explore/search?tab=default_tab&amp;search_scope=EVERYTHING&amp;vid=01CRU&amp;lang=en_US&amp;offset=0&amp;query=any,contains,991001782799702656","Catalog Record")</f>
        <v/>
      </c>
      <c r="AT192">
        <f>HYPERLINK("http://www.worldcat.org/oclc/9043178","WorldCat Record")</f>
        <v/>
      </c>
      <c r="AU192" t="inlineStr">
        <is>
          <t>42835050:eng</t>
        </is>
      </c>
      <c r="AV192" t="inlineStr">
        <is>
          <t>9043178</t>
        </is>
      </c>
      <c r="AW192" t="inlineStr">
        <is>
          <t>991001782799702656</t>
        </is>
      </c>
      <c r="AX192" t="inlineStr">
        <is>
          <t>991001782799702656</t>
        </is>
      </c>
      <c r="AY192" t="inlineStr">
        <is>
          <t>2266674730002656</t>
        </is>
      </c>
      <c r="AZ192" t="inlineStr">
        <is>
          <t>BOOK</t>
        </is>
      </c>
      <c r="BB192" t="inlineStr">
        <is>
          <t>9780871872463</t>
        </is>
      </c>
      <c r="BC192" t="inlineStr">
        <is>
          <t>32285001632693</t>
        </is>
      </c>
      <c r="BD192" t="inlineStr">
        <is>
          <t>893590637</t>
        </is>
      </c>
    </row>
    <row r="193">
      <c r="A193" t="inlineStr">
        <is>
          <t>No</t>
        </is>
      </c>
      <c r="B193" t="inlineStr">
        <is>
          <t>HQ1064.U5 L37</t>
        </is>
      </c>
      <c r="C193" t="inlineStr">
        <is>
          <t>0                      HQ 1064000U  5                  L  37</t>
        </is>
      </c>
      <c r="D193" t="inlineStr">
        <is>
          <t>The Later years : social applications of gerontology / edited by Richard A. Kalish.</t>
        </is>
      </c>
      <c r="F193" t="inlineStr">
        <is>
          <t>No</t>
        </is>
      </c>
      <c r="G193" t="inlineStr">
        <is>
          <t>1</t>
        </is>
      </c>
      <c r="H193" t="inlineStr">
        <is>
          <t>No</t>
        </is>
      </c>
      <c r="I193" t="inlineStr">
        <is>
          <t>No</t>
        </is>
      </c>
      <c r="J193" t="inlineStr">
        <is>
          <t>0</t>
        </is>
      </c>
      <c r="L193" t="inlineStr">
        <is>
          <t>Monterey, Calif. : Brooks/Cole Pub. Co., c1977.</t>
        </is>
      </c>
      <c r="M193" t="inlineStr">
        <is>
          <t>1977</t>
        </is>
      </c>
      <c r="O193" t="inlineStr">
        <is>
          <t>eng</t>
        </is>
      </c>
      <c r="P193" t="inlineStr">
        <is>
          <t>cau</t>
        </is>
      </c>
      <c r="R193" t="inlineStr">
        <is>
          <t xml:space="preserve">HQ </t>
        </is>
      </c>
      <c r="S193" t="n">
        <v>2</v>
      </c>
      <c r="T193" t="n">
        <v>2</v>
      </c>
      <c r="U193" t="inlineStr">
        <is>
          <t>1997-04-09</t>
        </is>
      </c>
      <c r="V193" t="inlineStr">
        <is>
          <t>1997-04-09</t>
        </is>
      </c>
      <c r="W193" t="inlineStr">
        <is>
          <t>1993-04-26</t>
        </is>
      </c>
      <c r="X193" t="inlineStr">
        <is>
          <t>1993-04-26</t>
        </is>
      </c>
      <c r="Y193" t="n">
        <v>444</v>
      </c>
      <c r="Z193" t="n">
        <v>397</v>
      </c>
      <c r="AA193" t="n">
        <v>404</v>
      </c>
      <c r="AB193" t="n">
        <v>3</v>
      </c>
      <c r="AC193" t="n">
        <v>3</v>
      </c>
      <c r="AD193" t="n">
        <v>11</v>
      </c>
      <c r="AE193" t="n">
        <v>11</v>
      </c>
      <c r="AF193" t="n">
        <v>3</v>
      </c>
      <c r="AG193" t="n">
        <v>3</v>
      </c>
      <c r="AH193" t="n">
        <v>3</v>
      </c>
      <c r="AI193" t="n">
        <v>3</v>
      </c>
      <c r="AJ193" t="n">
        <v>5</v>
      </c>
      <c r="AK193" t="n">
        <v>5</v>
      </c>
      <c r="AL193" t="n">
        <v>2</v>
      </c>
      <c r="AM193" t="n">
        <v>2</v>
      </c>
      <c r="AN193" t="n">
        <v>0</v>
      </c>
      <c r="AO193" t="n">
        <v>0</v>
      </c>
      <c r="AP193" t="inlineStr">
        <is>
          <t>No</t>
        </is>
      </c>
      <c r="AQ193" t="inlineStr">
        <is>
          <t>Yes</t>
        </is>
      </c>
      <c r="AR193">
        <f>HYPERLINK("http://catalog.hathitrust.org/Record/000306754","HathiTrust Record")</f>
        <v/>
      </c>
      <c r="AS193">
        <f>HYPERLINK("https://creighton-primo.hosted.exlibrisgroup.com/primo-explore/search?tab=default_tab&amp;search_scope=EVERYTHING&amp;vid=01CRU&amp;lang=en_US&amp;offset=0&amp;query=any,contains,991004215479702656","Catalog Record")</f>
        <v/>
      </c>
      <c r="AT193">
        <f>HYPERLINK("http://www.worldcat.org/oclc/2695122","WorldCat Record")</f>
        <v/>
      </c>
      <c r="AU193" t="inlineStr">
        <is>
          <t>891724143:eng</t>
        </is>
      </c>
      <c r="AV193" t="inlineStr">
        <is>
          <t>2695122</t>
        </is>
      </c>
      <c r="AW193" t="inlineStr">
        <is>
          <t>991004215479702656</t>
        </is>
      </c>
      <c r="AX193" t="inlineStr">
        <is>
          <t>991004215479702656</t>
        </is>
      </c>
      <c r="AY193" t="inlineStr">
        <is>
          <t>2264907790002656</t>
        </is>
      </c>
      <c r="AZ193" t="inlineStr">
        <is>
          <t>BOOK</t>
        </is>
      </c>
      <c r="BB193" t="inlineStr">
        <is>
          <t>9780818502231</t>
        </is>
      </c>
      <c r="BC193" t="inlineStr">
        <is>
          <t>32285001626257</t>
        </is>
      </c>
      <c r="BD193" t="inlineStr">
        <is>
          <t>893781979</t>
        </is>
      </c>
    </row>
    <row r="194">
      <c r="A194" t="inlineStr">
        <is>
          <t>No</t>
        </is>
      </c>
      <c r="B194" t="inlineStr">
        <is>
          <t>HQ1064.U5 L48</t>
        </is>
      </c>
      <c r="C194" t="inlineStr">
        <is>
          <t>0                      HQ 1064000U  5                  L  48</t>
        </is>
      </c>
      <c r="D194" t="inlineStr">
        <is>
          <t>Ageism, prejudice and discrimination against the elderly / Jack Levin, William C. Levin.</t>
        </is>
      </c>
      <c r="F194" t="inlineStr">
        <is>
          <t>No</t>
        </is>
      </c>
      <c r="G194" t="inlineStr">
        <is>
          <t>1</t>
        </is>
      </c>
      <c r="H194" t="inlineStr">
        <is>
          <t>No</t>
        </is>
      </c>
      <c r="I194" t="inlineStr">
        <is>
          <t>No</t>
        </is>
      </c>
      <c r="J194" t="inlineStr">
        <is>
          <t>0</t>
        </is>
      </c>
      <c r="K194" t="inlineStr">
        <is>
          <t>Levin, Jack, 1941-</t>
        </is>
      </c>
      <c r="L194" t="inlineStr">
        <is>
          <t>Belmont, Calif. : Wadsworth Pub. Co., c1980.</t>
        </is>
      </c>
      <c r="M194" t="inlineStr">
        <is>
          <t>1980</t>
        </is>
      </c>
      <c r="O194" t="inlineStr">
        <is>
          <t>eng</t>
        </is>
      </c>
      <c r="P194" t="inlineStr">
        <is>
          <t>cau</t>
        </is>
      </c>
      <c r="Q194" t="inlineStr">
        <is>
          <t>Lifetime series in aging</t>
        </is>
      </c>
      <c r="R194" t="inlineStr">
        <is>
          <t xml:space="preserve">HQ </t>
        </is>
      </c>
      <c r="S194" t="n">
        <v>15</v>
      </c>
      <c r="T194" t="n">
        <v>15</v>
      </c>
      <c r="U194" t="inlineStr">
        <is>
          <t>2009-04-16</t>
        </is>
      </c>
      <c r="V194" t="inlineStr">
        <is>
          <t>2009-04-16</t>
        </is>
      </c>
      <c r="W194" t="inlineStr">
        <is>
          <t>1990-04-10</t>
        </is>
      </c>
      <c r="X194" t="inlineStr">
        <is>
          <t>1990-04-10</t>
        </is>
      </c>
      <c r="Y194" t="n">
        <v>475</v>
      </c>
      <c r="Z194" t="n">
        <v>423</v>
      </c>
      <c r="AA194" t="n">
        <v>429</v>
      </c>
      <c r="AB194" t="n">
        <v>5</v>
      </c>
      <c r="AC194" t="n">
        <v>5</v>
      </c>
      <c r="AD194" t="n">
        <v>21</v>
      </c>
      <c r="AE194" t="n">
        <v>21</v>
      </c>
      <c r="AF194" t="n">
        <v>7</v>
      </c>
      <c r="AG194" t="n">
        <v>7</v>
      </c>
      <c r="AH194" t="n">
        <v>6</v>
      </c>
      <c r="AI194" t="n">
        <v>6</v>
      </c>
      <c r="AJ194" t="n">
        <v>8</v>
      </c>
      <c r="AK194" t="n">
        <v>8</v>
      </c>
      <c r="AL194" t="n">
        <v>4</v>
      </c>
      <c r="AM194" t="n">
        <v>4</v>
      </c>
      <c r="AN194" t="n">
        <v>0</v>
      </c>
      <c r="AO194" t="n">
        <v>0</v>
      </c>
      <c r="AP194" t="inlineStr">
        <is>
          <t>No</t>
        </is>
      </c>
      <c r="AQ194" t="inlineStr">
        <is>
          <t>Yes</t>
        </is>
      </c>
      <c r="AR194">
        <f>HYPERLINK("http://catalog.hathitrust.org/Record/007116500","HathiTrust Record")</f>
        <v/>
      </c>
      <c r="AS194">
        <f>HYPERLINK("https://creighton-primo.hosted.exlibrisgroup.com/primo-explore/search?tab=default_tab&amp;search_scope=EVERYTHING&amp;vid=01CRU&amp;lang=en_US&amp;offset=0&amp;query=any,contains,991004937599702656","Catalog Record")</f>
        <v/>
      </c>
      <c r="AT194">
        <f>HYPERLINK("http://www.worldcat.org/oclc/6144156","WorldCat Record")</f>
        <v/>
      </c>
      <c r="AU194" t="inlineStr">
        <is>
          <t>510138:eng</t>
        </is>
      </c>
      <c r="AV194" t="inlineStr">
        <is>
          <t>6144156</t>
        </is>
      </c>
      <c r="AW194" t="inlineStr">
        <is>
          <t>991004937599702656</t>
        </is>
      </c>
      <c r="AX194" t="inlineStr">
        <is>
          <t>991004937599702656</t>
        </is>
      </c>
      <c r="AY194" t="inlineStr">
        <is>
          <t>2260307180002656</t>
        </is>
      </c>
      <c r="AZ194" t="inlineStr">
        <is>
          <t>BOOK</t>
        </is>
      </c>
      <c r="BB194" t="inlineStr">
        <is>
          <t>9780534008819</t>
        </is>
      </c>
      <c r="BC194" t="inlineStr">
        <is>
          <t>32285000120294</t>
        </is>
      </c>
      <c r="BD194" t="inlineStr">
        <is>
          <t>893507390</t>
        </is>
      </c>
    </row>
    <row r="195">
      <c r="A195" t="inlineStr">
        <is>
          <t>No</t>
        </is>
      </c>
      <c r="B195" t="inlineStr">
        <is>
          <t>HQ1064.U5 L54 1983</t>
        </is>
      </c>
      <c r="C195" t="inlineStr">
        <is>
          <t>0                      HQ 1064000U  5                  L  54          1983</t>
        </is>
      </c>
      <c r="D195" t="inlineStr">
        <is>
          <t>The experience of old age : stress, coping, and survival / Morton A. Lieberman, Sheldon S. Tobin.</t>
        </is>
      </c>
      <c r="F195" t="inlineStr">
        <is>
          <t>No</t>
        </is>
      </c>
      <c r="G195" t="inlineStr">
        <is>
          <t>1</t>
        </is>
      </c>
      <c r="H195" t="inlineStr">
        <is>
          <t>Yes</t>
        </is>
      </c>
      <c r="I195" t="inlineStr">
        <is>
          <t>No</t>
        </is>
      </c>
      <c r="J195" t="inlineStr">
        <is>
          <t>0</t>
        </is>
      </c>
      <c r="K195" t="inlineStr">
        <is>
          <t>Lieberman, Morton A., 1931-</t>
        </is>
      </c>
      <c r="L195" t="inlineStr">
        <is>
          <t>New York : Basic Books, c1983.</t>
        </is>
      </c>
      <c r="M195" t="inlineStr">
        <is>
          <t>1983</t>
        </is>
      </c>
      <c r="O195" t="inlineStr">
        <is>
          <t>eng</t>
        </is>
      </c>
      <c r="P195" t="inlineStr">
        <is>
          <t>nyu</t>
        </is>
      </c>
      <c r="R195" t="inlineStr">
        <is>
          <t xml:space="preserve">HQ </t>
        </is>
      </c>
      <c r="S195" t="n">
        <v>2</v>
      </c>
      <c r="T195" t="n">
        <v>2</v>
      </c>
      <c r="U195" t="inlineStr">
        <is>
          <t>1994-04-18</t>
        </is>
      </c>
      <c r="V195" t="inlineStr">
        <is>
          <t>1994-04-18</t>
        </is>
      </c>
      <c r="W195" t="inlineStr">
        <is>
          <t>1993-04-26</t>
        </is>
      </c>
      <c r="X195" t="inlineStr">
        <is>
          <t>1993-04-26</t>
        </is>
      </c>
      <c r="Y195" t="n">
        <v>1023</v>
      </c>
      <c r="Z195" t="n">
        <v>909</v>
      </c>
      <c r="AA195" t="n">
        <v>915</v>
      </c>
      <c r="AB195" t="n">
        <v>7</v>
      </c>
      <c r="AC195" t="n">
        <v>7</v>
      </c>
      <c r="AD195" t="n">
        <v>30</v>
      </c>
      <c r="AE195" t="n">
        <v>30</v>
      </c>
      <c r="AF195" t="n">
        <v>12</v>
      </c>
      <c r="AG195" t="n">
        <v>12</v>
      </c>
      <c r="AH195" t="n">
        <v>9</v>
      </c>
      <c r="AI195" t="n">
        <v>9</v>
      </c>
      <c r="AJ195" t="n">
        <v>17</v>
      </c>
      <c r="AK195" t="n">
        <v>17</v>
      </c>
      <c r="AL195" t="n">
        <v>3</v>
      </c>
      <c r="AM195" t="n">
        <v>3</v>
      </c>
      <c r="AN195" t="n">
        <v>0</v>
      </c>
      <c r="AO195" t="n">
        <v>0</v>
      </c>
      <c r="AP195" t="inlineStr">
        <is>
          <t>No</t>
        </is>
      </c>
      <c r="AQ195" t="inlineStr">
        <is>
          <t>Yes</t>
        </is>
      </c>
      <c r="AR195">
        <f>HYPERLINK("http://catalog.hathitrust.org/Record/000315388","HathiTrust Record")</f>
        <v/>
      </c>
      <c r="AS195">
        <f>HYPERLINK("https://creighton-primo.hosted.exlibrisgroup.com/primo-explore/search?tab=default_tab&amp;search_scope=EVERYTHING&amp;vid=01CRU&amp;lang=en_US&amp;offset=0&amp;query=any,contains,991000162869702656","Catalog Record")</f>
        <v/>
      </c>
      <c r="AT195">
        <f>HYPERLINK("http://www.worldcat.org/oclc/9281048","WorldCat Record")</f>
        <v/>
      </c>
      <c r="AU195" t="inlineStr">
        <is>
          <t>309062374:eng</t>
        </is>
      </c>
      <c r="AV195" t="inlineStr">
        <is>
          <t>9281048</t>
        </is>
      </c>
      <c r="AW195" t="inlineStr">
        <is>
          <t>991000162869702656</t>
        </is>
      </c>
      <c r="AX195" t="inlineStr">
        <is>
          <t>991000162869702656</t>
        </is>
      </c>
      <c r="AY195" t="inlineStr">
        <is>
          <t>2260560020002656</t>
        </is>
      </c>
      <c r="AZ195" t="inlineStr">
        <is>
          <t>BOOK</t>
        </is>
      </c>
      <c r="BB195" t="inlineStr">
        <is>
          <t>9780465021703</t>
        </is>
      </c>
      <c r="BC195" t="inlineStr">
        <is>
          <t>32285001626273</t>
        </is>
      </c>
      <c r="BD195" t="inlineStr">
        <is>
          <t>893683208</t>
        </is>
      </c>
    </row>
    <row r="196">
      <c r="A196" t="inlineStr">
        <is>
          <t>No</t>
        </is>
      </c>
      <c r="B196" t="inlineStr">
        <is>
          <t>HQ1064.U5 L55 1989</t>
        </is>
      </c>
      <c r="C196" t="inlineStr">
        <is>
          <t>0                      HQ 1064000U  5                  L  55          1989</t>
        </is>
      </c>
      <c r="D196" t="inlineStr">
        <is>
          <t>Lifestyles of the elderly : diversity in relationships, health, and caregiving / edited by Linda Ade-Ridder and Charles B. Hennon.</t>
        </is>
      </c>
      <c r="F196" t="inlineStr">
        <is>
          <t>No</t>
        </is>
      </c>
      <c r="G196" t="inlineStr">
        <is>
          <t>1</t>
        </is>
      </c>
      <c r="H196" t="inlineStr">
        <is>
          <t>No</t>
        </is>
      </c>
      <c r="I196" t="inlineStr">
        <is>
          <t>No</t>
        </is>
      </c>
      <c r="J196" t="inlineStr">
        <is>
          <t>0</t>
        </is>
      </c>
      <c r="L196" t="inlineStr">
        <is>
          <t>New York, N.Y. : Human Sciences Press, c1989.</t>
        </is>
      </c>
      <c r="M196" t="inlineStr">
        <is>
          <t>1989</t>
        </is>
      </c>
      <c r="O196" t="inlineStr">
        <is>
          <t>eng</t>
        </is>
      </c>
      <c r="P196" t="inlineStr">
        <is>
          <t>nyu</t>
        </is>
      </c>
      <c r="R196" t="inlineStr">
        <is>
          <t xml:space="preserve">HQ </t>
        </is>
      </c>
      <c r="S196" t="n">
        <v>1</v>
      </c>
      <c r="T196" t="n">
        <v>1</v>
      </c>
      <c r="U196" t="inlineStr">
        <is>
          <t>2010-04-27</t>
        </is>
      </c>
      <c r="V196" t="inlineStr">
        <is>
          <t>2010-04-27</t>
        </is>
      </c>
      <c r="W196" t="inlineStr">
        <is>
          <t>1991-11-26</t>
        </is>
      </c>
      <c r="X196" t="inlineStr">
        <is>
          <t>1991-11-26</t>
        </is>
      </c>
      <c r="Y196" t="n">
        <v>214</v>
      </c>
      <c r="Z196" t="n">
        <v>163</v>
      </c>
      <c r="AA196" t="n">
        <v>165</v>
      </c>
      <c r="AB196" t="n">
        <v>1</v>
      </c>
      <c r="AC196" t="n">
        <v>1</v>
      </c>
      <c r="AD196" t="n">
        <v>4</v>
      </c>
      <c r="AE196" t="n">
        <v>4</v>
      </c>
      <c r="AF196" t="n">
        <v>0</v>
      </c>
      <c r="AG196" t="n">
        <v>0</v>
      </c>
      <c r="AH196" t="n">
        <v>2</v>
      </c>
      <c r="AI196" t="n">
        <v>2</v>
      </c>
      <c r="AJ196" t="n">
        <v>3</v>
      </c>
      <c r="AK196" t="n">
        <v>3</v>
      </c>
      <c r="AL196" t="n">
        <v>0</v>
      </c>
      <c r="AM196" t="n">
        <v>0</v>
      </c>
      <c r="AN196" t="n">
        <v>0</v>
      </c>
      <c r="AO196" t="n">
        <v>0</v>
      </c>
      <c r="AP196" t="inlineStr">
        <is>
          <t>No</t>
        </is>
      </c>
      <c r="AQ196" t="inlineStr">
        <is>
          <t>Yes</t>
        </is>
      </c>
      <c r="AR196">
        <f>HYPERLINK("http://catalog.hathitrust.org/Record/001823425","HathiTrust Record")</f>
        <v/>
      </c>
      <c r="AS196">
        <f>HYPERLINK("https://creighton-primo.hosted.exlibrisgroup.com/primo-explore/search?tab=default_tab&amp;search_scope=EVERYTHING&amp;vid=01CRU&amp;lang=en_US&amp;offset=0&amp;query=any,contains,991001272429702656","Catalog Record")</f>
        <v/>
      </c>
      <c r="AT196">
        <f>HYPERLINK("http://www.worldcat.org/oclc/17841979","WorldCat Record")</f>
        <v/>
      </c>
      <c r="AU196" t="inlineStr">
        <is>
          <t>427440591:eng</t>
        </is>
      </c>
      <c r="AV196" t="inlineStr">
        <is>
          <t>17841979</t>
        </is>
      </c>
      <c r="AW196" t="inlineStr">
        <is>
          <t>991001272429702656</t>
        </is>
      </c>
      <c r="AX196" t="inlineStr">
        <is>
          <t>991001272429702656</t>
        </is>
      </c>
      <c r="AY196" t="inlineStr">
        <is>
          <t>2269065110002656</t>
        </is>
      </c>
      <c r="AZ196" t="inlineStr">
        <is>
          <t>BOOK</t>
        </is>
      </c>
      <c r="BB196" t="inlineStr">
        <is>
          <t>9780898854473</t>
        </is>
      </c>
      <c r="BC196" t="inlineStr">
        <is>
          <t>32285000817733</t>
        </is>
      </c>
      <c r="BD196" t="inlineStr">
        <is>
          <t>893772467</t>
        </is>
      </c>
    </row>
    <row r="197">
      <c r="A197" t="inlineStr">
        <is>
          <t>No</t>
        </is>
      </c>
      <c r="B197" t="inlineStr">
        <is>
          <t>HQ1064.U5 L553 1989</t>
        </is>
      </c>
      <c r="C197" t="inlineStr">
        <is>
          <t>0                      HQ 1064000U  5                  L  553         1989</t>
        </is>
      </c>
      <c r="D197" t="inlineStr">
        <is>
          <t>Lifetrends : the future of baby boomers and other aging Americans / Jerry Gerber ... [et al.] ; foreword by Jane Bryant Quinn.</t>
        </is>
      </c>
      <c r="F197" t="inlineStr">
        <is>
          <t>No</t>
        </is>
      </c>
      <c r="G197" t="inlineStr">
        <is>
          <t>1</t>
        </is>
      </c>
      <c r="H197" t="inlineStr">
        <is>
          <t>No</t>
        </is>
      </c>
      <c r="I197" t="inlineStr">
        <is>
          <t>No</t>
        </is>
      </c>
      <c r="J197" t="inlineStr">
        <is>
          <t>0</t>
        </is>
      </c>
      <c r="L197" t="inlineStr">
        <is>
          <t>New York : Macmillan Pub. Co., c1989.</t>
        </is>
      </c>
      <c r="M197" t="inlineStr">
        <is>
          <t>1989</t>
        </is>
      </c>
      <c r="O197" t="inlineStr">
        <is>
          <t>eng</t>
        </is>
      </c>
      <c r="P197" t="inlineStr">
        <is>
          <t>nyu</t>
        </is>
      </c>
      <c r="R197" t="inlineStr">
        <is>
          <t xml:space="preserve">HQ </t>
        </is>
      </c>
      <c r="S197" t="n">
        <v>5</v>
      </c>
      <c r="T197" t="n">
        <v>5</v>
      </c>
      <c r="U197" t="inlineStr">
        <is>
          <t>1997-03-01</t>
        </is>
      </c>
      <c r="V197" t="inlineStr">
        <is>
          <t>1997-03-01</t>
        </is>
      </c>
      <c r="W197" t="inlineStr">
        <is>
          <t>1990-06-13</t>
        </is>
      </c>
      <c r="X197" t="inlineStr">
        <is>
          <t>1990-06-13</t>
        </is>
      </c>
      <c r="Y197" t="n">
        <v>640</v>
      </c>
      <c r="Z197" t="n">
        <v>586</v>
      </c>
      <c r="AA197" t="n">
        <v>594</v>
      </c>
      <c r="AB197" t="n">
        <v>6</v>
      </c>
      <c r="AC197" t="n">
        <v>6</v>
      </c>
      <c r="AD197" t="n">
        <v>15</v>
      </c>
      <c r="AE197" t="n">
        <v>15</v>
      </c>
      <c r="AF197" t="n">
        <v>5</v>
      </c>
      <c r="AG197" t="n">
        <v>5</v>
      </c>
      <c r="AH197" t="n">
        <v>3</v>
      </c>
      <c r="AI197" t="n">
        <v>3</v>
      </c>
      <c r="AJ197" t="n">
        <v>8</v>
      </c>
      <c r="AK197" t="n">
        <v>8</v>
      </c>
      <c r="AL197" t="n">
        <v>4</v>
      </c>
      <c r="AM197" t="n">
        <v>4</v>
      </c>
      <c r="AN197" t="n">
        <v>0</v>
      </c>
      <c r="AO197" t="n">
        <v>0</v>
      </c>
      <c r="AP197" t="inlineStr">
        <is>
          <t>No</t>
        </is>
      </c>
      <c r="AQ197" t="inlineStr">
        <is>
          <t>Yes</t>
        </is>
      </c>
      <c r="AR197">
        <f>HYPERLINK("http://catalog.hathitrust.org/Record/001835385","HathiTrust Record")</f>
        <v/>
      </c>
      <c r="AS197">
        <f>HYPERLINK("https://creighton-primo.hosted.exlibrisgroup.com/primo-explore/search?tab=default_tab&amp;search_scope=EVERYTHING&amp;vid=01CRU&amp;lang=en_US&amp;offset=0&amp;query=any,contains,991001491429702656","Catalog Record")</f>
        <v/>
      </c>
      <c r="AT197">
        <f>HYPERLINK("http://www.worldcat.org/oclc/19723603","WorldCat Record")</f>
        <v/>
      </c>
      <c r="AU197" t="inlineStr">
        <is>
          <t>21496326:eng</t>
        </is>
      </c>
      <c r="AV197" t="inlineStr">
        <is>
          <t>19723603</t>
        </is>
      </c>
      <c r="AW197" t="inlineStr">
        <is>
          <t>991001491429702656</t>
        </is>
      </c>
      <c r="AX197" t="inlineStr">
        <is>
          <t>991001491429702656</t>
        </is>
      </c>
      <c r="AY197" t="inlineStr">
        <is>
          <t>2260573320002656</t>
        </is>
      </c>
      <c r="AZ197" t="inlineStr">
        <is>
          <t>BOOK</t>
        </is>
      </c>
      <c r="BB197" t="inlineStr">
        <is>
          <t>9780025172913</t>
        </is>
      </c>
      <c r="BC197" t="inlineStr">
        <is>
          <t>32285000177708</t>
        </is>
      </c>
      <c r="BD197" t="inlineStr">
        <is>
          <t>893426633</t>
        </is>
      </c>
    </row>
    <row r="198">
      <c r="A198" t="inlineStr">
        <is>
          <t>No</t>
        </is>
      </c>
      <c r="B198" t="inlineStr">
        <is>
          <t>HQ1064.U5 L62 1983</t>
        </is>
      </c>
      <c r="C198" t="inlineStr">
        <is>
          <t>0                      HQ 1064000U  5                  L  62          1983</t>
        </is>
      </c>
      <c r="D198" t="inlineStr">
        <is>
          <t>Aging, politics, and research : setting the federal agenda for research on aging / Betty A. Lockett.</t>
        </is>
      </c>
      <c r="F198" t="inlineStr">
        <is>
          <t>No</t>
        </is>
      </c>
      <c r="G198" t="inlineStr">
        <is>
          <t>1</t>
        </is>
      </c>
      <c r="H198" t="inlineStr">
        <is>
          <t>Yes</t>
        </is>
      </c>
      <c r="I198" t="inlineStr">
        <is>
          <t>No</t>
        </is>
      </c>
      <c r="J198" t="inlineStr">
        <is>
          <t>0</t>
        </is>
      </c>
      <c r="K198" t="inlineStr">
        <is>
          <t>Lockett, Betty A.</t>
        </is>
      </c>
      <c r="L198" t="inlineStr">
        <is>
          <t>New York : Springer, c1983.</t>
        </is>
      </c>
      <c r="M198" t="inlineStr">
        <is>
          <t>1983</t>
        </is>
      </c>
      <c r="O198" t="inlineStr">
        <is>
          <t>eng</t>
        </is>
      </c>
      <c r="P198" t="inlineStr">
        <is>
          <t>nyu</t>
        </is>
      </c>
      <c r="R198" t="inlineStr">
        <is>
          <t xml:space="preserve">HQ </t>
        </is>
      </c>
      <c r="S198" t="n">
        <v>2</v>
      </c>
      <c r="T198" t="n">
        <v>2</v>
      </c>
      <c r="U198" t="inlineStr">
        <is>
          <t>1994-04-23</t>
        </is>
      </c>
      <c r="V198" t="inlineStr">
        <is>
          <t>1994-04-23</t>
        </is>
      </c>
      <c r="W198" t="inlineStr">
        <is>
          <t>1993-04-26</t>
        </is>
      </c>
      <c r="X198" t="inlineStr">
        <is>
          <t>1993-04-26</t>
        </is>
      </c>
      <c r="Y198" t="n">
        <v>368</v>
      </c>
      <c r="Z198" t="n">
        <v>333</v>
      </c>
      <c r="AA198" t="n">
        <v>340</v>
      </c>
      <c r="AB198" t="n">
        <v>3</v>
      </c>
      <c r="AC198" t="n">
        <v>3</v>
      </c>
      <c r="AD198" t="n">
        <v>16</v>
      </c>
      <c r="AE198" t="n">
        <v>16</v>
      </c>
      <c r="AF198" t="n">
        <v>5</v>
      </c>
      <c r="AG198" t="n">
        <v>5</v>
      </c>
      <c r="AH198" t="n">
        <v>4</v>
      </c>
      <c r="AI198" t="n">
        <v>4</v>
      </c>
      <c r="AJ198" t="n">
        <v>11</v>
      </c>
      <c r="AK198" t="n">
        <v>11</v>
      </c>
      <c r="AL198" t="n">
        <v>1</v>
      </c>
      <c r="AM198" t="n">
        <v>1</v>
      </c>
      <c r="AN198" t="n">
        <v>1</v>
      </c>
      <c r="AO198" t="n">
        <v>1</v>
      </c>
      <c r="AP198" t="inlineStr">
        <is>
          <t>No</t>
        </is>
      </c>
      <c r="AQ198" t="inlineStr">
        <is>
          <t>Yes</t>
        </is>
      </c>
      <c r="AR198">
        <f>HYPERLINK("http://catalog.hathitrust.org/Record/000320280","HathiTrust Record")</f>
        <v/>
      </c>
      <c r="AS198">
        <f>HYPERLINK("https://creighton-primo.hosted.exlibrisgroup.com/primo-explore/search?tab=default_tab&amp;search_scope=EVERYTHING&amp;vid=01CRU&amp;lang=en_US&amp;offset=0&amp;query=any,contains,991000166309702656","Catalog Record")</f>
        <v/>
      </c>
      <c r="AT198">
        <f>HYPERLINK("http://www.worldcat.org/oclc/9283395","WorldCat Record")</f>
        <v/>
      </c>
      <c r="AU198" t="inlineStr">
        <is>
          <t>309168540:eng</t>
        </is>
      </c>
      <c r="AV198" t="inlineStr">
        <is>
          <t>9283395</t>
        </is>
      </c>
      <c r="AW198" t="inlineStr">
        <is>
          <t>991000166309702656</t>
        </is>
      </c>
      <c r="AX198" t="inlineStr">
        <is>
          <t>991000166309702656</t>
        </is>
      </c>
      <c r="AY198" t="inlineStr">
        <is>
          <t>2261552010002656</t>
        </is>
      </c>
      <c r="AZ198" t="inlineStr">
        <is>
          <t>BOOK</t>
        </is>
      </c>
      <c r="BB198" t="inlineStr">
        <is>
          <t>9780826144300</t>
        </is>
      </c>
      <c r="BC198" t="inlineStr">
        <is>
          <t>32285001626281</t>
        </is>
      </c>
      <c r="BD198" t="inlineStr">
        <is>
          <t>893320878</t>
        </is>
      </c>
    </row>
    <row r="199">
      <c r="A199" t="inlineStr">
        <is>
          <t>No</t>
        </is>
      </c>
      <c r="B199" t="inlineStr">
        <is>
          <t>HQ1064.U5 M38 1987</t>
        </is>
      </c>
      <c r="C199" t="inlineStr">
        <is>
          <t>0                      HQ 1064000U  5                  M  38          1987</t>
        </is>
      </c>
      <c r="D199" t="inlineStr">
        <is>
          <t>Aging &amp; ethnicity / Kyriakos S. Markides, Charles H. Mindel.</t>
        </is>
      </c>
      <c r="F199" t="inlineStr">
        <is>
          <t>No</t>
        </is>
      </c>
      <c r="G199" t="inlineStr">
        <is>
          <t>1</t>
        </is>
      </c>
      <c r="H199" t="inlineStr">
        <is>
          <t>No</t>
        </is>
      </c>
      <c r="I199" t="inlineStr">
        <is>
          <t>No</t>
        </is>
      </c>
      <c r="J199" t="inlineStr">
        <is>
          <t>0</t>
        </is>
      </c>
      <c r="K199" t="inlineStr">
        <is>
          <t>Markides, Kyriakos S.</t>
        </is>
      </c>
      <c r="L199" t="inlineStr">
        <is>
          <t>Newbury Park, Calif. : Sage Publications, c1987.</t>
        </is>
      </c>
      <c r="M199" t="inlineStr">
        <is>
          <t>1987</t>
        </is>
      </c>
      <c r="O199" t="inlineStr">
        <is>
          <t>eng</t>
        </is>
      </c>
      <c r="P199" t="inlineStr">
        <is>
          <t>cau</t>
        </is>
      </c>
      <c r="Q199" t="inlineStr">
        <is>
          <t>Sage library of social research ; v. 163</t>
        </is>
      </c>
      <c r="R199" t="inlineStr">
        <is>
          <t xml:space="preserve">HQ </t>
        </is>
      </c>
      <c r="S199" t="n">
        <v>6</v>
      </c>
      <c r="T199" t="n">
        <v>6</v>
      </c>
      <c r="U199" t="inlineStr">
        <is>
          <t>1998-04-06</t>
        </is>
      </c>
      <c r="V199" t="inlineStr">
        <is>
          <t>1998-04-06</t>
        </is>
      </c>
      <c r="W199" t="inlineStr">
        <is>
          <t>1992-03-30</t>
        </is>
      </c>
      <c r="X199" t="inlineStr">
        <is>
          <t>1992-03-30</t>
        </is>
      </c>
      <c r="Y199" t="n">
        <v>687</v>
      </c>
      <c r="Z199" t="n">
        <v>567</v>
      </c>
      <c r="AA199" t="n">
        <v>572</v>
      </c>
      <c r="AB199" t="n">
        <v>6</v>
      </c>
      <c r="AC199" t="n">
        <v>6</v>
      </c>
      <c r="AD199" t="n">
        <v>23</v>
      </c>
      <c r="AE199" t="n">
        <v>23</v>
      </c>
      <c r="AF199" t="n">
        <v>9</v>
      </c>
      <c r="AG199" t="n">
        <v>9</v>
      </c>
      <c r="AH199" t="n">
        <v>3</v>
      </c>
      <c r="AI199" t="n">
        <v>3</v>
      </c>
      <c r="AJ199" t="n">
        <v>11</v>
      </c>
      <c r="AK199" t="n">
        <v>11</v>
      </c>
      <c r="AL199" t="n">
        <v>5</v>
      </c>
      <c r="AM199" t="n">
        <v>5</v>
      </c>
      <c r="AN199" t="n">
        <v>0</v>
      </c>
      <c r="AO199" t="n">
        <v>0</v>
      </c>
      <c r="AP199" t="inlineStr">
        <is>
          <t>No</t>
        </is>
      </c>
      <c r="AQ199" t="inlineStr">
        <is>
          <t>Yes</t>
        </is>
      </c>
      <c r="AR199">
        <f>HYPERLINK("http://catalog.hathitrust.org/Record/000853354","HathiTrust Record")</f>
        <v/>
      </c>
      <c r="AS199">
        <f>HYPERLINK("https://creighton-primo.hosted.exlibrisgroup.com/primo-explore/search?tab=default_tab&amp;search_scope=EVERYTHING&amp;vid=01CRU&amp;lang=en_US&amp;offset=0&amp;query=any,contains,991000870819702656","Catalog Record")</f>
        <v/>
      </c>
      <c r="AT199">
        <f>HYPERLINK("http://www.worldcat.org/oclc/13792475","WorldCat Record")</f>
        <v/>
      </c>
      <c r="AU199" t="inlineStr">
        <is>
          <t>7850905:eng</t>
        </is>
      </c>
      <c r="AV199" t="inlineStr">
        <is>
          <t>13792475</t>
        </is>
      </c>
      <c r="AW199" t="inlineStr">
        <is>
          <t>991000870819702656</t>
        </is>
      </c>
      <c r="AX199" t="inlineStr">
        <is>
          <t>991000870819702656</t>
        </is>
      </c>
      <c r="AY199" t="inlineStr">
        <is>
          <t>2272805080002656</t>
        </is>
      </c>
      <c r="AZ199" t="inlineStr">
        <is>
          <t>BOOK</t>
        </is>
      </c>
      <c r="BB199" t="inlineStr">
        <is>
          <t>9780803927285</t>
        </is>
      </c>
      <c r="BC199" t="inlineStr">
        <is>
          <t>32285001041184</t>
        </is>
      </c>
      <c r="BD199" t="inlineStr">
        <is>
          <t>893315314</t>
        </is>
      </c>
    </row>
    <row r="200">
      <c r="A200" t="inlineStr">
        <is>
          <t>No</t>
        </is>
      </c>
      <c r="B200" t="inlineStr">
        <is>
          <t>HQ1064.U5 M66 1988</t>
        </is>
      </c>
      <c r="C200" t="inlineStr">
        <is>
          <t>0                      HQ 1064000U  5                  M  66          1988</t>
        </is>
      </c>
      <c r="D200" t="inlineStr">
        <is>
          <t>Abundance of life : human development policies for an aging society / Harry R. Moody.</t>
        </is>
      </c>
      <c r="F200" t="inlineStr">
        <is>
          <t>No</t>
        </is>
      </c>
      <c r="G200" t="inlineStr">
        <is>
          <t>1</t>
        </is>
      </c>
      <c r="H200" t="inlineStr">
        <is>
          <t>No</t>
        </is>
      </c>
      <c r="I200" t="inlineStr">
        <is>
          <t>No</t>
        </is>
      </c>
      <c r="J200" t="inlineStr">
        <is>
          <t>0</t>
        </is>
      </c>
      <c r="K200" t="inlineStr">
        <is>
          <t>Moody, Harry R.</t>
        </is>
      </c>
      <c r="L200" t="inlineStr">
        <is>
          <t>New York : Columbia University Press, 1988.</t>
        </is>
      </c>
      <c r="M200" t="inlineStr">
        <is>
          <t>1988</t>
        </is>
      </c>
      <c r="O200" t="inlineStr">
        <is>
          <t>eng</t>
        </is>
      </c>
      <c r="P200" t="inlineStr">
        <is>
          <t>nyu</t>
        </is>
      </c>
      <c r="Q200" t="inlineStr">
        <is>
          <t>Columbia studies of social gerontology and aging</t>
        </is>
      </c>
      <c r="R200" t="inlineStr">
        <is>
          <t xml:space="preserve">HQ </t>
        </is>
      </c>
      <c r="S200" t="n">
        <v>2</v>
      </c>
      <c r="T200" t="n">
        <v>2</v>
      </c>
      <c r="U200" t="inlineStr">
        <is>
          <t>2000-06-09</t>
        </is>
      </c>
      <c r="V200" t="inlineStr">
        <is>
          <t>2000-06-09</t>
        </is>
      </c>
      <c r="W200" t="inlineStr">
        <is>
          <t>1993-04-26</t>
        </is>
      </c>
      <c r="X200" t="inlineStr">
        <is>
          <t>1993-04-26</t>
        </is>
      </c>
      <c r="Y200" t="n">
        <v>562</v>
      </c>
      <c r="Z200" t="n">
        <v>469</v>
      </c>
      <c r="AA200" t="n">
        <v>757</v>
      </c>
      <c r="AB200" t="n">
        <v>4</v>
      </c>
      <c r="AC200" t="n">
        <v>5</v>
      </c>
      <c r="AD200" t="n">
        <v>22</v>
      </c>
      <c r="AE200" t="n">
        <v>24</v>
      </c>
      <c r="AF200" t="n">
        <v>8</v>
      </c>
      <c r="AG200" t="n">
        <v>9</v>
      </c>
      <c r="AH200" t="n">
        <v>5</v>
      </c>
      <c r="AI200" t="n">
        <v>5</v>
      </c>
      <c r="AJ200" t="n">
        <v>13</v>
      </c>
      <c r="AK200" t="n">
        <v>14</v>
      </c>
      <c r="AL200" t="n">
        <v>3</v>
      </c>
      <c r="AM200" t="n">
        <v>4</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HYPERLINK("https://creighton-primo.hosted.exlibrisgroup.com/primo-explore/search?tab=default_tab&amp;search_scope=EVERYTHING&amp;vid=01CRU&amp;lang=en_US&amp;offset=0&amp;query=any,contains,991001181289702656","Catalog Record")</f>
        <v/>
      </c>
      <c r="AT200">
        <f>HYPERLINK("http://www.worldcat.org/oclc/17108374","WorldCat Record")</f>
        <v/>
      </c>
      <c r="AU200" t="inlineStr">
        <is>
          <t>991335:eng</t>
        </is>
      </c>
      <c r="AV200" t="inlineStr">
        <is>
          <t>17108374</t>
        </is>
      </c>
      <c r="AW200" t="inlineStr">
        <is>
          <t>991001181289702656</t>
        </is>
      </c>
      <c r="AX200" t="inlineStr">
        <is>
          <t>991001181289702656</t>
        </is>
      </c>
      <c r="AY200" t="inlineStr">
        <is>
          <t>2259421910002656</t>
        </is>
      </c>
      <c r="AZ200" t="inlineStr">
        <is>
          <t>BOOK</t>
        </is>
      </c>
      <c r="BB200" t="inlineStr">
        <is>
          <t>9780231065924</t>
        </is>
      </c>
      <c r="BC200" t="inlineStr">
        <is>
          <t>32285001626299</t>
        </is>
      </c>
      <c r="BD200" t="inlineStr">
        <is>
          <t>893515968</t>
        </is>
      </c>
    </row>
    <row r="201">
      <c r="A201" t="inlineStr">
        <is>
          <t>No</t>
        </is>
      </c>
      <c r="B201" t="inlineStr">
        <is>
          <t>HQ1064.U5 N254 1978</t>
        </is>
      </c>
      <c r="C201" t="inlineStr">
        <is>
          <t>0                      HQ 1064000U  5                  N  254         1978</t>
        </is>
      </c>
      <c r="D201" t="inlineStr">
        <is>
          <t>Fact book on aging : a profile of America's older population / Research and Evaluation Department, The National Council on the Aging ; Charles S. Harris, research coordinator.</t>
        </is>
      </c>
      <c r="F201" t="inlineStr">
        <is>
          <t>No</t>
        </is>
      </c>
      <c r="G201" t="inlineStr">
        <is>
          <t>1</t>
        </is>
      </c>
      <c r="H201" t="inlineStr">
        <is>
          <t>No</t>
        </is>
      </c>
      <c r="I201" t="inlineStr">
        <is>
          <t>No</t>
        </is>
      </c>
      <c r="J201" t="inlineStr">
        <is>
          <t>0</t>
        </is>
      </c>
      <c r="K201" t="inlineStr">
        <is>
          <t>National Council on the Aging. Research and Evaluation Department.</t>
        </is>
      </c>
      <c r="L201" t="inlineStr">
        <is>
          <t>Washington : The Council, 1978.</t>
        </is>
      </c>
      <c r="M201" t="inlineStr">
        <is>
          <t>1978</t>
        </is>
      </c>
      <c r="O201" t="inlineStr">
        <is>
          <t>eng</t>
        </is>
      </c>
      <c r="P201" t="inlineStr">
        <is>
          <t>dcu</t>
        </is>
      </c>
      <c r="R201" t="inlineStr">
        <is>
          <t xml:space="preserve">HQ </t>
        </is>
      </c>
      <c r="S201" t="n">
        <v>3</v>
      </c>
      <c r="T201" t="n">
        <v>3</v>
      </c>
      <c r="U201" t="inlineStr">
        <is>
          <t>1994-11-30</t>
        </is>
      </c>
      <c r="V201" t="inlineStr">
        <is>
          <t>1994-11-30</t>
        </is>
      </c>
      <c r="W201" t="inlineStr">
        <is>
          <t>1992-05-13</t>
        </is>
      </c>
      <c r="X201" t="inlineStr">
        <is>
          <t>1992-05-13</t>
        </is>
      </c>
      <c r="Y201" t="n">
        <v>326</v>
      </c>
      <c r="Z201" t="n">
        <v>306</v>
      </c>
      <c r="AA201" t="n">
        <v>333</v>
      </c>
      <c r="AB201" t="n">
        <v>2</v>
      </c>
      <c r="AC201" t="n">
        <v>3</v>
      </c>
      <c r="AD201" t="n">
        <v>7</v>
      </c>
      <c r="AE201" t="n">
        <v>10</v>
      </c>
      <c r="AF201" t="n">
        <v>0</v>
      </c>
      <c r="AG201" t="n">
        <v>1</v>
      </c>
      <c r="AH201" t="n">
        <v>3</v>
      </c>
      <c r="AI201" t="n">
        <v>3</v>
      </c>
      <c r="AJ201" t="n">
        <v>4</v>
      </c>
      <c r="AK201" t="n">
        <v>5</v>
      </c>
      <c r="AL201" t="n">
        <v>0</v>
      </c>
      <c r="AM201" t="n">
        <v>1</v>
      </c>
      <c r="AN201" t="n">
        <v>1</v>
      </c>
      <c r="AO201" t="n">
        <v>1</v>
      </c>
      <c r="AP201" t="inlineStr">
        <is>
          <t>No</t>
        </is>
      </c>
      <c r="AQ201" t="inlineStr">
        <is>
          <t>Yes</t>
        </is>
      </c>
      <c r="AR201">
        <f>HYPERLINK("http://catalog.hathitrust.org/Record/000177715","HathiTrust Record")</f>
        <v/>
      </c>
      <c r="AS201">
        <f>HYPERLINK("https://creighton-primo.hosted.exlibrisgroup.com/primo-explore/search?tab=default_tab&amp;search_scope=EVERYTHING&amp;vid=01CRU&amp;lang=en_US&amp;offset=0&amp;query=any,contains,991005264829702656","Catalog Record")</f>
        <v/>
      </c>
      <c r="AT201">
        <f>HYPERLINK("http://www.worldcat.org/oclc/4036088","WorldCat Record")</f>
        <v/>
      </c>
      <c r="AU201" t="inlineStr">
        <is>
          <t>14266004:eng</t>
        </is>
      </c>
      <c r="AV201" t="inlineStr">
        <is>
          <t>4036088</t>
        </is>
      </c>
      <c r="AW201" t="inlineStr">
        <is>
          <t>991005264829702656</t>
        </is>
      </c>
      <c r="AX201" t="inlineStr">
        <is>
          <t>991005264829702656</t>
        </is>
      </c>
      <c r="AY201" t="inlineStr">
        <is>
          <t>2269583250002656</t>
        </is>
      </c>
      <c r="AZ201" t="inlineStr">
        <is>
          <t>BOOK</t>
        </is>
      </c>
      <c r="BC201" t="inlineStr">
        <is>
          <t>32285001117703</t>
        </is>
      </c>
      <c r="BD201" t="inlineStr">
        <is>
          <t>893424817</t>
        </is>
      </c>
    </row>
    <row r="202">
      <c r="A202" t="inlineStr">
        <is>
          <t>No</t>
        </is>
      </c>
      <c r="B202" t="inlineStr">
        <is>
          <t>HQ1064.U5 O4184 1995</t>
        </is>
      </c>
      <c r="C202" t="inlineStr">
        <is>
          <t>0                      HQ 1064000U  5                  O  4184        1995</t>
        </is>
      </c>
      <c r="D202" t="inlineStr">
        <is>
          <t>Older and active : how Americans over 55 are contributing to society / edited by Scott A. Bass.</t>
        </is>
      </c>
      <c r="F202" t="inlineStr">
        <is>
          <t>No</t>
        </is>
      </c>
      <c r="G202" t="inlineStr">
        <is>
          <t>1</t>
        </is>
      </c>
      <c r="H202" t="inlineStr">
        <is>
          <t>No</t>
        </is>
      </c>
      <c r="I202" t="inlineStr">
        <is>
          <t>No</t>
        </is>
      </c>
      <c r="J202" t="inlineStr">
        <is>
          <t>0</t>
        </is>
      </c>
      <c r="L202" t="inlineStr">
        <is>
          <t>New Haven : Yale University Press, c1995.</t>
        </is>
      </c>
      <c r="M202" t="inlineStr">
        <is>
          <t>1995</t>
        </is>
      </c>
      <c r="O202" t="inlineStr">
        <is>
          <t>eng</t>
        </is>
      </c>
      <c r="P202" t="inlineStr">
        <is>
          <t>ctu</t>
        </is>
      </c>
      <c r="R202" t="inlineStr">
        <is>
          <t xml:space="preserve">HQ </t>
        </is>
      </c>
      <c r="S202" t="n">
        <v>4</v>
      </c>
      <c r="T202" t="n">
        <v>4</v>
      </c>
      <c r="U202" t="inlineStr">
        <is>
          <t>1998-11-15</t>
        </is>
      </c>
      <c r="V202" t="inlineStr">
        <is>
          <t>1998-11-15</t>
        </is>
      </c>
      <c r="W202" t="inlineStr">
        <is>
          <t>1996-05-07</t>
        </is>
      </c>
      <c r="X202" t="inlineStr">
        <is>
          <t>1996-05-07</t>
        </is>
      </c>
      <c r="Y202" t="n">
        <v>355</v>
      </c>
      <c r="Z202" t="n">
        <v>309</v>
      </c>
      <c r="AA202" t="n">
        <v>502</v>
      </c>
      <c r="AB202" t="n">
        <v>3</v>
      </c>
      <c r="AC202" t="n">
        <v>3</v>
      </c>
      <c r="AD202" t="n">
        <v>11</v>
      </c>
      <c r="AE202" t="n">
        <v>23</v>
      </c>
      <c r="AF202" t="n">
        <v>2</v>
      </c>
      <c r="AG202" t="n">
        <v>10</v>
      </c>
      <c r="AH202" t="n">
        <v>3</v>
      </c>
      <c r="AI202" t="n">
        <v>6</v>
      </c>
      <c r="AJ202" t="n">
        <v>8</v>
      </c>
      <c r="AK202" t="n">
        <v>14</v>
      </c>
      <c r="AL202" t="n">
        <v>2</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HYPERLINK("https://creighton-primo.hosted.exlibrisgroup.com/primo-explore/search?tab=default_tab&amp;search_scope=EVERYTHING&amp;vid=01CRU&amp;lang=en_US&amp;offset=0&amp;query=any,contains,991002460139702656","Catalog Record")</f>
        <v/>
      </c>
      <c r="AT202">
        <f>HYPERLINK("http://www.worldcat.org/oclc/32051634","WorldCat Record")</f>
        <v/>
      </c>
      <c r="AU202" t="inlineStr">
        <is>
          <t>1807830826:eng</t>
        </is>
      </c>
      <c r="AV202" t="inlineStr">
        <is>
          <t>32051634</t>
        </is>
      </c>
      <c r="AW202" t="inlineStr">
        <is>
          <t>991002460139702656</t>
        </is>
      </c>
      <c r="AX202" t="inlineStr">
        <is>
          <t>991002460139702656</t>
        </is>
      </c>
      <c r="AY202" t="inlineStr">
        <is>
          <t>2270189830002656</t>
        </is>
      </c>
      <c r="AZ202" t="inlineStr">
        <is>
          <t>BOOK</t>
        </is>
      </c>
      <c r="BB202" t="inlineStr">
        <is>
          <t>9780300063264</t>
        </is>
      </c>
      <c r="BC202" t="inlineStr">
        <is>
          <t>32285002165131</t>
        </is>
      </c>
      <c r="BD202" t="inlineStr">
        <is>
          <t>893257317</t>
        </is>
      </c>
    </row>
    <row r="203">
      <c r="A203" t="inlineStr">
        <is>
          <t>No</t>
        </is>
      </c>
      <c r="B203" t="inlineStr">
        <is>
          <t>HQ1064.U5 O419 1994</t>
        </is>
      </c>
      <c r="C203" t="inlineStr">
        <is>
          <t>0                      HQ 1064000U  5                  O  419         1994</t>
        </is>
      </c>
      <c r="D203" t="inlineStr">
        <is>
          <t>Older men's lives / edited by Edward H. Thompson, Jr.</t>
        </is>
      </c>
      <c r="F203" t="inlineStr">
        <is>
          <t>No</t>
        </is>
      </c>
      <c r="G203" t="inlineStr">
        <is>
          <t>1</t>
        </is>
      </c>
      <c r="H203" t="inlineStr">
        <is>
          <t>No</t>
        </is>
      </c>
      <c r="I203" t="inlineStr">
        <is>
          <t>No</t>
        </is>
      </c>
      <c r="J203" t="inlineStr">
        <is>
          <t>0</t>
        </is>
      </c>
      <c r="L203" t="inlineStr">
        <is>
          <t>Thousand Oaks, Calif. : Sage Publications, c1994.</t>
        </is>
      </c>
      <c r="M203" t="inlineStr">
        <is>
          <t>1994</t>
        </is>
      </c>
      <c r="O203" t="inlineStr">
        <is>
          <t>eng</t>
        </is>
      </c>
      <c r="P203" t="inlineStr">
        <is>
          <t>cau</t>
        </is>
      </c>
      <c r="Q203" t="inlineStr">
        <is>
          <t>Research on men and masculinities series ; 6</t>
        </is>
      </c>
      <c r="R203" t="inlineStr">
        <is>
          <t xml:space="preserve">HQ </t>
        </is>
      </c>
      <c r="S203" t="n">
        <v>2</v>
      </c>
      <c r="T203" t="n">
        <v>2</v>
      </c>
      <c r="U203" t="inlineStr">
        <is>
          <t>1994-12-16</t>
        </is>
      </c>
      <c r="V203" t="inlineStr">
        <is>
          <t>1994-12-16</t>
        </is>
      </c>
      <c r="W203" t="inlineStr">
        <is>
          <t>1994-11-22</t>
        </is>
      </c>
      <c r="X203" t="inlineStr">
        <is>
          <t>1994-11-22</t>
        </is>
      </c>
      <c r="Y203" t="n">
        <v>432</v>
      </c>
      <c r="Z203" t="n">
        <v>334</v>
      </c>
      <c r="AA203" t="n">
        <v>1025</v>
      </c>
      <c r="AB203" t="n">
        <v>3</v>
      </c>
      <c r="AC203" t="n">
        <v>15</v>
      </c>
      <c r="AD203" t="n">
        <v>16</v>
      </c>
      <c r="AE203" t="n">
        <v>41</v>
      </c>
      <c r="AF203" t="n">
        <v>7</v>
      </c>
      <c r="AG203" t="n">
        <v>13</v>
      </c>
      <c r="AH203" t="n">
        <v>4</v>
      </c>
      <c r="AI203" t="n">
        <v>8</v>
      </c>
      <c r="AJ203" t="n">
        <v>7</v>
      </c>
      <c r="AK203" t="n">
        <v>13</v>
      </c>
      <c r="AL203" t="n">
        <v>2</v>
      </c>
      <c r="AM203" t="n">
        <v>13</v>
      </c>
      <c r="AN203" t="n">
        <v>0</v>
      </c>
      <c r="AO203" t="n">
        <v>1</v>
      </c>
      <c r="AP203" t="inlineStr">
        <is>
          <t>No</t>
        </is>
      </c>
      <c r="AQ203" t="inlineStr">
        <is>
          <t>Yes</t>
        </is>
      </c>
      <c r="AR203">
        <f>HYPERLINK("http://catalog.hathitrust.org/Record/002887116","HathiTrust Record")</f>
        <v/>
      </c>
      <c r="AS203">
        <f>HYPERLINK("https://creighton-primo.hosted.exlibrisgroup.com/primo-explore/search?tab=default_tab&amp;search_scope=EVERYTHING&amp;vid=01CRU&amp;lang=en_US&amp;offset=0&amp;query=any,contains,991002319309702656","Catalog Record")</f>
        <v/>
      </c>
      <c r="AT203">
        <f>HYPERLINK("http://www.worldcat.org/oclc/30078803","WorldCat Record")</f>
        <v/>
      </c>
      <c r="AU203" t="inlineStr">
        <is>
          <t>32228998:eng</t>
        </is>
      </c>
      <c r="AV203" t="inlineStr">
        <is>
          <t>30078803</t>
        </is>
      </c>
      <c r="AW203" t="inlineStr">
        <is>
          <t>991002319309702656</t>
        </is>
      </c>
      <c r="AX203" t="inlineStr">
        <is>
          <t>991002319309702656</t>
        </is>
      </c>
      <c r="AY203" t="inlineStr">
        <is>
          <t>2256315460002656</t>
        </is>
      </c>
      <c r="AZ203" t="inlineStr">
        <is>
          <t>BOOK</t>
        </is>
      </c>
      <c r="BB203" t="inlineStr">
        <is>
          <t>9780803950801</t>
        </is>
      </c>
      <c r="BC203" t="inlineStr">
        <is>
          <t>32285001959294</t>
        </is>
      </c>
      <c r="BD203" t="inlineStr">
        <is>
          <t>893603448</t>
        </is>
      </c>
    </row>
    <row r="204">
      <c r="A204" t="inlineStr">
        <is>
          <t>No</t>
        </is>
      </c>
      <c r="B204" t="inlineStr">
        <is>
          <t>HQ1064.U5 P33 1988</t>
        </is>
      </c>
      <c r="C204" t="inlineStr">
        <is>
          <t>0                      HQ 1064000U  5                  P  33          1988</t>
        </is>
      </c>
      <c r="D204" t="inlineStr">
        <is>
          <t>Black elderly in rural America : a comprehensive study / Arnold G. Parks.</t>
        </is>
      </c>
      <c r="F204" t="inlineStr">
        <is>
          <t>No</t>
        </is>
      </c>
      <c r="G204" t="inlineStr">
        <is>
          <t>1</t>
        </is>
      </c>
      <c r="H204" t="inlineStr">
        <is>
          <t>No</t>
        </is>
      </c>
      <c r="I204" t="inlineStr">
        <is>
          <t>No</t>
        </is>
      </c>
      <c r="J204" t="inlineStr">
        <is>
          <t>0</t>
        </is>
      </c>
      <c r="K204" t="inlineStr">
        <is>
          <t>Parks, Arnold G.</t>
        </is>
      </c>
      <c r="L204" t="inlineStr">
        <is>
          <t>Bristol, Ind., U.S.A. : Wyndham Hall Press, c1988.</t>
        </is>
      </c>
      <c r="M204" t="inlineStr">
        <is>
          <t>1988</t>
        </is>
      </c>
      <c r="O204" t="inlineStr">
        <is>
          <t>eng</t>
        </is>
      </c>
      <c r="P204" t="inlineStr">
        <is>
          <t>inu</t>
        </is>
      </c>
      <c r="R204" t="inlineStr">
        <is>
          <t xml:space="preserve">HQ </t>
        </is>
      </c>
      <c r="S204" t="n">
        <v>2</v>
      </c>
      <c r="T204" t="n">
        <v>2</v>
      </c>
      <c r="U204" t="inlineStr">
        <is>
          <t>1993-10-05</t>
        </is>
      </c>
      <c r="V204" t="inlineStr">
        <is>
          <t>1993-10-05</t>
        </is>
      </c>
      <c r="W204" t="inlineStr">
        <is>
          <t>1993-04-26</t>
        </is>
      </c>
      <c r="X204" t="inlineStr">
        <is>
          <t>1993-04-26</t>
        </is>
      </c>
      <c r="Y204" t="n">
        <v>340</v>
      </c>
      <c r="Z204" t="n">
        <v>338</v>
      </c>
      <c r="AA204" t="n">
        <v>344</v>
      </c>
      <c r="AB204" t="n">
        <v>2</v>
      </c>
      <c r="AC204" t="n">
        <v>2</v>
      </c>
      <c r="AD204" t="n">
        <v>12</v>
      </c>
      <c r="AE204" t="n">
        <v>12</v>
      </c>
      <c r="AF204" t="n">
        <v>3</v>
      </c>
      <c r="AG204" t="n">
        <v>3</v>
      </c>
      <c r="AH204" t="n">
        <v>3</v>
      </c>
      <c r="AI204" t="n">
        <v>3</v>
      </c>
      <c r="AJ204" t="n">
        <v>6</v>
      </c>
      <c r="AK204" t="n">
        <v>6</v>
      </c>
      <c r="AL204" t="n">
        <v>1</v>
      </c>
      <c r="AM204" t="n">
        <v>1</v>
      </c>
      <c r="AN204" t="n">
        <v>1</v>
      </c>
      <c r="AO204" t="n">
        <v>1</v>
      </c>
      <c r="AP204" t="inlineStr">
        <is>
          <t>No</t>
        </is>
      </c>
      <c r="AQ204" t="inlineStr">
        <is>
          <t>Yes</t>
        </is>
      </c>
      <c r="AR204">
        <f>HYPERLINK("http://catalog.hathitrust.org/Record/008317992","HathiTrust Record")</f>
        <v/>
      </c>
      <c r="AS204">
        <f>HYPERLINK("https://creighton-primo.hosted.exlibrisgroup.com/primo-explore/search?tab=default_tab&amp;search_scope=EVERYTHING&amp;vid=01CRU&amp;lang=en_US&amp;offset=0&amp;query=any,contains,991001400719702656","Catalog Record")</f>
        <v/>
      </c>
      <c r="AT204">
        <f>HYPERLINK("http://www.worldcat.org/oclc/18817114","WorldCat Record")</f>
        <v/>
      </c>
      <c r="AU204" t="inlineStr">
        <is>
          <t>475815123:eng</t>
        </is>
      </c>
      <c r="AV204" t="inlineStr">
        <is>
          <t>18817114</t>
        </is>
      </c>
      <c r="AW204" t="inlineStr">
        <is>
          <t>991001400719702656</t>
        </is>
      </c>
      <c r="AX204" t="inlineStr">
        <is>
          <t>991001400719702656</t>
        </is>
      </c>
      <c r="AY204" t="inlineStr">
        <is>
          <t>2266475840002656</t>
        </is>
      </c>
      <c r="AZ204" t="inlineStr">
        <is>
          <t>BOOK</t>
        </is>
      </c>
      <c r="BB204" t="inlineStr">
        <is>
          <t>9781556050558</t>
        </is>
      </c>
      <c r="BC204" t="inlineStr">
        <is>
          <t>32285001626323</t>
        </is>
      </c>
      <c r="BD204" t="inlineStr">
        <is>
          <t>893340412</t>
        </is>
      </c>
    </row>
    <row r="205">
      <c r="A205" t="inlineStr">
        <is>
          <t>No</t>
        </is>
      </c>
      <c r="B205" t="inlineStr">
        <is>
          <t>HQ1064.U5 P47</t>
        </is>
      </c>
      <c r="C205" t="inlineStr">
        <is>
          <t>0                      HQ 1064000U  5                  P  47</t>
        </is>
      </c>
      <c r="D205" t="inlineStr">
        <is>
          <t>Gerontology instruction in higher education / David A. Peterson, Christopher R. Bolton.</t>
        </is>
      </c>
      <c r="F205" t="inlineStr">
        <is>
          <t>No</t>
        </is>
      </c>
      <c r="G205" t="inlineStr">
        <is>
          <t>1</t>
        </is>
      </c>
      <c r="H205" t="inlineStr">
        <is>
          <t>No</t>
        </is>
      </c>
      <c r="I205" t="inlineStr">
        <is>
          <t>No</t>
        </is>
      </c>
      <c r="J205" t="inlineStr">
        <is>
          <t>0</t>
        </is>
      </c>
      <c r="K205" t="inlineStr">
        <is>
          <t>Peterson, David A. (David Alan), 1937-</t>
        </is>
      </c>
      <c r="L205" t="inlineStr">
        <is>
          <t>New York : Springer Pub. Co., c1980.</t>
        </is>
      </c>
      <c r="M205" t="inlineStr">
        <is>
          <t>1980</t>
        </is>
      </c>
      <c r="O205" t="inlineStr">
        <is>
          <t>eng</t>
        </is>
      </c>
      <c r="P205" t="inlineStr">
        <is>
          <t>nyu</t>
        </is>
      </c>
      <c r="Q205" t="inlineStr">
        <is>
          <t>Springer series on adulthood and aging ; 6</t>
        </is>
      </c>
      <c r="R205" t="inlineStr">
        <is>
          <t xml:space="preserve">HQ </t>
        </is>
      </c>
      <c r="S205" t="n">
        <v>2</v>
      </c>
      <c r="T205" t="n">
        <v>2</v>
      </c>
      <c r="U205" t="inlineStr">
        <is>
          <t>2001-10-10</t>
        </is>
      </c>
      <c r="V205" t="inlineStr">
        <is>
          <t>2001-10-10</t>
        </is>
      </c>
      <c r="W205" t="inlineStr">
        <is>
          <t>1993-04-26</t>
        </is>
      </c>
      <c r="X205" t="inlineStr">
        <is>
          <t>1993-04-26</t>
        </is>
      </c>
      <c r="Y205" t="n">
        <v>286</v>
      </c>
      <c r="Z205" t="n">
        <v>252</v>
      </c>
      <c r="AA205" t="n">
        <v>260</v>
      </c>
      <c r="AB205" t="n">
        <v>2</v>
      </c>
      <c r="AC205" t="n">
        <v>2</v>
      </c>
      <c r="AD205" t="n">
        <v>10</v>
      </c>
      <c r="AE205" t="n">
        <v>10</v>
      </c>
      <c r="AF205" t="n">
        <v>3</v>
      </c>
      <c r="AG205" t="n">
        <v>3</v>
      </c>
      <c r="AH205" t="n">
        <v>2</v>
      </c>
      <c r="AI205" t="n">
        <v>2</v>
      </c>
      <c r="AJ205" t="n">
        <v>4</v>
      </c>
      <c r="AK205" t="n">
        <v>4</v>
      </c>
      <c r="AL205" t="n">
        <v>1</v>
      </c>
      <c r="AM205" t="n">
        <v>1</v>
      </c>
      <c r="AN205" t="n">
        <v>0</v>
      </c>
      <c r="AO205" t="n">
        <v>0</v>
      </c>
      <c r="AP205" t="inlineStr">
        <is>
          <t>No</t>
        </is>
      </c>
      <c r="AQ205" t="inlineStr">
        <is>
          <t>Yes</t>
        </is>
      </c>
      <c r="AR205">
        <f>HYPERLINK("http://catalog.hathitrust.org/Record/000700126","HathiTrust Record")</f>
        <v/>
      </c>
      <c r="AS205">
        <f>HYPERLINK("https://creighton-primo.hosted.exlibrisgroup.com/primo-explore/search?tab=default_tab&amp;search_scope=EVERYTHING&amp;vid=01CRU&amp;lang=en_US&amp;offset=0&amp;query=any,contains,991004839189702656","Catalog Record")</f>
        <v/>
      </c>
      <c r="AT205">
        <f>HYPERLINK("http://www.worldcat.org/oclc/5492485","WorldCat Record")</f>
        <v/>
      </c>
      <c r="AU205" t="inlineStr">
        <is>
          <t>18009911:eng</t>
        </is>
      </c>
      <c r="AV205" t="inlineStr">
        <is>
          <t>5492485</t>
        </is>
      </c>
      <c r="AW205" t="inlineStr">
        <is>
          <t>991004839189702656</t>
        </is>
      </c>
      <c r="AX205" t="inlineStr">
        <is>
          <t>991004839189702656</t>
        </is>
      </c>
      <c r="AY205" t="inlineStr">
        <is>
          <t>2266957010002656</t>
        </is>
      </c>
      <c r="AZ205" t="inlineStr">
        <is>
          <t>BOOK</t>
        </is>
      </c>
      <c r="BB205" t="inlineStr">
        <is>
          <t>9780826128607</t>
        </is>
      </c>
      <c r="BC205" t="inlineStr">
        <is>
          <t>32285001626331</t>
        </is>
      </c>
      <c r="BD205" t="inlineStr">
        <is>
          <t>893895551</t>
        </is>
      </c>
    </row>
    <row r="206">
      <c r="A206" t="inlineStr">
        <is>
          <t>No</t>
        </is>
      </c>
      <c r="B206" t="inlineStr">
        <is>
          <t>HQ1064.U5 P48</t>
        </is>
      </c>
      <c r="C206" t="inlineStr">
        <is>
          <t>0                      HQ 1064000U  5                  P  48</t>
        </is>
      </c>
      <c r="D206" t="inlineStr">
        <is>
          <t>Love in the later years : the emotional, physical, sexual, and social potential of the elderly / by James A. Peterson and Barbara Payne.</t>
        </is>
      </c>
      <c r="F206" t="inlineStr">
        <is>
          <t>No</t>
        </is>
      </c>
      <c r="G206" t="inlineStr">
        <is>
          <t>1</t>
        </is>
      </c>
      <c r="H206" t="inlineStr">
        <is>
          <t>No</t>
        </is>
      </c>
      <c r="I206" t="inlineStr">
        <is>
          <t>No</t>
        </is>
      </c>
      <c r="J206" t="inlineStr">
        <is>
          <t>0</t>
        </is>
      </c>
      <c r="K206" t="inlineStr">
        <is>
          <t>Peterson, James Alfred.</t>
        </is>
      </c>
      <c r="L206" t="inlineStr">
        <is>
          <t>New York : Association Press, [1975]</t>
        </is>
      </c>
      <c r="M206" t="inlineStr">
        <is>
          <t>1975</t>
        </is>
      </c>
      <c r="O206" t="inlineStr">
        <is>
          <t>eng</t>
        </is>
      </c>
      <c r="P206" t="inlineStr">
        <is>
          <t>nyu</t>
        </is>
      </c>
      <c r="R206" t="inlineStr">
        <is>
          <t xml:space="preserve">HQ </t>
        </is>
      </c>
      <c r="S206" t="n">
        <v>2</v>
      </c>
      <c r="T206" t="n">
        <v>2</v>
      </c>
      <c r="U206" t="inlineStr">
        <is>
          <t>1998-04-29</t>
        </is>
      </c>
      <c r="V206" t="inlineStr">
        <is>
          <t>1998-04-29</t>
        </is>
      </c>
      <c r="W206" t="inlineStr">
        <is>
          <t>1997-08-14</t>
        </is>
      </c>
      <c r="X206" t="inlineStr">
        <is>
          <t>1997-08-14</t>
        </is>
      </c>
      <c r="Y206" t="n">
        <v>305</v>
      </c>
      <c r="Z206" t="n">
        <v>273</v>
      </c>
      <c r="AA206" t="n">
        <v>281</v>
      </c>
      <c r="AB206" t="n">
        <v>2</v>
      </c>
      <c r="AC206" t="n">
        <v>2</v>
      </c>
      <c r="AD206" t="n">
        <v>6</v>
      </c>
      <c r="AE206" t="n">
        <v>6</v>
      </c>
      <c r="AF206" t="n">
        <v>2</v>
      </c>
      <c r="AG206" t="n">
        <v>2</v>
      </c>
      <c r="AH206" t="n">
        <v>2</v>
      </c>
      <c r="AI206" t="n">
        <v>2</v>
      </c>
      <c r="AJ206" t="n">
        <v>2</v>
      </c>
      <c r="AK206" t="n">
        <v>2</v>
      </c>
      <c r="AL206" t="n">
        <v>1</v>
      </c>
      <c r="AM206" t="n">
        <v>1</v>
      </c>
      <c r="AN206" t="n">
        <v>0</v>
      </c>
      <c r="AO206" t="n">
        <v>0</v>
      </c>
      <c r="AP206" t="inlineStr">
        <is>
          <t>No</t>
        </is>
      </c>
      <c r="AQ206" t="inlineStr">
        <is>
          <t>Yes</t>
        </is>
      </c>
      <c r="AR206">
        <f>HYPERLINK("http://catalog.hathitrust.org/Record/000022852","HathiTrust Record")</f>
        <v/>
      </c>
      <c r="AS206">
        <f>HYPERLINK("https://creighton-primo.hosted.exlibrisgroup.com/primo-explore/search?tab=default_tab&amp;search_scope=EVERYTHING&amp;vid=01CRU&amp;lang=en_US&amp;offset=0&amp;query=any,contains,991003636799702656","Catalog Record")</f>
        <v/>
      </c>
      <c r="AT206">
        <f>HYPERLINK("http://www.worldcat.org/oclc/1230719","WorldCat Record")</f>
        <v/>
      </c>
      <c r="AU206" t="inlineStr">
        <is>
          <t>309857338:eng</t>
        </is>
      </c>
      <c r="AV206" t="inlineStr">
        <is>
          <t>1230719</t>
        </is>
      </c>
      <c r="AW206" t="inlineStr">
        <is>
          <t>991003636799702656</t>
        </is>
      </c>
      <c r="AX206" t="inlineStr">
        <is>
          <t>991003636799702656</t>
        </is>
      </c>
      <c r="AY206" t="inlineStr">
        <is>
          <t>2261721060002656</t>
        </is>
      </c>
      <c r="AZ206" t="inlineStr">
        <is>
          <t>BOOK</t>
        </is>
      </c>
      <c r="BB206" t="inlineStr">
        <is>
          <t>9780809618989</t>
        </is>
      </c>
      <c r="BC206" t="inlineStr">
        <is>
          <t>32285003103594</t>
        </is>
      </c>
      <c r="BD206" t="inlineStr">
        <is>
          <t>893900205</t>
        </is>
      </c>
    </row>
    <row r="207">
      <c r="A207" t="inlineStr">
        <is>
          <t>No</t>
        </is>
      </c>
      <c r="B207" t="inlineStr">
        <is>
          <t>HQ1064.U5 P62 2002</t>
        </is>
      </c>
      <c r="C207" t="inlineStr">
        <is>
          <t>0                      HQ 1064000U  5                  P  62          2002</t>
        </is>
      </c>
      <c r="D207" t="inlineStr">
        <is>
          <t>Policies for an aging society / edited by Stuart H. Altman and David I. Shactman.</t>
        </is>
      </c>
      <c r="F207" t="inlineStr">
        <is>
          <t>No</t>
        </is>
      </c>
      <c r="G207" t="inlineStr">
        <is>
          <t>1</t>
        </is>
      </c>
      <c r="H207" t="inlineStr">
        <is>
          <t>No</t>
        </is>
      </c>
      <c r="I207" t="inlineStr">
        <is>
          <t>No</t>
        </is>
      </c>
      <c r="J207" t="inlineStr">
        <is>
          <t>0</t>
        </is>
      </c>
      <c r="L207" t="inlineStr">
        <is>
          <t>Baltimore : Johns Hopkins University Press, c2002.</t>
        </is>
      </c>
      <c r="M207" t="inlineStr">
        <is>
          <t>2002</t>
        </is>
      </c>
      <c r="O207" t="inlineStr">
        <is>
          <t>eng</t>
        </is>
      </c>
      <c r="P207" t="inlineStr">
        <is>
          <t>mdu</t>
        </is>
      </c>
      <c r="R207" t="inlineStr">
        <is>
          <t xml:space="preserve">HQ </t>
        </is>
      </c>
      <c r="S207" t="n">
        <v>4</v>
      </c>
      <c r="T207" t="n">
        <v>4</v>
      </c>
      <c r="U207" t="inlineStr">
        <is>
          <t>2007-09-13</t>
        </is>
      </c>
      <c r="V207" t="inlineStr">
        <is>
          <t>2007-09-13</t>
        </is>
      </c>
      <c r="W207" t="inlineStr">
        <is>
          <t>2003-01-09</t>
        </is>
      </c>
      <c r="X207" t="inlineStr">
        <is>
          <t>2003-01-09</t>
        </is>
      </c>
      <c r="Y207" t="n">
        <v>629</v>
      </c>
      <c r="Z207" t="n">
        <v>553</v>
      </c>
      <c r="AA207" t="n">
        <v>561</v>
      </c>
      <c r="AB207" t="n">
        <v>5</v>
      </c>
      <c r="AC207" t="n">
        <v>5</v>
      </c>
      <c r="AD207" t="n">
        <v>28</v>
      </c>
      <c r="AE207" t="n">
        <v>28</v>
      </c>
      <c r="AF207" t="n">
        <v>13</v>
      </c>
      <c r="AG207" t="n">
        <v>13</v>
      </c>
      <c r="AH207" t="n">
        <v>4</v>
      </c>
      <c r="AI207" t="n">
        <v>4</v>
      </c>
      <c r="AJ207" t="n">
        <v>10</v>
      </c>
      <c r="AK207" t="n">
        <v>10</v>
      </c>
      <c r="AL207" t="n">
        <v>4</v>
      </c>
      <c r="AM207" t="n">
        <v>4</v>
      </c>
      <c r="AN207" t="n">
        <v>1</v>
      </c>
      <c r="AO207" t="n">
        <v>1</v>
      </c>
      <c r="AP207" t="inlineStr">
        <is>
          <t>No</t>
        </is>
      </c>
      <c r="AQ207" t="inlineStr">
        <is>
          <t>Yes</t>
        </is>
      </c>
      <c r="AR207">
        <f>HYPERLINK("http://catalog.hathitrust.org/Record/004260914","HathiTrust Record")</f>
        <v/>
      </c>
      <c r="AS207">
        <f>HYPERLINK("https://creighton-primo.hosted.exlibrisgroup.com/primo-explore/search?tab=default_tab&amp;search_scope=EVERYTHING&amp;vid=01CRU&amp;lang=en_US&amp;offset=0&amp;query=any,contains,991003934239702656","Catalog Record")</f>
        <v/>
      </c>
      <c r="AT207">
        <f>HYPERLINK("http://www.worldcat.org/oclc/47798262","WorldCat Record")</f>
        <v/>
      </c>
      <c r="AU207" t="inlineStr">
        <is>
          <t>352360721:eng</t>
        </is>
      </c>
      <c r="AV207" t="inlineStr">
        <is>
          <t>47798262</t>
        </is>
      </c>
      <c r="AW207" t="inlineStr">
        <is>
          <t>991003934239702656</t>
        </is>
      </c>
      <c r="AX207" t="inlineStr">
        <is>
          <t>991003934239702656</t>
        </is>
      </c>
      <c r="AY207" t="inlineStr">
        <is>
          <t>2264368570002656</t>
        </is>
      </c>
      <c r="AZ207" t="inlineStr">
        <is>
          <t>BOOK</t>
        </is>
      </c>
      <c r="BB207" t="inlineStr">
        <is>
          <t>9780801869075</t>
        </is>
      </c>
      <c r="BC207" t="inlineStr">
        <is>
          <t>32285004693031</t>
        </is>
      </c>
      <c r="BD207" t="inlineStr">
        <is>
          <t>893699609</t>
        </is>
      </c>
    </row>
    <row r="208">
      <c r="A208" t="inlineStr">
        <is>
          <t>No</t>
        </is>
      </c>
      <c r="B208" t="inlineStr">
        <is>
          <t>HQ1064.U5 P76</t>
        </is>
      </c>
      <c r="C208" t="inlineStr">
        <is>
          <t>0                      HQ 1064000U  5                  P  76</t>
        </is>
      </c>
      <c r="D208" t="inlineStr">
        <is>
          <t>Public policies for an aging population / edited by Elizabeth W. Markson, Gretchen R. Batra.</t>
        </is>
      </c>
      <c r="F208" t="inlineStr">
        <is>
          <t>No</t>
        </is>
      </c>
      <c r="G208" t="inlineStr">
        <is>
          <t>1</t>
        </is>
      </c>
      <c r="H208" t="inlineStr">
        <is>
          <t>No</t>
        </is>
      </c>
      <c r="I208" t="inlineStr">
        <is>
          <t>No</t>
        </is>
      </c>
      <c r="J208" t="inlineStr">
        <is>
          <t>0</t>
        </is>
      </c>
      <c r="L208" t="inlineStr">
        <is>
          <t>Lexington, Mass. : Lexington Books, c1980.</t>
        </is>
      </c>
      <c r="M208" t="inlineStr">
        <is>
          <t>1980</t>
        </is>
      </c>
      <c r="O208" t="inlineStr">
        <is>
          <t>eng</t>
        </is>
      </c>
      <c r="P208" t="inlineStr">
        <is>
          <t>mau</t>
        </is>
      </c>
      <c r="Q208" t="inlineStr">
        <is>
          <t>The Boston University series in gerontology</t>
        </is>
      </c>
      <c r="R208" t="inlineStr">
        <is>
          <t xml:space="preserve">HQ </t>
        </is>
      </c>
      <c r="S208" t="n">
        <v>5</v>
      </c>
      <c r="T208" t="n">
        <v>5</v>
      </c>
      <c r="U208" t="inlineStr">
        <is>
          <t>1998-10-31</t>
        </is>
      </c>
      <c r="V208" t="inlineStr">
        <is>
          <t>1998-10-31</t>
        </is>
      </c>
      <c r="W208" t="inlineStr">
        <is>
          <t>1993-04-26</t>
        </is>
      </c>
      <c r="X208" t="inlineStr">
        <is>
          <t>1993-04-26</t>
        </is>
      </c>
      <c r="Y208" t="n">
        <v>487</v>
      </c>
      <c r="Z208" t="n">
        <v>404</v>
      </c>
      <c r="AA208" t="n">
        <v>406</v>
      </c>
      <c r="AB208" t="n">
        <v>5</v>
      </c>
      <c r="AC208" t="n">
        <v>5</v>
      </c>
      <c r="AD208" t="n">
        <v>17</v>
      </c>
      <c r="AE208" t="n">
        <v>17</v>
      </c>
      <c r="AF208" t="n">
        <v>5</v>
      </c>
      <c r="AG208" t="n">
        <v>5</v>
      </c>
      <c r="AH208" t="n">
        <v>2</v>
      </c>
      <c r="AI208" t="n">
        <v>2</v>
      </c>
      <c r="AJ208" t="n">
        <v>7</v>
      </c>
      <c r="AK208" t="n">
        <v>7</v>
      </c>
      <c r="AL208" t="n">
        <v>4</v>
      </c>
      <c r="AM208" t="n">
        <v>4</v>
      </c>
      <c r="AN208" t="n">
        <v>3</v>
      </c>
      <c r="AO208" t="n">
        <v>3</v>
      </c>
      <c r="AP208" t="inlineStr">
        <is>
          <t>No</t>
        </is>
      </c>
      <c r="AQ208" t="inlineStr">
        <is>
          <t>Yes</t>
        </is>
      </c>
      <c r="AR208">
        <f>HYPERLINK("http://catalog.hathitrust.org/Record/000738535","HathiTrust Record")</f>
        <v/>
      </c>
      <c r="AS208">
        <f>HYPERLINK("https://creighton-primo.hosted.exlibrisgroup.com/primo-explore/search?tab=default_tab&amp;search_scope=EVERYTHING&amp;vid=01CRU&amp;lang=en_US&amp;offset=0&amp;query=any,contains,991004973499702656","Catalog Record")</f>
        <v/>
      </c>
      <c r="AT208">
        <f>HYPERLINK("http://www.worldcat.org/oclc/6377387","WorldCat Record")</f>
        <v/>
      </c>
      <c r="AU208" t="inlineStr">
        <is>
          <t>353607095:eng</t>
        </is>
      </c>
      <c r="AV208" t="inlineStr">
        <is>
          <t>6377387</t>
        </is>
      </c>
      <c r="AW208" t="inlineStr">
        <is>
          <t>991004973499702656</t>
        </is>
      </c>
      <c r="AX208" t="inlineStr">
        <is>
          <t>991004973499702656</t>
        </is>
      </c>
      <c r="AY208" t="inlineStr">
        <is>
          <t>2269322040002656</t>
        </is>
      </c>
      <c r="AZ208" t="inlineStr">
        <is>
          <t>BOOK</t>
        </is>
      </c>
      <c r="BC208" t="inlineStr">
        <is>
          <t>32285001626372</t>
        </is>
      </c>
      <c r="BD208" t="inlineStr">
        <is>
          <t>893600441</t>
        </is>
      </c>
    </row>
    <row r="209">
      <c r="A209" t="inlineStr">
        <is>
          <t>No</t>
        </is>
      </c>
      <c r="B209" t="inlineStr">
        <is>
          <t>HQ1064.U5 R384 1989</t>
        </is>
      </c>
      <c r="C209" t="inlineStr">
        <is>
          <t>0                      HQ 1064000U  5                  R  384         1989</t>
        </is>
      </c>
      <c r="D209" t="inlineStr">
        <is>
          <t>Understanding older adults : an experiential approach to learning / Valerie L. Remnet ; foreword by David A. Peterson.</t>
        </is>
      </c>
      <c r="F209" t="inlineStr">
        <is>
          <t>No</t>
        </is>
      </c>
      <c r="G209" t="inlineStr">
        <is>
          <t>1</t>
        </is>
      </c>
      <c r="H209" t="inlineStr">
        <is>
          <t>No</t>
        </is>
      </c>
      <c r="I209" t="inlineStr">
        <is>
          <t>No</t>
        </is>
      </c>
      <c r="J209" t="inlineStr">
        <is>
          <t>0</t>
        </is>
      </c>
      <c r="K209" t="inlineStr">
        <is>
          <t>Remnet, Valerie.</t>
        </is>
      </c>
      <c r="L209" t="inlineStr">
        <is>
          <t>Lexington, Mass. : Lexington Books, c1989.</t>
        </is>
      </c>
      <c r="M209" t="inlineStr">
        <is>
          <t>1989</t>
        </is>
      </c>
      <c r="O209" t="inlineStr">
        <is>
          <t>eng</t>
        </is>
      </c>
      <c r="P209" t="inlineStr">
        <is>
          <t>mau</t>
        </is>
      </c>
      <c r="R209" t="inlineStr">
        <is>
          <t xml:space="preserve">HQ </t>
        </is>
      </c>
      <c r="S209" t="n">
        <v>1</v>
      </c>
      <c r="T209" t="n">
        <v>1</v>
      </c>
      <c r="U209" t="inlineStr">
        <is>
          <t>2001-10-10</t>
        </is>
      </c>
      <c r="V209" t="inlineStr">
        <is>
          <t>2001-10-10</t>
        </is>
      </c>
      <c r="W209" t="inlineStr">
        <is>
          <t>1990-04-25</t>
        </is>
      </c>
      <c r="X209" t="inlineStr">
        <is>
          <t>1990-04-25</t>
        </is>
      </c>
      <c r="Y209" t="n">
        <v>311</v>
      </c>
      <c r="Z209" t="n">
        <v>260</v>
      </c>
      <c r="AA209" t="n">
        <v>267</v>
      </c>
      <c r="AB209" t="n">
        <v>4</v>
      </c>
      <c r="AC209" t="n">
        <v>4</v>
      </c>
      <c r="AD209" t="n">
        <v>12</v>
      </c>
      <c r="AE209" t="n">
        <v>12</v>
      </c>
      <c r="AF209" t="n">
        <v>4</v>
      </c>
      <c r="AG209" t="n">
        <v>4</v>
      </c>
      <c r="AH209" t="n">
        <v>3</v>
      </c>
      <c r="AI209" t="n">
        <v>3</v>
      </c>
      <c r="AJ209" t="n">
        <v>6</v>
      </c>
      <c r="AK209" t="n">
        <v>6</v>
      </c>
      <c r="AL209" t="n">
        <v>3</v>
      </c>
      <c r="AM209" t="n">
        <v>3</v>
      </c>
      <c r="AN209" t="n">
        <v>0</v>
      </c>
      <c r="AO209" t="n">
        <v>0</v>
      </c>
      <c r="AP209" t="inlineStr">
        <is>
          <t>No</t>
        </is>
      </c>
      <c r="AQ209" t="inlineStr">
        <is>
          <t>Yes</t>
        </is>
      </c>
      <c r="AR209">
        <f>HYPERLINK("http://catalog.hathitrust.org/Record/001298537","HathiTrust Record")</f>
        <v/>
      </c>
      <c r="AS209">
        <f>HYPERLINK("https://creighton-primo.hosted.exlibrisgroup.com/primo-explore/search?tab=default_tab&amp;search_scope=EVERYTHING&amp;vid=01CRU&amp;lang=en_US&amp;offset=0&amp;query=any,contains,991001340229702656","Catalog Record")</f>
        <v/>
      </c>
      <c r="AT209">
        <f>HYPERLINK("http://www.worldcat.org/oclc/18381571","WorldCat Record")</f>
        <v/>
      </c>
      <c r="AU209" t="inlineStr">
        <is>
          <t>450226793:eng</t>
        </is>
      </c>
      <c r="AV209" t="inlineStr">
        <is>
          <t>18381571</t>
        </is>
      </c>
      <c r="AW209" t="inlineStr">
        <is>
          <t>991001340229702656</t>
        </is>
      </c>
      <c r="AX209" t="inlineStr">
        <is>
          <t>991001340229702656</t>
        </is>
      </c>
      <c r="AY209" t="inlineStr">
        <is>
          <t>2258615890002656</t>
        </is>
      </c>
      <c r="AZ209" t="inlineStr">
        <is>
          <t>BOOK</t>
        </is>
      </c>
      <c r="BB209" t="inlineStr">
        <is>
          <t>9780669148251</t>
        </is>
      </c>
      <c r="BC209" t="inlineStr">
        <is>
          <t>32285000116151</t>
        </is>
      </c>
      <c r="BD209" t="inlineStr">
        <is>
          <t>893340358</t>
        </is>
      </c>
    </row>
    <row r="210">
      <c r="A210" t="inlineStr">
        <is>
          <t>No</t>
        </is>
      </c>
      <c r="B210" t="inlineStr">
        <is>
          <t>HQ1064.U5 R43 1984</t>
        </is>
      </c>
      <c r="C210" t="inlineStr">
        <is>
          <t>0                      HQ 1064000U  5                  R  43          1984</t>
        </is>
      </c>
      <c r="D210" t="inlineStr">
        <is>
          <t>Retirement preparation : what retirement specialists need to know / edited by Helen Dennis.</t>
        </is>
      </c>
      <c r="F210" t="inlineStr">
        <is>
          <t>No</t>
        </is>
      </c>
      <c r="G210" t="inlineStr">
        <is>
          <t>1</t>
        </is>
      </c>
      <c r="H210" t="inlineStr">
        <is>
          <t>No</t>
        </is>
      </c>
      <c r="I210" t="inlineStr">
        <is>
          <t>No</t>
        </is>
      </c>
      <c r="J210" t="inlineStr">
        <is>
          <t>0</t>
        </is>
      </c>
      <c r="L210" t="inlineStr">
        <is>
          <t>Lexington, Mass. : Lexington Books, 1984.</t>
        </is>
      </c>
      <c r="M210" t="inlineStr">
        <is>
          <t>1984</t>
        </is>
      </c>
      <c r="O210" t="inlineStr">
        <is>
          <t>eng</t>
        </is>
      </c>
      <c r="P210" t="inlineStr">
        <is>
          <t>mau</t>
        </is>
      </c>
      <c r="R210" t="inlineStr">
        <is>
          <t xml:space="preserve">HQ </t>
        </is>
      </c>
      <c r="S210" t="n">
        <v>2</v>
      </c>
      <c r="T210" t="n">
        <v>2</v>
      </c>
      <c r="U210" t="inlineStr">
        <is>
          <t>1996-05-07</t>
        </is>
      </c>
      <c r="V210" t="inlineStr">
        <is>
          <t>1996-05-07</t>
        </is>
      </c>
      <c r="W210" t="inlineStr">
        <is>
          <t>1993-04-26</t>
        </is>
      </c>
      <c r="X210" t="inlineStr">
        <is>
          <t>1993-04-26</t>
        </is>
      </c>
      <c r="Y210" t="n">
        <v>345</v>
      </c>
      <c r="Z210" t="n">
        <v>312</v>
      </c>
      <c r="AA210" t="n">
        <v>320</v>
      </c>
      <c r="AB210" t="n">
        <v>3</v>
      </c>
      <c r="AC210" t="n">
        <v>3</v>
      </c>
      <c r="AD210" t="n">
        <v>14</v>
      </c>
      <c r="AE210" t="n">
        <v>14</v>
      </c>
      <c r="AF210" t="n">
        <v>2</v>
      </c>
      <c r="AG210" t="n">
        <v>2</v>
      </c>
      <c r="AH210" t="n">
        <v>5</v>
      </c>
      <c r="AI210" t="n">
        <v>5</v>
      </c>
      <c r="AJ210" t="n">
        <v>7</v>
      </c>
      <c r="AK210" t="n">
        <v>7</v>
      </c>
      <c r="AL210" t="n">
        <v>2</v>
      </c>
      <c r="AM210" t="n">
        <v>2</v>
      </c>
      <c r="AN210" t="n">
        <v>1</v>
      </c>
      <c r="AO210" t="n">
        <v>1</v>
      </c>
      <c r="AP210" t="inlineStr">
        <is>
          <t>No</t>
        </is>
      </c>
      <c r="AQ210" t="inlineStr">
        <is>
          <t>Yes</t>
        </is>
      </c>
      <c r="AR210">
        <f>HYPERLINK("http://catalog.hathitrust.org/Record/000124625","HathiTrust Record")</f>
        <v/>
      </c>
      <c r="AS210">
        <f>HYPERLINK("https://creighton-primo.hosted.exlibrisgroup.com/primo-explore/search?tab=default_tab&amp;search_scope=EVERYTHING&amp;vid=01CRU&amp;lang=en_US&amp;offset=0&amp;query=any,contains,991000362009702656","Catalog Record")</f>
        <v/>
      </c>
      <c r="AT210">
        <f>HYPERLINK("http://www.worldcat.org/oclc/10374959","WorldCat Record")</f>
        <v/>
      </c>
      <c r="AU210" t="inlineStr">
        <is>
          <t>3203732:eng</t>
        </is>
      </c>
      <c r="AV210" t="inlineStr">
        <is>
          <t>10374959</t>
        </is>
      </c>
      <c r="AW210" t="inlineStr">
        <is>
          <t>991000362009702656</t>
        </is>
      </c>
      <c r="AX210" t="inlineStr">
        <is>
          <t>991000362009702656</t>
        </is>
      </c>
      <c r="AY210" t="inlineStr">
        <is>
          <t>2257866660002656</t>
        </is>
      </c>
      <c r="AZ210" t="inlineStr">
        <is>
          <t>BOOK</t>
        </is>
      </c>
      <c r="BB210" t="inlineStr">
        <is>
          <t>9780669069495</t>
        </is>
      </c>
      <c r="BC210" t="inlineStr">
        <is>
          <t>32285001626398</t>
        </is>
      </c>
      <c r="BD210" t="inlineStr">
        <is>
          <t>893702039</t>
        </is>
      </c>
    </row>
    <row r="211">
      <c r="A211" t="inlineStr">
        <is>
          <t>No</t>
        </is>
      </c>
      <c r="B211" t="inlineStr">
        <is>
          <t>HQ1064.U5 R644 1985</t>
        </is>
      </c>
      <c r="C211" t="inlineStr">
        <is>
          <t>0                      HQ 1064000U  5                  R  644         1985</t>
        </is>
      </c>
      <c r="D211" t="inlineStr">
        <is>
          <t>The extreme aged in America : a portrait of an expanding population / Ira Rosenwaike, with the assistance of Barbara Logue.</t>
        </is>
      </c>
      <c r="F211" t="inlineStr">
        <is>
          <t>No</t>
        </is>
      </c>
      <c r="G211" t="inlineStr">
        <is>
          <t>1</t>
        </is>
      </c>
      <c r="H211" t="inlineStr">
        <is>
          <t>No</t>
        </is>
      </c>
      <c r="I211" t="inlineStr">
        <is>
          <t>No</t>
        </is>
      </c>
      <c r="J211" t="inlineStr">
        <is>
          <t>0</t>
        </is>
      </c>
      <c r="K211" t="inlineStr">
        <is>
          <t>Rosenwaike, Ira, 1936-</t>
        </is>
      </c>
      <c r="L211" t="inlineStr">
        <is>
          <t>Westport, Conn. : Greenwood Press, 1985.</t>
        </is>
      </c>
      <c r="M211" t="inlineStr">
        <is>
          <t>1985</t>
        </is>
      </c>
      <c r="O211" t="inlineStr">
        <is>
          <t>eng</t>
        </is>
      </c>
      <c r="P211" t="inlineStr">
        <is>
          <t>ctu</t>
        </is>
      </c>
      <c r="Q211" t="inlineStr">
        <is>
          <t>Contributions to the study of aging, 0732-085X ; no. 3</t>
        </is>
      </c>
      <c r="R211" t="inlineStr">
        <is>
          <t xml:space="preserve">HQ </t>
        </is>
      </c>
      <c r="S211" t="n">
        <v>8</v>
      </c>
      <c r="T211" t="n">
        <v>8</v>
      </c>
      <c r="U211" t="inlineStr">
        <is>
          <t>2001-02-17</t>
        </is>
      </c>
      <c r="V211" t="inlineStr">
        <is>
          <t>2001-02-17</t>
        </is>
      </c>
      <c r="W211" t="inlineStr">
        <is>
          <t>1992-05-12</t>
        </is>
      </c>
      <c r="X211" t="inlineStr">
        <is>
          <t>1992-05-12</t>
        </is>
      </c>
      <c r="Y211" t="n">
        <v>650</v>
      </c>
      <c r="Z211" t="n">
        <v>590</v>
      </c>
      <c r="AA211" t="n">
        <v>592</v>
      </c>
      <c r="AB211" t="n">
        <v>6</v>
      </c>
      <c r="AC211" t="n">
        <v>6</v>
      </c>
      <c r="AD211" t="n">
        <v>26</v>
      </c>
      <c r="AE211" t="n">
        <v>26</v>
      </c>
      <c r="AF211" t="n">
        <v>11</v>
      </c>
      <c r="AG211" t="n">
        <v>11</v>
      </c>
      <c r="AH211" t="n">
        <v>4</v>
      </c>
      <c r="AI211" t="n">
        <v>4</v>
      </c>
      <c r="AJ211" t="n">
        <v>12</v>
      </c>
      <c r="AK211" t="n">
        <v>12</v>
      </c>
      <c r="AL211" t="n">
        <v>5</v>
      </c>
      <c r="AM211" t="n">
        <v>5</v>
      </c>
      <c r="AN211" t="n">
        <v>0</v>
      </c>
      <c r="AO211" t="n">
        <v>0</v>
      </c>
      <c r="AP211" t="inlineStr">
        <is>
          <t>No</t>
        </is>
      </c>
      <c r="AQ211" t="inlineStr">
        <is>
          <t>Yes</t>
        </is>
      </c>
      <c r="AR211">
        <f>HYPERLINK("http://catalog.hathitrust.org/Record/000354767","HathiTrust Record")</f>
        <v/>
      </c>
      <c r="AS211">
        <f>HYPERLINK("https://creighton-primo.hosted.exlibrisgroup.com/primo-explore/search?tab=default_tab&amp;search_scope=EVERYTHING&amp;vid=01CRU&amp;lang=en_US&amp;offset=0&amp;query=any,contains,991000618899702656","Catalog Record")</f>
        <v/>
      </c>
      <c r="AT211">
        <f>HYPERLINK("http://www.worldcat.org/oclc/11970623","WorldCat Record")</f>
        <v/>
      </c>
      <c r="AU211" t="inlineStr">
        <is>
          <t>2609839:eng</t>
        </is>
      </c>
      <c r="AV211" t="inlineStr">
        <is>
          <t>11970623</t>
        </is>
      </c>
      <c r="AW211" t="inlineStr">
        <is>
          <t>991000618899702656</t>
        </is>
      </c>
      <c r="AX211" t="inlineStr">
        <is>
          <t>991000618899702656</t>
        </is>
      </c>
      <c r="AY211" t="inlineStr">
        <is>
          <t>2255455470002656</t>
        </is>
      </c>
      <c r="AZ211" t="inlineStr">
        <is>
          <t>BOOK</t>
        </is>
      </c>
      <c r="BB211" t="inlineStr">
        <is>
          <t>9780313248573</t>
        </is>
      </c>
      <c r="BC211" t="inlineStr">
        <is>
          <t>32285001108934</t>
        </is>
      </c>
      <c r="BD211" t="inlineStr">
        <is>
          <t>893413521</t>
        </is>
      </c>
    </row>
    <row r="212">
      <c r="A212" t="inlineStr">
        <is>
          <t>No</t>
        </is>
      </c>
      <c r="B212" t="inlineStr">
        <is>
          <t>HQ1064.U5 R815 1992</t>
        </is>
      </c>
      <c r="C212" t="inlineStr">
        <is>
          <t>0                      HQ 1064000U  5                  R  815         1992</t>
        </is>
      </c>
      <c r="D212" t="inlineStr">
        <is>
          <t>Elders living alone : frailty and the perception of choice / Robert L. Rubinstein, Janet C. Kilbride, and Sharon Nagy.</t>
        </is>
      </c>
      <c r="F212" t="inlineStr">
        <is>
          <t>No</t>
        </is>
      </c>
      <c r="G212" t="inlineStr">
        <is>
          <t>1</t>
        </is>
      </c>
      <c r="H212" t="inlineStr">
        <is>
          <t>No</t>
        </is>
      </c>
      <c r="I212" t="inlineStr">
        <is>
          <t>No</t>
        </is>
      </c>
      <c r="J212" t="inlineStr">
        <is>
          <t>0</t>
        </is>
      </c>
      <c r="K212" t="inlineStr">
        <is>
          <t>Rubinstein, Robert L.</t>
        </is>
      </c>
      <c r="L212" t="inlineStr">
        <is>
          <t>New York : Aldine de Gruyter, c1992.</t>
        </is>
      </c>
      <c r="M212" t="inlineStr">
        <is>
          <t>1992</t>
        </is>
      </c>
      <c r="O212" t="inlineStr">
        <is>
          <t>eng</t>
        </is>
      </c>
      <c r="P212" t="inlineStr">
        <is>
          <t>nyu</t>
        </is>
      </c>
      <c r="Q212" t="inlineStr">
        <is>
          <t>Modern applications of social work</t>
        </is>
      </c>
      <c r="R212" t="inlineStr">
        <is>
          <t xml:space="preserve">HQ </t>
        </is>
      </c>
      <c r="S212" t="n">
        <v>3</v>
      </c>
      <c r="T212" t="n">
        <v>3</v>
      </c>
      <c r="U212" t="inlineStr">
        <is>
          <t>1998-01-28</t>
        </is>
      </c>
      <c r="V212" t="inlineStr">
        <is>
          <t>1998-01-28</t>
        </is>
      </c>
      <c r="W212" t="inlineStr">
        <is>
          <t>1993-01-04</t>
        </is>
      </c>
      <c r="X212" t="inlineStr">
        <is>
          <t>1993-01-04</t>
        </is>
      </c>
      <c r="Y212" t="n">
        <v>596</v>
      </c>
      <c r="Z212" t="n">
        <v>506</v>
      </c>
      <c r="AA212" t="n">
        <v>509</v>
      </c>
      <c r="AB212" t="n">
        <v>6</v>
      </c>
      <c r="AC212" t="n">
        <v>6</v>
      </c>
      <c r="AD212" t="n">
        <v>27</v>
      </c>
      <c r="AE212" t="n">
        <v>28</v>
      </c>
      <c r="AF212" t="n">
        <v>9</v>
      </c>
      <c r="AG212" t="n">
        <v>9</v>
      </c>
      <c r="AH212" t="n">
        <v>8</v>
      </c>
      <c r="AI212" t="n">
        <v>9</v>
      </c>
      <c r="AJ212" t="n">
        <v>11</v>
      </c>
      <c r="AK212" t="n">
        <v>12</v>
      </c>
      <c r="AL212" t="n">
        <v>5</v>
      </c>
      <c r="AM212" t="n">
        <v>5</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HYPERLINK("https://creighton-primo.hosted.exlibrisgroup.com/primo-explore/search?tab=default_tab&amp;search_scope=EVERYTHING&amp;vid=01CRU&amp;lang=en_US&amp;offset=0&amp;query=any,contains,991001987009702656","Catalog Record")</f>
        <v/>
      </c>
      <c r="AT212">
        <f>HYPERLINK("http://www.worldcat.org/oclc/25246085","WorldCat Record")</f>
        <v/>
      </c>
      <c r="AU212" t="inlineStr">
        <is>
          <t>873902:eng</t>
        </is>
      </c>
      <c r="AV212" t="inlineStr">
        <is>
          <t>25246085</t>
        </is>
      </c>
      <c r="AW212" t="inlineStr">
        <is>
          <t>991001987009702656</t>
        </is>
      </c>
      <c r="AX212" t="inlineStr">
        <is>
          <t>991001987009702656</t>
        </is>
      </c>
      <c r="AY212" t="inlineStr">
        <is>
          <t>2256373250002656</t>
        </is>
      </c>
      <c r="AZ212" t="inlineStr">
        <is>
          <t>BOOK</t>
        </is>
      </c>
      <c r="BB212" t="inlineStr">
        <is>
          <t>9780202360836</t>
        </is>
      </c>
      <c r="BC212" t="inlineStr">
        <is>
          <t>32285001403863</t>
        </is>
      </c>
      <c r="BD212" t="inlineStr">
        <is>
          <t>893866663</t>
        </is>
      </c>
    </row>
    <row r="213">
      <c r="A213" t="inlineStr">
        <is>
          <t>No</t>
        </is>
      </c>
      <c r="B213" t="inlineStr">
        <is>
          <t>HQ1064.U5 S467 1990</t>
        </is>
      </c>
      <c r="C213" t="inlineStr">
        <is>
          <t>0                      HQ 1064000U  5                  S  467         1990</t>
        </is>
      </c>
      <c r="D213" t="inlineStr">
        <is>
          <t>Population aging in the United States / William J. Serow, David F. Sly, and J. Michael Wrigley.</t>
        </is>
      </c>
      <c r="F213" t="inlineStr">
        <is>
          <t>No</t>
        </is>
      </c>
      <c r="G213" t="inlineStr">
        <is>
          <t>1</t>
        </is>
      </c>
      <c r="H213" t="inlineStr">
        <is>
          <t>No</t>
        </is>
      </c>
      <c r="I213" t="inlineStr">
        <is>
          <t>No</t>
        </is>
      </c>
      <c r="J213" t="inlineStr">
        <is>
          <t>0</t>
        </is>
      </c>
      <c r="K213" t="inlineStr">
        <is>
          <t>Serow, William J.</t>
        </is>
      </c>
      <c r="L213" t="inlineStr">
        <is>
          <t>New York : Greenwood Press, 1990.</t>
        </is>
      </c>
      <c r="M213" t="inlineStr">
        <is>
          <t>1990</t>
        </is>
      </c>
      <c r="O213" t="inlineStr">
        <is>
          <t>eng</t>
        </is>
      </c>
      <c r="P213" t="inlineStr">
        <is>
          <t>nyu</t>
        </is>
      </c>
      <c r="Q213" t="inlineStr">
        <is>
          <t>Contributions to the study of aging, 0732-085X ; no. 18</t>
        </is>
      </c>
      <c r="R213" t="inlineStr">
        <is>
          <t xml:space="preserve">HQ </t>
        </is>
      </c>
      <c r="S213" t="n">
        <v>11</v>
      </c>
      <c r="T213" t="n">
        <v>11</v>
      </c>
      <c r="U213" t="inlineStr">
        <is>
          <t>1998-10-31</t>
        </is>
      </c>
      <c r="V213" t="inlineStr">
        <is>
          <t>1998-10-31</t>
        </is>
      </c>
      <c r="W213" t="inlineStr">
        <is>
          <t>1991-05-09</t>
        </is>
      </c>
      <c r="X213" t="inlineStr">
        <is>
          <t>1991-05-09</t>
        </is>
      </c>
      <c r="Y213" t="n">
        <v>586</v>
      </c>
      <c r="Z213" t="n">
        <v>523</v>
      </c>
      <c r="AA213" t="n">
        <v>530</v>
      </c>
      <c r="AB213" t="n">
        <v>5</v>
      </c>
      <c r="AC213" t="n">
        <v>5</v>
      </c>
      <c r="AD213" t="n">
        <v>22</v>
      </c>
      <c r="AE213" t="n">
        <v>22</v>
      </c>
      <c r="AF213" t="n">
        <v>4</v>
      </c>
      <c r="AG213" t="n">
        <v>4</v>
      </c>
      <c r="AH213" t="n">
        <v>6</v>
      </c>
      <c r="AI213" t="n">
        <v>6</v>
      </c>
      <c r="AJ213" t="n">
        <v>11</v>
      </c>
      <c r="AK213" t="n">
        <v>11</v>
      </c>
      <c r="AL213" t="n">
        <v>4</v>
      </c>
      <c r="AM213" t="n">
        <v>4</v>
      </c>
      <c r="AN213" t="n">
        <v>0</v>
      </c>
      <c r="AO213" t="n">
        <v>0</v>
      </c>
      <c r="AP213" t="inlineStr">
        <is>
          <t>No</t>
        </is>
      </c>
      <c r="AQ213" t="inlineStr">
        <is>
          <t>Yes</t>
        </is>
      </c>
      <c r="AR213">
        <f>HYPERLINK("http://catalog.hathitrust.org/Record/002182785","HathiTrust Record")</f>
        <v/>
      </c>
      <c r="AS213">
        <f>HYPERLINK("https://creighton-primo.hosted.exlibrisgroup.com/primo-explore/search?tab=default_tab&amp;search_scope=EVERYTHING&amp;vid=01CRU&amp;lang=en_US&amp;offset=0&amp;query=any,contains,991001606829702656","Catalog Record")</f>
        <v/>
      </c>
      <c r="AT213">
        <f>HYPERLINK("http://www.worldcat.org/oclc/20694135","WorldCat Record")</f>
        <v/>
      </c>
      <c r="AU213" t="inlineStr">
        <is>
          <t>2620024:eng</t>
        </is>
      </c>
      <c r="AV213" t="inlineStr">
        <is>
          <t>20694135</t>
        </is>
      </c>
      <c r="AW213" t="inlineStr">
        <is>
          <t>991001606829702656</t>
        </is>
      </c>
      <c r="AX213" t="inlineStr">
        <is>
          <t>991001606829702656</t>
        </is>
      </c>
      <c r="AY213" t="inlineStr">
        <is>
          <t>2256820710002656</t>
        </is>
      </c>
      <c r="AZ213" t="inlineStr">
        <is>
          <t>BOOK</t>
        </is>
      </c>
      <c r="BB213" t="inlineStr">
        <is>
          <t>9780313273117</t>
        </is>
      </c>
      <c r="BC213" t="inlineStr">
        <is>
          <t>32285000572585</t>
        </is>
      </c>
      <c r="BD213" t="inlineStr">
        <is>
          <t>893602704</t>
        </is>
      </c>
    </row>
    <row r="214">
      <c r="A214" t="inlineStr">
        <is>
          <t>No</t>
        </is>
      </c>
      <c r="B214" t="inlineStr">
        <is>
          <t>HQ1064.U5 S522 2006</t>
        </is>
      </c>
      <c r="C214" t="inlineStr">
        <is>
          <t>0                      HQ 1064000U  5                  S  522         2006</t>
        </is>
      </c>
      <c r="D214" t="inlineStr">
        <is>
          <t>Passages : predictable crises of adult life / Gail Sheehy.</t>
        </is>
      </c>
      <c r="F214" t="inlineStr">
        <is>
          <t>No</t>
        </is>
      </c>
      <c r="G214" t="inlineStr">
        <is>
          <t>1</t>
        </is>
      </c>
      <c r="H214" t="inlineStr">
        <is>
          <t>No</t>
        </is>
      </c>
      <c r="I214" t="inlineStr">
        <is>
          <t>Yes</t>
        </is>
      </c>
      <c r="J214" t="inlineStr">
        <is>
          <t>0</t>
        </is>
      </c>
      <c r="K214" t="inlineStr">
        <is>
          <t>Sheehy, Gail.</t>
        </is>
      </c>
      <c r="L214" t="inlineStr">
        <is>
          <t>New York : Ballantine Books, 2006.</t>
        </is>
      </c>
      <c r="M214" t="inlineStr">
        <is>
          <t>2006</t>
        </is>
      </c>
      <c r="N214" t="inlineStr">
        <is>
          <t>Ballantine Books Trade pbk. ed.</t>
        </is>
      </c>
      <c r="O214" t="inlineStr">
        <is>
          <t>eng</t>
        </is>
      </c>
      <c r="P214" t="inlineStr">
        <is>
          <t>nyu</t>
        </is>
      </c>
      <c r="R214" t="inlineStr">
        <is>
          <t xml:space="preserve">HQ </t>
        </is>
      </c>
      <c r="S214" t="n">
        <v>1</v>
      </c>
      <c r="T214" t="n">
        <v>1</v>
      </c>
      <c r="U214" t="inlineStr">
        <is>
          <t>2009-11-30</t>
        </is>
      </c>
      <c r="V214" t="inlineStr">
        <is>
          <t>2009-11-30</t>
        </is>
      </c>
      <c r="W214" t="inlineStr">
        <is>
          <t>2009-11-30</t>
        </is>
      </c>
      <c r="X214" t="inlineStr">
        <is>
          <t>2009-11-30</t>
        </is>
      </c>
      <c r="Y214" t="n">
        <v>290</v>
      </c>
      <c r="Z214" t="n">
        <v>259</v>
      </c>
      <c r="AA214" t="n">
        <v>2985</v>
      </c>
      <c r="AB214" t="n">
        <v>2</v>
      </c>
      <c r="AC214" t="n">
        <v>30</v>
      </c>
      <c r="AD214" t="n">
        <v>1</v>
      </c>
      <c r="AE214" t="n">
        <v>58</v>
      </c>
      <c r="AF214" t="n">
        <v>1</v>
      </c>
      <c r="AG214" t="n">
        <v>25</v>
      </c>
      <c r="AH214" t="n">
        <v>0</v>
      </c>
      <c r="AI214" t="n">
        <v>11</v>
      </c>
      <c r="AJ214" t="n">
        <v>0</v>
      </c>
      <c r="AK214" t="n">
        <v>25</v>
      </c>
      <c r="AL214" t="n">
        <v>0</v>
      </c>
      <c r="AM214" t="n">
        <v>11</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HYPERLINK("https://creighton-primo.hosted.exlibrisgroup.com/primo-explore/search?tab=default_tab&amp;search_scope=EVERYTHING&amp;vid=01CRU&amp;lang=en_US&amp;offset=0&amp;query=any,contains,991005341359702656","Catalog Record")</f>
        <v/>
      </c>
      <c r="AT214">
        <f>HYPERLINK("http://www.worldcat.org/oclc/63171260","WorldCat Record")</f>
        <v/>
      </c>
      <c r="AU214" t="inlineStr">
        <is>
          <t>3900999612:eng</t>
        </is>
      </c>
      <c r="AV214" t="inlineStr">
        <is>
          <t>63171260</t>
        </is>
      </c>
      <c r="AW214" t="inlineStr">
        <is>
          <t>991005341359702656</t>
        </is>
      </c>
      <c r="AX214" t="inlineStr">
        <is>
          <t>991005341359702656</t>
        </is>
      </c>
      <c r="AY214" t="inlineStr">
        <is>
          <t>2269688220002656</t>
        </is>
      </c>
      <c r="AZ214" t="inlineStr">
        <is>
          <t>BOOK</t>
        </is>
      </c>
      <c r="BB214" t="inlineStr">
        <is>
          <t>9780345479228</t>
        </is>
      </c>
      <c r="BC214" t="inlineStr">
        <is>
          <t>32285005552244</t>
        </is>
      </c>
      <c r="BD214" t="inlineStr">
        <is>
          <t>893254839</t>
        </is>
      </c>
    </row>
    <row r="215">
      <c r="A215" t="inlineStr">
        <is>
          <t>No</t>
        </is>
      </c>
      <c r="B215" t="inlineStr">
        <is>
          <t>HQ1064.U5 S54 1982</t>
        </is>
      </c>
      <c r="C215" t="inlineStr">
        <is>
          <t>0                      HQ 1064000U  5                  S  54          1982</t>
        </is>
      </c>
      <c r="D215" t="inlineStr">
        <is>
          <t>You and your aging parent : the modern family's guide to emotional, physical, and financial problems / Barbara Silverstone and Helen Kandel Hyman with contributions by Charlotte Kirschner, S. Walter Poulshock, and Mario Tonti.</t>
        </is>
      </c>
      <c r="F215" t="inlineStr">
        <is>
          <t>No</t>
        </is>
      </c>
      <c r="G215" t="inlineStr">
        <is>
          <t>1</t>
        </is>
      </c>
      <c r="H215" t="inlineStr">
        <is>
          <t>No</t>
        </is>
      </c>
      <c r="I215" t="inlineStr">
        <is>
          <t>No</t>
        </is>
      </c>
      <c r="J215" t="inlineStr">
        <is>
          <t>0</t>
        </is>
      </c>
      <c r="K215" t="inlineStr">
        <is>
          <t>Silverstone, Barbara, 1931-</t>
        </is>
      </c>
      <c r="L215" t="inlineStr">
        <is>
          <t>New York : Pantheon Books, c1982.</t>
        </is>
      </c>
      <c r="M215" t="inlineStr">
        <is>
          <t>1982</t>
        </is>
      </c>
      <c r="N215" t="inlineStr">
        <is>
          <t>Updated and expanded ed.</t>
        </is>
      </c>
      <c r="O215" t="inlineStr">
        <is>
          <t>eng</t>
        </is>
      </c>
      <c r="P215" t="inlineStr">
        <is>
          <t>nyu</t>
        </is>
      </c>
      <c r="R215" t="inlineStr">
        <is>
          <t xml:space="preserve">HQ </t>
        </is>
      </c>
      <c r="S215" t="n">
        <v>7</v>
      </c>
      <c r="T215" t="n">
        <v>7</v>
      </c>
      <c r="U215" t="inlineStr">
        <is>
          <t>1994-01-26</t>
        </is>
      </c>
      <c r="V215" t="inlineStr">
        <is>
          <t>1994-01-26</t>
        </is>
      </c>
      <c r="W215" t="inlineStr">
        <is>
          <t>1990-06-15</t>
        </is>
      </c>
      <c r="X215" t="inlineStr">
        <is>
          <t>1990-06-15</t>
        </is>
      </c>
      <c r="Y215" t="n">
        <v>451</v>
      </c>
      <c r="Z215" t="n">
        <v>426</v>
      </c>
      <c r="AA215" t="n">
        <v>1261</v>
      </c>
      <c r="AB215" t="n">
        <v>2</v>
      </c>
      <c r="AC215" t="n">
        <v>8</v>
      </c>
      <c r="AD215" t="n">
        <v>7</v>
      </c>
      <c r="AE215" t="n">
        <v>19</v>
      </c>
      <c r="AF215" t="n">
        <v>4</v>
      </c>
      <c r="AG215" t="n">
        <v>8</v>
      </c>
      <c r="AH215" t="n">
        <v>0</v>
      </c>
      <c r="AI215" t="n">
        <v>2</v>
      </c>
      <c r="AJ215" t="n">
        <v>3</v>
      </c>
      <c r="AK215" t="n">
        <v>9</v>
      </c>
      <c r="AL215" t="n">
        <v>1</v>
      </c>
      <c r="AM215" t="n">
        <v>3</v>
      </c>
      <c r="AN215" t="n">
        <v>1</v>
      </c>
      <c r="AO215" t="n">
        <v>1</v>
      </c>
      <c r="AP215" t="inlineStr">
        <is>
          <t>No</t>
        </is>
      </c>
      <c r="AQ215" t="inlineStr">
        <is>
          <t>Yes</t>
        </is>
      </c>
      <c r="AR215">
        <f>HYPERLINK("http://catalog.hathitrust.org/Record/000773844","HathiTrust Record")</f>
        <v/>
      </c>
      <c r="AS215">
        <f>HYPERLINK("https://creighton-primo.hosted.exlibrisgroup.com/primo-explore/search?tab=default_tab&amp;search_scope=EVERYTHING&amp;vid=01CRU&amp;lang=en_US&amp;offset=0&amp;query=any,contains,991005134299702656","Catalog Record")</f>
        <v/>
      </c>
      <c r="AT215">
        <f>HYPERLINK("http://www.worldcat.org/oclc/7575454","WorldCat Record")</f>
        <v/>
      </c>
      <c r="AU215" t="inlineStr">
        <is>
          <t>463443:eng</t>
        </is>
      </c>
      <c r="AV215" t="inlineStr">
        <is>
          <t>7575454</t>
        </is>
      </c>
      <c r="AW215" t="inlineStr">
        <is>
          <t>991005134299702656</t>
        </is>
      </c>
      <c r="AX215" t="inlineStr">
        <is>
          <t>991005134299702656</t>
        </is>
      </c>
      <c r="AY215" t="inlineStr">
        <is>
          <t>2265599700002656</t>
        </is>
      </c>
      <c r="AZ215" t="inlineStr">
        <is>
          <t>BOOK</t>
        </is>
      </c>
      <c r="BB215" t="inlineStr">
        <is>
          <t>9780394521695</t>
        </is>
      </c>
      <c r="BC215" t="inlineStr">
        <is>
          <t>32285000196591</t>
        </is>
      </c>
      <c r="BD215" t="inlineStr">
        <is>
          <t>893236339</t>
        </is>
      </c>
    </row>
    <row r="216">
      <c r="A216" t="inlineStr">
        <is>
          <t>No</t>
        </is>
      </c>
      <c r="B216" t="inlineStr">
        <is>
          <t>HQ1064.U5 S58</t>
        </is>
      </c>
      <c r="C216" t="inlineStr">
        <is>
          <t>0                      HQ 1064000U  5                  S  58</t>
        </is>
      </c>
      <c r="D216" t="inlineStr">
        <is>
          <t>Aging in America.</t>
        </is>
      </c>
      <c r="F216" t="inlineStr">
        <is>
          <t>No</t>
        </is>
      </c>
      <c r="G216" t="inlineStr">
        <is>
          <t>1</t>
        </is>
      </c>
      <c r="H216" t="inlineStr">
        <is>
          <t>No</t>
        </is>
      </c>
      <c r="I216" t="inlineStr">
        <is>
          <t>No</t>
        </is>
      </c>
      <c r="J216" t="inlineStr">
        <is>
          <t>0</t>
        </is>
      </c>
      <c r="K216" t="inlineStr">
        <is>
          <t>Smith, Bert Kruger, 1915-2004.</t>
        </is>
      </c>
      <c r="L216" t="inlineStr">
        <is>
          <t>Boston, Beacon Press [1973]</t>
        </is>
      </c>
      <c r="M216" t="inlineStr">
        <is>
          <t>1973</t>
        </is>
      </c>
      <c r="O216" t="inlineStr">
        <is>
          <t>eng</t>
        </is>
      </c>
      <c r="P216" t="inlineStr">
        <is>
          <t>mau</t>
        </is>
      </c>
      <c r="R216" t="inlineStr">
        <is>
          <t xml:space="preserve">HQ </t>
        </is>
      </c>
      <c r="S216" t="n">
        <v>3</v>
      </c>
      <c r="T216" t="n">
        <v>3</v>
      </c>
      <c r="U216" t="inlineStr">
        <is>
          <t>2001-03-27</t>
        </is>
      </c>
      <c r="V216" t="inlineStr">
        <is>
          <t>2001-03-27</t>
        </is>
      </c>
      <c r="W216" t="inlineStr">
        <is>
          <t>1997-08-14</t>
        </is>
      </c>
      <c r="X216" t="inlineStr">
        <is>
          <t>1997-08-14</t>
        </is>
      </c>
      <c r="Y216" t="n">
        <v>989</v>
      </c>
      <c r="Z216" t="n">
        <v>930</v>
      </c>
      <c r="AA216" t="n">
        <v>959</v>
      </c>
      <c r="AB216" t="n">
        <v>8</v>
      </c>
      <c r="AC216" t="n">
        <v>8</v>
      </c>
      <c r="AD216" t="n">
        <v>26</v>
      </c>
      <c r="AE216" t="n">
        <v>29</v>
      </c>
      <c r="AF216" t="n">
        <v>7</v>
      </c>
      <c r="AG216" t="n">
        <v>10</v>
      </c>
      <c r="AH216" t="n">
        <v>5</v>
      </c>
      <c r="AI216" t="n">
        <v>5</v>
      </c>
      <c r="AJ216" t="n">
        <v>16</v>
      </c>
      <c r="AK216" t="n">
        <v>17</v>
      </c>
      <c r="AL216" t="n">
        <v>4</v>
      </c>
      <c r="AM216" t="n">
        <v>4</v>
      </c>
      <c r="AN216" t="n">
        <v>1</v>
      </c>
      <c r="AO216" t="n">
        <v>1</v>
      </c>
      <c r="AP216" t="inlineStr">
        <is>
          <t>No</t>
        </is>
      </c>
      <c r="AQ216" t="inlineStr">
        <is>
          <t>Yes</t>
        </is>
      </c>
      <c r="AR216">
        <f>HYPERLINK("http://catalog.hathitrust.org/Record/001108445","HathiTrust Record")</f>
        <v/>
      </c>
      <c r="AS216">
        <f>HYPERLINK("https://creighton-primo.hosted.exlibrisgroup.com/primo-explore/search?tab=default_tab&amp;search_scope=EVERYTHING&amp;vid=01CRU&amp;lang=en_US&amp;offset=0&amp;query=any,contains,991003048729702656","Catalog Record")</f>
        <v/>
      </c>
      <c r="AT216">
        <f>HYPERLINK("http://www.worldcat.org/oclc/609184","WorldCat Record")</f>
        <v/>
      </c>
      <c r="AU216" t="inlineStr">
        <is>
          <t>463378:eng</t>
        </is>
      </c>
      <c r="AV216" t="inlineStr">
        <is>
          <t>609184</t>
        </is>
      </c>
      <c r="AW216" t="inlineStr">
        <is>
          <t>991003048729702656</t>
        </is>
      </c>
      <c r="AX216" t="inlineStr">
        <is>
          <t>991003048729702656</t>
        </is>
      </c>
      <c r="AY216" t="inlineStr">
        <is>
          <t>2254940860002656</t>
        </is>
      </c>
      <c r="AZ216" t="inlineStr">
        <is>
          <t>BOOK</t>
        </is>
      </c>
      <c r="BB216" t="inlineStr">
        <is>
          <t>9780807027684</t>
        </is>
      </c>
      <c r="BC216" t="inlineStr">
        <is>
          <t>32285003103669</t>
        </is>
      </c>
      <c r="BD216" t="inlineStr">
        <is>
          <t>893616943</t>
        </is>
      </c>
    </row>
    <row r="217">
      <c r="A217" t="inlineStr">
        <is>
          <t>No</t>
        </is>
      </c>
      <c r="B217" t="inlineStr">
        <is>
          <t>HQ1064.U5 S5936 2002</t>
        </is>
      </c>
      <c r="C217" t="inlineStr">
        <is>
          <t>0                      HQ 1064000U  5                  S  5936        2002</t>
        </is>
      </c>
      <c r="D217" t="inlineStr">
        <is>
          <t>Aging with grace : what the nun study teaches us about leading longer, healthier, and more meaningful lives / David Snowdon.</t>
        </is>
      </c>
      <c r="F217" t="inlineStr">
        <is>
          <t>No</t>
        </is>
      </c>
      <c r="G217" t="inlineStr">
        <is>
          <t>1</t>
        </is>
      </c>
      <c r="H217" t="inlineStr">
        <is>
          <t>Yes</t>
        </is>
      </c>
      <c r="I217" t="inlineStr">
        <is>
          <t>No</t>
        </is>
      </c>
      <c r="J217" t="inlineStr">
        <is>
          <t>0</t>
        </is>
      </c>
      <c r="K217" t="inlineStr">
        <is>
          <t>Snowdon, David, Ph. D.</t>
        </is>
      </c>
      <c r="L217" t="inlineStr">
        <is>
          <t>New York : Bantam Books, 2002.</t>
        </is>
      </c>
      <c r="M217" t="inlineStr">
        <is>
          <t>2002</t>
        </is>
      </c>
      <c r="N217" t="inlineStr">
        <is>
          <t>Bantam trade pbk. ed.</t>
        </is>
      </c>
      <c r="O217" t="inlineStr">
        <is>
          <t>eng</t>
        </is>
      </c>
      <c r="P217" t="inlineStr">
        <is>
          <t>nyu</t>
        </is>
      </c>
      <c r="R217" t="inlineStr">
        <is>
          <t xml:space="preserve">HQ </t>
        </is>
      </c>
      <c r="S217" t="n">
        <v>5</v>
      </c>
      <c r="T217" t="n">
        <v>5</v>
      </c>
      <c r="U217" t="inlineStr">
        <is>
          <t>2009-10-23</t>
        </is>
      </c>
      <c r="V217" t="inlineStr">
        <is>
          <t>2009-10-23</t>
        </is>
      </c>
      <c r="W217" t="inlineStr">
        <is>
          <t>2005-09-26</t>
        </is>
      </c>
      <c r="X217" t="inlineStr">
        <is>
          <t>2005-09-26</t>
        </is>
      </c>
      <c r="Y217" t="n">
        <v>1830</v>
      </c>
      <c r="Z217" t="n">
        <v>1713</v>
      </c>
      <c r="AA217" t="n">
        <v>1746</v>
      </c>
      <c r="AB217" t="n">
        <v>16</v>
      </c>
      <c r="AC217" t="n">
        <v>16</v>
      </c>
      <c r="AD217" t="n">
        <v>40</v>
      </c>
      <c r="AE217" t="n">
        <v>41</v>
      </c>
      <c r="AF217" t="n">
        <v>17</v>
      </c>
      <c r="AG217" t="n">
        <v>17</v>
      </c>
      <c r="AH217" t="n">
        <v>10</v>
      </c>
      <c r="AI217" t="n">
        <v>10</v>
      </c>
      <c r="AJ217" t="n">
        <v>18</v>
      </c>
      <c r="AK217" t="n">
        <v>19</v>
      </c>
      <c r="AL217" t="n">
        <v>5</v>
      </c>
      <c r="AM217" t="n">
        <v>5</v>
      </c>
      <c r="AN217" t="n">
        <v>0</v>
      </c>
      <c r="AO217" t="n">
        <v>0</v>
      </c>
      <c r="AP217" t="inlineStr">
        <is>
          <t>No</t>
        </is>
      </c>
      <c r="AQ217" t="inlineStr">
        <is>
          <t>Yes</t>
        </is>
      </c>
      <c r="AR217">
        <f>HYPERLINK("http://catalog.hathitrust.org/Record/102016415","HathiTrust Record")</f>
        <v/>
      </c>
      <c r="AS217">
        <f>HYPERLINK("https://creighton-primo.hosted.exlibrisgroup.com/primo-explore/search?tab=default_tab&amp;search_scope=EVERYTHING&amp;vid=01CRU&amp;lang=en_US&amp;offset=0&amp;query=any,contains,991004645029702656","Catalog Record")</f>
        <v/>
      </c>
      <c r="AT217">
        <f>HYPERLINK("http://www.worldcat.org/oclc/45661479","WorldCat Record")</f>
        <v/>
      </c>
      <c r="AU217" t="inlineStr">
        <is>
          <t>796332555:eng</t>
        </is>
      </c>
      <c r="AV217" t="inlineStr">
        <is>
          <t>45661479</t>
        </is>
      </c>
      <c r="AW217" t="inlineStr">
        <is>
          <t>991004645029702656</t>
        </is>
      </c>
      <c r="AX217" t="inlineStr">
        <is>
          <t>991004645029702656</t>
        </is>
      </c>
      <c r="AY217" t="inlineStr">
        <is>
          <t>2263721170002656</t>
        </is>
      </c>
      <c r="AZ217" t="inlineStr">
        <is>
          <t>BOOK</t>
        </is>
      </c>
      <c r="BB217" t="inlineStr">
        <is>
          <t>9780553380927</t>
        </is>
      </c>
      <c r="BC217" t="inlineStr">
        <is>
          <t>32285005085146</t>
        </is>
      </c>
      <c r="BD217" t="inlineStr">
        <is>
          <t>893876357</t>
        </is>
      </c>
    </row>
    <row r="218">
      <c r="A218" t="inlineStr">
        <is>
          <t>No</t>
        </is>
      </c>
      <c r="B218" t="inlineStr">
        <is>
          <t>HQ1064.U5 T46 1992</t>
        </is>
      </c>
      <c r="C218" t="inlineStr">
        <is>
          <t>0                      HQ 1064000U  5                  T  46          1992</t>
        </is>
      </c>
      <c r="D218" t="inlineStr">
        <is>
          <t>Women and aging : celebrating ourselves / Ruth Raymond Thone.</t>
        </is>
      </c>
      <c r="F218" t="inlineStr">
        <is>
          <t>No</t>
        </is>
      </c>
      <c r="G218" t="inlineStr">
        <is>
          <t>1</t>
        </is>
      </c>
      <c r="H218" t="inlineStr">
        <is>
          <t>No</t>
        </is>
      </c>
      <c r="I218" t="inlineStr">
        <is>
          <t>No</t>
        </is>
      </c>
      <c r="J218" t="inlineStr">
        <is>
          <t>0</t>
        </is>
      </c>
      <c r="K218" t="inlineStr">
        <is>
          <t>Thone, Ruth Raymond.</t>
        </is>
      </c>
      <c r="L218" t="inlineStr">
        <is>
          <t>New York : Haworth Press, c1992.</t>
        </is>
      </c>
      <c r="M218" t="inlineStr">
        <is>
          <t>1992</t>
        </is>
      </c>
      <c r="O218" t="inlineStr">
        <is>
          <t>eng</t>
        </is>
      </c>
      <c r="P218" t="inlineStr">
        <is>
          <t>nyu</t>
        </is>
      </c>
      <c r="Q218" t="inlineStr">
        <is>
          <t>Haworth women's studies</t>
        </is>
      </c>
      <c r="R218" t="inlineStr">
        <is>
          <t xml:space="preserve">HQ </t>
        </is>
      </c>
      <c r="S218" t="n">
        <v>4</v>
      </c>
      <c r="T218" t="n">
        <v>4</v>
      </c>
      <c r="U218" t="inlineStr">
        <is>
          <t>2010-04-13</t>
        </is>
      </c>
      <c r="V218" t="inlineStr">
        <is>
          <t>2010-04-13</t>
        </is>
      </c>
      <c r="W218" t="inlineStr">
        <is>
          <t>1992-05-29</t>
        </is>
      </c>
      <c r="X218" t="inlineStr">
        <is>
          <t>1992-05-29</t>
        </is>
      </c>
      <c r="Y218" t="n">
        <v>275</v>
      </c>
      <c r="Z218" t="n">
        <v>239</v>
      </c>
      <c r="AA218" t="n">
        <v>357</v>
      </c>
      <c r="AB218" t="n">
        <v>7</v>
      </c>
      <c r="AC218" t="n">
        <v>10</v>
      </c>
      <c r="AD218" t="n">
        <v>12</v>
      </c>
      <c r="AE218" t="n">
        <v>17</v>
      </c>
      <c r="AF218" t="n">
        <v>3</v>
      </c>
      <c r="AG218" t="n">
        <v>5</v>
      </c>
      <c r="AH218" t="n">
        <v>2</v>
      </c>
      <c r="AI218" t="n">
        <v>4</v>
      </c>
      <c r="AJ218" t="n">
        <v>4</v>
      </c>
      <c r="AK218" t="n">
        <v>7</v>
      </c>
      <c r="AL218" t="n">
        <v>4</v>
      </c>
      <c r="AM218" t="n">
        <v>4</v>
      </c>
      <c r="AN218" t="n">
        <v>0</v>
      </c>
      <c r="AO218" t="n">
        <v>0</v>
      </c>
      <c r="AP218" t="inlineStr">
        <is>
          <t>No</t>
        </is>
      </c>
      <c r="AQ218" t="inlineStr">
        <is>
          <t>Yes</t>
        </is>
      </c>
      <c r="AR218">
        <f>HYPERLINK("http://catalog.hathitrust.org/Record/002584155","HathiTrust Record")</f>
        <v/>
      </c>
      <c r="AS218">
        <f>HYPERLINK("https://creighton-primo.hosted.exlibrisgroup.com/primo-explore/search?tab=default_tab&amp;search_scope=EVERYTHING&amp;vid=01CRU&amp;lang=en_US&amp;offset=0&amp;query=any,contains,991001890539702656","Catalog Record")</f>
        <v/>
      </c>
      <c r="AT218">
        <f>HYPERLINK("http://www.worldcat.org/oclc/23868714","WorldCat Record")</f>
        <v/>
      </c>
      <c r="AU218" t="inlineStr">
        <is>
          <t>25101975:eng</t>
        </is>
      </c>
      <c r="AV218" t="inlineStr">
        <is>
          <t>23868714</t>
        </is>
      </c>
      <c r="AW218" t="inlineStr">
        <is>
          <t>991001890539702656</t>
        </is>
      </c>
      <c r="AX218" t="inlineStr">
        <is>
          <t>991001890539702656</t>
        </is>
      </c>
      <c r="AY218" t="inlineStr">
        <is>
          <t>2269537280002656</t>
        </is>
      </c>
      <c r="AZ218" t="inlineStr">
        <is>
          <t>BOOK</t>
        </is>
      </c>
      <c r="BB218" t="inlineStr">
        <is>
          <t>9781560241515</t>
        </is>
      </c>
      <c r="BC218" t="inlineStr">
        <is>
          <t>32285001124477</t>
        </is>
      </c>
      <c r="BD218" t="inlineStr">
        <is>
          <t>893891911</t>
        </is>
      </c>
    </row>
    <row r="219">
      <c r="A219" t="inlineStr">
        <is>
          <t>No</t>
        </is>
      </c>
      <c r="B219" t="inlineStr">
        <is>
          <t>HQ1064.U5 T58 1984</t>
        </is>
      </c>
      <c r="C219" t="inlineStr">
        <is>
          <t>0                      HQ 1064000U  5                  T  58          1984</t>
        </is>
      </c>
      <c r="D219" t="inlineStr">
        <is>
          <t>Growing old : a handbook for you and your aging parent / David A. Tomb.</t>
        </is>
      </c>
      <c r="F219" t="inlineStr">
        <is>
          <t>No</t>
        </is>
      </c>
      <c r="G219" t="inlineStr">
        <is>
          <t>1</t>
        </is>
      </c>
      <c r="H219" t="inlineStr">
        <is>
          <t>No</t>
        </is>
      </c>
      <c r="I219" t="inlineStr">
        <is>
          <t>No</t>
        </is>
      </c>
      <c r="J219" t="inlineStr">
        <is>
          <t>0</t>
        </is>
      </c>
      <c r="K219" t="inlineStr">
        <is>
          <t>Tomb, David A.</t>
        </is>
      </c>
      <c r="L219" t="inlineStr">
        <is>
          <t>New York : Viking, 1984.</t>
        </is>
      </c>
      <c r="M219" t="inlineStr">
        <is>
          <t>1984</t>
        </is>
      </c>
      <c r="O219" t="inlineStr">
        <is>
          <t>eng</t>
        </is>
      </c>
      <c r="P219" t="inlineStr">
        <is>
          <t>nyu</t>
        </is>
      </c>
      <c r="R219" t="inlineStr">
        <is>
          <t xml:space="preserve">HQ </t>
        </is>
      </c>
      <c r="S219" t="n">
        <v>4</v>
      </c>
      <c r="T219" t="n">
        <v>4</v>
      </c>
      <c r="U219" t="inlineStr">
        <is>
          <t>1996-02-07</t>
        </is>
      </c>
      <c r="V219" t="inlineStr">
        <is>
          <t>1996-02-07</t>
        </is>
      </c>
      <c r="W219" t="inlineStr">
        <is>
          <t>1993-04-26</t>
        </is>
      </c>
      <c r="X219" t="inlineStr">
        <is>
          <t>1993-04-26</t>
        </is>
      </c>
      <c r="Y219" t="n">
        <v>345</v>
      </c>
      <c r="Z219" t="n">
        <v>330</v>
      </c>
      <c r="AA219" t="n">
        <v>355</v>
      </c>
      <c r="AB219" t="n">
        <v>3</v>
      </c>
      <c r="AC219" t="n">
        <v>3</v>
      </c>
      <c r="AD219" t="n">
        <v>5</v>
      </c>
      <c r="AE219" t="n">
        <v>5</v>
      </c>
      <c r="AF219" t="n">
        <v>3</v>
      </c>
      <c r="AG219" t="n">
        <v>3</v>
      </c>
      <c r="AH219" t="n">
        <v>0</v>
      </c>
      <c r="AI219" t="n">
        <v>0</v>
      </c>
      <c r="AJ219" t="n">
        <v>2</v>
      </c>
      <c r="AK219" t="n">
        <v>2</v>
      </c>
      <c r="AL219" t="n">
        <v>2</v>
      </c>
      <c r="AM219" t="n">
        <v>2</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HYPERLINK("https://creighton-primo.hosted.exlibrisgroup.com/primo-explore/search?tab=default_tab&amp;search_scope=EVERYTHING&amp;vid=01CRU&amp;lang=en_US&amp;offset=0&amp;query=any,contains,991000342429702656","Catalog Record")</f>
        <v/>
      </c>
      <c r="AT219">
        <f>HYPERLINK("http://www.worldcat.org/oclc/10274857","WorldCat Record")</f>
        <v/>
      </c>
      <c r="AU219" t="inlineStr">
        <is>
          <t>902206504:eng</t>
        </is>
      </c>
      <c r="AV219" t="inlineStr">
        <is>
          <t>10274857</t>
        </is>
      </c>
      <c r="AW219" t="inlineStr">
        <is>
          <t>991000342429702656</t>
        </is>
      </c>
      <c r="AX219" t="inlineStr">
        <is>
          <t>991000342429702656</t>
        </is>
      </c>
      <c r="AY219" t="inlineStr">
        <is>
          <t>2270270100002656</t>
        </is>
      </c>
      <c r="AZ219" t="inlineStr">
        <is>
          <t>BOOK</t>
        </is>
      </c>
      <c r="BB219" t="inlineStr">
        <is>
          <t>9780670110384</t>
        </is>
      </c>
      <c r="BC219" t="inlineStr">
        <is>
          <t>32285001626463</t>
        </is>
      </c>
      <c r="BD219" t="inlineStr">
        <is>
          <t>893589363</t>
        </is>
      </c>
    </row>
    <row r="220">
      <c r="A220" t="inlineStr">
        <is>
          <t>No</t>
        </is>
      </c>
      <c r="B220" t="inlineStr">
        <is>
          <t>HQ1064.U5 T76 1987</t>
        </is>
      </c>
      <c r="C220" t="inlineStr">
        <is>
          <t>0                      HQ 1064000U  5                  T  76          1987</t>
        </is>
      </c>
      <c r="D220" t="inlineStr">
        <is>
          <t>Public policy opinion and the elderly, 1952-1978 : a kaleidoscope of culture / John E. Tropman.</t>
        </is>
      </c>
      <c r="F220" t="inlineStr">
        <is>
          <t>No</t>
        </is>
      </c>
      <c r="G220" t="inlineStr">
        <is>
          <t>1</t>
        </is>
      </c>
      <c r="H220" t="inlineStr">
        <is>
          <t>No</t>
        </is>
      </c>
      <c r="I220" t="inlineStr">
        <is>
          <t>No</t>
        </is>
      </c>
      <c r="J220" t="inlineStr">
        <is>
          <t>0</t>
        </is>
      </c>
      <c r="K220" t="inlineStr">
        <is>
          <t>Tropman, John E.</t>
        </is>
      </c>
      <c r="L220" t="inlineStr">
        <is>
          <t>New York : Greenwood Press, 1987.</t>
        </is>
      </c>
      <c r="M220" t="inlineStr">
        <is>
          <t>1987</t>
        </is>
      </c>
      <c r="O220" t="inlineStr">
        <is>
          <t>eng</t>
        </is>
      </c>
      <c r="P220" t="inlineStr">
        <is>
          <t>nyu</t>
        </is>
      </c>
      <c r="Q220" t="inlineStr">
        <is>
          <t>Contributions to the study of aging, 0732-085X ; no. 6</t>
        </is>
      </c>
      <c r="R220" t="inlineStr">
        <is>
          <t xml:space="preserve">HQ </t>
        </is>
      </c>
      <c r="S220" t="n">
        <v>7</v>
      </c>
      <c r="T220" t="n">
        <v>7</v>
      </c>
      <c r="U220" t="inlineStr">
        <is>
          <t>2004-11-01</t>
        </is>
      </c>
      <c r="V220" t="inlineStr">
        <is>
          <t>2004-11-01</t>
        </is>
      </c>
      <c r="W220" t="inlineStr">
        <is>
          <t>1993-04-26</t>
        </is>
      </c>
      <c r="X220" t="inlineStr">
        <is>
          <t>1993-04-26</t>
        </is>
      </c>
      <c r="Y220" t="n">
        <v>323</v>
      </c>
      <c r="Z220" t="n">
        <v>277</v>
      </c>
      <c r="AA220" t="n">
        <v>284</v>
      </c>
      <c r="AB220" t="n">
        <v>3</v>
      </c>
      <c r="AC220" t="n">
        <v>3</v>
      </c>
      <c r="AD220" t="n">
        <v>11</v>
      </c>
      <c r="AE220" t="n">
        <v>11</v>
      </c>
      <c r="AF220" t="n">
        <v>3</v>
      </c>
      <c r="AG220" t="n">
        <v>3</v>
      </c>
      <c r="AH220" t="n">
        <v>3</v>
      </c>
      <c r="AI220" t="n">
        <v>3</v>
      </c>
      <c r="AJ220" t="n">
        <v>7</v>
      </c>
      <c r="AK220" t="n">
        <v>7</v>
      </c>
      <c r="AL220" t="n">
        <v>2</v>
      </c>
      <c r="AM220" t="n">
        <v>2</v>
      </c>
      <c r="AN220" t="n">
        <v>0</v>
      </c>
      <c r="AO220" t="n">
        <v>0</v>
      </c>
      <c r="AP220" t="inlineStr">
        <is>
          <t>No</t>
        </is>
      </c>
      <c r="AQ220" t="inlineStr">
        <is>
          <t>Yes</t>
        </is>
      </c>
      <c r="AR220">
        <f>HYPERLINK("http://catalog.hathitrust.org/Record/000847155","HathiTrust Record")</f>
        <v/>
      </c>
      <c r="AS220">
        <f>HYPERLINK("https://creighton-primo.hosted.exlibrisgroup.com/primo-explore/search?tab=default_tab&amp;search_scope=EVERYTHING&amp;vid=01CRU&amp;lang=en_US&amp;offset=0&amp;query=any,contains,991000957349702656","Catalog Record")</f>
        <v/>
      </c>
      <c r="AT220">
        <f>HYPERLINK("http://www.worldcat.org/oclc/14719646","WorldCat Record")</f>
        <v/>
      </c>
      <c r="AU220" t="inlineStr">
        <is>
          <t>365829499:eng</t>
        </is>
      </c>
      <c r="AV220" t="inlineStr">
        <is>
          <t>14719646</t>
        </is>
      </c>
      <c r="AW220" t="inlineStr">
        <is>
          <t>991000957349702656</t>
        </is>
      </c>
      <c r="AX220" t="inlineStr">
        <is>
          <t>991000957349702656</t>
        </is>
      </c>
      <c r="AY220" t="inlineStr">
        <is>
          <t>2254885640002656</t>
        </is>
      </c>
      <c r="AZ220" t="inlineStr">
        <is>
          <t>BOOK</t>
        </is>
      </c>
      <c r="BB220" t="inlineStr">
        <is>
          <t>9780313254321</t>
        </is>
      </c>
      <c r="BC220" t="inlineStr">
        <is>
          <t>32285001626471</t>
        </is>
      </c>
      <c r="BD220" t="inlineStr">
        <is>
          <t>893237758</t>
        </is>
      </c>
    </row>
    <row r="221">
      <c r="A221" t="inlineStr">
        <is>
          <t>No</t>
        </is>
      </c>
      <c r="B221" t="inlineStr">
        <is>
          <t>HQ1064.U5 W33 1982</t>
        </is>
      </c>
      <c r="C221" t="inlineStr">
        <is>
          <t>0                      HQ 1064000U  5                  W  33          1982</t>
        </is>
      </c>
      <c r="D221" t="inlineStr">
        <is>
          <t>Stressful life events, social-support networks, and gerontological health : a prospective study / Thomas T.H. Wan.</t>
        </is>
      </c>
      <c r="F221" t="inlineStr">
        <is>
          <t>No</t>
        </is>
      </c>
      <c r="G221" t="inlineStr">
        <is>
          <t>1</t>
        </is>
      </c>
      <c r="H221" t="inlineStr">
        <is>
          <t>Yes</t>
        </is>
      </c>
      <c r="I221" t="inlineStr">
        <is>
          <t>No</t>
        </is>
      </c>
      <c r="J221" t="inlineStr">
        <is>
          <t>0</t>
        </is>
      </c>
      <c r="K221" t="inlineStr">
        <is>
          <t>Wan, Thomas T. H.</t>
        </is>
      </c>
      <c r="L221" t="inlineStr">
        <is>
          <t>Lexington, Mass. : Lexington Books, c1982.</t>
        </is>
      </c>
      <c r="M221" t="inlineStr">
        <is>
          <t>1982</t>
        </is>
      </c>
      <c r="O221" t="inlineStr">
        <is>
          <t>eng</t>
        </is>
      </c>
      <c r="P221" t="inlineStr">
        <is>
          <t>mau</t>
        </is>
      </c>
      <c r="R221" t="inlineStr">
        <is>
          <t xml:space="preserve">HQ </t>
        </is>
      </c>
      <c r="S221" t="n">
        <v>3</v>
      </c>
      <c r="T221" t="n">
        <v>3</v>
      </c>
      <c r="U221" t="inlineStr">
        <is>
          <t>2010-04-27</t>
        </is>
      </c>
      <c r="V221" t="inlineStr">
        <is>
          <t>2010-04-27</t>
        </is>
      </c>
      <c r="W221" t="inlineStr">
        <is>
          <t>1993-04-26</t>
        </is>
      </c>
      <c r="X221" t="inlineStr">
        <is>
          <t>1993-04-26</t>
        </is>
      </c>
      <c r="Y221" t="n">
        <v>363</v>
      </c>
      <c r="Z221" t="n">
        <v>288</v>
      </c>
      <c r="AA221" t="n">
        <v>295</v>
      </c>
      <c r="AB221" t="n">
        <v>4</v>
      </c>
      <c r="AC221" t="n">
        <v>4</v>
      </c>
      <c r="AD221" t="n">
        <v>12</v>
      </c>
      <c r="AE221" t="n">
        <v>12</v>
      </c>
      <c r="AF221" t="n">
        <v>4</v>
      </c>
      <c r="AG221" t="n">
        <v>4</v>
      </c>
      <c r="AH221" t="n">
        <v>3</v>
      </c>
      <c r="AI221" t="n">
        <v>3</v>
      </c>
      <c r="AJ221" t="n">
        <v>6</v>
      </c>
      <c r="AK221" t="n">
        <v>6</v>
      </c>
      <c r="AL221" t="n">
        <v>2</v>
      </c>
      <c r="AM221" t="n">
        <v>2</v>
      </c>
      <c r="AN221" t="n">
        <v>0</v>
      </c>
      <c r="AO221" t="n">
        <v>0</v>
      </c>
      <c r="AP221" t="inlineStr">
        <is>
          <t>No</t>
        </is>
      </c>
      <c r="AQ221" t="inlineStr">
        <is>
          <t>Yes</t>
        </is>
      </c>
      <c r="AR221">
        <f>HYPERLINK("http://catalog.hathitrust.org/Record/000149738","HathiTrust Record")</f>
        <v/>
      </c>
      <c r="AS221">
        <f>HYPERLINK("https://creighton-primo.hosted.exlibrisgroup.com/primo-explore/search?tab=default_tab&amp;search_scope=EVERYTHING&amp;vid=01CRU&amp;lang=en_US&amp;offset=0&amp;query=any,contains,991005220289702656","Catalog Record")</f>
        <v/>
      </c>
      <c r="AT221">
        <f>HYPERLINK("http://www.worldcat.org/oclc/8221448","WorldCat Record")</f>
        <v/>
      </c>
      <c r="AU221" t="inlineStr">
        <is>
          <t>291232225:eng</t>
        </is>
      </c>
      <c r="AV221" t="inlineStr">
        <is>
          <t>8221448</t>
        </is>
      </c>
      <c r="AW221" t="inlineStr">
        <is>
          <t>991005220289702656</t>
        </is>
      </c>
      <c r="AX221" t="inlineStr">
        <is>
          <t>991005220289702656</t>
        </is>
      </c>
      <c r="AY221" t="inlineStr">
        <is>
          <t>2268521320002656</t>
        </is>
      </c>
      <c r="AZ221" t="inlineStr">
        <is>
          <t>BOOK</t>
        </is>
      </c>
      <c r="BB221" t="inlineStr">
        <is>
          <t>9780669053593</t>
        </is>
      </c>
      <c r="BC221" t="inlineStr">
        <is>
          <t>32285001626497</t>
        </is>
      </c>
      <c r="BD221" t="inlineStr">
        <is>
          <t>893344863</t>
        </is>
      </c>
    </row>
    <row r="222">
      <c r="A222" t="inlineStr">
        <is>
          <t>No</t>
        </is>
      </c>
      <c r="B222" t="inlineStr">
        <is>
          <t>HQ1064.U5 W334 1985</t>
        </is>
      </c>
      <c r="C222" t="inlineStr">
        <is>
          <t>0                      HQ 1064000U  5                  W  334         1985</t>
        </is>
      </c>
      <c r="D222" t="inlineStr">
        <is>
          <t>Well-being for the elderly : primary preventive strategies / Thomas T.H. Wan.</t>
        </is>
      </c>
      <c r="F222" t="inlineStr">
        <is>
          <t>No</t>
        </is>
      </c>
      <c r="G222" t="inlineStr">
        <is>
          <t>1</t>
        </is>
      </c>
      <c r="H222" t="inlineStr">
        <is>
          <t>Yes</t>
        </is>
      </c>
      <c r="I222" t="inlineStr">
        <is>
          <t>No</t>
        </is>
      </c>
      <c r="J222" t="inlineStr">
        <is>
          <t>0</t>
        </is>
      </c>
      <c r="K222" t="inlineStr">
        <is>
          <t>Wan, Thomas T. H.</t>
        </is>
      </c>
      <c r="L222" t="inlineStr">
        <is>
          <t>Lexington, Mass. : Lexington Books, c1985.</t>
        </is>
      </c>
      <c r="M222" t="inlineStr">
        <is>
          <t>1985</t>
        </is>
      </c>
      <c r="O222" t="inlineStr">
        <is>
          <t>eng</t>
        </is>
      </c>
      <c r="P222" t="inlineStr">
        <is>
          <t>mau</t>
        </is>
      </c>
      <c r="R222" t="inlineStr">
        <is>
          <t xml:space="preserve">HQ </t>
        </is>
      </c>
      <c r="S222" t="n">
        <v>4</v>
      </c>
      <c r="T222" t="n">
        <v>11</v>
      </c>
      <c r="U222" t="inlineStr">
        <is>
          <t>1997-04-09</t>
        </is>
      </c>
      <c r="V222" t="inlineStr">
        <is>
          <t>1997-04-09</t>
        </is>
      </c>
      <c r="W222" t="inlineStr">
        <is>
          <t>1990-03-28</t>
        </is>
      </c>
      <c r="X222" t="inlineStr">
        <is>
          <t>1990-03-28</t>
        </is>
      </c>
      <c r="Y222" t="n">
        <v>425</v>
      </c>
      <c r="Z222" t="n">
        <v>363</v>
      </c>
      <c r="AA222" t="n">
        <v>370</v>
      </c>
      <c r="AB222" t="n">
        <v>4</v>
      </c>
      <c r="AC222" t="n">
        <v>4</v>
      </c>
      <c r="AD222" t="n">
        <v>11</v>
      </c>
      <c r="AE222" t="n">
        <v>11</v>
      </c>
      <c r="AF222" t="n">
        <v>3</v>
      </c>
      <c r="AG222" t="n">
        <v>3</v>
      </c>
      <c r="AH222" t="n">
        <v>3</v>
      </c>
      <c r="AI222" t="n">
        <v>3</v>
      </c>
      <c r="AJ222" t="n">
        <v>5</v>
      </c>
      <c r="AK222" t="n">
        <v>5</v>
      </c>
      <c r="AL222" t="n">
        <v>2</v>
      </c>
      <c r="AM222" t="n">
        <v>2</v>
      </c>
      <c r="AN222" t="n">
        <v>0</v>
      </c>
      <c r="AO222" t="n">
        <v>0</v>
      </c>
      <c r="AP222" t="inlineStr">
        <is>
          <t>No</t>
        </is>
      </c>
      <c r="AQ222" t="inlineStr">
        <is>
          <t>Yes</t>
        </is>
      </c>
      <c r="AR222">
        <f>HYPERLINK("http://catalog.hathitrust.org/Record/000613879","HathiTrust Record")</f>
        <v/>
      </c>
      <c r="AS222">
        <f>HYPERLINK("https://creighton-primo.hosted.exlibrisgroup.com/primo-explore/search?tab=default_tab&amp;search_scope=EVERYTHING&amp;vid=01CRU&amp;lang=en_US&amp;offset=0&amp;query=any,contains,991001782359702656","Catalog Record")</f>
        <v/>
      </c>
      <c r="AT222">
        <f>HYPERLINK("http://www.worldcat.org/oclc/11814596","WorldCat Record")</f>
        <v/>
      </c>
      <c r="AU222" t="inlineStr">
        <is>
          <t>4410468:eng</t>
        </is>
      </c>
      <c r="AV222" t="inlineStr">
        <is>
          <t>11814596</t>
        </is>
      </c>
      <c r="AW222" t="inlineStr">
        <is>
          <t>991001782359702656</t>
        </is>
      </c>
      <c r="AX222" t="inlineStr">
        <is>
          <t>991001782359702656</t>
        </is>
      </c>
      <c r="AY222" t="inlineStr">
        <is>
          <t>2261028770002656</t>
        </is>
      </c>
      <c r="AZ222" t="inlineStr">
        <is>
          <t>BOOK</t>
        </is>
      </c>
      <c r="BB222" t="inlineStr">
        <is>
          <t>9780669097528</t>
        </is>
      </c>
      <c r="BC222" t="inlineStr">
        <is>
          <t>32285000066125</t>
        </is>
      </c>
      <c r="BD222" t="inlineStr">
        <is>
          <t>893697029</t>
        </is>
      </c>
    </row>
    <row r="223">
      <c r="A223" t="inlineStr">
        <is>
          <t>No</t>
        </is>
      </c>
      <c r="B223" t="inlineStr">
        <is>
          <t>HQ1064.U5 W5924 1982</t>
        </is>
      </c>
      <c r="C223" t="inlineStr">
        <is>
          <t>0                      HQ 1064000U  5                  W  5924        1982</t>
        </is>
      </c>
      <c r="D223" t="inlineStr">
        <is>
          <t>The politics of aging : power and policy / by John B. Williamson, Linda Evans, Lawrence A. Powell, in collaboration with Sharlene Hesse-Biber.</t>
        </is>
      </c>
      <c r="F223" t="inlineStr">
        <is>
          <t>No</t>
        </is>
      </c>
      <c r="G223" t="inlineStr">
        <is>
          <t>1</t>
        </is>
      </c>
      <c r="H223" t="inlineStr">
        <is>
          <t>No</t>
        </is>
      </c>
      <c r="I223" t="inlineStr">
        <is>
          <t>No</t>
        </is>
      </c>
      <c r="J223" t="inlineStr">
        <is>
          <t>0</t>
        </is>
      </c>
      <c r="K223" t="inlineStr">
        <is>
          <t>Williamson, John B.</t>
        </is>
      </c>
      <c r="L223" t="inlineStr">
        <is>
          <t>Springfield, Ill. : Thomas, c1982.</t>
        </is>
      </c>
      <c r="M223" t="inlineStr">
        <is>
          <t>1982</t>
        </is>
      </c>
      <c r="O223" t="inlineStr">
        <is>
          <t>eng</t>
        </is>
      </c>
      <c r="P223" t="inlineStr">
        <is>
          <t>ilu</t>
        </is>
      </c>
      <c r="R223" t="inlineStr">
        <is>
          <t xml:space="preserve">HQ </t>
        </is>
      </c>
      <c r="S223" t="n">
        <v>3</v>
      </c>
      <c r="T223" t="n">
        <v>3</v>
      </c>
      <c r="U223" t="inlineStr">
        <is>
          <t>2004-10-12</t>
        </is>
      </c>
      <c r="V223" t="inlineStr">
        <is>
          <t>2004-10-12</t>
        </is>
      </c>
      <c r="W223" t="inlineStr">
        <is>
          <t>1993-04-26</t>
        </is>
      </c>
      <c r="X223" t="inlineStr">
        <is>
          <t>1993-04-26</t>
        </is>
      </c>
      <c r="Y223" t="n">
        <v>285</v>
      </c>
      <c r="Z223" t="n">
        <v>246</v>
      </c>
      <c r="AA223" t="n">
        <v>248</v>
      </c>
      <c r="AB223" t="n">
        <v>4</v>
      </c>
      <c r="AC223" t="n">
        <v>4</v>
      </c>
      <c r="AD223" t="n">
        <v>11</v>
      </c>
      <c r="AE223" t="n">
        <v>11</v>
      </c>
      <c r="AF223" t="n">
        <v>2</v>
      </c>
      <c r="AG223" t="n">
        <v>2</v>
      </c>
      <c r="AH223" t="n">
        <v>4</v>
      </c>
      <c r="AI223" t="n">
        <v>4</v>
      </c>
      <c r="AJ223" t="n">
        <v>5</v>
      </c>
      <c r="AK223" t="n">
        <v>5</v>
      </c>
      <c r="AL223" t="n">
        <v>3</v>
      </c>
      <c r="AM223" t="n">
        <v>3</v>
      </c>
      <c r="AN223" t="n">
        <v>1</v>
      </c>
      <c r="AO223" t="n">
        <v>1</v>
      </c>
      <c r="AP223" t="inlineStr">
        <is>
          <t>No</t>
        </is>
      </c>
      <c r="AQ223" t="inlineStr">
        <is>
          <t>Yes</t>
        </is>
      </c>
      <c r="AR223">
        <f>HYPERLINK("http://catalog.hathitrust.org/Record/000763726","HathiTrust Record")</f>
        <v/>
      </c>
      <c r="AS223">
        <f>HYPERLINK("https://creighton-primo.hosted.exlibrisgroup.com/primo-explore/search?tab=default_tab&amp;search_scope=EVERYTHING&amp;vid=01CRU&amp;lang=en_US&amp;offset=0&amp;query=any,contains,991005163849702656","Catalog Record")</f>
        <v/>
      </c>
      <c r="AT223">
        <f>HYPERLINK("http://www.worldcat.org/oclc/7812387","WorldCat Record")</f>
        <v/>
      </c>
      <c r="AU223" t="inlineStr">
        <is>
          <t>334521879:eng</t>
        </is>
      </c>
      <c r="AV223" t="inlineStr">
        <is>
          <t>7812387</t>
        </is>
      </c>
      <c r="AW223" t="inlineStr">
        <is>
          <t>991005163849702656</t>
        </is>
      </c>
      <c r="AX223" t="inlineStr">
        <is>
          <t>991005163849702656</t>
        </is>
      </c>
      <c r="AY223" t="inlineStr">
        <is>
          <t>2254754810002656</t>
        </is>
      </c>
      <c r="AZ223" t="inlineStr">
        <is>
          <t>BOOK</t>
        </is>
      </c>
      <c r="BB223" t="inlineStr">
        <is>
          <t>9780398046088</t>
        </is>
      </c>
      <c r="BC223" t="inlineStr">
        <is>
          <t>32285001626521</t>
        </is>
      </c>
      <c r="BD223" t="inlineStr">
        <is>
          <t>893707370</t>
        </is>
      </c>
    </row>
    <row r="224">
      <c r="A224" t="inlineStr">
        <is>
          <t>No</t>
        </is>
      </c>
      <c r="B224" t="inlineStr">
        <is>
          <t>HQ1064.U5 W6</t>
        </is>
      </c>
      <c r="C224" t="inlineStr">
        <is>
          <t>0                      HQ 1064000U  5                  W  6</t>
        </is>
      </c>
      <c r="D224" t="inlineStr">
        <is>
          <t>Aging : scientific perspectives and social issues / edited by Diana S. Woodruff [and] James E. Birren ; contributing authors : Vern L. Bengtson [et al.]</t>
        </is>
      </c>
      <c r="F224" t="inlineStr">
        <is>
          <t>No</t>
        </is>
      </c>
      <c r="G224" t="inlineStr">
        <is>
          <t>1</t>
        </is>
      </c>
      <c r="H224" t="inlineStr">
        <is>
          <t>No</t>
        </is>
      </c>
      <c r="I224" t="inlineStr">
        <is>
          <t>Yes</t>
        </is>
      </c>
      <c r="J224" t="inlineStr">
        <is>
          <t>0</t>
        </is>
      </c>
      <c r="K224" t="inlineStr">
        <is>
          <t>Woodruff-Pak, Diana S., 1946- compiler.</t>
        </is>
      </c>
      <c r="L224" t="inlineStr">
        <is>
          <t>New York : D. Van Nostrand, 1975.</t>
        </is>
      </c>
      <c r="M224" t="inlineStr">
        <is>
          <t>1975</t>
        </is>
      </c>
      <c r="O224" t="inlineStr">
        <is>
          <t>eng</t>
        </is>
      </c>
      <c r="P224" t="inlineStr">
        <is>
          <t xml:space="preserve">xx </t>
        </is>
      </c>
      <c r="R224" t="inlineStr">
        <is>
          <t xml:space="preserve">HQ </t>
        </is>
      </c>
      <c r="S224" t="n">
        <v>8</v>
      </c>
      <c r="T224" t="n">
        <v>8</v>
      </c>
      <c r="U224" t="inlineStr">
        <is>
          <t>2004-10-12</t>
        </is>
      </c>
      <c r="V224" t="inlineStr">
        <is>
          <t>2004-10-12</t>
        </is>
      </c>
      <c r="W224" t="inlineStr">
        <is>
          <t>1993-04-26</t>
        </is>
      </c>
      <c r="X224" t="inlineStr">
        <is>
          <t>1993-04-26</t>
        </is>
      </c>
      <c r="Y224" t="n">
        <v>522</v>
      </c>
      <c r="Z224" t="n">
        <v>440</v>
      </c>
      <c r="AA224" t="n">
        <v>588</v>
      </c>
      <c r="AB224" t="n">
        <v>4</v>
      </c>
      <c r="AC224" t="n">
        <v>7</v>
      </c>
      <c r="AD224" t="n">
        <v>19</v>
      </c>
      <c r="AE224" t="n">
        <v>27</v>
      </c>
      <c r="AF224" t="n">
        <v>8</v>
      </c>
      <c r="AG224" t="n">
        <v>10</v>
      </c>
      <c r="AH224" t="n">
        <v>4</v>
      </c>
      <c r="AI224" t="n">
        <v>5</v>
      </c>
      <c r="AJ224" t="n">
        <v>11</v>
      </c>
      <c r="AK224" t="n">
        <v>15</v>
      </c>
      <c r="AL224" t="n">
        <v>2</v>
      </c>
      <c r="AM224" t="n">
        <v>4</v>
      </c>
      <c r="AN224" t="n">
        <v>0</v>
      </c>
      <c r="AO224" t="n">
        <v>1</v>
      </c>
      <c r="AP224" t="inlineStr">
        <is>
          <t>No</t>
        </is>
      </c>
      <c r="AQ224" t="inlineStr">
        <is>
          <t>Yes</t>
        </is>
      </c>
      <c r="AR224">
        <f>HYPERLINK("http://catalog.hathitrust.org/Record/000041783","HathiTrust Record")</f>
        <v/>
      </c>
      <c r="AS224">
        <f>HYPERLINK("https://creighton-primo.hosted.exlibrisgroup.com/primo-explore/search?tab=default_tab&amp;search_scope=EVERYTHING&amp;vid=01CRU&amp;lang=en_US&amp;offset=0&amp;query=any,contains,991003859169702656","Catalog Record")</f>
        <v/>
      </c>
      <c r="AT224">
        <f>HYPERLINK("http://www.worldcat.org/oclc/1661678","WorldCat Record")</f>
        <v/>
      </c>
      <c r="AU224" t="inlineStr">
        <is>
          <t>503176612:eng</t>
        </is>
      </c>
      <c r="AV224" t="inlineStr">
        <is>
          <t>1661678</t>
        </is>
      </c>
      <c r="AW224" t="inlineStr">
        <is>
          <t>991003859169702656</t>
        </is>
      </c>
      <c r="AX224" t="inlineStr">
        <is>
          <t>991003859169702656</t>
        </is>
      </c>
      <c r="AY224" t="inlineStr">
        <is>
          <t>2268446540002656</t>
        </is>
      </c>
      <c r="AZ224" t="inlineStr">
        <is>
          <t>BOOK</t>
        </is>
      </c>
      <c r="BB224" t="inlineStr">
        <is>
          <t>9780442208004</t>
        </is>
      </c>
      <c r="BC224" t="inlineStr">
        <is>
          <t>32285001626539</t>
        </is>
      </c>
      <c r="BD224" t="inlineStr">
        <is>
          <t>893794159</t>
        </is>
      </c>
    </row>
    <row r="225">
      <c r="A225" t="inlineStr">
        <is>
          <t>No</t>
        </is>
      </c>
      <c r="B225" t="inlineStr">
        <is>
          <t>HQ1064.U6 I66 1985</t>
        </is>
      </c>
      <c r="C225" t="inlineStr">
        <is>
          <t>0                      HQ 1064000U  6                  I  66          1985</t>
        </is>
      </c>
      <c r="D225" t="inlineStr">
        <is>
          <t>Later life transitions : older males in rural America / edited by Edward A. Powers, Willis J. Goudy, Patricia M. Keith.</t>
        </is>
      </c>
      <c r="F225" t="inlineStr">
        <is>
          <t>No</t>
        </is>
      </c>
      <c r="G225" t="inlineStr">
        <is>
          <t>1</t>
        </is>
      </c>
      <c r="H225" t="inlineStr">
        <is>
          <t>No</t>
        </is>
      </c>
      <c r="I225" t="inlineStr">
        <is>
          <t>No</t>
        </is>
      </c>
      <c r="J225" t="inlineStr">
        <is>
          <t>0</t>
        </is>
      </c>
      <c r="L225" t="inlineStr">
        <is>
          <t>Boston : Kluwer-Nijhoff : Hingham, Mass. : Distributors for North America, Kluwer Academic Pub., c1985.</t>
        </is>
      </c>
      <c r="M225" t="inlineStr">
        <is>
          <t>1985</t>
        </is>
      </c>
      <c r="O225" t="inlineStr">
        <is>
          <t>eng</t>
        </is>
      </c>
      <c r="P225" t="inlineStr">
        <is>
          <t>mau</t>
        </is>
      </c>
      <c r="Q225" t="inlineStr">
        <is>
          <t>Longitudinal research in the behavioral, social, and medical sciences</t>
        </is>
      </c>
      <c r="R225" t="inlineStr">
        <is>
          <t xml:space="preserve">HQ </t>
        </is>
      </c>
      <c r="S225" t="n">
        <v>1</v>
      </c>
      <c r="T225" t="n">
        <v>1</v>
      </c>
      <c r="U225" t="inlineStr">
        <is>
          <t>2000-10-01</t>
        </is>
      </c>
      <c r="V225" t="inlineStr">
        <is>
          <t>2000-10-01</t>
        </is>
      </c>
      <c r="W225" t="inlineStr">
        <is>
          <t>1993-04-26</t>
        </is>
      </c>
      <c r="X225" t="inlineStr">
        <is>
          <t>1993-04-26</t>
        </is>
      </c>
      <c r="Y225" t="n">
        <v>231</v>
      </c>
      <c r="Z225" t="n">
        <v>181</v>
      </c>
      <c r="AA225" t="n">
        <v>195</v>
      </c>
      <c r="AB225" t="n">
        <v>4</v>
      </c>
      <c r="AC225" t="n">
        <v>4</v>
      </c>
      <c r="AD225" t="n">
        <v>6</v>
      </c>
      <c r="AE225" t="n">
        <v>7</v>
      </c>
      <c r="AF225" t="n">
        <v>1</v>
      </c>
      <c r="AG225" t="n">
        <v>2</v>
      </c>
      <c r="AH225" t="n">
        <v>1</v>
      </c>
      <c r="AI225" t="n">
        <v>1</v>
      </c>
      <c r="AJ225" t="n">
        <v>1</v>
      </c>
      <c r="AK225" t="n">
        <v>2</v>
      </c>
      <c r="AL225" t="n">
        <v>3</v>
      </c>
      <c r="AM225" t="n">
        <v>3</v>
      </c>
      <c r="AN225" t="n">
        <v>0</v>
      </c>
      <c r="AO225" t="n">
        <v>0</v>
      </c>
      <c r="AP225" t="inlineStr">
        <is>
          <t>No</t>
        </is>
      </c>
      <c r="AQ225" t="inlineStr">
        <is>
          <t>Yes</t>
        </is>
      </c>
      <c r="AR225">
        <f>HYPERLINK("http://catalog.hathitrust.org/Record/000458113","HathiTrust Record")</f>
        <v/>
      </c>
      <c r="AS225">
        <f>HYPERLINK("https://creighton-primo.hosted.exlibrisgroup.com/primo-explore/search?tab=default_tab&amp;search_scope=EVERYTHING&amp;vid=01CRU&amp;lang=en_US&amp;offset=0&amp;query=any,contains,991000430969702656","Catalog Record")</f>
        <v/>
      </c>
      <c r="AT225">
        <f>HYPERLINK("http://www.worldcat.org/oclc/10778744","WorldCat Record")</f>
        <v/>
      </c>
      <c r="AU225" t="inlineStr">
        <is>
          <t>836666199:eng</t>
        </is>
      </c>
      <c r="AV225" t="inlineStr">
        <is>
          <t>10778744</t>
        </is>
      </c>
      <c r="AW225" t="inlineStr">
        <is>
          <t>991000430969702656</t>
        </is>
      </c>
      <c r="AX225" t="inlineStr">
        <is>
          <t>991000430969702656</t>
        </is>
      </c>
      <c r="AY225" t="inlineStr">
        <is>
          <t>2267973530002656</t>
        </is>
      </c>
      <c r="AZ225" t="inlineStr">
        <is>
          <t>BOOK</t>
        </is>
      </c>
      <c r="BB225" t="inlineStr">
        <is>
          <t>9780898381375</t>
        </is>
      </c>
      <c r="BC225" t="inlineStr">
        <is>
          <t>32285001626554</t>
        </is>
      </c>
      <c r="BD225" t="inlineStr">
        <is>
          <t>893878020</t>
        </is>
      </c>
    </row>
    <row r="226">
      <c r="A226" t="inlineStr">
        <is>
          <t>No</t>
        </is>
      </c>
      <c r="B226" t="inlineStr">
        <is>
          <t>HQ1067 .B66 1978</t>
        </is>
      </c>
      <c r="C226" t="inlineStr">
        <is>
          <t>0                      HQ 1067000B  66          1978</t>
        </is>
      </c>
      <c r="D226" t="inlineStr">
        <is>
          <t>A Book of men : visions of the male experience / edited by Ross Firestone.</t>
        </is>
      </c>
      <c r="F226" t="inlineStr">
        <is>
          <t>No</t>
        </is>
      </c>
      <c r="G226" t="inlineStr">
        <is>
          <t>1</t>
        </is>
      </c>
      <c r="H226" t="inlineStr">
        <is>
          <t>No</t>
        </is>
      </c>
      <c r="I226" t="inlineStr">
        <is>
          <t>No</t>
        </is>
      </c>
      <c r="J226" t="inlineStr">
        <is>
          <t>0</t>
        </is>
      </c>
      <c r="L226" t="inlineStr">
        <is>
          <t>New York : Stonehill Pub. Co., c1978.</t>
        </is>
      </c>
      <c r="M226" t="inlineStr">
        <is>
          <t>1978</t>
        </is>
      </c>
      <c r="O226" t="inlineStr">
        <is>
          <t>eng</t>
        </is>
      </c>
      <c r="P226" t="inlineStr">
        <is>
          <t>nyu</t>
        </is>
      </c>
      <c r="R226" t="inlineStr">
        <is>
          <t xml:space="preserve">HQ </t>
        </is>
      </c>
      <c r="S226" t="n">
        <v>3</v>
      </c>
      <c r="T226" t="n">
        <v>3</v>
      </c>
      <c r="U226" t="inlineStr">
        <is>
          <t>2000-04-18</t>
        </is>
      </c>
      <c r="V226" t="inlineStr">
        <is>
          <t>2000-04-18</t>
        </is>
      </c>
      <c r="W226" t="inlineStr">
        <is>
          <t>1995-03-02</t>
        </is>
      </c>
      <c r="X226" t="inlineStr">
        <is>
          <t>1995-03-02</t>
        </is>
      </c>
      <c r="Y226" t="n">
        <v>104</v>
      </c>
      <c r="Z226" t="n">
        <v>100</v>
      </c>
      <c r="AA226" t="n">
        <v>292</v>
      </c>
      <c r="AB226" t="n">
        <v>1</v>
      </c>
      <c r="AC226" t="n">
        <v>1</v>
      </c>
      <c r="AD226" t="n">
        <v>1</v>
      </c>
      <c r="AE226" t="n">
        <v>4</v>
      </c>
      <c r="AF226" t="n">
        <v>1</v>
      </c>
      <c r="AG226" t="n">
        <v>3</v>
      </c>
      <c r="AH226" t="n">
        <v>0</v>
      </c>
      <c r="AI226" t="n">
        <v>1</v>
      </c>
      <c r="AJ226" t="n">
        <v>0</v>
      </c>
      <c r="AK226" t="n">
        <v>1</v>
      </c>
      <c r="AL226" t="n">
        <v>0</v>
      </c>
      <c r="AM226" t="n">
        <v>0</v>
      </c>
      <c r="AN226" t="n">
        <v>0</v>
      </c>
      <c r="AO226" t="n">
        <v>0</v>
      </c>
      <c r="AP226" t="inlineStr">
        <is>
          <t>No</t>
        </is>
      </c>
      <c r="AQ226" t="inlineStr">
        <is>
          <t>Yes</t>
        </is>
      </c>
      <c r="AR226">
        <f>HYPERLINK("http://catalog.hathitrust.org/Record/000258933","HathiTrust Record")</f>
        <v/>
      </c>
      <c r="AS226">
        <f>HYPERLINK("https://creighton-primo.hosted.exlibrisgroup.com/primo-explore/search?tab=default_tab&amp;search_scope=EVERYTHING&amp;vid=01CRU&amp;lang=en_US&amp;offset=0&amp;query=any,contains,991004780539702656","Catalog Record")</f>
        <v/>
      </c>
      <c r="AT226">
        <f>HYPERLINK("http://www.worldcat.org/oclc/4586393","WorldCat Record")</f>
        <v/>
      </c>
      <c r="AU226" t="inlineStr">
        <is>
          <t>836619225:eng</t>
        </is>
      </c>
      <c r="AV226" t="inlineStr">
        <is>
          <t>4586393</t>
        </is>
      </c>
      <c r="AW226" t="inlineStr">
        <is>
          <t>991004780539702656</t>
        </is>
      </c>
      <c r="AX226" t="inlineStr">
        <is>
          <t>991004780539702656</t>
        </is>
      </c>
      <c r="AY226" t="inlineStr">
        <is>
          <t>2267161300002656</t>
        </is>
      </c>
      <c r="AZ226" t="inlineStr">
        <is>
          <t>BOOK</t>
        </is>
      </c>
      <c r="BC226" t="inlineStr">
        <is>
          <t>32285002020013</t>
        </is>
      </c>
      <c r="BD226" t="inlineStr">
        <is>
          <t>893901751</t>
        </is>
      </c>
    </row>
    <row r="227">
      <c r="A227" t="inlineStr">
        <is>
          <t>No</t>
        </is>
      </c>
      <c r="B227" t="inlineStr">
        <is>
          <t>HQ1067 .G63 1976</t>
        </is>
      </c>
      <c r="C227" t="inlineStr">
        <is>
          <t>0                      HQ 1067000G  63          1976</t>
        </is>
      </c>
      <c r="D227" t="inlineStr">
        <is>
          <t>The hazards of being male : surviving the myth of masculine privilege / by Herb Goldberg.</t>
        </is>
      </c>
      <c r="F227" t="inlineStr">
        <is>
          <t>No</t>
        </is>
      </c>
      <c r="G227" t="inlineStr">
        <is>
          <t>1</t>
        </is>
      </c>
      <c r="H227" t="inlineStr">
        <is>
          <t>No</t>
        </is>
      </c>
      <c r="I227" t="inlineStr">
        <is>
          <t>No</t>
        </is>
      </c>
      <c r="J227" t="inlineStr">
        <is>
          <t>0</t>
        </is>
      </c>
      <c r="K227" t="inlineStr">
        <is>
          <t>Goldberg, Herb, 1937-</t>
        </is>
      </c>
      <c r="L227" t="inlineStr">
        <is>
          <t>New York : New American Library, 1977, c1976.</t>
        </is>
      </c>
      <c r="M227" t="inlineStr">
        <is>
          <t>1977</t>
        </is>
      </c>
      <c r="O227" t="inlineStr">
        <is>
          <t>eng</t>
        </is>
      </c>
      <c r="P227" t="inlineStr">
        <is>
          <t>nyu</t>
        </is>
      </c>
      <c r="Q227" t="inlineStr">
        <is>
          <t>A Signet book ; E 7359</t>
        </is>
      </c>
      <c r="R227" t="inlineStr">
        <is>
          <t xml:space="preserve">HQ </t>
        </is>
      </c>
      <c r="S227" t="n">
        <v>6</v>
      </c>
      <c r="T227" t="n">
        <v>6</v>
      </c>
      <c r="U227" t="inlineStr">
        <is>
          <t>1998-02-02</t>
        </is>
      </c>
      <c r="V227" t="inlineStr">
        <is>
          <t>1998-02-02</t>
        </is>
      </c>
      <c r="W227" t="inlineStr">
        <is>
          <t>1997-03-04</t>
        </is>
      </c>
      <c r="X227" t="inlineStr">
        <is>
          <t>1997-03-04</t>
        </is>
      </c>
      <c r="Y227" t="n">
        <v>259</v>
      </c>
      <c r="Z227" t="n">
        <v>220</v>
      </c>
      <c r="AA227" t="n">
        <v>718</v>
      </c>
      <c r="AB227" t="n">
        <v>2</v>
      </c>
      <c r="AC227" t="n">
        <v>6</v>
      </c>
      <c r="AD227" t="n">
        <v>4</v>
      </c>
      <c r="AE227" t="n">
        <v>13</v>
      </c>
      <c r="AF227" t="n">
        <v>2</v>
      </c>
      <c r="AG227" t="n">
        <v>6</v>
      </c>
      <c r="AH227" t="n">
        <v>0</v>
      </c>
      <c r="AI227" t="n">
        <v>2</v>
      </c>
      <c r="AJ227" t="n">
        <v>2</v>
      </c>
      <c r="AK227" t="n">
        <v>4</v>
      </c>
      <c r="AL227" t="n">
        <v>0</v>
      </c>
      <c r="AM227" t="n">
        <v>3</v>
      </c>
      <c r="AN227" t="n">
        <v>0</v>
      </c>
      <c r="AO227" t="n">
        <v>0</v>
      </c>
      <c r="AP227" t="inlineStr">
        <is>
          <t>No</t>
        </is>
      </c>
      <c r="AQ227" t="inlineStr">
        <is>
          <t>Yes</t>
        </is>
      </c>
      <c r="AR227">
        <f>HYPERLINK("http://catalog.hathitrust.org/Record/007115086","HathiTrust Record")</f>
        <v/>
      </c>
      <c r="AS227">
        <f>HYPERLINK("https://creighton-primo.hosted.exlibrisgroup.com/primo-explore/search?tab=default_tab&amp;search_scope=EVERYTHING&amp;vid=01CRU&amp;lang=en_US&amp;offset=0&amp;query=any,contains,991004521369702656","Catalog Record")</f>
        <v/>
      </c>
      <c r="AT227">
        <f>HYPERLINK("http://www.worldcat.org/oclc/3819509","WorldCat Record")</f>
        <v/>
      </c>
      <c r="AU227" t="inlineStr">
        <is>
          <t>2612904:eng</t>
        </is>
      </c>
      <c r="AV227" t="inlineStr">
        <is>
          <t>3819509</t>
        </is>
      </c>
      <c r="AW227" t="inlineStr">
        <is>
          <t>991004521369702656</t>
        </is>
      </c>
      <c r="AX227" t="inlineStr">
        <is>
          <t>991004521369702656</t>
        </is>
      </c>
      <c r="AY227" t="inlineStr">
        <is>
          <t>2261452180002656</t>
        </is>
      </c>
      <c r="AZ227" t="inlineStr">
        <is>
          <t>BOOK</t>
        </is>
      </c>
      <c r="BB227" t="inlineStr">
        <is>
          <t>9780451073594</t>
        </is>
      </c>
      <c r="BC227" t="inlineStr">
        <is>
          <t>32285002464096</t>
        </is>
      </c>
      <c r="BD227" t="inlineStr">
        <is>
          <t>893430164</t>
        </is>
      </c>
    </row>
    <row r="228">
      <c r="A228" t="inlineStr">
        <is>
          <t>No</t>
        </is>
      </c>
      <c r="B228" t="inlineStr">
        <is>
          <t>HQ1073 .D93 1988</t>
        </is>
      </c>
      <c r="C228" t="inlineStr">
        <is>
          <t>0                      HQ 1073000D  93          1988</t>
        </is>
      </c>
      <c r="D228" t="inlineStr">
        <is>
          <t>Dying : facing the facts / edited by Hannelore Wass, Felix M. Berardo, Robert A. Neimeyer.</t>
        </is>
      </c>
      <c r="F228" t="inlineStr">
        <is>
          <t>No</t>
        </is>
      </c>
      <c r="G228" t="inlineStr">
        <is>
          <t>1</t>
        </is>
      </c>
      <c r="H228" t="inlineStr">
        <is>
          <t>No</t>
        </is>
      </c>
      <c r="I228" t="inlineStr">
        <is>
          <t>Yes</t>
        </is>
      </c>
      <c r="J228" t="inlineStr">
        <is>
          <t>0</t>
        </is>
      </c>
      <c r="L228" t="inlineStr">
        <is>
          <t>Washington : Hemisphere Pub. Corp., c1988.</t>
        </is>
      </c>
      <c r="M228" t="inlineStr">
        <is>
          <t>1988</t>
        </is>
      </c>
      <c r="N228" t="inlineStr">
        <is>
          <t>2nd ed.</t>
        </is>
      </c>
      <c r="O228" t="inlineStr">
        <is>
          <t>eng</t>
        </is>
      </c>
      <c r="P228" t="inlineStr">
        <is>
          <t>dcu</t>
        </is>
      </c>
      <c r="Q228" t="inlineStr">
        <is>
          <t>Series in death education, aging, and health care, 0275-3510</t>
        </is>
      </c>
      <c r="R228" t="inlineStr">
        <is>
          <t xml:space="preserve">HQ </t>
        </is>
      </c>
      <c r="S228" t="n">
        <v>18</v>
      </c>
      <c r="T228" t="n">
        <v>18</v>
      </c>
      <c r="U228" t="inlineStr">
        <is>
          <t>1998-04-07</t>
        </is>
      </c>
      <c r="V228" t="inlineStr">
        <is>
          <t>1998-04-07</t>
        </is>
      </c>
      <c r="W228" t="inlineStr">
        <is>
          <t>1991-02-08</t>
        </is>
      </c>
      <c r="X228" t="inlineStr">
        <is>
          <t>1991-02-08</t>
        </is>
      </c>
      <c r="Y228" t="n">
        <v>524</v>
      </c>
      <c r="Z228" t="n">
        <v>455</v>
      </c>
      <c r="AA228" t="n">
        <v>1027</v>
      </c>
      <c r="AB228" t="n">
        <v>7</v>
      </c>
      <c r="AC228" t="n">
        <v>11</v>
      </c>
      <c r="AD228" t="n">
        <v>19</v>
      </c>
      <c r="AE228" t="n">
        <v>36</v>
      </c>
      <c r="AF228" t="n">
        <v>7</v>
      </c>
      <c r="AG228" t="n">
        <v>17</v>
      </c>
      <c r="AH228" t="n">
        <v>4</v>
      </c>
      <c r="AI228" t="n">
        <v>7</v>
      </c>
      <c r="AJ228" t="n">
        <v>8</v>
      </c>
      <c r="AK228" t="n">
        <v>14</v>
      </c>
      <c r="AL228" t="n">
        <v>5</v>
      </c>
      <c r="AM228" t="n">
        <v>6</v>
      </c>
      <c r="AN228" t="n">
        <v>0</v>
      </c>
      <c r="AO228" t="n">
        <v>0</v>
      </c>
      <c r="AP228" t="inlineStr">
        <is>
          <t>No</t>
        </is>
      </c>
      <c r="AQ228" t="inlineStr">
        <is>
          <t>Yes</t>
        </is>
      </c>
      <c r="AR228">
        <f>HYPERLINK("http://catalog.hathitrust.org/Record/101876551","HathiTrust Record")</f>
        <v/>
      </c>
      <c r="AS228">
        <f>HYPERLINK("https://creighton-primo.hosted.exlibrisgroup.com/primo-explore/search?tab=default_tab&amp;search_scope=EVERYTHING&amp;vid=01CRU&amp;lang=en_US&amp;offset=0&amp;query=any,contains,991001036819702656","Catalog Record")</f>
        <v/>
      </c>
      <c r="AT228">
        <f>HYPERLINK("http://www.worldcat.org/oclc/15549595","WorldCat Record")</f>
        <v/>
      </c>
      <c r="AU228" t="inlineStr">
        <is>
          <t>14772377:eng</t>
        </is>
      </c>
      <c r="AV228" t="inlineStr">
        <is>
          <t>15549595</t>
        </is>
      </c>
      <c r="AW228" t="inlineStr">
        <is>
          <t>991001036819702656</t>
        </is>
      </c>
      <c r="AX228" t="inlineStr">
        <is>
          <t>991001036819702656</t>
        </is>
      </c>
      <c r="AY228" t="inlineStr">
        <is>
          <t>2266872530002656</t>
        </is>
      </c>
      <c r="AZ228" t="inlineStr">
        <is>
          <t>BOOK</t>
        </is>
      </c>
      <c r="BB228" t="inlineStr">
        <is>
          <t>9780891167464</t>
        </is>
      </c>
      <c r="BC228" t="inlineStr">
        <is>
          <t>32285000463728</t>
        </is>
      </c>
      <c r="BD228" t="inlineStr">
        <is>
          <t>893608495</t>
        </is>
      </c>
    </row>
    <row r="229">
      <c r="A229" t="inlineStr">
        <is>
          <t>No</t>
        </is>
      </c>
      <c r="B229" t="inlineStr">
        <is>
          <t>HQ1073 .D94</t>
        </is>
      </c>
      <c r="C229" t="inlineStr">
        <is>
          <t>0                      HQ 1073000D  94</t>
        </is>
      </c>
      <c r="D229" t="inlineStr">
        <is>
          <t>The dying human / edited by Andre de Vries and Amnon Carmi.</t>
        </is>
      </c>
      <c r="F229" t="inlineStr">
        <is>
          <t>No</t>
        </is>
      </c>
      <c r="G229" t="inlineStr">
        <is>
          <t>1</t>
        </is>
      </c>
      <c r="H229" t="inlineStr">
        <is>
          <t>No</t>
        </is>
      </c>
      <c r="I229" t="inlineStr">
        <is>
          <t>No</t>
        </is>
      </c>
      <c r="J229" t="inlineStr">
        <is>
          <t>0</t>
        </is>
      </c>
      <c r="L229" t="inlineStr">
        <is>
          <t>Ramat Gan, Israel : Turtledove Pub., 1979.</t>
        </is>
      </c>
      <c r="M229" t="inlineStr">
        <is>
          <t>1979</t>
        </is>
      </c>
      <c r="O229" t="inlineStr">
        <is>
          <t>eng</t>
        </is>
      </c>
      <c r="P229" t="inlineStr">
        <is>
          <t xml:space="preserve">is </t>
        </is>
      </c>
      <c r="R229" t="inlineStr">
        <is>
          <t xml:space="preserve">HQ </t>
        </is>
      </c>
      <c r="S229" t="n">
        <v>4</v>
      </c>
      <c r="T229" t="n">
        <v>4</v>
      </c>
      <c r="U229" t="inlineStr">
        <is>
          <t>1994-03-24</t>
        </is>
      </c>
      <c r="V229" t="inlineStr">
        <is>
          <t>1994-03-24</t>
        </is>
      </c>
      <c r="W229" t="inlineStr">
        <is>
          <t>1993-04-26</t>
        </is>
      </c>
      <c r="X229" t="inlineStr">
        <is>
          <t>1993-04-26</t>
        </is>
      </c>
      <c r="Y229" t="n">
        <v>201</v>
      </c>
      <c r="Z229" t="n">
        <v>153</v>
      </c>
      <c r="AA229" t="n">
        <v>155</v>
      </c>
      <c r="AB229" t="n">
        <v>1</v>
      </c>
      <c r="AC229" t="n">
        <v>1</v>
      </c>
      <c r="AD229" t="n">
        <v>9</v>
      </c>
      <c r="AE229" t="n">
        <v>9</v>
      </c>
      <c r="AF229" t="n">
        <v>2</v>
      </c>
      <c r="AG229" t="n">
        <v>2</v>
      </c>
      <c r="AH229" t="n">
        <v>1</v>
      </c>
      <c r="AI229" t="n">
        <v>1</v>
      </c>
      <c r="AJ229" t="n">
        <v>5</v>
      </c>
      <c r="AK229" t="n">
        <v>5</v>
      </c>
      <c r="AL229" t="n">
        <v>0</v>
      </c>
      <c r="AM229" t="n">
        <v>0</v>
      </c>
      <c r="AN229" t="n">
        <v>2</v>
      </c>
      <c r="AO229" t="n">
        <v>2</v>
      </c>
      <c r="AP229" t="inlineStr">
        <is>
          <t>No</t>
        </is>
      </c>
      <c r="AQ229" t="inlineStr">
        <is>
          <t>Yes</t>
        </is>
      </c>
      <c r="AR229">
        <f>HYPERLINK("http://catalog.hathitrust.org/Record/000708909","HathiTrust Record")</f>
        <v/>
      </c>
      <c r="AS229">
        <f>HYPERLINK("https://creighton-primo.hosted.exlibrisgroup.com/primo-explore/search?tab=default_tab&amp;search_scope=EVERYTHING&amp;vid=01CRU&amp;lang=en_US&amp;offset=0&amp;query=any,contains,991004937699702656","Catalog Record")</f>
        <v/>
      </c>
      <c r="AT229">
        <f>HYPERLINK("http://www.worldcat.org/oclc/6144240","WorldCat Record")</f>
        <v/>
      </c>
      <c r="AU229" t="inlineStr">
        <is>
          <t>54302423:eng</t>
        </is>
      </c>
      <c r="AV229" t="inlineStr">
        <is>
          <t>6144240</t>
        </is>
      </c>
      <c r="AW229" t="inlineStr">
        <is>
          <t>991004937699702656</t>
        </is>
      </c>
      <c r="AX229" t="inlineStr">
        <is>
          <t>991004937699702656</t>
        </is>
      </c>
      <c r="AY229" t="inlineStr">
        <is>
          <t>2260359960002656</t>
        </is>
      </c>
      <c r="AZ229" t="inlineStr">
        <is>
          <t>BOOK</t>
        </is>
      </c>
      <c r="BB229" t="inlineStr">
        <is>
          <t>9789652000064</t>
        </is>
      </c>
      <c r="BC229" t="inlineStr">
        <is>
          <t>32285001626844</t>
        </is>
      </c>
      <c r="BD229" t="inlineStr">
        <is>
          <t>893694523</t>
        </is>
      </c>
    </row>
    <row r="230">
      <c r="A230" t="inlineStr">
        <is>
          <t>No</t>
        </is>
      </c>
      <c r="B230" t="inlineStr">
        <is>
          <t>HQ1073 .E56 1999</t>
        </is>
      </c>
      <c r="C230" t="inlineStr">
        <is>
          <t>0                      HQ 1073000E  56          1999</t>
        </is>
      </c>
      <c r="D230" t="inlineStr">
        <is>
          <t>End of life issues : interdisciplinary and multidimensional perspectives / Brian de Vries, editor.</t>
        </is>
      </c>
      <c r="F230" t="inlineStr">
        <is>
          <t>No</t>
        </is>
      </c>
      <c r="G230" t="inlineStr">
        <is>
          <t>1</t>
        </is>
      </c>
      <c r="H230" t="inlineStr">
        <is>
          <t>No</t>
        </is>
      </c>
      <c r="I230" t="inlineStr">
        <is>
          <t>No</t>
        </is>
      </c>
      <c r="J230" t="inlineStr">
        <is>
          <t>0</t>
        </is>
      </c>
      <c r="L230" t="inlineStr">
        <is>
          <t>New York : Springer, c1999.</t>
        </is>
      </c>
      <c r="M230" t="inlineStr">
        <is>
          <t>1999</t>
        </is>
      </c>
      <c r="O230" t="inlineStr">
        <is>
          <t>eng</t>
        </is>
      </c>
      <c r="P230" t="inlineStr">
        <is>
          <t>nyu</t>
        </is>
      </c>
      <c r="Q230" t="inlineStr">
        <is>
          <t>Springer series on death and suicide</t>
        </is>
      </c>
      <c r="R230" t="inlineStr">
        <is>
          <t xml:space="preserve">HQ </t>
        </is>
      </c>
      <c r="S230" t="n">
        <v>2</v>
      </c>
      <c r="T230" t="n">
        <v>2</v>
      </c>
      <c r="U230" t="inlineStr">
        <is>
          <t>2006-11-14</t>
        </is>
      </c>
      <c r="V230" t="inlineStr">
        <is>
          <t>2006-11-14</t>
        </is>
      </c>
      <c r="W230" t="inlineStr">
        <is>
          <t>2001-02-05</t>
        </is>
      </c>
      <c r="X230" t="inlineStr">
        <is>
          <t>2001-02-05</t>
        </is>
      </c>
      <c r="Y230" t="n">
        <v>396</v>
      </c>
      <c r="Z230" t="n">
        <v>357</v>
      </c>
      <c r="AA230" t="n">
        <v>360</v>
      </c>
      <c r="AB230" t="n">
        <v>4</v>
      </c>
      <c r="AC230" t="n">
        <v>4</v>
      </c>
      <c r="AD230" t="n">
        <v>18</v>
      </c>
      <c r="AE230" t="n">
        <v>18</v>
      </c>
      <c r="AF230" t="n">
        <v>7</v>
      </c>
      <c r="AG230" t="n">
        <v>7</v>
      </c>
      <c r="AH230" t="n">
        <v>3</v>
      </c>
      <c r="AI230" t="n">
        <v>3</v>
      </c>
      <c r="AJ230" t="n">
        <v>9</v>
      </c>
      <c r="AK230" t="n">
        <v>9</v>
      </c>
      <c r="AL230" t="n">
        <v>3</v>
      </c>
      <c r="AM230" t="n">
        <v>3</v>
      </c>
      <c r="AN230" t="n">
        <v>0</v>
      </c>
      <c r="AO230" t="n">
        <v>0</v>
      </c>
      <c r="AP230" t="inlineStr">
        <is>
          <t>No</t>
        </is>
      </c>
      <c r="AQ230" t="inlineStr">
        <is>
          <t>Yes</t>
        </is>
      </c>
      <c r="AR230">
        <f>HYPERLINK("http://catalog.hathitrust.org/Record/004041163","HathiTrust Record")</f>
        <v/>
      </c>
      <c r="AS230">
        <f>HYPERLINK("https://creighton-primo.hosted.exlibrisgroup.com/primo-explore/search?tab=default_tab&amp;search_scope=EVERYTHING&amp;vid=01CRU&amp;lang=en_US&amp;offset=0&amp;query=any,contains,991003453779702656","Catalog Record")</f>
        <v/>
      </c>
      <c r="AT230">
        <f>HYPERLINK("http://www.worldcat.org/oclc/41002669","WorldCat Record")</f>
        <v/>
      </c>
      <c r="AU230" t="inlineStr">
        <is>
          <t>966217:eng</t>
        </is>
      </c>
      <c r="AV230" t="inlineStr">
        <is>
          <t>41002669</t>
        </is>
      </c>
      <c r="AW230" t="inlineStr">
        <is>
          <t>991003453779702656</t>
        </is>
      </c>
      <c r="AX230" t="inlineStr">
        <is>
          <t>991003453779702656</t>
        </is>
      </c>
      <c r="AY230" t="inlineStr">
        <is>
          <t>2257727620002656</t>
        </is>
      </c>
      <c r="AZ230" t="inlineStr">
        <is>
          <t>BOOK</t>
        </is>
      </c>
      <c r="BB230" t="inlineStr">
        <is>
          <t>9780826112606</t>
        </is>
      </c>
      <c r="BC230" t="inlineStr">
        <is>
          <t>32285004293774</t>
        </is>
      </c>
      <c r="BD230" t="inlineStr">
        <is>
          <t>893598586</t>
        </is>
      </c>
    </row>
    <row r="231">
      <c r="A231" t="inlineStr">
        <is>
          <t>No</t>
        </is>
      </c>
      <c r="B231" t="inlineStr">
        <is>
          <t>HQ1073 .K34</t>
        </is>
      </c>
      <c r="C231" t="inlineStr">
        <is>
          <t>0                      HQ 1073000K  34</t>
        </is>
      </c>
      <c r="D231" t="inlineStr">
        <is>
          <t>Death, grief, and caring relationships / Richard A. Kalish.</t>
        </is>
      </c>
      <c r="F231" t="inlineStr">
        <is>
          <t>No</t>
        </is>
      </c>
      <c r="G231" t="inlineStr">
        <is>
          <t>1</t>
        </is>
      </c>
      <c r="H231" t="inlineStr">
        <is>
          <t>No</t>
        </is>
      </c>
      <c r="I231" t="inlineStr">
        <is>
          <t>Yes</t>
        </is>
      </c>
      <c r="J231" t="inlineStr">
        <is>
          <t>0</t>
        </is>
      </c>
      <c r="K231" t="inlineStr">
        <is>
          <t>Kalish, Richard A.</t>
        </is>
      </c>
      <c r="L231" t="inlineStr">
        <is>
          <t>Monterey, Calif. : Brooks/Cole Pub. Co., c1981.</t>
        </is>
      </c>
      <c r="M231" t="inlineStr">
        <is>
          <t>1981</t>
        </is>
      </c>
      <c r="O231" t="inlineStr">
        <is>
          <t>eng</t>
        </is>
      </c>
      <c r="P231" t="inlineStr">
        <is>
          <t>cau</t>
        </is>
      </c>
      <c r="R231" t="inlineStr">
        <is>
          <t xml:space="preserve">HQ </t>
        </is>
      </c>
      <c r="S231" t="n">
        <v>5</v>
      </c>
      <c r="T231" t="n">
        <v>5</v>
      </c>
      <c r="U231" t="inlineStr">
        <is>
          <t>1995-03-16</t>
        </is>
      </c>
      <c r="V231" t="inlineStr">
        <is>
          <t>1995-03-16</t>
        </is>
      </c>
      <c r="W231" t="inlineStr">
        <is>
          <t>1992-01-07</t>
        </is>
      </c>
      <c r="X231" t="inlineStr">
        <is>
          <t>1992-01-07</t>
        </is>
      </c>
      <c r="Y231" t="n">
        <v>415</v>
      </c>
      <c r="Z231" t="n">
        <v>362</v>
      </c>
      <c r="AA231" t="n">
        <v>649</v>
      </c>
      <c r="AB231" t="n">
        <v>3</v>
      </c>
      <c r="AC231" t="n">
        <v>4</v>
      </c>
      <c r="AD231" t="n">
        <v>16</v>
      </c>
      <c r="AE231" t="n">
        <v>28</v>
      </c>
      <c r="AF231" t="n">
        <v>6</v>
      </c>
      <c r="AG231" t="n">
        <v>13</v>
      </c>
      <c r="AH231" t="n">
        <v>2</v>
      </c>
      <c r="AI231" t="n">
        <v>3</v>
      </c>
      <c r="AJ231" t="n">
        <v>10</v>
      </c>
      <c r="AK231" t="n">
        <v>17</v>
      </c>
      <c r="AL231" t="n">
        <v>2</v>
      </c>
      <c r="AM231" t="n">
        <v>3</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HYPERLINK("https://creighton-primo.hosted.exlibrisgroup.com/primo-explore/search?tab=default_tab&amp;search_scope=EVERYTHING&amp;vid=01CRU&amp;lang=en_US&amp;offset=0&amp;query=any,contains,991004998939702656","Catalog Record")</f>
        <v/>
      </c>
      <c r="AT231">
        <f>HYPERLINK("http://www.worldcat.org/oclc/6532782","WorldCat Record")</f>
        <v/>
      </c>
      <c r="AU231" t="inlineStr">
        <is>
          <t>3803209:eng</t>
        </is>
      </c>
      <c r="AV231" t="inlineStr">
        <is>
          <t>6532782</t>
        </is>
      </c>
      <c r="AW231" t="inlineStr">
        <is>
          <t>991004998939702656</t>
        </is>
      </c>
      <c r="AX231" t="inlineStr">
        <is>
          <t>991004998939702656</t>
        </is>
      </c>
      <c r="AY231" t="inlineStr">
        <is>
          <t>2262109240002656</t>
        </is>
      </c>
      <c r="AZ231" t="inlineStr">
        <is>
          <t>BOOK</t>
        </is>
      </c>
      <c r="BB231" t="inlineStr">
        <is>
          <t>9780818504174</t>
        </is>
      </c>
      <c r="BC231" t="inlineStr">
        <is>
          <t>32285000883990</t>
        </is>
      </c>
      <c r="BD231" t="inlineStr">
        <is>
          <t>893248202</t>
        </is>
      </c>
    </row>
    <row r="232">
      <c r="A232" t="inlineStr">
        <is>
          <t>No</t>
        </is>
      </c>
      <c r="B232" t="inlineStr">
        <is>
          <t>HQ1073 .K8 1982</t>
        </is>
      </c>
      <c r="C232" t="inlineStr">
        <is>
          <t>0                      HQ 1073000K  8           1982</t>
        </is>
      </c>
      <c r="D232" t="inlineStr">
        <is>
          <t>Working it through / text by Elisabeth Kubler-Ross ; photographs by Mal Warshaw.</t>
        </is>
      </c>
      <c r="F232" t="inlineStr">
        <is>
          <t>No</t>
        </is>
      </c>
      <c r="G232" t="inlineStr">
        <is>
          <t>1</t>
        </is>
      </c>
      <c r="H232" t="inlineStr">
        <is>
          <t>No</t>
        </is>
      </c>
      <c r="I232" t="inlineStr">
        <is>
          <t>No</t>
        </is>
      </c>
      <c r="J232" t="inlineStr">
        <is>
          <t>0</t>
        </is>
      </c>
      <c r="K232" t="inlineStr">
        <is>
          <t>Kübler-Ross, Elisabeth.</t>
        </is>
      </c>
      <c r="L232" t="inlineStr">
        <is>
          <t>New York : Macmillan, c1982.</t>
        </is>
      </c>
      <c r="M232" t="inlineStr">
        <is>
          <t>1982</t>
        </is>
      </c>
      <c r="O232" t="inlineStr">
        <is>
          <t>eng</t>
        </is>
      </c>
      <c r="P232" t="inlineStr">
        <is>
          <t>nyu</t>
        </is>
      </c>
      <c r="R232" t="inlineStr">
        <is>
          <t xml:space="preserve">HQ </t>
        </is>
      </c>
      <c r="S232" t="n">
        <v>12</v>
      </c>
      <c r="T232" t="n">
        <v>12</v>
      </c>
      <c r="U232" t="inlineStr">
        <is>
          <t>1998-08-05</t>
        </is>
      </c>
      <c r="V232" t="inlineStr">
        <is>
          <t>1998-08-05</t>
        </is>
      </c>
      <c r="W232" t="inlineStr">
        <is>
          <t>1992-01-20</t>
        </is>
      </c>
      <c r="X232" t="inlineStr">
        <is>
          <t>1992-01-20</t>
        </is>
      </c>
      <c r="Y232" t="n">
        <v>909</v>
      </c>
      <c r="Z232" t="n">
        <v>836</v>
      </c>
      <c r="AA232" t="n">
        <v>1017</v>
      </c>
      <c r="AB232" t="n">
        <v>4</v>
      </c>
      <c r="AC232" t="n">
        <v>4</v>
      </c>
      <c r="AD232" t="n">
        <v>18</v>
      </c>
      <c r="AE232" t="n">
        <v>22</v>
      </c>
      <c r="AF232" t="n">
        <v>10</v>
      </c>
      <c r="AG232" t="n">
        <v>11</v>
      </c>
      <c r="AH232" t="n">
        <v>4</v>
      </c>
      <c r="AI232" t="n">
        <v>4</v>
      </c>
      <c r="AJ232" t="n">
        <v>8</v>
      </c>
      <c r="AK232" t="n">
        <v>12</v>
      </c>
      <c r="AL232" t="n">
        <v>1</v>
      </c>
      <c r="AM232" t="n">
        <v>1</v>
      </c>
      <c r="AN232" t="n">
        <v>0</v>
      </c>
      <c r="AO232" t="n">
        <v>0</v>
      </c>
      <c r="AP232" t="inlineStr">
        <is>
          <t>No</t>
        </is>
      </c>
      <c r="AQ232" t="inlineStr">
        <is>
          <t>Yes</t>
        </is>
      </c>
      <c r="AR232">
        <f>HYPERLINK("http://catalog.hathitrust.org/Record/000102047","HathiTrust Record")</f>
        <v/>
      </c>
      <c r="AS232">
        <f>HYPERLINK("https://creighton-primo.hosted.exlibrisgroup.com/primo-explore/search?tab=default_tab&amp;search_scope=EVERYTHING&amp;vid=01CRU&amp;lang=en_US&amp;offset=0&amp;query=any,contains,991005220719702656","Catalog Record")</f>
        <v/>
      </c>
      <c r="AT232">
        <f>HYPERLINK("http://www.worldcat.org/oclc/8222087","WorldCat Record")</f>
        <v/>
      </c>
      <c r="AU232" t="inlineStr">
        <is>
          <t>4915150985:eng</t>
        </is>
      </c>
      <c r="AV232" t="inlineStr">
        <is>
          <t>8222087</t>
        </is>
      </c>
      <c r="AW232" t="inlineStr">
        <is>
          <t>991005220719702656</t>
        </is>
      </c>
      <c r="AX232" t="inlineStr">
        <is>
          <t>991005220719702656</t>
        </is>
      </c>
      <c r="AY232" t="inlineStr">
        <is>
          <t>2266801690002656</t>
        </is>
      </c>
      <c r="AZ232" t="inlineStr">
        <is>
          <t>BOOK</t>
        </is>
      </c>
      <c r="BB232" t="inlineStr">
        <is>
          <t>9780025671607</t>
        </is>
      </c>
      <c r="BC232" t="inlineStr">
        <is>
          <t>32285000916006</t>
        </is>
      </c>
      <c r="BD232" t="inlineStr">
        <is>
          <t>893446661</t>
        </is>
      </c>
    </row>
    <row r="233">
      <c r="A233" t="inlineStr">
        <is>
          <t>No</t>
        </is>
      </c>
      <c r="B233" t="inlineStr">
        <is>
          <t>HQ1073 .L4 1981</t>
        </is>
      </c>
      <c r="C233" t="inlineStr">
        <is>
          <t>0                      HQ 1073000L  4           1981</t>
        </is>
      </c>
      <c r="D233" t="inlineStr">
        <is>
          <t>Letter to a younger son / Christopher Leach.</t>
        </is>
      </c>
      <c r="F233" t="inlineStr">
        <is>
          <t>No</t>
        </is>
      </c>
      <c r="G233" t="inlineStr">
        <is>
          <t>1</t>
        </is>
      </c>
      <c r="H233" t="inlineStr">
        <is>
          <t>No</t>
        </is>
      </c>
      <c r="I233" t="inlineStr">
        <is>
          <t>No</t>
        </is>
      </c>
      <c r="J233" t="inlineStr">
        <is>
          <t>0</t>
        </is>
      </c>
      <c r="K233" t="inlineStr">
        <is>
          <t>Leach, Christopher, 1925-</t>
        </is>
      </c>
      <c r="L233" t="inlineStr">
        <is>
          <t>New York : Harcourt Brace Jovanovich, c1981.</t>
        </is>
      </c>
      <c r="M233" t="inlineStr">
        <is>
          <t>1981</t>
        </is>
      </c>
      <c r="N233" t="inlineStr">
        <is>
          <t>1st American ed.</t>
        </is>
      </c>
      <c r="O233" t="inlineStr">
        <is>
          <t>eng</t>
        </is>
      </c>
      <c r="P233" t="inlineStr">
        <is>
          <t>nyu</t>
        </is>
      </c>
      <c r="R233" t="inlineStr">
        <is>
          <t xml:space="preserve">HQ </t>
        </is>
      </c>
      <c r="S233" t="n">
        <v>2</v>
      </c>
      <c r="T233" t="n">
        <v>2</v>
      </c>
      <c r="U233" t="inlineStr">
        <is>
          <t>1996-03-05</t>
        </is>
      </c>
      <c r="V233" t="inlineStr">
        <is>
          <t>1996-03-05</t>
        </is>
      </c>
      <c r="W233" t="inlineStr">
        <is>
          <t>1992-01-20</t>
        </is>
      </c>
      <c r="X233" t="inlineStr">
        <is>
          <t>1992-01-20</t>
        </is>
      </c>
      <c r="Y233" t="n">
        <v>152</v>
      </c>
      <c r="Z233" t="n">
        <v>144</v>
      </c>
      <c r="AA233" t="n">
        <v>155</v>
      </c>
      <c r="AB233" t="n">
        <v>1</v>
      </c>
      <c r="AC233" t="n">
        <v>1</v>
      </c>
      <c r="AD233" t="n">
        <v>2</v>
      </c>
      <c r="AE233" t="n">
        <v>2</v>
      </c>
      <c r="AF233" t="n">
        <v>1</v>
      </c>
      <c r="AG233" t="n">
        <v>1</v>
      </c>
      <c r="AH233" t="n">
        <v>0</v>
      </c>
      <c r="AI233" t="n">
        <v>0</v>
      </c>
      <c r="AJ233" t="n">
        <v>1</v>
      </c>
      <c r="AK233" t="n">
        <v>1</v>
      </c>
      <c r="AL233" t="n">
        <v>0</v>
      </c>
      <c r="AM233" t="n">
        <v>0</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HYPERLINK("https://creighton-primo.hosted.exlibrisgroup.com/primo-explore/search?tab=default_tab&amp;search_scope=EVERYTHING&amp;vid=01CRU&amp;lang=en_US&amp;offset=0&amp;query=any,contains,991005134569702656","Catalog Record")</f>
        <v/>
      </c>
      <c r="AT233">
        <f>HYPERLINK("http://www.worldcat.org/oclc/7575616","WorldCat Record")</f>
        <v/>
      </c>
      <c r="AU233" t="inlineStr">
        <is>
          <t>413305:eng</t>
        </is>
      </c>
      <c r="AV233" t="inlineStr">
        <is>
          <t>7575616</t>
        </is>
      </c>
      <c r="AW233" t="inlineStr">
        <is>
          <t>991005134569702656</t>
        </is>
      </c>
      <c r="AX233" t="inlineStr">
        <is>
          <t>991005134569702656</t>
        </is>
      </c>
      <c r="AY233" t="inlineStr">
        <is>
          <t>2265617070002656</t>
        </is>
      </c>
      <c r="AZ233" t="inlineStr">
        <is>
          <t>BOOK</t>
        </is>
      </c>
      <c r="BB233" t="inlineStr">
        <is>
          <t>9780151504442</t>
        </is>
      </c>
      <c r="BC233" t="inlineStr">
        <is>
          <t>32285000916014</t>
        </is>
      </c>
      <c r="BD233" t="inlineStr">
        <is>
          <t>893260608</t>
        </is>
      </c>
    </row>
    <row r="234">
      <c r="A234" t="inlineStr">
        <is>
          <t>No</t>
        </is>
      </c>
      <c r="B234" t="inlineStr">
        <is>
          <t>HQ1073 .M37</t>
        </is>
      </c>
      <c r="C234" t="inlineStr">
        <is>
          <t>0                      HQ 1073000M  37</t>
        </is>
      </c>
      <c r="D234" t="inlineStr">
        <is>
          <t>Last chapters, a sociology of aging and dying / Victor W. Marshall.</t>
        </is>
      </c>
      <c r="F234" t="inlineStr">
        <is>
          <t>No</t>
        </is>
      </c>
      <c r="G234" t="inlineStr">
        <is>
          <t>1</t>
        </is>
      </c>
      <c r="H234" t="inlineStr">
        <is>
          <t>No</t>
        </is>
      </c>
      <c r="I234" t="inlineStr">
        <is>
          <t>No</t>
        </is>
      </c>
      <c r="J234" t="inlineStr">
        <is>
          <t>0</t>
        </is>
      </c>
      <c r="K234" t="inlineStr">
        <is>
          <t>Marshall, Victor W.</t>
        </is>
      </c>
      <c r="L234" t="inlineStr">
        <is>
          <t>Monterey, Calif. : Brooks/Cole Pub. Co., c1980.</t>
        </is>
      </c>
      <c r="M234" t="inlineStr">
        <is>
          <t>1980</t>
        </is>
      </c>
      <c r="O234" t="inlineStr">
        <is>
          <t>eng</t>
        </is>
      </c>
      <c r="P234" t="inlineStr">
        <is>
          <t>cau</t>
        </is>
      </c>
      <c r="Q234" t="inlineStr">
        <is>
          <t>Brooks/Cole series in social gerontology</t>
        </is>
      </c>
      <c r="R234" t="inlineStr">
        <is>
          <t xml:space="preserve">HQ </t>
        </is>
      </c>
      <c r="S234" t="n">
        <v>6</v>
      </c>
      <c r="T234" t="n">
        <v>6</v>
      </c>
      <c r="U234" t="inlineStr">
        <is>
          <t>1995-11-04</t>
        </is>
      </c>
      <c r="V234" t="inlineStr">
        <is>
          <t>1995-11-04</t>
        </is>
      </c>
      <c r="W234" t="inlineStr">
        <is>
          <t>1993-05-04</t>
        </is>
      </c>
      <c r="X234" t="inlineStr">
        <is>
          <t>1993-05-04</t>
        </is>
      </c>
      <c r="Y234" t="n">
        <v>323</v>
      </c>
      <c r="Z234" t="n">
        <v>265</v>
      </c>
      <c r="AA234" t="n">
        <v>267</v>
      </c>
      <c r="AB234" t="n">
        <v>3</v>
      </c>
      <c r="AC234" t="n">
        <v>3</v>
      </c>
      <c r="AD234" t="n">
        <v>12</v>
      </c>
      <c r="AE234" t="n">
        <v>12</v>
      </c>
      <c r="AF234" t="n">
        <v>2</v>
      </c>
      <c r="AG234" t="n">
        <v>2</v>
      </c>
      <c r="AH234" t="n">
        <v>2</v>
      </c>
      <c r="AI234" t="n">
        <v>2</v>
      </c>
      <c r="AJ234" t="n">
        <v>6</v>
      </c>
      <c r="AK234" t="n">
        <v>6</v>
      </c>
      <c r="AL234" t="n">
        <v>2</v>
      </c>
      <c r="AM234" t="n">
        <v>2</v>
      </c>
      <c r="AN234" t="n">
        <v>0</v>
      </c>
      <c r="AO234" t="n">
        <v>0</v>
      </c>
      <c r="AP234" t="inlineStr">
        <is>
          <t>No</t>
        </is>
      </c>
      <c r="AQ234" t="inlineStr">
        <is>
          <t>Yes</t>
        </is>
      </c>
      <c r="AR234">
        <f>HYPERLINK("http://catalog.hathitrust.org/Record/000706619","HathiTrust Record")</f>
        <v/>
      </c>
      <c r="AS234">
        <f>HYPERLINK("https://creighton-primo.hosted.exlibrisgroup.com/primo-explore/search?tab=default_tab&amp;search_scope=EVERYTHING&amp;vid=01CRU&amp;lang=en_US&amp;offset=0&amp;query=any,contains,991004884629702656","Catalog Record")</f>
        <v/>
      </c>
      <c r="AT234">
        <f>HYPERLINK("http://www.worldcat.org/oclc/5831069","WorldCat Record")</f>
        <v/>
      </c>
      <c r="AU234" t="inlineStr">
        <is>
          <t>482753:eng</t>
        </is>
      </c>
      <c r="AV234" t="inlineStr">
        <is>
          <t>5831069</t>
        </is>
      </c>
      <c r="AW234" t="inlineStr">
        <is>
          <t>991004884629702656</t>
        </is>
      </c>
      <c r="AX234" t="inlineStr">
        <is>
          <t>991004884629702656</t>
        </is>
      </c>
      <c r="AY234" t="inlineStr">
        <is>
          <t>2263213220002656</t>
        </is>
      </c>
      <c r="AZ234" t="inlineStr">
        <is>
          <t>BOOK</t>
        </is>
      </c>
      <c r="BB234" t="inlineStr">
        <is>
          <t>9780818503993</t>
        </is>
      </c>
      <c r="BC234" t="inlineStr">
        <is>
          <t>32285001634327</t>
        </is>
      </c>
      <c r="BD234" t="inlineStr">
        <is>
          <t>893719515</t>
        </is>
      </c>
    </row>
    <row r="235">
      <c r="A235" t="inlineStr">
        <is>
          <t>No</t>
        </is>
      </c>
      <c r="B235" t="inlineStr">
        <is>
          <t>HQ1073 .M544 1986</t>
        </is>
      </c>
      <c r="C235" t="inlineStr">
        <is>
          <t>0                      HQ 1073000M  544         1986</t>
        </is>
      </c>
      <c r="D235" t="inlineStr">
        <is>
          <t>Death education and the educator / by James H. Miller and Anthony F. Rotatori.</t>
        </is>
      </c>
      <c r="F235" t="inlineStr">
        <is>
          <t>No</t>
        </is>
      </c>
      <c r="G235" t="inlineStr">
        <is>
          <t>1</t>
        </is>
      </c>
      <c r="H235" t="inlineStr">
        <is>
          <t>No</t>
        </is>
      </c>
      <c r="I235" t="inlineStr">
        <is>
          <t>No</t>
        </is>
      </c>
      <c r="J235" t="inlineStr">
        <is>
          <t>0</t>
        </is>
      </c>
      <c r="K235" t="inlineStr">
        <is>
          <t>Miller, James H. (James Hugh)</t>
        </is>
      </c>
      <c r="L235" t="inlineStr">
        <is>
          <t>Springfield, Ill. : C.C. Thomas, c1986.</t>
        </is>
      </c>
      <c r="M235" t="inlineStr">
        <is>
          <t>1986</t>
        </is>
      </c>
      <c r="O235" t="inlineStr">
        <is>
          <t>eng</t>
        </is>
      </c>
      <c r="P235" t="inlineStr">
        <is>
          <t>ilu</t>
        </is>
      </c>
      <c r="R235" t="inlineStr">
        <is>
          <t xml:space="preserve">HQ </t>
        </is>
      </c>
      <c r="S235" t="n">
        <v>6</v>
      </c>
      <c r="T235" t="n">
        <v>6</v>
      </c>
      <c r="U235" t="inlineStr">
        <is>
          <t>1994-09-15</t>
        </is>
      </c>
      <c r="V235" t="inlineStr">
        <is>
          <t>1994-09-15</t>
        </is>
      </c>
      <c r="W235" t="inlineStr">
        <is>
          <t>1991-12-09</t>
        </is>
      </c>
      <c r="X235" t="inlineStr">
        <is>
          <t>1991-12-09</t>
        </is>
      </c>
      <c r="Y235" t="n">
        <v>248</v>
      </c>
      <c r="Z235" t="n">
        <v>226</v>
      </c>
      <c r="AA235" t="n">
        <v>233</v>
      </c>
      <c r="AB235" t="n">
        <v>4</v>
      </c>
      <c r="AC235" t="n">
        <v>4</v>
      </c>
      <c r="AD235" t="n">
        <v>11</v>
      </c>
      <c r="AE235" t="n">
        <v>11</v>
      </c>
      <c r="AF235" t="n">
        <v>5</v>
      </c>
      <c r="AG235" t="n">
        <v>5</v>
      </c>
      <c r="AH235" t="n">
        <v>0</v>
      </c>
      <c r="AI235" t="n">
        <v>0</v>
      </c>
      <c r="AJ235" t="n">
        <v>6</v>
      </c>
      <c r="AK235" t="n">
        <v>6</v>
      </c>
      <c r="AL235" t="n">
        <v>3</v>
      </c>
      <c r="AM235" t="n">
        <v>3</v>
      </c>
      <c r="AN235" t="n">
        <v>0</v>
      </c>
      <c r="AO235" t="n">
        <v>0</v>
      </c>
      <c r="AP235" t="inlineStr">
        <is>
          <t>No</t>
        </is>
      </c>
      <c r="AQ235" t="inlineStr">
        <is>
          <t>Yes</t>
        </is>
      </c>
      <c r="AR235">
        <f>HYPERLINK("http://catalog.hathitrust.org/Record/000811483","HathiTrust Record")</f>
        <v/>
      </c>
      <c r="AS235">
        <f>HYPERLINK("https://creighton-primo.hosted.exlibrisgroup.com/primo-explore/search?tab=default_tab&amp;search_scope=EVERYTHING&amp;vid=01CRU&amp;lang=en_US&amp;offset=0&amp;query=any,contains,991000850019702656","Catalog Record")</f>
        <v/>
      </c>
      <c r="AT235">
        <f>HYPERLINK("http://www.worldcat.org/oclc/13581814","WorldCat Record")</f>
        <v/>
      </c>
      <c r="AU235" t="inlineStr">
        <is>
          <t>7522424:eng</t>
        </is>
      </c>
      <c r="AV235" t="inlineStr">
        <is>
          <t>13581814</t>
        </is>
      </c>
      <c r="AW235" t="inlineStr">
        <is>
          <t>991000850019702656</t>
        </is>
      </c>
      <c r="AX235" t="inlineStr">
        <is>
          <t>991000850019702656</t>
        </is>
      </c>
      <c r="AY235" t="inlineStr">
        <is>
          <t>2259514370002656</t>
        </is>
      </c>
      <c r="AZ235" t="inlineStr">
        <is>
          <t>BOOK</t>
        </is>
      </c>
      <c r="BB235" t="inlineStr">
        <is>
          <t>9780398052669</t>
        </is>
      </c>
      <c r="BC235" t="inlineStr">
        <is>
          <t>32285000829381</t>
        </is>
      </c>
      <c r="BD235" t="inlineStr">
        <is>
          <t>893407588</t>
        </is>
      </c>
    </row>
    <row r="236">
      <c r="A236" t="inlineStr">
        <is>
          <t>No</t>
        </is>
      </c>
      <c r="B236" t="inlineStr">
        <is>
          <t>HQ1073 .R67 1983</t>
        </is>
      </c>
      <c r="C236" t="inlineStr">
        <is>
          <t>0                      HQ 1073000R  67          1983</t>
        </is>
      </c>
      <c r="D236" t="inlineStr">
        <is>
          <t>Thinking clearly about death / Jay F. Rosenberg.</t>
        </is>
      </c>
      <c r="F236" t="inlineStr">
        <is>
          <t>No</t>
        </is>
      </c>
      <c r="G236" t="inlineStr">
        <is>
          <t>1</t>
        </is>
      </c>
      <c r="H236" t="inlineStr">
        <is>
          <t>No</t>
        </is>
      </c>
      <c r="I236" t="inlineStr">
        <is>
          <t>No</t>
        </is>
      </c>
      <c r="J236" t="inlineStr">
        <is>
          <t>0</t>
        </is>
      </c>
      <c r="K236" t="inlineStr">
        <is>
          <t>Rosenberg, Jay F.</t>
        </is>
      </c>
      <c r="L236" t="inlineStr">
        <is>
          <t>Englewood Cliffs, N.J. : Prentice-Hall, c1983.</t>
        </is>
      </c>
      <c r="M236" t="inlineStr">
        <is>
          <t>1983</t>
        </is>
      </c>
      <c r="O236" t="inlineStr">
        <is>
          <t>eng</t>
        </is>
      </c>
      <c r="P236" t="inlineStr">
        <is>
          <t>nju</t>
        </is>
      </c>
      <c r="R236" t="inlineStr">
        <is>
          <t xml:space="preserve">HQ </t>
        </is>
      </c>
      <c r="S236" t="n">
        <v>17</v>
      </c>
      <c r="T236" t="n">
        <v>17</v>
      </c>
      <c r="U236" t="inlineStr">
        <is>
          <t>1998-12-01</t>
        </is>
      </c>
      <c r="V236" t="inlineStr">
        <is>
          <t>1998-12-01</t>
        </is>
      </c>
      <c r="W236" t="inlineStr">
        <is>
          <t>1991-12-16</t>
        </is>
      </c>
      <c r="X236" t="inlineStr">
        <is>
          <t>1991-12-16</t>
        </is>
      </c>
      <c r="Y236" t="n">
        <v>393</v>
      </c>
      <c r="Z236" t="n">
        <v>304</v>
      </c>
      <c r="AA236" t="n">
        <v>558</v>
      </c>
      <c r="AB236" t="n">
        <v>3</v>
      </c>
      <c r="AC236" t="n">
        <v>5</v>
      </c>
      <c r="AD236" t="n">
        <v>11</v>
      </c>
      <c r="AE236" t="n">
        <v>30</v>
      </c>
      <c r="AF236" t="n">
        <v>3</v>
      </c>
      <c r="AG236" t="n">
        <v>12</v>
      </c>
      <c r="AH236" t="n">
        <v>2</v>
      </c>
      <c r="AI236" t="n">
        <v>6</v>
      </c>
      <c r="AJ236" t="n">
        <v>6</v>
      </c>
      <c r="AK236" t="n">
        <v>15</v>
      </c>
      <c r="AL236" t="n">
        <v>2</v>
      </c>
      <c r="AM236" t="n">
        <v>4</v>
      </c>
      <c r="AN236" t="n">
        <v>0</v>
      </c>
      <c r="AO236" t="n">
        <v>0</v>
      </c>
      <c r="AP236" t="inlineStr">
        <is>
          <t>No</t>
        </is>
      </c>
      <c r="AQ236" t="inlineStr">
        <is>
          <t>Yes</t>
        </is>
      </c>
      <c r="AR236">
        <f>HYPERLINK("http://catalog.hathitrust.org/Record/000110436","HathiTrust Record")</f>
        <v/>
      </c>
      <c r="AS236">
        <f>HYPERLINK("https://creighton-primo.hosted.exlibrisgroup.com/primo-explore/search?tab=default_tab&amp;search_scope=EVERYTHING&amp;vid=01CRU&amp;lang=en_US&amp;offset=0&amp;query=any,contains,991000018889702656","Catalog Record")</f>
        <v/>
      </c>
      <c r="AT236">
        <f>HYPERLINK("http://www.worldcat.org/oclc/8554186","WorldCat Record")</f>
        <v/>
      </c>
      <c r="AU236" t="inlineStr">
        <is>
          <t>412506:eng</t>
        </is>
      </c>
      <c r="AV236" t="inlineStr">
        <is>
          <t>8554186</t>
        </is>
      </c>
      <c r="AW236" t="inlineStr">
        <is>
          <t>991000018889702656</t>
        </is>
      </c>
      <c r="AX236" t="inlineStr">
        <is>
          <t>991000018889702656</t>
        </is>
      </c>
      <c r="AY236" t="inlineStr">
        <is>
          <t>2258543010002656</t>
        </is>
      </c>
      <c r="AZ236" t="inlineStr">
        <is>
          <t>BOOK</t>
        </is>
      </c>
      <c r="BB236" t="inlineStr">
        <is>
          <t>9780139175596</t>
        </is>
      </c>
      <c r="BC236" t="inlineStr">
        <is>
          <t>32285000906569</t>
        </is>
      </c>
      <c r="BD236" t="inlineStr">
        <is>
          <t>893255109</t>
        </is>
      </c>
    </row>
    <row r="237">
      <c r="A237" t="inlineStr">
        <is>
          <t>No</t>
        </is>
      </c>
      <c r="B237" t="inlineStr">
        <is>
          <t>HQ1073.5.F8 M25 1981</t>
        </is>
      </c>
      <c r="C237" t="inlineStr">
        <is>
          <t>0                      HQ 1073500F  8                  M  25          1981</t>
        </is>
      </c>
      <c r="D237" t="inlineStr">
        <is>
          <t>Death and the enlightenment : changing attitudes to death among Christians and unbelievers in eigthteenth-century France / John McManners.</t>
        </is>
      </c>
      <c r="F237" t="inlineStr">
        <is>
          <t>No</t>
        </is>
      </c>
      <c r="G237" t="inlineStr">
        <is>
          <t>1</t>
        </is>
      </c>
      <c r="H237" t="inlineStr">
        <is>
          <t>No</t>
        </is>
      </c>
      <c r="I237" t="inlineStr">
        <is>
          <t>No</t>
        </is>
      </c>
      <c r="J237" t="inlineStr">
        <is>
          <t>0</t>
        </is>
      </c>
      <c r="K237" t="inlineStr">
        <is>
          <t>McManners, John.</t>
        </is>
      </c>
      <c r="L237" t="inlineStr">
        <is>
          <t>Oxford [Oxfordshire] : Clarendon Press ; New York : Oxford University Press, 1981.</t>
        </is>
      </c>
      <c r="M237" t="inlineStr">
        <is>
          <t>1981</t>
        </is>
      </c>
      <c r="O237" t="inlineStr">
        <is>
          <t>eng</t>
        </is>
      </c>
      <c r="P237" t="inlineStr">
        <is>
          <t>enk</t>
        </is>
      </c>
      <c r="R237" t="inlineStr">
        <is>
          <t xml:space="preserve">HQ </t>
        </is>
      </c>
      <c r="S237" t="n">
        <v>5</v>
      </c>
      <c r="T237" t="n">
        <v>5</v>
      </c>
      <c r="U237" t="inlineStr">
        <is>
          <t>2005-09-26</t>
        </is>
      </c>
      <c r="V237" t="inlineStr">
        <is>
          <t>2005-09-26</t>
        </is>
      </c>
      <c r="W237" t="inlineStr">
        <is>
          <t>1990-03-19</t>
        </is>
      </c>
      <c r="X237" t="inlineStr">
        <is>
          <t>1990-03-19</t>
        </is>
      </c>
      <c r="Y237" t="n">
        <v>768</v>
      </c>
      <c r="Z237" t="n">
        <v>600</v>
      </c>
      <c r="AA237" t="n">
        <v>677</v>
      </c>
      <c r="AB237" t="n">
        <v>5</v>
      </c>
      <c r="AC237" t="n">
        <v>5</v>
      </c>
      <c r="AD237" t="n">
        <v>30</v>
      </c>
      <c r="AE237" t="n">
        <v>35</v>
      </c>
      <c r="AF237" t="n">
        <v>12</v>
      </c>
      <c r="AG237" t="n">
        <v>15</v>
      </c>
      <c r="AH237" t="n">
        <v>6</v>
      </c>
      <c r="AI237" t="n">
        <v>7</v>
      </c>
      <c r="AJ237" t="n">
        <v>17</v>
      </c>
      <c r="AK237" t="n">
        <v>20</v>
      </c>
      <c r="AL237" t="n">
        <v>4</v>
      </c>
      <c r="AM237" t="n">
        <v>4</v>
      </c>
      <c r="AN237" t="n">
        <v>0</v>
      </c>
      <c r="AO237" t="n">
        <v>0</v>
      </c>
      <c r="AP237" t="inlineStr">
        <is>
          <t>No</t>
        </is>
      </c>
      <c r="AQ237" t="inlineStr">
        <is>
          <t>Yes</t>
        </is>
      </c>
      <c r="AR237">
        <f>HYPERLINK("http://catalog.hathitrust.org/Record/000765226","HathiTrust Record")</f>
        <v/>
      </c>
      <c r="AS237">
        <f>HYPERLINK("https://creighton-primo.hosted.exlibrisgroup.com/primo-explore/search?tab=default_tab&amp;search_scope=EVERYTHING&amp;vid=01CRU&amp;lang=en_US&amp;offset=0&amp;query=any,contains,991000029299702656","Catalog Record")</f>
        <v/>
      </c>
      <c r="AT237">
        <f>HYPERLINK("http://www.worldcat.org/oclc/8591276","WorldCat Record")</f>
        <v/>
      </c>
      <c r="AU237" t="inlineStr">
        <is>
          <t>836681679:eng</t>
        </is>
      </c>
      <c r="AV237" t="inlineStr">
        <is>
          <t>8591276</t>
        </is>
      </c>
      <c r="AW237" t="inlineStr">
        <is>
          <t>991000029299702656</t>
        </is>
      </c>
      <c r="AX237" t="inlineStr">
        <is>
          <t>991000029299702656</t>
        </is>
      </c>
      <c r="AY237" t="inlineStr">
        <is>
          <t>2269814750002656</t>
        </is>
      </c>
      <c r="AZ237" t="inlineStr">
        <is>
          <t>BOOK</t>
        </is>
      </c>
      <c r="BB237" t="inlineStr">
        <is>
          <t>9780198264408</t>
        </is>
      </c>
      <c r="BC237" t="inlineStr">
        <is>
          <t>32285000086206</t>
        </is>
      </c>
      <c r="BD237" t="inlineStr">
        <is>
          <t>893777612</t>
        </is>
      </c>
    </row>
    <row r="238">
      <c r="A238" t="inlineStr">
        <is>
          <t>No</t>
        </is>
      </c>
      <c r="B238" t="inlineStr">
        <is>
          <t>HQ1073.5.G8 L6713 1995</t>
        </is>
      </c>
      <c r="C238" t="inlineStr">
        <is>
          <t>0                      HQ 1073500G  8                  L  6713        1995</t>
        </is>
      </c>
      <c r="D238" t="inlineStr">
        <is>
          <t>The experiences of Tiresias : the feminine and the Greek man / Nicole Loraux ; translated by Paula Wissing.</t>
        </is>
      </c>
      <c r="F238" t="inlineStr">
        <is>
          <t>No</t>
        </is>
      </c>
      <c r="G238" t="inlineStr">
        <is>
          <t>1</t>
        </is>
      </c>
      <c r="H238" t="inlineStr">
        <is>
          <t>No</t>
        </is>
      </c>
      <c r="I238" t="inlineStr">
        <is>
          <t>No</t>
        </is>
      </c>
      <c r="J238" t="inlineStr">
        <is>
          <t>0</t>
        </is>
      </c>
      <c r="K238" t="inlineStr">
        <is>
          <t>Loraux, Nicole.</t>
        </is>
      </c>
      <c r="L238" t="inlineStr">
        <is>
          <t>Princeton, N.J. : Princeton University Press, c1995.</t>
        </is>
      </c>
      <c r="M238" t="inlineStr">
        <is>
          <t>1995</t>
        </is>
      </c>
      <c r="O238" t="inlineStr">
        <is>
          <t>eng</t>
        </is>
      </c>
      <c r="P238" t="inlineStr">
        <is>
          <t>nju</t>
        </is>
      </c>
      <c r="R238" t="inlineStr">
        <is>
          <t xml:space="preserve">HQ </t>
        </is>
      </c>
      <c r="S238" t="n">
        <v>14</v>
      </c>
      <c r="T238" t="n">
        <v>14</v>
      </c>
      <c r="U238" t="inlineStr">
        <is>
          <t>2006-03-13</t>
        </is>
      </c>
      <c r="V238" t="inlineStr">
        <is>
          <t>2006-03-13</t>
        </is>
      </c>
      <c r="W238" t="inlineStr">
        <is>
          <t>1998-04-14</t>
        </is>
      </c>
      <c r="X238" t="inlineStr">
        <is>
          <t>1998-04-14</t>
        </is>
      </c>
      <c r="Y238" t="n">
        <v>472</v>
      </c>
      <c r="Z238" t="n">
        <v>365</v>
      </c>
      <c r="AA238" t="n">
        <v>591</v>
      </c>
      <c r="AB238" t="n">
        <v>3</v>
      </c>
      <c r="AC238" t="n">
        <v>6</v>
      </c>
      <c r="AD238" t="n">
        <v>18</v>
      </c>
      <c r="AE238" t="n">
        <v>30</v>
      </c>
      <c r="AF238" t="n">
        <v>5</v>
      </c>
      <c r="AG238" t="n">
        <v>11</v>
      </c>
      <c r="AH238" t="n">
        <v>5</v>
      </c>
      <c r="AI238" t="n">
        <v>8</v>
      </c>
      <c r="AJ238" t="n">
        <v>13</v>
      </c>
      <c r="AK238" t="n">
        <v>16</v>
      </c>
      <c r="AL238" t="n">
        <v>2</v>
      </c>
      <c r="AM238" t="n">
        <v>4</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HYPERLINK("https://creighton-primo.hosted.exlibrisgroup.com/primo-explore/search?tab=default_tab&amp;search_scope=EVERYTHING&amp;vid=01CRU&amp;lang=en_US&amp;offset=0&amp;query=any,contains,991002401389702656","Catalog Record")</f>
        <v/>
      </c>
      <c r="AT238">
        <f>HYPERLINK("http://www.worldcat.org/oclc/31207384","WorldCat Record")</f>
        <v/>
      </c>
      <c r="AU238" t="inlineStr">
        <is>
          <t>665177879:eng</t>
        </is>
      </c>
      <c r="AV238" t="inlineStr">
        <is>
          <t>31207384</t>
        </is>
      </c>
      <c r="AW238" t="inlineStr">
        <is>
          <t>991002401389702656</t>
        </is>
      </c>
      <c r="AX238" t="inlineStr">
        <is>
          <t>991002401389702656</t>
        </is>
      </c>
      <c r="AY238" t="inlineStr">
        <is>
          <t>2257536370002656</t>
        </is>
      </c>
      <c r="AZ238" t="inlineStr">
        <is>
          <t>BOOK</t>
        </is>
      </c>
      <c r="BB238" t="inlineStr">
        <is>
          <t>9780691029856</t>
        </is>
      </c>
      <c r="BC238" t="inlineStr">
        <is>
          <t>32285003375028</t>
        </is>
      </c>
      <c r="BD238" t="inlineStr">
        <is>
          <t>893510683</t>
        </is>
      </c>
    </row>
    <row r="239">
      <c r="A239" t="inlineStr">
        <is>
          <t>No</t>
        </is>
      </c>
      <c r="B239" t="inlineStr">
        <is>
          <t>HQ1073.5.M47 H53 1994</t>
        </is>
      </c>
      <c r="C239" t="inlineStr">
        <is>
          <t>0                      HQ 1073500M  47                 H  53          1994</t>
        </is>
      </c>
      <c r="D239" t="inlineStr">
        <is>
          <t>Hidden futures : death and immortality in Ancient Egypt, Anatolia, the classical, biblical and Arabic-Islamic world / edd. J.M. Bremer, Th. P.J. van den Hout, R. Peters.</t>
        </is>
      </c>
      <c r="F239" t="inlineStr">
        <is>
          <t>No</t>
        </is>
      </c>
      <c r="G239" t="inlineStr">
        <is>
          <t>1</t>
        </is>
      </c>
      <c r="H239" t="inlineStr">
        <is>
          <t>No</t>
        </is>
      </c>
      <c r="I239" t="inlineStr">
        <is>
          <t>No</t>
        </is>
      </c>
      <c r="J239" t="inlineStr">
        <is>
          <t>0</t>
        </is>
      </c>
      <c r="L239" t="inlineStr">
        <is>
          <t>Amsterdam : Amsterdam University Press, c1994.</t>
        </is>
      </c>
      <c r="M239" t="inlineStr">
        <is>
          <t>1994</t>
        </is>
      </c>
      <c r="O239" t="inlineStr">
        <is>
          <t>eng</t>
        </is>
      </c>
      <c r="P239" t="inlineStr">
        <is>
          <t xml:space="preserve">ne </t>
        </is>
      </c>
      <c r="R239" t="inlineStr">
        <is>
          <t xml:space="preserve">HQ </t>
        </is>
      </c>
      <c r="S239" t="n">
        <v>10</v>
      </c>
      <c r="T239" t="n">
        <v>10</v>
      </c>
      <c r="U239" t="inlineStr">
        <is>
          <t>2008-04-15</t>
        </is>
      </c>
      <c r="V239" t="inlineStr">
        <is>
          <t>2008-04-15</t>
        </is>
      </c>
      <c r="W239" t="inlineStr">
        <is>
          <t>1997-11-07</t>
        </is>
      </c>
      <c r="X239" t="inlineStr">
        <is>
          <t>1997-11-07</t>
        </is>
      </c>
      <c r="Y239" t="n">
        <v>248</v>
      </c>
      <c r="Z239" t="n">
        <v>176</v>
      </c>
      <c r="AA239" t="n">
        <v>180</v>
      </c>
      <c r="AB239" t="n">
        <v>2</v>
      </c>
      <c r="AC239" t="n">
        <v>2</v>
      </c>
      <c r="AD239" t="n">
        <v>13</v>
      </c>
      <c r="AE239" t="n">
        <v>13</v>
      </c>
      <c r="AF239" t="n">
        <v>4</v>
      </c>
      <c r="AG239" t="n">
        <v>4</v>
      </c>
      <c r="AH239" t="n">
        <v>5</v>
      </c>
      <c r="AI239" t="n">
        <v>5</v>
      </c>
      <c r="AJ239" t="n">
        <v>9</v>
      </c>
      <c r="AK239" t="n">
        <v>9</v>
      </c>
      <c r="AL239" t="n">
        <v>1</v>
      </c>
      <c r="AM239" t="n">
        <v>1</v>
      </c>
      <c r="AN239" t="n">
        <v>0</v>
      </c>
      <c r="AO239" t="n">
        <v>0</v>
      </c>
      <c r="AP239" t="inlineStr">
        <is>
          <t>No</t>
        </is>
      </c>
      <c r="AQ239" t="inlineStr">
        <is>
          <t>Yes</t>
        </is>
      </c>
      <c r="AR239">
        <f>HYPERLINK("http://catalog.hathitrust.org/Record/003001157","HathiTrust Record")</f>
        <v/>
      </c>
      <c r="AS239">
        <f>HYPERLINK("https://creighton-primo.hosted.exlibrisgroup.com/primo-explore/search?tab=default_tab&amp;search_scope=EVERYTHING&amp;vid=01CRU&amp;lang=en_US&amp;offset=0&amp;query=any,contains,991002474429702656","Catalog Record")</f>
        <v/>
      </c>
      <c r="AT239">
        <f>HYPERLINK("http://www.worldcat.org/oclc/32214346","WorldCat Record")</f>
        <v/>
      </c>
      <c r="AU239" t="inlineStr">
        <is>
          <t>891166445:eng</t>
        </is>
      </c>
      <c r="AV239" t="inlineStr">
        <is>
          <t>32214346</t>
        </is>
      </c>
      <c r="AW239" t="inlineStr">
        <is>
          <t>991002474429702656</t>
        </is>
      </c>
      <c r="AX239" t="inlineStr">
        <is>
          <t>991002474429702656</t>
        </is>
      </c>
      <c r="AY239" t="inlineStr">
        <is>
          <t>2269678740002656</t>
        </is>
      </c>
      <c r="AZ239" t="inlineStr">
        <is>
          <t>BOOK</t>
        </is>
      </c>
      <c r="BB239" t="inlineStr">
        <is>
          <t>9789053560785</t>
        </is>
      </c>
      <c r="BC239" t="inlineStr">
        <is>
          <t>32285003277984</t>
        </is>
      </c>
      <c r="BD239" t="inlineStr">
        <is>
          <t>893798638</t>
        </is>
      </c>
    </row>
    <row r="240">
      <c r="A240" t="inlineStr">
        <is>
          <t>No</t>
        </is>
      </c>
      <c r="B240" t="inlineStr">
        <is>
          <t>HQ1073.5.U6 G76 1980</t>
        </is>
      </c>
      <c r="C240" t="inlineStr">
        <is>
          <t>0                      HQ 1073500U  6                  G  76          1980</t>
        </is>
      </c>
      <c r="D240" t="inlineStr">
        <is>
          <t>When your loved one is dying / Earl A. Grollman.</t>
        </is>
      </c>
      <c r="F240" t="inlineStr">
        <is>
          <t>No</t>
        </is>
      </c>
      <c r="G240" t="inlineStr">
        <is>
          <t>1</t>
        </is>
      </c>
      <c r="H240" t="inlineStr">
        <is>
          <t>No</t>
        </is>
      </c>
      <c r="I240" t="inlineStr">
        <is>
          <t>No</t>
        </is>
      </c>
      <c r="J240" t="inlineStr">
        <is>
          <t>0</t>
        </is>
      </c>
      <c r="K240" t="inlineStr">
        <is>
          <t>Grollman, Earl A.</t>
        </is>
      </c>
      <c r="L240" t="inlineStr">
        <is>
          <t>Boston : Beacon Press, c1980.</t>
        </is>
      </c>
      <c r="M240" t="inlineStr">
        <is>
          <t>1980</t>
        </is>
      </c>
      <c r="O240" t="inlineStr">
        <is>
          <t>eng</t>
        </is>
      </c>
      <c r="P240" t="inlineStr">
        <is>
          <t>mau</t>
        </is>
      </c>
      <c r="R240" t="inlineStr">
        <is>
          <t xml:space="preserve">HQ </t>
        </is>
      </c>
      <c r="S240" t="n">
        <v>2</v>
      </c>
      <c r="T240" t="n">
        <v>2</v>
      </c>
      <c r="U240" t="inlineStr">
        <is>
          <t>1995-03-15</t>
        </is>
      </c>
      <c r="V240" t="inlineStr">
        <is>
          <t>1995-03-15</t>
        </is>
      </c>
      <c r="W240" t="inlineStr">
        <is>
          <t>1993-04-26</t>
        </is>
      </c>
      <c r="X240" t="inlineStr">
        <is>
          <t>1993-04-26</t>
        </is>
      </c>
      <c r="Y240" t="n">
        <v>475</v>
      </c>
      <c r="Z240" t="n">
        <v>458</v>
      </c>
      <c r="AA240" t="n">
        <v>459</v>
      </c>
      <c r="AB240" t="n">
        <v>4</v>
      </c>
      <c r="AC240" t="n">
        <v>4</v>
      </c>
      <c r="AD240" t="n">
        <v>11</v>
      </c>
      <c r="AE240" t="n">
        <v>11</v>
      </c>
      <c r="AF240" t="n">
        <v>5</v>
      </c>
      <c r="AG240" t="n">
        <v>5</v>
      </c>
      <c r="AH240" t="n">
        <v>1</v>
      </c>
      <c r="AI240" t="n">
        <v>1</v>
      </c>
      <c r="AJ240" t="n">
        <v>5</v>
      </c>
      <c r="AK240" t="n">
        <v>5</v>
      </c>
      <c r="AL240" t="n">
        <v>1</v>
      </c>
      <c r="AM240" t="n">
        <v>1</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HYPERLINK("https://creighton-primo.hosted.exlibrisgroup.com/primo-explore/search?tab=default_tab&amp;search_scope=EVERYTHING&amp;vid=01CRU&amp;lang=en_US&amp;offset=0&amp;query=any,contains,991004928429702656","Catalog Record")</f>
        <v/>
      </c>
      <c r="AT240">
        <f>HYPERLINK("http://www.worldcat.org/oclc/6087836","WorldCat Record")</f>
        <v/>
      </c>
      <c r="AU240" t="inlineStr">
        <is>
          <t>1150938766:eng</t>
        </is>
      </c>
      <c r="AV240" t="inlineStr">
        <is>
          <t>6087836</t>
        </is>
      </c>
      <c r="AW240" t="inlineStr">
        <is>
          <t>991004928429702656</t>
        </is>
      </c>
      <c r="AX240" t="inlineStr">
        <is>
          <t>991004928429702656</t>
        </is>
      </c>
      <c r="AY240" t="inlineStr">
        <is>
          <t>2259532040002656</t>
        </is>
      </c>
      <c r="AZ240" t="inlineStr">
        <is>
          <t>BOOK</t>
        </is>
      </c>
      <c r="BB240" t="inlineStr">
        <is>
          <t>9780807032169</t>
        </is>
      </c>
      <c r="BC240" t="inlineStr">
        <is>
          <t>32285001626851</t>
        </is>
      </c>
      <c r="BD240" t="inlineStr">
        <is>
          <t>893619229</t>
        </is>
      </c>
    </row>
    <row r="241">
      <c r="A241" t="inlineStr">
        <is>
          <t>No</t>
        </is>
      </c>
      <c r="B241" t="inlineStr">
        <is>
          <t>HQ1073.5.U6 M65 1990</t>
        </is>
      </c>
      <c r="C241" t="inlineStr">
        <is>
          <t>0                      HQ 1073500U  6                  M  65          1990</t>
        </is>
      </c>
      <c r="D241" t="inlineStr">
        <is>
          <t>On death without dignity : the human impact of technological dying / David Wendell Moller.</t>
        </is>
      </c>
      <c r="F241" t="inlineStr">
        <is>
          <t>No</t>
        </is>
      </c>
      <c r="G241" t="inlineStr">
        <is>
          <t>1</t>
        </is>
      </c>
      <c r="H241" t="inlineStr">
        <is>
          <t>No</t>
        </is>
      </c>
      <c r="I241" t="inlineStr">
        <is>
          <t>No</t>
        </is>
      </c>
      <c r="J241" t="inlineStr">
        <is>
          <t>0</t>
        </is>
      </c>
      <c r="K241" t="inlineStr">
        <is>
          <t>Moller, David Wendell.</t>
        </is>
      </c>
      <c r="L241" t="inlineStr">
        <is>
          <t>Amityville, N.Y. : Baywood Pub. Co., c1990.</t>
        </is>
      </c>
      <c r="M241" t="inlineStr">
        <is>
          <t>1990</t>
        </is>
      </c>
      <c r="O241" t="inlineStr">
        <is>
          <t>eng</t>
        </is>
      </c>
      <c r="P241" t="inlineStr">
        <is>
          <t>nyu</t>
        </is>
      </c>
      <c r="Q241" t="inlineStr">
        <is>
          <t>Perspectives on death and dying series ; 6</t>
        </is>
      </c>
      <c r="R241" t="inlineStr">
        <is>
          <t xml:space="preserve">HQ </t>
        </is>
      </c>
      <c r="S241" t="n">
        <v>5</v>
      </c>
      <c r="T241" t="n">
        <v>5</v>
      </c>
      <c r="U241" t="inlineStr">
        <is>
          <t>2010-06-16</t>
        </is>
      </c>
      <c r="V241" t="inlineStr">
        <is>
          <t>2010-06-16</t>
        </is>
      </c>
      <c r="W241" t="inlineStr">
        <is>
          <t>1991-06-14</t>
        </is>
      </c>
      <c r="X241" t="inlineStr">
        <is>
          <t>1991-06-14</t>
        </is>
      </c>
      <c r="Y241" t="n">
        <v>392</v>
      </c>
      <c r="Z241" t="n">
        <v>334</v>
      </c>
      <c r="AA241" t="n">
        <v>354</v>
      </c>
      <c r="AB241" t="n">
        <v>3</v>
      </c>
      <c r="AC241" t="n">
        <v>3</v>
      </c>
      <c r="AD241" t="n">
        <v>11</v>
      </c>
      <c r="AE241" t="n">
        <v>11</v>
      </c>
      <c r="AF241" t="n">
        <v>5</v>
      </c>
      <c r="AG241" t="n">
        <v>5</v>
      </c>
      <c r="AH241" t="n">
        <v>1</v>
      </c>
      <c r="AI241" t="n">
        <v>1</v>
      </c>
      <c r="AJ241" t="n">
        <v>6</v>
      </c>
      <c r="AK241" t="n">
        <v>6</v>
      </c>
      <c r="AL241" t="n">
        <v>2</v>
      </c>
      <c r="AM241" t="n">
        <v>2</v>
      </c>
      <c r="AN241" t="n">
        <v>0</v>
      </c>
      <c r="AO241" t="n">
        <v>0</v>
      </c>
      <c r="AP241" t="inlineStr">
        <is>
          <t>No</t>
        </is>
      </c>
      <c r="AQ241" t="inlineStr">
        <is>
          <t>Yes</t>
        </is>
      </c>
      <c r="AR241">
        <f>HYPERLINK("http://catalog.hathitrust.org/Record/002563547","HathiTrust Record")</f>
        <v/>
      </c>
      <c r="AS241">
        <f>HYPERLINK("https://creighton-primo.hosted.exlibrisgroup.com/primo-explore/search?tab=default_tab&amp;search_scope=EVERYTHING&amp;vid=01CRU&amp;lang=en_US&amp;offset=0&amp;query=any,contains,991001759079702656","Catalog Record")</f>
        <v/>
      </c>
      <c r="AT241">
        <f>HYPERLINK("http://www.worldcat.org/oclc/22242570","WorldCat Record")</f>
        <v/>
      </c>
      <c r="AU241" t="inlineStr">
        <is>
          <t>238291319:eng</t>
        </is>
      </c>
      <c r="AV241" t="inlineStr">
        <is>
          <t>22242570</t>
        </is>
      </c>
      <c r="AW241" t="inlineStr">
        <is>
          <t>991001759079702656</t>
        </is>
      </c>
      <c r="AX241" t="inlineStr">
        <is>
          <t>991001759079702656</t>
        </is>
      </c>
      <c r="AY241" t="inlineStr">
        <is>
          <t>2272159800002656</t>
        </is>
      </c>
      <c r="AZ241" t="inlineStr">
        <is>
          <t>BOOK</t>
        </is>
      </c>
      <c r="BB241" t="inlineStr">
        <is>
          <t>9780895030672</t>
        </is>
      </c>
      <c r="BC241" t="inlineStr">
        <is>
          <t>32285000656230</t>
        </is>
      </c>
      <c r="BD241" t="inlineStr">
        <is>
          <t>893226102</t>
        </is>
      </c>
    </row>
    <row r="242">
      <c r="A242" t="inlineStr">
        <is>
          <t>No</t>
        </is>
      </c>
      <c r="B242" t="inlineStr">
        <is>
          <t>HQ1073.5.U6 O43 1985</t>
        </is>
      </c>
      <c r="C242" t="inlineStr">
        <is>
          <t>0                      HQ 1073500U  6                  O  43          1985</t>
        </is>
      </c>
      <c r="D242" t="inlineStr">
        <is>
          <t>Facing death and loss / by Elizabeth Ogg.</t>
        </is>
      </c>
      <c r="F242" t="inlineStr">
        <is>
          <t>No</t>
        </is>
      </c>
      <c r="G242" t="inlineStr">
        <is>
          <t>1</t>
        </is>
      </c>
      <c r="H242" t="inlineStr">
        <is>
          <t>No</t>
        </is>
      </c>
      <c r="I242" t="inlineStr">
        <is>
          <t>No</t>
        </is>
      </c>
      <c r="J242" t="inlineStr">
        <is>
          <t>0</t>
        </is>
      </c>
      <c r="K242" t="inlineStr">
        <is>
          <t>Ogg, Elizabeth.</t>
        </is>
      </c>
      <c r="L242" t="inlineStr">
        <is>
          <t>Lancaster, Pa., U.S.A. : Technomic Pub. Co., c1985.</t>
        </is>
      </c>
      <c r="M242" t="inlineStr">
        <is>
          <t>1985</t>
        </is>
      </c>
      <c r="O242" t="inlineStr">
        <is>
          <t>eng</t>
        </is>
      </c>
      <c r="P242" t="inlineStr">
        <is>
          <t>pau</t>
        </is>
      </c>
      <c r="R242" t="inlineStr">
        <is>
          <t xml:space="preserve">HQ </t>
        </is>
      </c>
      <c r="S242" t="n">
        <v>11</v>
      </c>
      <c r="T242" t="n">
        <v>11</v>
      </c>
      <c r="U242" t="inlineStr">
        <is>
          <t>2006-11-14</t>
        </is>
      </c>
      <c r="V242" t="inlineStr">
        <is>
          <t>2006-11-14</t>
        </is>
      </c>
      <c r="W242" t="inlineStr">
        <is>
          <t>1990-04-30</t>
        </is>
      </c>
      <c r="X242" t="inlineStr">
        <is>
          <t>1990-04-30</t>
        </is>
      </c>
      <c r="Y242" t="n">
        <v>180</v>
      </c>
      <c r="Z242" t="n">
        <v>167</v>
      </c>
      <c r="AA242" t="n">
        <v>174</v>
      </c>
      <c r="AB242" t="n">
        <v>1</v>
      </c>
      <c r="AC242" t="n">
        <v>1</v>
      </c>
      <c r="AD242" t="n">
        <v>2</v>
      </c>
      <c r="AE242" t="n">
        <v>2</v>
      </c>
      <c r="AF242" t="n">
        <v>1</v>
      </c>
      <c r="AG242" t="n">
        <v>1</v>
      </c>
      <c r="AH242" t="n">
        <v>1</v>
      </c>
      <c r="AI242" t="n">
        <v>1</v>
      </c>
      <c r="AJ242" t="n">
        <v>1</v>
      </c>
      <c r="AK242" t="n">
        <v>1</v>
      </c>
      <c r="AL242" t="n">
        <v>0</v>
      </c>
      <c r="AM242" t="n">
        <v>0</v>
      </c>
      <c r="AN242" t="n">
        <v>0</v>
      </c>
      <c r="AO242" t="n">
        <v>0</v>
      </c>
      <c r="AP242" t="inlineStr">
        <is>
          <t>No</t>
        </is>
      </c>
      <c r="AQ242" t="inlineStr">
        <is>
          <t>Yes</t>
        </is>
      </c>
      <c r="AR242">
        <f>HYPERLINK("http://catalog.hathitrust.org/Record/000436784","HathiTrust Record")</f>
        <v/>
      </c>
      <c r="AS242">
        <f>HYPERLINK("https://creighton-primo.hosted.exlibrisgroup.com/primo-explore/search?tab=default_tab&amp;search_scope=EVERYTHING&amp;vid=01CRU&amp;lang=en_US&amp;offset=0&amp;query=any,contains,991000806979702656","Catalog Record")</f>
        <v/>
      </c>
      <c r="AT242">
        <f>HYPERLINK("http://www.worldcat.org/oclc/13312099","WorldCat Record")</f>
        <v/>
      </c>
      <c r="AU242" t="inlineStr">
        <is>
          <t>6958998:eng</t>
        </is>
      </c>
      <c r="AV242" t="inlineStr">
        <is>
          <t>13312099</t>
        </is>
      </c>
      <c r="AW242" t="inlineStr">
        <is>
          <t>991000806979702656</t>
        </is>
      </c>
      <c r="AX242" t="inlineStr">
        <is>
          <t>991000806979702656</t>
        </is>
      </c>
      <c r="AY242" t="inlineStr">
        <is>
          <t>2269640920002656</t>
        </is>
      </c>
      <c r="AZ242" t="inlineStr">
        <is>
          <t>BOOK</t>
        </is>
      </c>
      <c r="BB242" t="inlineStr">
        <is>
          <t>9780877624233</t>
        </is>
      </c>
      <c r="BC242" t="inlineStr">
        <is>
          <t>32285000127901</t>
        </is>
      </c>
      <c r="BD242" t="inlineStr">
        <is>
          <t>893522037</t>
        </is>
      </c>
    </row>
    <row r="243">
      <c r="A243" t="inlineStr">
        <is>
          <t>No</t>
        </is>
      </c>
      <c r="B243" t="inlineStr">
        <is>
          <t>HQ1073.5.U6 R67 1986</t>
        </is>
      </c>
      <c r="C243" t="inlineStr">
        <is>
          <t>0                      HQ 1073500U  6                  R  67          1986</t>
        </is>
      </c>
      <c r="D243" t="inlineStr">
        <is>
          <t>Unspoken grief : coping with childhood sibling loss / Helen Rosen.</t>
        </is>
      </c>
      <c r="F243" t="inlineStr">
        <is>
          <t>No</t>
        </is>
      </c>
      <c r="G243" t="inlineStr">
        <is>
          <t>1</t>
        </is>
      </c>
      <c r="H243" t="inlineStr">
        <is>
          <t>No</t>
        </is>
      </c>
      <c r="I243" t="inlineStr">
        <is>
          <t>No</t>
        </is>
      </c>
      <c r="J243" t="inlineStr">
        <is>
          <t>0</t>
        </is>
      </c>
      <c r="K243" t="inlineStr">
        <is>
          <t>Rosen, Helen.</t>
        </is>
      </c>
      <c r="L243" t="inlineStr">
        <is>
          <t>Lexington, Mass. : Lexington Books, c1986.</t>
        </is>
      </c>
      <c r="M243" t="inlineStr">
        <is>
          <t>1986</t>
        </is>
      </c>
      <c r="O243" t="inlineStr">
        <is>
          <t>eng</t>
        </is>
      </c>
      <c r="P243" t="inlineStr">
        <is>
          <t>mau</t>
        </is>
      </c>
      <c r="R243" t="inlineStr">
        <is>
          <t xml:space="preserve">HQ </t>
        </is>
      </c>
      <c r="S243" t="n">
        <v>16</v>
      </c>
      <c r="T243" t="n">
        <v>16</v>
      </c>
      <c r="U243" t="inlineStr">
        <is>
          <t>2000-11-29</t>
        </is>
      </c>
      <c r="V243" t="inlineStr">
        <is>
          <t>2000-11-29</t>
        </is>
      </c>
      <c r="W243" t="inlineStr">
        <is>
          <t>1992-01-20</t>
        </is>
      </c>
      <c r="X243" t="inlineStr">
        <is>
          <t>1992-01-20</t>
        </is>
      </c>
      <c r="Y243" t="n">
        <v>735</v>
      </c>
      <c r="Z243" t="n">
        <v>661</v>
      </c>
      <c r="AA243" t="n">
        <v>665</v>
      </c>
      <c r="AB243" t="n">
        <v>6</v>
      </c>
      <c r="AC243" t="n">
        <v>6</v>
      </c>
      <c r="AD243" t="n">
        <v>17</v>
      </c>
      <c r="AE243" t="n">
        <v>17</v>
      </c>
      <c r="AF243" t="n">
        <v>6</v>
      </c>
      <c r="AG243" t="n">
        <v>6</v>
      </c>
      <c r="AH243" t="n">
        <v>4</v>
      </c>
      <c r="AI243" t="n">
        <v>4</v>
      </c>
      <c r="AJ243" t="n">
        <v>10</v>
      </c>
      <c r="AK243" t="n">
        <v>10</v>
      </c>
      <c r="AL243" t="n">
        <v>3</v>
      </c>
      <c r="AM243" t="n">
        <v>3</v>
      </c>
      <c r="AN243" t="n">
        <v>0</v>
      </c>
      <c r="AO243" t="n">
        <v>0</v>
      </c>
      <c r="AP243" t="inlineStr">
        <is>
          <t>No</t>
        </is>
      </c>
      <c r="AQ243" t="inlineStr">
        <is>
          <t>Yes</t>
        </is>
      </c>
      <c r="AR243">
        <f>HYPERLINK("http://catalog.hathitrust.org/Record/000469190","HathiTrust Record")</f>
        <v/>
      </c>
      <c r="AS243">
        <f>HYPERLINK("https://creighton-primo.hosted.exlibrisgroup.com/primo-explore/search?tab=default_tab&amp;search_scope=EVERYTHING&amp;vid=01CRU&amp;lang=en_US&amp;offset=0&amp;query=any,contains,991000663859702656","Catalog Record")</f>
        <v/>
      </c>
      <c r="AT243">
        <f>HYPERLINK("http://www.worldcat.org/oclc/12262697","WorldCat Record")</f>
        <v/>
      </c>
      <c r="AU243" t="inlineStr">
        <is>
          <t>4913134:eng</t>
        </is>
      </c>
      <c r="AV243" t="inlineStr">
        <is>
          <t>12262697</t>
        </is>
      </c>
      <c r="AW243" t="inlineStr">
        <is>
          <t>991000663859702656</t>
        </is>
      </c>
      <c r="AX243" t="inlineStr">
        <is>
          <t>991000663859702656</t>
        </is>
      </c>
      <c r="AY243" t="inlineStr">
        <is>
          <t>2270537370002656</t>
        </is>
      </c>
      <c r="AZ243" t="inlineStr">
        <is>
          <t>BOOK</t>
        </is>
      </c>
      <c r="BB243" t="inlineStr">
        <is>
          <t>9780669110227</t>
        </is>
      </c>
      <c r="BC243" t="inlineStr">
        <is>
          <t>32285000915982</t>
        </is>
      </c>
      <c r="BD243" t="inlineStr">
        <is>
          <t>893321238</t>
        </is>
      </c>
    </row>
    <row r="244">
      <c r="A244" t="inlineStr">
        <is>
          <t>No</t>
        </is>
      </c>
      <c r="B244" t="inlineStr">
        <is>
          <t>HQ1075 .A53 1996</t>
        </is>
      </c>
      <c r="C244" t="inlineStr">
        <is>
          <t>0                      HQ 1075000A  53          1996</t>
        </is>
      </c>
      <c r="D244" t="inlineStr">
        <is>
          <t>Gender, identity, and self-esteem : a new look at adult development / Deborah Y. Anderson, Christopher L. Hayes.</t>
        </is>
      </c>
      <c r="F244" t="inlineStr">
        <is>
          <t>No</t>
        </is>
      </c>
      <c r="G244" t="inlineStr">
        <is>
          <t>1</t>
        </is>
      </c>
      <c r="H244" t="inlineStr">
        <is>
          <t>No</t>
        </is>
      </c>
      <c r="I244" t="inlineStr">
        <is>
          <t>No</t>
        </is>
      </c>
      <c r="J244" t="inlineStr">
        <is>
          <t>0</t>
        </is>
      </c>
      <c r="K244" t="inlineStr">
        <is>
          <t>Anderson, Deborah Y., 1946-</t>
        </is>
      </c>
      <c r="L244" t="inlineStr">
        <is>
          <t>New York, NY : Springer Pub. Co. c1996.</t>
        </is>
      </c>
      <c r="M244" t="inlineStr">
        <is>
          <t>1996</t>
        </is>
      </c>
      <c r="O244" t="inlineStr">
        <is>
          <t>eng</t>
        </is>
      </c>
      <c r="P244" t="inlineStr">
        <is>
          <t>nyu</t>
        </is>
      </c>
      <c r="R244" t="inlineStr">
        <is>
          <t xml:space="preserve">HQ </t>
        </is>
      </c>
      <c r="S244" t="n">
        <v>8</v>
      </c>
      <c r="T244" t="n">
        <v>8</v>
      </c>
      <c r="U244" t="inlineStr">
        <is>
          <t>2006-11-07</t>
        </is>
      </c>
      <c r="V244" t="inlineStr">
        <is>
          <t>2006-11-07</t>
        </is>
      </c>
      <c r="W244" t="inlineStr">
        <is>
          <t>1997-11-07</t>
        </is>
      </c>
      <c r="X244" t="inlineStr">
        <is>
          <t>1997-11-07</t>
        </is>
      </c>
      <c r="Y244" t="n">
        <v>386</v>
      </c>
      <c r="Z244" t="n">
        <v>340</v>
      </c>
      <c r="AA244" t="n">
        <v>347</v>
      </c>
      <c r="AB244" t="n">
        <v>4</v>
      </c>
      <c r="AC244" t="n">
        <v>4</v>
      </c>
      <c r="AD244" t="n">
        <v>18</v>
      </c>
      <c r="AE244" t="n">
        <v>18</v>
      </c>
      <c r="AF244" t="n">
        <v>3</v>
      </c>
      <c r="AG244" t="n">
        <v>3</v>
      </c>
      <c r="AH244" t="n">
        <v>4</v>
      </c>
      <c r="AI244" t="n">
        <v>4</v>
      </c>
      <c r="AJ244" t="n">
        <v>12</v>
      </c>
      <c r="AK244" t="n">
        <v>12</v>
      </c>
      <c r="AL244" t="n">
        <v>3</v>
      </c>
      <c r="AM244" t="n">
        <v>3</v>
      </c>
      <c r="AN244" t="n">
        <v>0</v>
      </c>
      <c r="AO244" t="n">
        <v>0</v>
      </c>
      <c r="AP244" t="inlineStr">
        <is>
          <t>No</t>
        </is>
      </c>
      <c r="AQ244" t="inlineStr">
        <is>
          <t>Yes</t>
        </is>
      </c>
      <c r="AR244">
        <f>HYPERLINK("http://catalog.hathitrust.org/Record/003104107","HathiTrust Record")</f>
        <v/>
      </c>
      <c r="AS244">
        <f>HYPERLINK("https://creighton-primo.hosted.exlibrisgroup.com/primo-explore/search?tab=default_tab&amp;search_scope=EVERYTHING&amp;vid=01CRU&amp;lang=en_US&amp;offset=0&amp;query=any,contains,991002642329702656","Catalog Record")</f>
        <v/>
      </c>
      <c r="AT244">
        <f>HYPERLINK("http://www.worldcat.org/oclc/34584060","WorldCat Record")</f>
        <v/>
      </c>
      <c r="AU244" t="inlineStr">
        <is>
          <t>346226126:eng</t>
        </is>
      </c>
      <c r="AV244" t="inlineStr">
        <is>
          <t>34584060</t>
        </is>
      </c>
      <c r="AW244" t="inlineStr">
        <is>
          <t>991002642329702656</t>
        </is>
      </c>
      <c r="AX244" t="inlineStr">
        <is>
          <t>991002642329702656</t>
        </is>
      </c>
      <c r="AY244" t="inlineStr">
        <is>
          <t>2267741690002656</t>
        </is>
      </c>
      <c r="AZ244" t="inlineStr">
        <is>
          <t>BOOK</t>
        </is>
      </c>
      <c r="BB244" t="inlineStr">
        <is>
          <t>9780826194107</t>
        </is>
      </c>
      <c r="BC244" t="inlineStr">
        <is>
          <t>32285003278024</t>
        </is>
      </c>
      <c r="BD244" t="inlineStr">
        <is>
          <t>893873775</t>
        </is>
      </c>
    </row>
    <row r="245">
      <c r="A245" t="inlineStr">
        <is>
          <t>No</t>
        </is>
      </c>
      <c r="B245" t="inlineStr">
        <is>
          <t>HQ1075 .B356 2006</t>
        </is>
      </c>
      <c r="C245" t="inlineStr">
        <is>
          <t>0                      HQ 1075000B  356         2006</t>
        </is>
      </c>
      <c r="D245" t="inlineStr">
        <is>
          <t>In search of the lost feminine : decoding the myths that radically reshaped civilization / Craig S. Barnes.</t>
        </is>
      </c>
      <c r="F245" t="inlineStr">
        <is>
          <t>No</t>
        </is>
      </c>
      <c r="G245" t="inlineStr">
        <is>
          <t>1</t>
        </is>
      </c>
      <c r="H245" t="inlineStr">
        <is>
          <t>No</t>
        </is>
      </c>
      <c r="I245" t="inlineStr">
        <is>
          <t>No</t>
        </is>
      </c>
      <c r="J245" t="inlineStr">
        <is>
          <t>0</t>
        </is>
      </c>
      <c r="K245" t="inlineStr">
        <is>
          <t>Barnes, Craig S.</t>
        </is>
      </c>
      <c r="L245" t="inlineStr">
        <is>
          <t>Golden, Colo. : Fulcrum, c2006.</t>
        </is>
      </c>
      <c r="M245" t="inlineStr">
        <is>
          <t>2006</t>
        </is>
      </c>
      <c r="O245" t="inlineStr">
        <is>
          <t>eng</t>
        </is>
      </c>
      <c r="P245" t="inlineStr">
        <is>
          <t>cou</t>
        </is>
      </c>
      <c r="R245" t="inlineStr">
        <is>
          <t xml:space="preserve">HQ </t>
        </is>
      </c>
      <c r="S245" t="n">
        <v>2</v>
      </c>
      <c r="T245" t="n">
        <v>2</v>
      </c>
      <c r="U245" t="inlineStr">
        <is>
          <t>2010-11-05</t>
        </is>
      </c>
      <c r="V245" t="inlineStr">
        <is>
          <t>2010-11-05</t>
        </is>
      </c>
      <c r="W245" t="inlineStr">
        <is>
          <t>2006-08-29</t>
        </is>
      </c>
      <c r="X245" t="inlineStr">
        <is>
          <t>2006-08-29</t>
        </is>
      </c>
      <c r="Y245" t="n">
        <v>202</v>
      </c>
      <c r="Z245" t="n">
        <v>171</v>
      </c>
      <c r="AA245" t="n">
        <v>582</v>
      </c>
      <c r="AB245" t="n">
        <v>1</v>
      </c>
      <c r="AC245" t="n">
        <v>5</v>
      </c>
      <c r="AD245" t="n">
        <v>8</v>
      </c>
      <c r="AE245" t="n">
        <v>26</v>
      </c>
      <c r="AF245" t="n">
        <v>1</v>
      </c>
      <c r="AG245" t="n">
        <v>8</v>
      </c>
      <c r="AH245" t="n">
        <v>4</v>
      </c>
      <c r="AI245" t="n">
        <v>7</v>
      </c>
      <c r="AJ245" t="n">
        <v>5</v>
      </c>
      <c r="AK245" t="n">
        <v>10</v>
      </c>
      <c r="AL245" t="n">
        <v>0</v>
      </c>
      <c r="AM245" t="n">
        <v>4</v>
      </c>
      <c r="AN245" t="n">
        <v>0</v>
      </c>
      <c r="AO245" t="n">
        <v>1</v>
      </c>
      <c r="AP245" t="inlineStr">
        <is>
          <t>No</t>
        </is>
      </c>
      <c r="AQ245" t="inlineStr">
        <is>
          <t>No</t>
        </is>
      </c>
      <c r="AS245">
        <f>HYPERLINK("https://creighton-primo.hosted.exlibrisgroup.com/primo-explore/search?tab=default_tab&amp;search_scope=EVERYTHING&amp;vid=01CRU&amp;lang=en_US&amp;offset=0&amp;query=any,contains,991004902589702656","Catalog Record")</f>
        <v/>
      </c>
      <c r="AT245">
        <f>HYPERLINK("http://www.worldcat.org/oclc/62342024","WorldCat Record")</f>
        <v/>
      </c>
      <c r="AU245" t="inlineStr">
        <is>
          <t>854916267:eng</t>
        </is>
      </c>
      <c r="AV245" t="inlineStr">
        <is>
          <t>62342024</t>
        </is>
      </c>
      <c r="AW245" t="inlineStr">
        <is>
          <t>991004902589702656</t>
        </is>
      </c>
      <c r="AX245" t="inlineStr">
        <is>
          <t>991004902589702656</t>
        </is>
      </c>
      <c r="AY245" t="inlineStr">
        <is>
          <t>2260164150002656</t>
        </is>
      </c>
      <c r="AZ245" t="inlineStr">
        <is>
          <t>BOOK</t>
        </is>
      </c>
      <c r="BB245" t="inlineStr">
        <is>
          <t>9781555914899</t>
        </is>
      </c>
      <c r="BC245" t="inlineStr">
        <is>
          <t>32285005221121</t>
        </is>
      </c>
      <c r="BD245" t="inlineStr">
        <is>
          <t>893446448</t>
        </is>
      </c>
    </row>
    <row r="246">
      <c r="A246" t="inlineStr">
        <is>
          <t>No</t>
        </is>
      </c>
      <c r="B246" t="inlineStr">
        <is>
          <t>HQ1075 .B46 1987</t>
        </is>
      </c>
      <c r="C246" t="inlineStr">
        <is>
          <t>0                      HQ 1075000B  46          1987</t>
        </is>
      </c>
      <c r="D246" t="inlineStr">
        <is>
          <t>The myth of two minds : what gender means and doesn't mean / Beryl Lieff Benderly.</t>
        </is>
      </c>
      <c r="F246" t="inlineStr">
        <is>
          <t>No</t>
        </is>
      </c>
      <c r="G246" t="inlineStr">
        <is>
          <t>1</t>
        </is>
      </c>
      <c r="H246" t="inlineStr">
        <is>
          <t>No</t>
        </is>
      </c>
      <c r="I246" t="inlineStr">
        <is>
          <t>No</t>
        </is>
      </c>
      <c r="J246" t="inlineStr">
        <is>
          <t>0</t>
        </is>
      </c>
      <c r="K246" t="inlineStr">
        <is>
          <t>Benderly, Beryl Lieff.</t>
        </is>
      </c>
      <c r="L246" t="inlineStr">
        <is>
          <t>New York : Doubleday, 1987.</t>
        </is>
      </c>
      <c r="M246" t="inlineStr">
        <is>
          <t>1987</t>
        </is>
      </c>
      <c r="N246" t="inlineStr">
        <is>
          <t>1st ed.</t>
        </is>
      </c>
      <c r="O246" t="inlineStr">
        <is>
          <t>eng</t>
        </is>
      </c>
      <c r="P246" t="inlineStr">
        <is>
          <t>nyu</t>
        </is>
      </c>
      <c r="R246" t="inlineStr">
        <is>
          <t xml:space="preserve">HQ </t>
        </is>
      </c>
      <c r="S246" t="n">
        <v>6</v>
      </c>
      <c r="T246" t="n">
        <v>6</v>
      </c>
      <c r="U246" t="inlineStr">
        <is>
          <t>1995-10-26</t>
        </is>
      </c>
      <c r="V246" t="inlineStr">
        <is>
          <t>1995-10-26</t>
        </is>
      </c>
      <c r="W246" t="inlineStr">
        <is>
          <t>1992-04-06</t>
        </is>
      </c>
      <c r="X246" t="inlineStr">
        <is>
          <t>1992-04-06</t>
        </is>
      </c>
      <c r="Y246" t="n">
        <v>582</v>
      </c>
      <c r="Z246" t="n">
        <v>539</v>
      </c>
      <c r="AA246" t="n">
        <v>541</v>
      </c>
      <c r="AB246" t="n">
        <v>5</v>
      </c>
      <c r="AC246" t="n">
        <v>5</v>
      </c>
      <c r="AD246" t="n">
        <v>20</v>
      </c>
      <c r="AE246" t="n">
        <v>20</v>
      </c>
      <c r="AF246" t="n">
        <v>8</v>
      </c>
      <c r="AG246" t="n">
        <v>8</v>
      </c>
      <c r="AH246" t="n">
        <v>5</v>
      </c>
      <c r="AI246" t="n">
        <v>5</v>
      </c>
      <c r="AJ246" t="n">
        <v>8</v>
      </c>
      <c r="AK246" t="n">
        <v>8</v>
      </c>
      <c r="AL246" t="n">
        <v>4</v>
      </c>
      <c r="AM246" t="n">
        <v>4</v>
      </c>
      <c r="AN246" t="n">
        <v>0</v>
      </c>
      <c r="AO246" t="n">
        <v>0</v>
      </c>
      <c r="AP246" t="inlineStr">
        <is>
          <t>No</t>
        </is>
      </c>
      <c r="AQ246" t="inlineStr">
        <is>
          <t>Yes</t>
        </is>
      </c>
      <c r="AR246">
        <f>HYPERLINK("http://catalog.hathitrust.org/Record/000857112","HathiTrust Record")</f>
        <v/>
      </c>
      <c r="AS246">
        <f>HYPERLINK("https://creighton-primo.hosted.exlibrisgroup.com/primo-explore/search?tab=default_tab&amp;search_scope=EVERYTHING&amp;vid=01CRU&amp;lang=en_US&amp;offset=0&amp;query=any,contains,991001006509702656","Catalog Record")</f>
        <v/>
      </c>
      <c r="AT246">
        <f>HYPERLINK("http://www.worldcat.org/oclc/15251546","WorldCat Record")</f>
        <v/>
      </c>
      <c r="AU246" t="inlineStr">
        <is>
          <t>9782635:eng</t>
        </is>
      </c>
      <c r="AV246" t="inlineStr">
        <is>
          <t>15251546</t>
        </is>
      </c>
      <c r="AW246" t="inlineStr">
        <is>
          <t>991001006509702656</t>
        </is>
      </c>
      <c r="AX246" t="inlineStr">
        <is>
          <t>991001006509702656</t>
        </is>
      </c>
      <c r="AY246" t="inlineStr">
        <is>
          <t>2256737370002656</t>
        </is>
      </c>
      <c r="AZ246" t="inlineStr">
        <is>
          <t>BOOK</t>
        </is>
      </c>
      <c r="BB246" t="inlineStr">
        <is>
          <t>9780385196727</t>
        </is>
      </c>
      <c r="BC246" t="inlineStr">
        <is>
          <t>32285001049401</t>
        </is>
      </c>
      <c r="BD246" t="inlineStr">
        <is>
          <t>893225528</t>
        </is>
      </c>
    </row>
    <row r="247">
      <c r="A247" t="inlineStr">
        <is>
          <t>No</t>
        </is>
      </c>
      <c r="B247" t="inlineStr">
        <is>
          <t>HQ1075 .B56 1984</t>
        </is>
      </c>
      <c r="C247" t="inlineStr">
        <is>
          <t>0                      HQ 1075000B  56          1984</t>
        </is>
      </c>
      <c r="D247" t="inlineStr">
        <is>
          <t>Sex role identity and ego development / Jeanne H. Block ; foreword by Jack Block.</t>
        </is>
      </c>
      <c r="F247" t="inlineStr">
        <is>
          <t>No</t>
        </is>
      </c>
      <c r="G247" t="inlineStr">
        <is>
          <t>1</t>
        </is>
      </c>
      <c r="H247" t="inlineStr">
        <is>
          <t>No</t>
        </is>
      </c>
      <c r="I247" t="inlineStr">
        <is>
          <t>No</t>
        </is>
      </c>
      <c r="J247" t="inlineStr">
        <is>
          <t>0</t>
        </is>
      </c>
      <c r="K247" t="inlineStr">
        <is>
          <t>Block, Jeanne H. (Jeanne Humphrey), 1923-1981.</t>
        </is>
      </c>
      <c r="L247" t="inlineStr">
        <is>
          <t>San Francisco : Jossey-Bass, 1984.</t>
        </is>
      </c>
      <c r="M247" t="inlineStr">
        <is>
          <t>1984</t>
        </is>
      </c>
      <c r="N247" t="inlineStr">
        <is>
          <t>1st ed.</t>
        </is>
      </c>
      <c r="O247" t="inlineStr">
        <is>
          <t>eng</t>
        </is>
      </c>
      <c r="P247" t="inlineStr">
        <is>
          <t>cau</t>
        </is>
      </c>
      <c r="Q247" t="inlineStr">
        <is>
          <t>The Jossey-Bass social and behavioral science series</t>
        </is>
      </c>
      <c r="R247" t="inlineStr">
        <is>
          <t xml:space="preserve">HQ </t>
        </is>
      </c>
      <c r="S247" t="n">
        <v>14</v>
      </c>
      <c r="T247" t="n">
        <v>14</v>
      </c>
      <c r="U247" t="inlineStr">
        <is>
          <t>2002-04-29</t>
        </is>
      </c>
      <c r="V247" t="inlineStr">
        <is>
          <t>2002-04-29</t>
        </is>
      </c>
      <c r="W247" t="inlineStr">
        <is>
          <t>1993-04-26</t>
        </is>
      </c>
      <c r="X247" t="inlineStr">
        <is>
          <t>1993-04-26</t>
        </is>
      </c>
      <c r="Y247" t="n">
        <v>674</v>
      </c>
      <c r="Z247" t="n">
        <v>547</v>
      </c>
      <c r="AA247" t="n">
        <v>556</v>
      </c>
      <c r="AB247" t="n">
        <v>4</v>
      </c>
      <c r="AC247" t="n">
        <v>4</v>
      </c>
      <c r="AD247" t="n">
        <v>28</v>
      </c>
      <c r="AE247" t="n">
        <v>28</v>
      </c>
      <c r="AF247" t="n">
        <v>11</v>
      </c>
      <c r="AG247" t="n">
        <v>11</v>
      </c>
      <c r="AH247" t="n">
        <v>6</v>
      </c>
      <c r="AI247" t="n">
        <v>6</v>
      </c>
      <c r="AJ247" t="n">
        <v>15</v>
      </c>
      <c r="AK247" t="n">
        <v>15</v>
      </c>
      <c r="AL247" t="n">
        <v>3</v>
      </c>
      <c r="AM247" t="n">
        <v>3</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HYPERLINK("https://creighton-primo.hosted.exlibrisgroup.com/primo-explore/search?tab=default_tab&amp;search_scope=EVERYTHING&amp;vid=01CRU&amp;lang=en_US&amp;offset=0&amp;query=any,contains,991000417349702656","Catalog Record")</f>
        <v/>
      </c>
      <c r="AT247">
        <f>HYPERLINK("http://www.worldcat.org/oclc/10725473","WorldCat Record")</f>
        <v/>
      </c>
      <c r="AU247" t="inlineStr">
        <is>
          <t>3433677:eng</t>
        </is>
      </c>
      <c r="AV247" t="inlineStr">
        <is>
          <t>10725473</t>
        </is>
      </c>
      <c r="AW247" t="inlineStr">
        <is>
          <t>991000417349702656</t>
        </is>
      </c>
      <c r="AX247" t="inlineStr">
        <is>
          <t>991000417349702656</t>
        </is>
      </c>
      <c r="AY247" t="inlineStr">
        <is>
          <t>2263652180002656</t>
        </is>
      </c>
      <c r="AZ247" t="inlineStr">
        <is>
          <t>BOOK</t>
        </is>
      </c>
      <c r="BB247" t="inlineStr">
        <is>
          <t>9780875896076</t>
        </is>
      </c>
      <c r="BC247" t="inlineStr">
        <is>
          <t>32285001626877</t>
        </is>
      </c>
      <c r="BD247" t="inlineStr">
        <is>
          <t>893224968</t>
        </is>
      </c>
    </row>
    <row r="248">
      <c r="A248" t="inlineStr">
        <is>
          <t>No</t>
        </is>
      </c>
      <c r="B248" t="inlineStr">
        <is>
          <t>HQ1075 .B87 1996</t>
        </is>
      </c>
      <c r="C248" t="inlineStr">
        <is>
          <t>0                      HQ 1075000B  87          1996</t>
        </is>
      </c>
      <c r="D248" t="inlineStr">
        <is>
          <t>The social psychology of gender / Shawn Meghan Burn.</t>
        </is>
      </c>
      <c r="F248" t="inlineStr">
        <is>
          <t>No</t>
        </is>
      </c>
      <c r="G248" t="inlineStr">
        <is>
          <t>1</t>
        </is>
      </c>
      <c r="H248" t="inlineStr">
        <is>
          <t>No</t>
        </is>
      </c>
      <c r="I248" t="inlineStr">
        <is>
          <t>No</t>
        </is>
      </c>
      <c r="J248" t="inlineStr">
        <is>
          <t>0</t>
        </is>
      </c>
      <c r="K248" t="inlineStr">
        <is>
          <t>Burn, Shawn Meghan.</t>
        </is>
      </c>
      <c r="L248" t="inlineStr">
        <is>
          <t>New York : McGraw-Hill, c1996.</t>
        </is>
      </c>
      <c r="M248" t="inlineStr">
        <is>
          <t>1996</t>
        </is>
      </c>
      <c r="O248" t="inlineStr">
        <is>
          <t>eng</t>
        </is>
      </c>
      <c r="P248" t="inlineStr">
        <is>
          <t>nyu</t>
        </is>
      </c>
      <c r="Q248" t="inlineStr">
        <is>
          <t>McGraw-Hill series in social psychology</t>
        </is>
      </c>
      <c r="R248" t="inlineStr">
        <is>
          <t xml:space="preserve">HQ </t>
        </is>
      </c>
      <c r="S248" t="n">
        <v>7</v>
      </c>
      <c r="T248" t="n">
        <v>7</v>
      </c>
      <c r="U248" t="inlineStr">
        <is>
          <t>2005-04-11</t>
        </is>
      </c>
      <c r="V248" t="inlineStr">
        <is>
          <t>2005-04-11</t>
        </is>
      </c>
      <c r="W248" t="inlineStr">
        <is>
          <t>2002-04-10</t>
        </is>
      </c>
      <c r="X248" t="inlineStr">
        <is>
          <t>2002-04-10</t>
        </is>
      </c>
      <c r="Y248" t="n">
        <v>155</v>
      </c>
      <c r="Z248" t="n">
        <v>103</v>
      </c>
      <c r="AA248" t="n">
        <v>103</v>
      </c>
      <c r="AB248" t="n">
        <v>1</v>
      </c>
      <c r="AC248" t="n">
        <v>1</v>
      </c>
      <c r="AD248" t="n">
        <v>4</v>
      </c>
      <c r="AE248" t="n">
        <v>4</v>
      </c>
      <c r="AF248" t="n">
        <v>1</v>
      </c>
      <c r="AG248" t="n">
        <v>1</v>
      </c>
      <c r="AH248" t="n">
        <v>3</v>
      </c>
      <c r="AI248" t="n">
        <v>3</v>
      </c>
      <c r="AJ248" t="n">
        <v>2</v>
      </c>
      <c r="AK248" t="n">
        <v>2</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HYPERLINK("https://creighton-primo.hosted.exlibrisgroup.com/primo-explore/search?tab=default_tab&amp;search_scope=EVERYTHING&amp;vid=01CRU&amp;lang=en_US&amp;offset=0&amp;query=any,contains,991003786319702656","Catalog Record")</f>
        <v/>
      </c>
      <c r="AT248">
        <f>HYPERLINK("http://www.worldcat.org/oclc/32349567","WorldCat Record")</f>
        <v/>
      </c>
      <c r="AU248" t="inlineStr">
        <is>
          <t>20707537:eng</t>
        </is>
      </c>
      <c r="AV248" t="inlineStr">
        <is>
          <t>32349567</t>
        </is>
      </c>
      <c r="AW248" t="inlineStr">
        <is>
          <t>991003786319702656</t>
        </is>
      </c>
      <c r="AX248" t="inlineStr">
        <is>
          <t>991003786319702656</t>
        </is>
      </c>
      <c r="AY248" t="inlineStr">
        <is>
          <t>2264105560002656</t>
        </is>
      </c>
      <c r="AZ248" t="inlineStr">
        <is>
          <t>BOOK</t>
        </is>
      </c>
      <c r="BB248" t="inlineStr">
        <is>
          <t>9780070091825</t>
        </is>
      </c>
      <c r="BC248" t="inlineStr">
        <is>
          <t>32285004478631</t>
        </is>
      </c>
      <c r="BD248" t="inlineStr">
        <is>
          <t>893525225</t>
        </is>
      </c>
    </row>
    <row r="249">
      <c r="A249" t="inlineStr">
        <is>
          <t>No</t>
        </is>
      </c>
      <c r="B249" t="inlineStr">
        <is>
          <t>HQ1075 .C656 2005</t>
        </is>
      </c>
      <c r="C249" t="inlineStr">
        <is>
          <t>0                      HQ 1075000C  656         2005</t>
        </is>
      </c>
      <c r="D249" t="inlineStr">
        <is>
          <t>A companion to gender studies / edited by Philomena Essed, David Theo Goldberg, and Audrey Kobayashi.</t>
        </is>
      </c>
      <c r="F249" t="inlineStr">
        <is>
          <t>No</t>
        </is>
      </c>
      <c r="G249" t="inlineStr">
        <is>
          <t>1</t>
        </is>
      </c>
      <c r="H249" t="inlineStr">
        <is>
          <t>No</t>
        </is>
      </c>
      <c r="I249" t="inlineStr">
        <is>
          <t>No</t>
        </is>
      </c>
      <c r="J249" t="inlineStr">
        <is>
          <t>0</t>
        </is>
      </c>
      <c r="L249" t="inlineStr">
        <is>
          <t>Malden, MA : Blackwell Pub., 2005.</t>
        </is>
      </c>
      <c r="M249" t="inlineStr">
        <is>
          <t>2005</t>
        </is>
      </c>
      <c r="O249" t="inlineStr">
        <is>
          <t>eng</t>
        </is>
      </c>
      <c r="P249" t="inlineStr">
        <is>
          <t>mau</t>
        </is>
      </c>
      <c r="Q249" t="inlineStr">
        <is>
          <t>Blackwell companions in cultural studies ; 8</t>
        </is>
      </c>
      <c r="R249" t="inlineStr">
        <is>
          <t xml:space="preserve">HQ </t>
        </is>
      </c>
      <c r="S249" t="n">
        <v>5</v>
      </c>
      <c r="T249" t="n">
        <v>5</v>
      </c>
      <c r="U249" t="inlineStr">
        <is>
          <t>2008-04-03</t>
        </is>
      </c>
      <c r="V249" t="inlineStr">
        <is>
          <t>2008-04-03</t>
        </is>
      </c>
      <c r="W249" t="inlineStr">
        <is>
          <t>2005-10-26</t>
        </is>
      </c>
      <c r="X249" t="inlineStr">
        <is>
          <t>2005-10-26</t>
        </is>
      </c>
      <c r="Y249" t="n">
        <v>648</v>
      </c>
      <c r="Z249" t="n">
        <v>500</v>
      </c>
      <c r="AA249" t="n">
        <v>535</v>
      </c>
      <c r="AB249" t="n">
        <v>2</v>
      </c>
      <c r="AC249" t="n">
        <v>2</v>
      </c>
      <c r="AD249" t="n">
        <v>24</v>
      </c>
      <c r="AE249" t="n">
        <v>25</v>
      </c>
      <c r="AF249" t="n">
        <v>9</v>
      </c>
      <c r="AG249" t="n">
        <v>9</v>
      </c>
      <c r="AH249" t="n">
        <v>7</v>
      </c>
      <c r="AI249" t="n">
        <v>8</v>
      </c>
      <c r="AJ249" t="n">
        <v>12</v>
      </c>
      <c r="AK249" t="n">
        <v>12</v>
      </c>
      <c r="AL249" t="n">
        <v>1</v>
      </c>
      <c r="AM249" t="n">
        <v>1</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HYPERLINK("https://creighton-primo.hosted.exlibrisgroup.com/primo-explore/search?tab=default_tab&amp;search_scope=EVERYTHING&amp;vid=01CRU&amp;lang=en_US&amp;offset=0&amp;query=any,contains,991004633969702656","Catalog Record")</f>
        <v/>
      </c>
      <c r="AT249">
        <f>HYPERLINK("http://www.worldcat.org/oclc/54817547","WorldCat Record")</f>
        <v/>
      </c>
      <c r="AU249" t="inlineStr">
        <is>
          <t>9593196005:eng</t>
        </is>
      </c>
      <c r="AV249" t="inlineStr">
        <is>
          <t>54817547</t>
        </is>
      </c>
      <c r="AW249" t="inlineStr">
        <is>
          <t>991004633969702656</t>
        </is>
      </c>
      <c r="AX249" t="inlineStr">
        <is>
          <t>991004633969702656</t>
        </is>
      </c>
      <c r="AY249" t="inlineStr">
        <is>
          <t>2267670120002656</t>
        </is>
      </c>
      <c r="AZ249" t="inlineStr">
        <is>
          <t>BOOK</t>
        </is>
      </c>
      <c r="BB249" t="inlineStr">
        <is>
          <t>9780631221098</t>
        </is>
      </c>
      <c r="BC249" t="inlineStr">
        <is>
          <t>32285005142426</t>
        </is>
      </c>
      <c r="BD249" t="inlineStr">
        <is>
          <t>893807297</t>
        </is>
      </c>
    </row>
    <row r="250">
      <c r="A250" t="inlineStr">
        <is>
          <t>No</t>
        </is>
      </c>
      <c r="B250" t="inlineStr">
        <is>
          <t>HQ1075 .C668 2003</t>
        </is>
      </c>
      <c r="C250" t="inlineStr">
        <is>
          <t>0                      HQ 1075000C  668         2003</t>
        </is>
      </c>
      <c r="D250" t="inlineStr">
        <is>
          <t>Continental feminism reader / edited by Ann J. Cahill and Jennifer Hansen.</t>
        </is>
      </c>
      <c r="F250" t="inlineStr">
        <is>
          <t>No</t>
        </is>
      </c>
      <c r="G250" t="inlineStr">
        <is>
          <t>1</t>
        </is>
      </c>
      <c r="H250" t="inlineStr">
        <is>
          <t>No</t>
        </is>
      </c>
      <c r="I250" t="inlineStr">
        <is>
          <t>No</t>
        </is>
      </c>
      <c r="J250" t="inlineStr">
        <is>
          <t>0</t>
        </is>
      </c>
      <c r="L250" t="inlineStr">
        <is>
          <t>Lanham, Md. : Rowman &amp; Littlefield Publishers, c2003.</t>
        </is>
      </c>
      <c r="M250" t="inlineStr">
        <is>
          <t>2003</t>
        </is>
      </c>
      <c r="O250" t="inlineStr">
        <is>
          <t>eng</t>
        </is>
      </c>
      <c r="P250" t="inlineStr">
        <is>
          <t>mdu</t>
        </is>
      </c>
      <c r="R250" t="inlineStr">
        <is>
          <t xml:space="preserve">HQ </t>
        </is>
      </c>
      <c r="S250" t="n">
        <v>1</v>
      </c>
      <c r="T250" t="n">
        <v>1</v>
      </c>
      <c r="U250" t="inlineStr">
        <is>
          <t>2003-07-24</t>
        </is>
      </c>
      <c r="V250" t="inlineStr">
        <is>
          <t>2003-07-24</t>
        </is>
      </c>
      <c r="W250" t="inlineStr">
        <is>
          <t>2003-07-24</t>
        </is>
      </c>
      <c r="X250" t="inlineStr">
        <is>
          <t>2003-07-24</t>
        </is>
      </c>
      <c r="Y250" t="n">
        <v>202</v>
      </c>
      <c r="Z250" t="n">
        <v>149</v>
      </c>
      <c r="AA250" t="n">
        <v>173</v>
      </c>
      <c r="AB250" t="n">
        <v>2</v>
      </c>
      <c r="AC250" t="n">
        <v>2</v>
      </c>
      <c r="AD250" t="n">
        <v>11</v>
      </c>
      <c r="AE250" t="n">
        <v>12</v>
      </c>
      <c r="AF250" t="n">
        <v>5</v>
      </c>
      <c r="AG250" t="n">
        <v>6</v>
      </c>
      <c r="AH250" t="n">
        <v>2</v>
      </c>
      <c r="AI250" t="n">
        <v>3</v>
      </c>
      <c r="AJ250" t="n">
        <v>5</v>
      </c>
      <c r="AK250" t="n">
        <v>5</v>
      </c>
      <c r="AL250" t="n">
        <v>1</v>
      </c>
      <c r="AM250" t="n">
        <v>1</v>
      </c>
      <c r="AN250" t="n">
        <v>1</v>
      </c>
      <c r="AO250" t="n">
        <v>1</v>
      </c>
      <c r="AP250" t="inlineStr">
        <is>
          <t>No</t>
        </is>
      </c>
      <c r="AQ250" t="inlineStr">
        <is>
          <t>Yes</t>
        </is>
      </c>
      <c r="AR250">
        <f>HYPERLINK("http://catalog.hathitrust.org/Record/004329782","HathiTrust Record")</f>
        <v/>
      </c>
      <c r="AS250">
        <f>HYPERLINK("https://creighton-primo.hosted.exlibrisgroup.com/primo-explore/search?tab=default_tab&amp;search_scope=EVERYTHING&amp;vid=01CRU&amp;lang=en_US&amp;offset=0&amp;query=any,contains,991004075799702656","Catalog Record")</f>
        <v/>
      </c>
      <c r="AT250">
        <f>HYPERLINK("http://www.worldcat.org/oclc/50810507","WorldCat Record")</f>
        <v/>
      </c>
      <c r="AU250" t="inlineStr">
        <is>
          <t>353910077:eng</t>
        </is>
      </c>
      <c r="AV250" t="inlineStr">
        <is>
          <t>50810507</t>
        </is>
      </c>
      <c r="AW250" t="inlineStr">
        <is>
          <t>991004075799702656</t>
        </is>
      </c>
      <c r="AX250" t="inlineStr">
        <is>
          <t>991004075799702656</t>
        </is>
      </c>
      <c r="AY250" t="inlineStr">
        <is>
          <t>2259299220002656</t>
        </is>
      </c>
      <c r="AZ250" t="inlineStr">
        <is>
          <t>BOOK</t>
        </is>
      </c>
      <c r="BB250" t="inlineStr">
        <is>
          <t>9780742523081</t>
        </is>
      </c>
      <c r="BC250" t="inlineStr">
        <is>
          <t>32285004756713</t>
        </is>
      </c>
      <c r="BD250" t="inlineStr">
        <is>
          <t>893627975</t>
        </is>
      </c>
    </row>
    <row r="251">
      <c r="A251" t="inlineStr">
        <is>
          <t>No</t>
        </is>
      </c>
      <c r="B251" t="inlineStr">
        <is>
          <t>HQ1075 .C87 1987</t>
        </is>
      </c>
      <c r="C251" t="inlineStr">
        <is>
          <t>0                      HQ 1075000C  87          1987</t>
        </is>
      </c>
      <c r="D251" t="inlineStr">
        <is>
          <t>Current conceptions of sex roles and sex typing : theory and research / edited by D. Bruce Carter.</t>
        </is>
      </c>
      <c r="F251" t="inlineStr">
        <is>
          <t>No</t>
        </is>
      </c>
      <c r="G251" t="inlineStr">
        <is>
          <t>1</t>
        </is>
      </c>
      <c r="H251" t="inlineStr">
        <is>
          <t>No</t>
        </is>
      </c>
      <c r="I251" t="inlineStr">
        <is>
          <t>No</t>
        </is>
      </c>
      <c r="J251" t="inlineStr">
        <is>
          <t>0</t>
        </is>
      </c>
      <c r="L251" t="inlineStr">
        <is>
          <t>New York : Praeger, 1987.</t>
        </is>
      </c>
      <c r="M251" t="inlineStr">
        <is>
          <t>1987</t>
        </is>
      </c>
      <c r="O251" t="inlineStr">
        <is>
          <t>eng</t>
        </is>
      </c>
      <c r="P251" t="inlineStr">
        <is>
          <t>nyu</t>
        </is>
      </c>
      <c r="R251" t="inlineStr">
        <is>
          <t xml:space="preserve">HQ </t>
        </is>
      </c>
      <c r="S251" t="n">
        <v>21</v>
      </c>
      <c r="T251" t="n">
        <v>21</v>
      </c>
      <c r="U251" t="inlineStr">
        <is>
          <t>2006-09-26</t>
        </is>
      </c>
      <c r="V251" t="inlineStr">
        <is>
          <t>2006-09-26</t>
        </is>
      </c>
      <c r="W251" t="inlineStr">
        <is>
          <t>1990-02-27</t>
        </is>
      </c>
      <c r="X251" t="inlineStr">
        <is>
          <t>1990-02-27</t>
        </is>
      </c>
      <c r="Y251" t="n">
        <v>359</v>
      </c>
      <c r="Z251" t="n">
        <v>294</v>
      </c>
      <c r="AA251" t="n">
        <v>312</v>
      </c>
      <c r="AB251" t="n">
        <v>3</v>
      </c>
      <c r="AC251" t="n">
        <v>3</v>
      </c>
      <c r="AD251" t="n">
        <v>12</v>
      </c>
      <c r="AE251" t="n">
        <v>12</v>
      </c>
      <c r="AF251" t="n">
        <v>2</v>
      </c>
      <c r="AG251" t="n">
        <v>2</v>
      </c>
      <c r="AH251" t="n">
        <v>3</v>
      </c>
      <c r="AI251" t="n">
        <v>3</v>
      </c>
      <c r="AJ251" t="n">
        <v>10</v>
      </c>
      <c r="AK251" t="n">
        <v>10</v>
      </c>
      <c r="AL251" t="n">
        <v>2</v>
      </c>
      <c r="AM251" t="n">
        <v>2</v>
      </c>
      <c r="AN251" t="n">
        <v>0</v>
      </c>
      <c r="AO251" t="n">
        <v>0</v>
      </c>
      <c r="AP251" t="inlineStr">
        <is>
          <t>No</t>
        </is>
      </c>
      <c r="AQ251" t="inlineStr">
        <is>
          <t>Yes</t>
        </is>
      </c>
      <c r="AR251">
        <f>HYPERLINK("http://catalog.hathitrust.org/Record/000865830","HathiTrust Record")</f>
        <v/>
      </c>
      <c r="AS251">
        <f>HYPERLINK("https://creighton-primo.hosted.exlibrisgroup.com/primo-explore/search?tab=default_tab&amp;search_scope=EVERYTHING&amp;vid=01CRU&amp;lang=en_US&amp;offset=0&amp;query=any,contains,991001050169702656","Catalog Record")</f>
        <v/>
      </c>
      <c r="AT251">
        <f>HYPERLINK("http://www.worldcat.org/oclc/15652387","WorldCat Record")</f>
        <v/>
      </c>
      <c r="AU251" t="inlineStr">
        <is>
          <t>836620757:eng</t>
        </is>
      </c>
      <c r="AV251" t="inlineStr">
        <is>
          <t>15652387</t>
        </is>
      </c>
      <c r="AW251" t="inlineStr">
        <is>
          <t>991001050169702656</t>
        </is>
      </c>
      <c r="AX251" t="inlineStr">
        <is>
          <t>991001050169702656</t>
        </is>
      </c>
      <c r="AY251" t="inlineStr">
        <is>
          <t>2268473730002656</t>
        </is>
      </c>
      <c r="AZ251" t="inlineStr">
        <is>
          <t>BOOK</t>
        </is>
      </c>
      <c r="BB251" t="inlineStr">
        <is>
          <t>9780275924300</t>
        </is>
      </c>
      <c r="BC251" t="inlineStr">
        <is>
          <t>32285000071174</t>
        </is>
      </c>
      <c r="BD251" t="inlineStr">
        <is>
          <t>893407782</t>
        </is>
      </c>
    </row>
    <row r="252">
      <c r="A252" t="inlineStr">
        <is>
          <t>No</t>
        </is>
      </c>
      <c r="B252" t="inlineStr">
        <is>
          <t>HQ1075 .E24 1987</t>
        </is>
      </c>
      <c r="C252" t="inlineStr">
        <is>
          <t>0                      HQ 1075000E  24          1987</t>
        </is>
      </c>
      <c r="D252" t="inlineStr">
        <is>
          <t>Sex differences in social behavior : a social-role interpretation / Alice H. Eagly.</t>
        </is>
      </c>
      <c r="F252" t="inlineStr">
        <is>
          <t>No</t>
        </is>
      </c>
      <c r="G252" t="inlineStr">
        <is>
          <t>1</t>
        </is>
      </c>
      <c r="H252" t="inlineStr">
        <is>
          <t>No</t>
        </is>
      </c>
      <c r="I252" t="inlineStr">
        <is>
          <t>No</t>
        </is>
      </c>
      <c r="J252" t="inlineStr">
        <is>
          <t>0</t>
        </is>
      </c>
      <c r="K252" t="inlineStr">
        <is>
          <t>Eagly, Alice Hendrickson.</t>
        </is>
      </c>
      <c r="L252" t="inlineStr">
        <is>
          <t>Hillsdale, N.J. : L. Erlbaum Associates, 1987.</t>
        </is>
      </c>
      <c r="M252" t="inlineStr">
        <is>
          <t>1987</t>
        </is>
      </c>
      <c r="O252" t="inlineStr">
        <is>
          <t>eng</t>
        </is>
      </c>
      <c r="P252" t="inlineStr">
        <is>
          <t>nju</t>
        </is>
      </c>
      <c r="Q252" t="inlineStr">
        <is>
          <t>John M. MacEachran memorial lecture series ; 1985</t>
        </is>
      </c>
      <c r="R252" t="inlineStr">
        <is>
          <t xml:space="preserve">HQ </t>
        </is>
      </c>
      <c r="S252" t="n">
        <v>19</v>
      </c>
      <c r="T252" t="n">
        <v>19</v>
      </c>
      <c r="U252" t="inlineStr">
        <is>
          <t>2006-01-23</t>
        </is>
      </c>
      <c r="V252" t="inlineStr">
        <is>
          <t>2006-01-23</t>
        </is>
      </c>
      <c r="W252" t="inlineStr">
        <is>
          <t>1992-03-06</t>
        </is>
      </c>
      <c r="X252" t="inlineStr">
        <is>
          <t>1992-03-06</t>
        </is>
      </c>
      <c r="Y252" t="n">
        <v>648</v>
      </c>
      <c r="Z252" t="n">
        <v>554</v>
      </c>
      <c r="AA252" t="n">
        <v>596</v>
      </c>
      <c r="AB252" t="n">
        <v>7</v>
      </c>
      <c r="AC252" t="n">
        <v>7</v>
      </c>
      <c r="AD252" t="n">
        <v>29</v>
      </c>
      <c r="AE252" t="n">
        <v>29</v>
      </c>
      <c r="AF252" t="n">
        <v>10</v>
      </c>
      <c r="AG252" t="n">
        <v>10</v>
      </c>
      <c r="AH252" t="n">
        <v>7</v>
      </c>
      <c r="AI252" t="n">
        <v>7</v>
      </c>
      <c r="AJ252" t="n">
        <v>12</v>
      </c>
      <c r="AK252" t="n">
        <v>12</v>
      </c>
      <c r="AL252" t="n">
        <v>6</v>
      </c>
      <c r="AM252" t="n">
        <v>6</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HYPERLINK("https://creighton-primo.hosted.exlibrisgroup.com/primo-explore/search?tab=default_tab&amp;search_scope=EVERYTHING&amp;vid=01CRU&amp;lang=en_US&amp;offset=0&amp;query=any,contains,991000988879702656","Catalog Record")</f>
        <v/>
      </c>
      <c r="AT252">
        <f>HYPERLINK("http://www.worldcat.org/oclc/15084713","WorldCat Record")</f>
        <v/>
      </c>
      <c r="AU252" t="inlineStr">
        <is>
          <t>375446627:eng</t>
        </is>
      </c>
      <c r="AV252" t="inlineStr">
        <is>
          <t>15084713</t>
        </is>
      </c>
      <c r="AW252" t="inlineStr">
        <is>
          <t>991000988879702656</t>
        </is>
      </c>
      <c r="AX252" t="inlineStr">
        <is>
          <t>991000988879702656</t>
        </is>
      </c>
      <c r="AY252" t="inlineStr">
        <is>
          <t>2255214550002656</t>
        </is>
      </c>
      <c r="AZ252" t="inlineStr">
        <is>
          <t>BOOK</t>
        </is>
      </c>
      <c r="BB252" t="inlineStr">
        <is>
          <t>9780898598049</t>
        </is>
      </c>
      <c r="BC252" t="inlineStr">
        <is>
          <t>32285000937986</t>
        </is>
      </c>
      <c r="BD252" t="inlineStr">
        <is>
          <t>893249868</t>
        </is>
      </c>
    </row>
    <row r="253">
      <c r="A253" t="inlineStr">
        <is>
          <t>No</t>
        </is>
      </c>
      <c r="B253" t="inlineStr">
        <is>
          <t>HQ1075 .E57 1988</t>
        </is>
      </c>
      <c r="C253" t="inlineStr">
        <is>
          <t>0                      HQ 1075000E  57          1988</t>
        </is>
      </c>
      <c r="D253" t="inlineStr">
        <is>
          <t>The chalice and the blade : our history, our future / Riane Eisler.</t>
        </is>
      </c>
      <c r="F253" t="inlineStr">
        <is>
          <t>No</t>
        </is>
      </c>
      <c r="G253" t="inlineStr">
        <is>
          <t>1</t>
        </is>
      </c>
      <c r="H253" t="inlineStr">
        <is>
          <t>No</t>
        </is>
      </c>
      <c r="I253" t="inlineStr">
        <is>
          <t>No</t>
        </is>
      </c>
      <c r="J253" t="inlineStr">
        <is>
          <t>0</t>
        </is>
      </c>
      <c r="K253" t="inlineStr">
        <is>
          <t>Eisler, Riane Tennenhaus.</t>
        </is>
      </c>
      <c r="L253" t="inlineStr">
        <is>
          <t>San Francisco : Harper &amp; Row, 1988, c1987.</t>
        </is>
      </c>
      <c r="M253" t="inlineStr">
        <is>
          <t>1988</t>
        </is>
      </c>
      <c r="O253" t="inlineStr">
        <is>
          <t>eng</t>
        </is>
      </c>
      <c r="P253" t="inlineStr">
        <is>
          <t>cau</t>
        </is>
      </c>
      <c r="R253" t="inlineStr">
        <is>
          <t xml:space="preserve">HQ </t>
        </is>
      </c>
      <c r="S253" t="n">
        <v>18</v>
      </c>
      <c r="T253" t="n">
        <v>18</v>
      </c>
      <c r="U253" t="inlineStr">
        <is>
          <t>2008-07-28</t>
        </is>
      </c>
      <c r="V253" t="inlineStr">
        <is>
          <t>2008-07-28</t>
        </is>
      </c>
      <c r="W253" t="inlineStr">
        <is>
          <t>1990-11-13</t>
        </is>
      </c>
      <c r="X253" t="inlineStr">
        <is>
          <t>1990-11-13</t>
        </is>
      </c>
      <c r="Y253" t="n">
        <v>520</v>
      </c>
      <c r="Z253" t="n">
        <v>484</v>
      </c>
      <c r="AA253" t="n">
        <v>1686</v>
      </c>
      <c r="AB253" t="n">
        <v>4</v>
      </c>
      <c r="AC253" t="n">
        <v>11</v>
      </c>
      <c r="AD253" t="n">
        <v>15</v>
      </c>
      <c r="AE253" t="n">
        <v>46</v>
      </c>
      <c r="AF253" t="n">
        <v>8</v>
      </c>
      <c r="AG253" t="n">
        <v>20</v>
      </c>
      <c r="AH253" t="n">
        <v>3</v>
      </c>
      <c r="AI253" t="n">
        <v>10</v>
      </c>
      <c r="AJ253" t="n">
        <v>6</v>
      </c>
      <c r="AK253" t="n">
        <v>21</v>
      </c>
      <c r="AL253" t="n">
        <v>2</v>
      </c>
      <c r="AM253" t="n">
        <v>7</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HYPERLINK("https://creighton-primo.hosted.exlibrisgroup.com/primo-explore/search?tab=default_tab&amp;search_scope=EVERYTHING&amp;vid=01CRU&amp;lang=en_US&amp;offset=0&amp;query=any,contains,991001387029702656","Catalog Record")</f>
        <v/>
      </c>
      <c r="AT253">
        <f>HYPERLINK("http://www.worldcat.org/oclc/25800927","WorldCat Record")</f>
        <v/>
      </c>
      <c r="AU253" t="inlineStr">
        <is>
          <t>10228266:eng</t>
        </is>
      </c>
      <c r="AV253" t="inlineStr">
        <is>
          <t>25800927</t>
        </is>
      </c>
      <c r="AW253" t="inlineStr">
        <is>
          <t>991001387029702656</t>
        </is>
      </c>
      <c r="AX253" t="inlineStr">
        <is>
          <t>991001387029702656</t>
        </is>
      </c>
      <c r="AY253" t="inlineStr">
        <is>
          <t>2264336630002656</t>
        </is>
      </c>
      <c r="AZ253" t="inlineStr">
        <is>
          <t>BOOK</t>
        </is>
      </c>
      <c r="BB253" t="inlineStr">
        <is>
          <t>9780062502896</t>
        </is>
      </c>
      <c r="BC253" t="inlineStr">
        <is>
          <t>32285000314665</t>
        </is>
      </c>
      <c r="BD253" t="inlineStr">
        <is>
          <t>893626667</t>
        </is>
      </c>
    </row>
    <row r="254">
      <c r="A254" t="inlineStr">
        <is>
          <t>No</t>
        </is>
      </c>
      <c r="B254" t="inlineStr">
        <is>
          <t>HQ1075 .G35 1993</t>
        </is>
      </c>
      <c r="C254" t="inlineStr">
        <is>
          <t>0                      HQ 1075000G  35          1993</t>
        </is>
      </c>
      <c r="D254" t="inlineStr">
        <is>
          <t>Harmless lovers? : gender, theory, and personal relationships / Mike Gane.</t>
        </is>
      </c>
      <c r="F254" t="inlineStr">
        <is>
          <t>No</t>
        </is>
      </c>
      <c r="G254" t="inlineStr">
        <is>
          <t>1</t>
        </is>
      </c>
      <c r="H254" t="inlineStr">
        <is>
          <t>No</t>
        </is>
      </c>
      <c r="I254" t="inlineStr">
        <is>
          <t>No</t>
        </is>
      </c>
      <c r="J254" t="inlineStr">
        <is>
          <t>0</t>
        </is>
      </c>
      <c r="K254" t="inlineStr">
        <is>
          <t>Gane, Mike.</t>
        </is>
      </c>
      <c r="L254" t="inlineStr">
        <is>
          <t>London ; New York : Routledge, 1993.</t>
        </is>
      </c>
      <c r="M254" t="inlineStr">
        <is>
          <t>1993</t>
        </is>
      </c>
      <c r="O254" t="inlineStr">
        <is>
          <t>eng</t>
        </is>
      </c>
      <c r="P254" t="inlineStr">
        <is>
          <t>enk</t>
        </is>
      </c>
      <c r="R254" t="inlineStr">
        <is>
          <t xml:space="preserve">HQ </t>
        </is>
      </c>
      <c r="S254" t="n">
        <v>5</v>
      </c>
      <c r="T254" t="n">
        <v>5</v>
      </c>
      <c r="U254" t="inlineStr">
        <is>
          <t>2004-04-26</t>
        </is>
      </c>
      <c r="V254" t="inlineStr">
        <is>
          <t>2004-04-26</t>
        </is>
      </c>
      <c r="W254" t="inlineStr">
        <is>
          <t>1994-03-23</t>
        </is>
      </c>
      <c r="X254" t="inlineStr">
        <is>
          <t>1994-03-23</t>
        </is>
      </c>
      <c r="Y254" t="n">
        <v>299</v>
      </c>
      <c r="Z254" t="n">
        <v>186</v>
      </c>
      <c r="AA254" t="n">
        <v>205</v>
      </c>
      <c r="AB254" t="n">
        <v>1</v>
      </c>
      <c r="AC254" t="n">
        <v>1</v>
      </c>
      <c r="AD254" t="n">
        <v>11</v>
      </c>
      <c r="AE254" t="n">
        <v>11</v>
      </c>
      <c r="AF254" t="n">
        <v>3</v>
      </c>
      <c r="AG254" t="n">
        <v>3</v>
      </c>
      <c r="AH254" t="n">
        <v>7</v>
      </c>
      <c r="AI254" t="n">
        <v>7</v>
      </c>
      <c r="AJ254" t="n">
        <v>5</v>
      </c>
      <c r="AK254" t="n">
        <v>5</v>
      </c>
      <c r="AL254" t="n">
        <v>0</v>
      </c>
      <c r="AM254" t="n">
        <v>0</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HYPERLINK("https://creighton-primo.hosted.exlibrisgroup.com/primo-explore/search?tab=default_tab&amp;search_scope=EVERYTHING&amp;vid=01CRU&amp;lang=en_US&amp;offset=0&amp;query=any,contains,991002129819702656","Catalog Record")</f>
        <v/>
      </c>
      <c r="AT254">
        <f>HYPERLINK("http://www.worldcat.org/oclc/27266443","WorldCat Record")</f>
        <v/>
      </c>
      <c r="AU254" t="inlineStr">
        <is>
          <t>836905224:eng</t>
        </is>
      </c>
      <c r="AV254" t="inlineStr">
        <is>
          <t>27266443</t>
        </is>
      </c>
      <c r="AW254" t="inlineStr">
        <is>
          <t>991002129819702656</t>
        </is>
      </c>
      <c r="AX254" t="inlineStr">
        <is>
          <t>991002129819702656</t>
        </is>
      </c>
      <c r="AY254" t="inlineStr">
        <is>
          <t>2269450680002656</t>
        </is>
      </c>
      <c r="AZ254" t="inlineStr">
        <is>
          <t>BOOK</t>
        </is>
      </c>
      <c r="BB254" t="inlineStr">
        <is>
          <t>9780415094481</t>
        </is>
      </c>
      <c r="BC254" t="inlineStr">
        <is>
          <t>32285001857753</t>
        </is>
      </c>
      <c r="BD254" t="inlineStr">
        <is>
          <t>893873135</t>
        </is>
      </c>
    </row>
    <row r="255">
      <c r="A255" t="inlineStr">
        <is>
          <t>No</t>
        </is>
      </c>
      <c r="B255" t="inlineStr">
        <is>
          <t>HQ1075 .G4 1994</t>
        </is>
      </c>
      <c r="C255" t="inlineStr">
        <is>
          <t>0                      HQ 1075000G  4           1994</t>
        </is>
      </c>
      <c r="D255" t="inlineStr">
        <is>
          <t>Gender roles through the life span : a multidisciplinary perspective / edited by Michael R. Stevenson.</t>
        </is>
      </c>
      <c r="F255" t="inlineStr">
        <is>
          <t>No</t>
        </is>
      </c>
      <c r="G255" t="inlineStr">
        <is>
          <t>1</t>
        </is>
      </c>
      <c r="H255" t="inlineStr">
        <is>
          <t>No</t>
        </is>
      </c>
      <c r="I255" t="inlineStr">
        <is>
          <t>No</t>
        </is>
      </c>
      <c r="J255" t="inlineStr">
        <is>
          <t>0</t>
        </is>
      </c>
      <c r="L255" t="inlineStr">
        <is>
          <t>Muncie, IN. : Ball State University, 1994.</t>
        </is>
      </c>
      <c r="M255" t="inlineStr">
        <is>
          <t>1994</t>
        </is>
      </c>
      <c r="O255" t="inlineStr">
        <is>
          <t>eng</t>
        </is>
      </c>
      <c r="P255" t="inlineStr">
        <is>
          <t>inu</t>
        </is>
      </c>
      <c r="R255" t="inlineStr">
        <is>
          <t xml:space="preserve">HQ </t>
        </is>
      </c>
      <c r="S255" t="n">
        <v>29</v>
      </c>
      <c r="T255" t="n">
        <v>29</v>
      </c>
      <c r="U255" t="inlineStr">
        <is>
          <t>2007-11-03</t>
        </is>
      </c>
      <c r="V255" t="inlineStr">
        <is>
          <t>2007-11-03</t>
        </is>
      </c>
      <c r="W255" t="inlineStr">
        <is>
          <t>1995-05-03</t>
        </is>
      </c>
      <c r="X255" t="inlineStr">
        <is>
          <t>1995-05-03</t>
        </is>
      </c>
      <c r="Y255" t="n">
        <v>575</v>
      </c>
      <c r="Z255" t="n">
        <v>556</v>
      </c>
      <c r="AA255" t="n">
        <v>562</v>
      </c>
      <c r="AB255" t="n">
        <v>7</v>
      </c>
      <c r="AC255" t="n">
        <v>7</v>
      </c>
      <c r="AD255" t="n">
        <v>36</v>
      </c>
      <c r="AE255" t="n">
        <v>36</v>
      </c>
      <c r="AF255" t="n">
        <v>17</v>
      </c>
      <c r="AG255" t="n">
        <v>17</v>
      </c>
      <c r="AH255" t="n">
        <v>7</v>
      </c>
      <c r="AI255" t="n">
        <v>7</v>
      </c>
      <c r="AJ255" t="n">
        <v>16</v>
      </c>
      <c r="AK255" t="n">
        <v>16</v>
      </c>
      <c r="AL255" t="n">
        <v>6</v>
      </c>
      <c r="AM255" t="n">
        <v>6</v>
      </c>
      <c r="AN255" t="n">
        <v>0</v>
      </c>
      <c r="AO255" t="n">
        <v>0</v>
      </c>
      <c r="AP255" t="inlineStr">
        <is>
          <t>No</t>
        </is>
      </c>
      <c r="AQ255" t="inlineStr">
        <is>
          <t>Yes</t>
        </is>
      </c>
      <c r="AR255">
        <f>HYPERLINK("http://catalog.hathitrust.org/Record/002970067","HathiTrust Record")</f>
        <v/>
      </c>
      <c r="AS255">
        <f>HYPERLINK("https://creighton-primo.hosted.exlibrisgroup.com/primo-explore/search?tab=default_tab&amp;search_scope=EVERYTHING&amp;vid=01CRU&amp;lang=en_US&amp;offset=0&amp;query=any,contains,991002450159702656","Catalog Record")</f>
        <v/>
      </c>
      <c r="AT255">
        <f>HYPERLINK("http://www.worldcat.org/oclc/31954541","WorldCat Record")</f>
        <v/>
      </c>
      <c r="AU255" t="inlineStr">
        <is>
          <t>33668339:eng</t>
        </is>
      </c>
      <c r="AV255" t="inlineStr">
        <is>
          <t>31954541</t>
        </is>
      </c>
      <c r="AW255" t="inlineStr">
        <is>
          <t>991002450159702656</t>
        </is>
      </c>
      <c r="AX255" t="inlineStr">
        <is>
          <t>991002450159702656</t>
        </is>
      </c>
      <c r="AY255" t="inlineStr">
        <is>
          <t>2260794940002656</t>
        </is>
      </c>
      <c r="AZ255" t="inlineStr">
        <is>
          <t>BOOK</t>
        </is>
      </c>
      <c r="BB255" t="inlineStr">
        <is>
          <t>9780937994283</t>
        </is>
      </c>
      <c r="BC255" t="inlineStr">
        <is>
          <t>32285002009727</t>
        </is>
      </c>
      <c r="BD255" t="inlineStr">
        <is>
          <t>893792486</t>
        </is>
      </c>
    </row>
    <row r="256">
      <c r="A256" t="inlineStr">
        <is>
          <t>No</t>
        </is>
      </c>
      <c r="B256" t="inlineStr">
        <is>
          <t>HQ1075 .G427 2001</t>
        </is>
      </c>
      <c r="C256" t="inlineStr">
        <is>
          <t>0                      HQ 1075000G  427         2001</t>
        </is>
      </c>
      <c r="D256" t="inlineStr">
        <is>
          <t>Gender, globalization, and democratization / edited by Rita Mae Kelly ... [et al.].</t>
        </is>
      </c>
      <c r="F256" t="inlineStr">
        <is>
          <t>No</t>
        </is>
      </c>
      <c r="G256" t="inlineStr">
        <is>
          <t>1</t>
        </is>
      </c>
      <c r="H256" t="inlineStr">
        <is>
          <t>No</t>
        </is>
      </c>
      <c r="I256" t="inlineStr">
        <is>
          <t>No</t>
        </is>
      </c>
      <c r="J256" t="inlineStr">
        <is>
          <t>0</t>
        </is>
      </c>
      <c r="L256" t="inlineStr">
        <is>
          <t>Lanham, MD : Rowman &amp; Littlefield Publishers, c2001.</t>
        </is>
      </c>
      <c r="M256" t="inlineStr">
        <is>
          <t>2001</t>
        </is>
      </c>
      <c r="O256" t="inlineStr">
        <is>
          <t>eng</t>
        </is>
      </c>
      <c r="P256" t="inlineStr">
        <is>
          <t>mdu</t>
        </is>
      </c>
      <c r="R256" t="inlineStr">
        <is>
          <t xml:space="preserve">HQ </t>
        </is>
      </c>
      <c r="S256" t="n">
        <v>17</v>
      </c>
      <c r="T256" t="n">
        <v>17</v>
      </c>
      <c r="U256" t="inlineStr">
        <is>
          <t>2009-04-07</t>
        </is>
      </c>
      <c r="V256" t="inlineStr">
        <is>
          <t>2009-04-07</t>
        </is>
      </c>
      <c r="W256" t="inlineStr">
        <is>
          <t>2002-04-02</t>
        </is>
      </c>
      <c r="X256" t="inlineStr">
        <is>
          <t>2002-04-02</t>
        </is>
      </c>
      <c r="Y256" t="n">
        <v>440</v>
      </c>
      <c r="Z256" t="n">
        <v>342</v>
      </c>
      <c r="AA256" t="n">
        <v>379</v>
      </c>
      <c r="AB256" t="n">
        <v>3</v>
      </c>
      <c r="AC256" t="n">
        <v>3</v>
      </c>
      <c r="AD256" t="n">
        <v>23</v>
      </c>
      <c r="AE256" t="n">
        <v>24</v>
      </c>
      <c r="AF256" t="n">
        <v>9</v>
      </c>
      <c r="AG256" t="n">
        <v>10</v>
      </c>
      <c r="AH256" t="n">
        <v>9</v>
      </c>
      <c r="AI256" t="n">
        <v>10</v>
      </c>
      <c r="AJ256" t="n">
        <v>11</v>
      </c>
      <c r="AK256" t="n">
        <v>11</v>
      </c>
      <c r="AL256" t="n">
        <v>2</v>
      </c>
      <c r="AM256" t="n">
        <v>2</v>
      </c>
      <c r="AN256" t="n">
        <v>0</v>
      </c>
      <c r="AO256" t="n">
        <v>0</v>
      </c>
      <c r="AP256" t="inlineStr">
        <is>
          <t>No</t>
        </is>
      </c>
      <c r="AQ256" t="inlineStr">
        <is>
          <t>Yes</t>
        </is>
      </c>
      <c r="AR256">
        <f>HYPERLINK("http://catalog.hathitrust.org/Record/004166427","HathiTrust Record")</f>
        <v/>
      </c>
      <c r="AS256">
        <f>HYPERLINK("https://creighton-primo.hosted.exlibrisgroup.com/primo-explore/search?tab=default_tab&amp;search_scope=EVERYTHING&amp;vid=01CRU&amp;lang=en_US&amp;offset=0&amp;query=any,contains,991003767849702656","Catalog Record")</f>
        <v/>
      </c>
      <c r="AT256">
        <f>HYPERLINK("http://www.worldcat.org/oclc/44952069","WorldCat Record")</f>
        <v/>
      </c>
      <c r="AU256" t="inlineStr">
        <is>
          <t>56589528:eng</t>
        </is>
      </c>
      <c r="AV256" t="inlineStr">
        <is>
          <t>44952069</t>
        </is>
      </c>
      <c r="AW256" t="inlineStr">
        <is>
          <t>991003767849702656</t>
        </is>
      </c>
      <c r="AX256" t="inlineStr">
        <is>
          <t>991003767849702656</t>
        </is>
      </c>
      <c r="AY256" t="inlineStr">
        <is>
          <t>2256736650002656</t>
        </is>
      </c>
      <c r="AZ256" t="inlineStr">
        <is>
          <t>BOOK</t>
        </is>
      </c>
      <c r="BB256" t="inlineStr">
        <is>
          <t>9780742509771</t>
        </is>
      </c>
      <c r="BC256" t="inlineStr">
        <is>
          <t>32285004476296</t>
        </is>
      </c>
      <c r="BD256" t="inlineStr">
        <is>
          <t>893429185</t>
        </is>
      </c>
    </row>
    <row r="257">
      <c r="A257" t="inlineStr">
        <is>
          <t>No</t>
        </is>
      </c>
      <c r="B257" t="inlineStr">
        <is>
          <t>HQ1075 .G46 1986</t>
        </is>
      </c>
      <c r="C257" t="inlineStr">
        <is>
          <t>0                      HQ 1075000G  46          1986</t>
        </is>
      </c>
      <c r="D257" t="inlineStr">
        <is>
          <t>Gender and stratification / edited by Rosemary Crompton and Michael Mann.</t>
        </is>
      </c>
      <c r="F257" t="inlineStr">
        <is>
          <t>No</t>
        </is>
      </c>
      <c r="G257" t="inlineStr">
        <is>
          <t>1</t>
        </is>
      </c>
      <c r="H257" t="inlineStr">
        <is>
          <t>No</t>
        </is>
      </c>
      <c r="I257" t="inlineStr">
        <is>
          <t>No</t>
        </is>
      </c>
      <c r="J257" t="inlineStr">
        <is>
          <t>0</t>
        </is>
      </c>
      <c r="L257" t="inlineStr">
        <is>
          <t>Cambridge, CB, UK : Polity Press ; Oxford, OX, UK : In association with Blackwell, 1986.</t>
        </is>
      </c>
      <c r="M257" t="inlineStr">
        <is>
          <t>1986</t>
        </is>
      </c>
      <c r="O257" t="inlineStr">
        <is>
          <t>eng</t>
        </is>
      </c>
      <c r="P257" t="inlineStr">
        <is>
          <t>enk</t>
        </is>
      </c>
      <c r="R257" t="inlineStr">
        <is>
          <t xml:space="preserve">HQ </t>
        </is>
      </c>
      <c r="S257" t="n">
        <v>9</v>
      </c>
      <c r="T257" t="n">
        <v>9</v>
      </c>
      <c r="U257" t="inlineStr">
        <is>
          <t>2009-09-28</t>
        </is>
      </c>
      <c r="V257" t="inlineStr">
        <is>
          <t>2009-09-28</t>
        </is>
      </c>
      <c r="W257" t="inlineStr">
        <is>
          <t>1992-03-26</t>
        </is>
      </c>
      <c r="X257" t="inlineStr">
        <is>
          <t>1992-03-26</t>
        </is>
      </c>
      <c r="Y257" t="n">
        <v>519</v>
      </c>
      <c r="Z257" t="n">
        <v>315</v>
      </c>
      <c r="AA257" t="n">
        <v>327</v>
      </c>
      <c r="AB257" t="n">
        <v>2</v>
      </c>
      <c r="AC257" t="n">
        <v>2</v>
      </c>
      <c r="AD257" t="n">
        <v>13</v>
      </c>
      <c r="AE257" t="n">
        <v>13</v>
      </c>
      <c r="AF257" t="n">
        <v>5</v>
      </c>
      <c r="AG257" t="n">
        <v>5</v>
      </c>
      <c r="AH257" t="n">
        <v>4</v>
      </c>
      <c r="AI257" t="n">
        <v>4</v>
      </c>
      <c r="AJ257" t="n">
        <v>8</v>
      </c>
      <c r="AK257" t="n">
        <v>8</v>
      </c>
      <c r="AL257" t="n">
        <v>1</v>
      </c>
      <c r="AM257" t="n">
        <v>1</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HYPERLINK("https://creighton-primo.hosted.exlibrisgroup.com/primo-explore/search?tab=default_tab&amp;search_scope=EVERYTHING&amp;vid=01CRU&amp;lang=en_US&amp;offset=0&amp;query=any,contains,991000761309702656","Catalog Record")</f>
        <v/>
      </c>
      <c r="AT257">
        <f>HYPERLINK("http://www.worldcat.org/oclc/12973414","WorldCat Record")</f>
        <v/>
      </c>
      <c r="AU257" t="inlineStr">
        <is>
          <t>350390807:eng</t>
        </is>
      </c>
      <c r="AV257" t="inlineStr">
        <is>
          <t>12973414</t>
        </is>
      </c>
      <c r="AW257" t="inlineStr">
        <is>
          <t>991000761309702656</t>
        </is>
      </c>
      <c r="AX257" t="inlineStr">
        <is>
          <t>991000761309702656</t>
        </is>
      </c>
      <c r="AY257" t="inlineStr">
        <is>
          <t>2263288270002656</t>
        </is>
      </c>
      <c r="AZ257" t="inlineStr">
        <is>
          <t>BOOK</t>
        </is>
      </c>
      <c r="BB257" t="inlineStr">
        <is>
          <t>9780745601687</t>
        </is>
      </c>
      <c r="BC257" t="inlineStr">
        <is>
          <t>32285001040756</t>
        </is>
      </c>
      <c r="BD257" t="inlineStr">
        <is>
          <t>893714880</t>
        </is>
      </c>
    </row>
    <row r="258">
      <c r="A258" t="inlineStr">
        <is>
          <t>No</t>
        </is>
      </c>
      <c r="B258" t="inlineStr">
        <is>
          <t>HQ1075 .G464 1992</t>
        </is>
      </c>
      <c r="C258" t="inlineStr">
        <is>
          <t>0                      HQ 1075000G  464         1992</t>
        </is>
      </c>
      <c r="D258" t="inlineStr">
        <is>
          <t>Gender, interaction, and inequality / Cecilia L. Ridgeway [editor].</t>
        </is>
      </c>
      <c r="F258" t="inlineStr">
        <is>
          <t>No</t>
        </is>
      </c>
      <c r="G258" t="inlineStr">
        <is>
          <t>1</t>
        </is>
      </c>
      <c r="H258" t="inlineStr">
        <is>
          <t>No</t>
        </is>
      </c>
      <c r="I258" t="inlineStr">
        <is>
          <t>No</t>
        </is>
      </c>
      <c r="J258" t="inlineStr">
        <is>
          <t>0</t>
        </is>
      </c>
      <c r="L258" t="inlineStr">
        <is>
          <t>New York : Springer-Verlag, c1992.</t>
        </is>
      </c>
      <c r="M258" t="inlineStr">
        <is>
          <t>1992</t>
        </is>
      </c>
      <c r="O258" t="inlineStr">
        <is>
          <t>eng</t>
        </is>
      </c>
      <c r="P258" t="inlineStr">
        <is>
          <t>nyu</t>
        </is>
      </c>
      <c r="R258" t="inlineStr">
        <is>
          <t xml:space="preserve">HQ </t>
        </is>
      </c>
      <c r="S258" t="n">
        <v>26</v>
      </c>
      <c r="T258" t="n">
        <v>26</v>
      </c>
      <c r="U258" t="inlineStr">
        <is>
          <t>2005-10-13</t>
        </is>
      </c>
      <c r="V258" t="inlineStr">
        <is>
          <t>2005-10-13</t>
        </is>
      </c>
      <c r="W258" t="inlineStr">
        <is>
          <t>1992-05-08</t>
        </is>
      </c>
      <c r="X258" t="inlineStr">
        <is>
          <t>1992-05-08</t>
        </is>
      </c>
      <c r="Y258" t="n">
        <v>293</v>
      </c>
      <c r="Z258" t="n">
        <v>204</v>
      </c>
      <c r="AA258" t="n">
        <v>235</v>
      </c>
      <c r="AB258" t="n">
        <v>1</v>
      </c>
      <c r="AC258" t="n">
        <v>1</v>
      </c>
      <c r="AD258" t="n">
        <v>8</v>
      </c>
      <c r="AE258" t="n">
        <v>10</v>
      </c>
      <c r="AF258" t="n">
        <v>1</v>
      </c>
      <c r="AG258" t="n">
        <v>3</v>
      </c>
      <c r="AH258" t="n">
        <v>5</v>
      </c>
      <c r="AI258" t="n">
        <v>5</v>
      </c>
      <c r="AJ258" t="n">
        <v>5</v>
      </c>
      <c r="AK258" t="n">
        <v>6</v>
      </c>
      <c r="AL258" t="n">
        <v>0</v>
      </c>
      <c r="AM258" t="n">
        <v>0</v>
      </c>
      <c r="AN258" t="n">
        <v>0</v>
      </c>
      <c r="AO258" t="n">
        <v>0</v>
      </c>
      <c r="AP258" t="inlineStr">
        <is>
          <t>No</t>
        </is>
      </c>
      <c r="AQ258" t="inlineStr">
        <is>
          <t>Yes</t>
        </is>
      </c>
      <c r="AR258">
        <f>HYPERLINK("http://catalog.hathitrust.org/Record/002501214","HathiTrust Record")</f>
        <v/>
      </c>
      <c r="AS258">
        <f>HYPERLINK("https://creighton-primo.hosted.exlibrisgroup.com/primo-explore/search?tab=default_tab&amp;search_scope=EVERYTHING&amp;vid=01CRU&amp;lang=en_US&amp;offset=0&amp;query=any,contains,991001885249702656","Catalog Record")</f>
        <v/>
      </c>
      <c r="AT258">
        <f>HYPERLINK("http://www.worldcat.org/oclc/23766632","WorldCat Record")</f>
        <v/>
      </c>
      <c r="AU258" t="inlineStr">
        <is>
          <t>25041941:eng</t>
        </is>
      </c>
      <c r="AV258" t="inlineStr">
        <is>
          <t>23766632</t>
        </is>
      </c>
      <c r="AW258" t="inlineStr">
        <is>
          <t>991001885249702656</t>
        </is>
      </c>
      <c r="AX258" t="inlineStr">
        <is>
          <t>991001885249702656</t>
        </is>
      </c>
      <c r="AY258" t="inlineStr">
        <is>
          <t>2269468070002656</t>
        </is>
      </c>
      <c r="AZ258" t="inlineStr">
        <is>
          <t>BOOK</t>
        </is>
      </c>
      <c r="BB258" t="inlineStr">
        <is>
          <t>9780387975788</t>
        </is>
      </c>
      <c r="BC258" t="inlineStr">
        <is>
          <t>32285001038990</t>
        </is>
      </c>
      <c r="BD258" t="inlineStr">
        <is>
          <t>893797893</t>
        </is>
      </c>
    </row>
    <row r="259">
      <c r="A259" t="inlineStr">
        <is>
          <t>No</t>
        </is>
      </c>
      <c r="B259" t="inlineStr">
        <is>
          <t>HQ1075 .G4644 1992</t>
        </is>
      </c>
      <c r="C259" t="inlineStr">
        <is>
          <t>0                      HQ 1075000G  4644        1992</t>
        </is>
      </c>
      <c r="D259" t="inlineStr">
        <is>
          <t>Gender issues across the life cycle / Barbara Rubin Wainrib, editor.</t>
        </is>
      </c>
      <c r="F259" t="inlineStr">
        <is>
          <t>No</t>
        </is>
      </c>
      <c r="G259" t="inlineStr">
        <is>
          <t>1</t>
        </is>
      </c>
      <c r="H259" t="inlineStr">
        <is>
          <t>No</t>
        </is>
      </c>
      <c r="I259" t="inlineStr">
        <is>
          <t>No</t>
        </is>
      </c>
      <c r="J259" t="inlineStr">
        <is>
          <t>0</t>
        </is>
      </c>
      <c r="L259" t="inlineStr">
        <is>
          <t>New York : Springer Pub. Co., c1992.</t>
        </is>
      </c>
      <c r="M259" t="inlineStr">
        <is>
          <t>1992</t>
        </is>
      </c>
      <c r="O259" t="inlineStr">
        <is>
          <t>eng</t>
        </is>
      </c>
      <c r="P259" t="inlineStr">
        <is>
          <t>nyu</t>
        </is>
      </c>
      <c r="R259" t="inlineStr">
        <is>
          <t xml:space="preserve">HQ </t>
        </is>
      </c>
      <c r="S259" t="n">
        <v>21</v>
      </c>
      <c r="T259" t="n">
        <v>21</v>
      </c>
      <c r="U259" t="inlineStr">
        <is>
          <t>2005-11-16</t>
        </is>
      </c>
      <c r="V259" t="inlineStr">
        <is>
          <t>2005-11-16</t>
        </is>
      </c>
      <c r="W259" t="inlineStr">
        <is>
          <t>1992-06-18</t>
        </is>
      </c>
      <c r="X259" t="inlineStr">
        <is>
          <t>1992-06-18</t>
        </is>
      </c>
      <c r="Y259" t="n">
        <v>428</v>
      </c>
      <c r="Z259" t="n">
        <v>357</v>
      </c>
      <c r="AA259" t="n">
        <v>364</v>
      </c>
      <c r="AB259" t="n">
        <v>4</v>
      </c>
      <c r="AC259" t="n">
        <v>4</v>
      </c>
      <c r="AD259" t="n">
        <v>20</v>
      </c>
      <c r="AE259" t="n">
        <v>20</v>
      </c>
      <c r="AF259" t="n">
        <v>6</v>
      </c>
      <c r="AG259" t="n">
        <v>6</v>
      </c>
      <c r="AH259" t="n">
        <v>5</v>
      </c>
      <c r="AI259" t="n">
        <v>5</v>
      </c>
      <c r="AJ259" t="n">
        <v>12</v>
      </c>
      <c r="AK259" t="n">
        <v>12</v>
      </c>
      <c r="AL259" t="n">
        <v>3</v>
      </c>
      <c r="AM259" t="n">
        <v>3</v>
      </c>
      <c r="AN259" t="n">
        <v>0</v>
      </c>
      <c r="AO259" t="n">
        <v>0</v>
      </c>
      <c r="AP259" t="inlineStr">
        <is>
          <t>No</t>
        </is>
      </c>
      <c r="AQ259" t="inlineStr">
        <is>
          <t>Yes</t>
        </is>
      </c>
      <c r="AR259">
        <f>HYPERLINK("http://catalog.hathitrust.org/Record/002534062","HathiTrust Record")</f>
        <v/>
      </c>
      <c r="AS259">
        <f>HYPERLINK("https://creighton-primo.hosted.exlibrisgroup.com/primo-explore/search?tab=default_tab&amp;search_scope=EVERYTHING&amp;vid=01CRU&amp;lang=en_US&amp;offset=0&amp;query=any,contains,991001936949702656","Catalog Record")</f>
        <v/>
      </c>
      <c r="AT259">
        <f>HYPERLINK("http://www.worldcat.org/oclc/24468108","WorldCat Record")</f>
        <v/>
      </c>
      <c r="AU259" t="inlineStr">
        <is>
          <t>427753717:eng</t>
        </is>
      </c>
      <c r="AV259" t="inlineStr">
        <is>
          <t>24468108</t>
        </is>
      </c>
      <c r="AW259" t="inlineStr">
        <is>
          <t>991001936949702656</t>
        </is>
      </c>
      <c r="AX259" t="inlineStr">
        <is>
          <t>991001936949702656</t>
        </is>
      </c>
      <c r="AY259" t="inlineStr">
        <is>
          <t>2271207840002656</t>
        </is>
      </c>
      <c r="AZ259" t="inlineStr">
        <is>
          <t>BOOK</t>
        </is>
      </c>
      <c r="BB259" t="inlineStr">
        <is>
          <t>9780826176806</t>
        </is>
      </c>
      <c r="BC259" t="inlineStr">
        <is>
          <t>32285001129518</t>
        </is>
      </c>
      <c r="BD259" t="inlineStr">
        <is>
          <t>893516709</t>
        </is>
      </c>
    </row>
    <row r="260">
      <c r="A260" t="inlineStr">
        <is>
          <t>No</t>
        </is>
      </c>
      <c r="B260" t="inlineStr">
        <is>
          <t>HQ1075 .G4645 1993</t>
        </is>
      </c>
      <c r="C260" t="inlineStr">
        <is>
          <t>0                      HQ 1075000G  4645        1993</t>
        </is>
      </c>
      <c r="D260" t="inlineStr">
        <is>
          <t>Gender issues in contemporary society / Stuart Oskamp, Mark Costanzo, editors.</t>
        </is>
      </c>
      <c r="F260" t="inlineStr">
        <is>
          <t>No</t>
        </is>
      </c>
      <c r="G260" t="inlineStr">
        <is>
          <t>1</t>
        </is>
      </c>
      <c r="H260" t="inlineStr">
        <is>
          <t>No</t>
        </is>
      </c>
      <c r="I260" t="inlineStr">
        <is>
          <t>No</t>
        </is>
      </c>
      <c r="J260" t="inlineStr">
        <is>
          <t>0</t>
        </is>
      </c>
      <c r="L260" t="inlineStr">
        <is>
          <t>Newbury Park, Calif. : Sage Publications, c1993.</t>
        </is>
      </c>
      <c r="M260" t="inlineStr">
        <is>
          <t>1993</t>
        </is>
      </c>
      <c r="O260" t="inlineStr">
        <is>
          <t>eng</t>
        </is>
      </c>
      <c r="P260" t="inlineStr">
        <is>
          <t>cau</t>
        </is>
      </c>
      <c r="Q260" t="inlineStr">
        <is>
          <t>The Claremont Symposium on Applied Social Psychology</t>
        </is>
      </c>
      <c r="R260" t="inlineStr">
        <is>
          <t xml:space="preserve">HQ </t>
        </is>
      </c>
      <c r="S260" t="n">
        <v>31</v>
      </c>
      <c r="T260" t="n">
        <v>31</v>
      </c>
      <c r="U260" t="inlineStr">
        <is>
          <t>2010-09-12</t>
        </is>
      </c>
      <c r="V260" t="inlineStr">
        <is>
          <t>2010-09-12</t>
        </is>
      </c>
      <c r="W260" t="inlineStr">
        <is>
          <t>1993-06-10</t>
        </is>
      </c>
      <c r="X260" t="inlineStr">
        <is>
          <t>1993-06-10</t>
        </is>
      </c>
      <c r="Y260" t="n">
        <v>426</v>
      </c>
      <c r="Z260" t="n">
        <v>312</v>
      </c>
      <c r="AA260" t="n">
        <v>317</v>
      </c>
      <c r="AB260" t="n">
        <v>4</v>
      </c>
      <c r="AC260" t="n">
        <v>4</v>
      </c>
      <c r="AD260" t="n">
        <v>17</v>
      </c>
      <c r="AE260" t="n">
        <v>17</v>
      </c>
      <c r="AF260" t="n">
        <v>3</v>
      </c>
      <c r="AG260" t="n">
        <v>3</v>
      </c>
      <c r="AH260" t="n">
        <v>4</v>
      </c>
      <c r="AI260" t="n">
        <v>4</v>
      </c>
      <c r="AJ260" t="n">
        <v>10</v>
      </c>
      <c r="AK260" t="n">
        <v>10</v>
      </c>
      <c r="AL260" t="n">
        <v>3</v>
      </c>
      <c r="AM260" t="n">
        <v>3</v>
      </c>
      <c r="AN260" t="n">
        <v>0</v>
      </c>
      <c r="AO260" t="n">
        <v>0</v>
      </c>
      <c r="AP260" t="inlineStr">
        <is>
          <t>No</t>
        </is>
      </c>
      <c r="AQ260" t="inlineStr">
        <is>
          <t>Yes</t>
        </is>
      </c>
      <c r="AR260">
        <f>HYPERLINK("http://catalog.hathitrust.org/Record/002734206","HathiTrust Record")</f>
        <v/>
      </c>
      <c r="AS260">
        <f>HYPERLINK("https://creighton-primo.hosted.exlibrisgroup.com/primo-explore/search?tab=default_tab&amp;search_scope=EVERYTHING&amp;vid=01CRU&amp;lang=en_US&amp;offset=0&amp;query=any,contains,991002137219702656","Catalog Record")</f>
        <v/>
      </c>
      <c r="AT260">
        <f>HYPERLINK("http://www.worldcat.org/oclc/27428424","WorldCat Record")</f>
        <v/>
      </c>
      <c r="AU260" t="inlineStr">
        <is>
          <t>350118549:eng</t>
        </is>
      </c>
      <c r="AV260" t="inlineStr">
        <is>
          <t>27428424</t>
        </is>
      </c>
      <c r="AW260" t="inlineStr">
        <is>
          <t>991002137219702656</t>
        </is>
      </c>
      <c r="AX260" t="inlineStr">
        <is>
          <t>991002137219702656</t>
        </is>
      </c>
      <c r="AY260" t="inlineStr">
        <is>
          <t>2259228740002656</t>
        </is>
      </c>
      <c r="AZ260" t="inlineStr">
        <is>
          <t>BOOK</t>
        </is>
      </c>
      <c r="BB260" t="inlineStr">
        <is>
          <t>9780803952294</t>
        </is>
      </c>
      <c r="BC260" t="inlineStr">
        <is>
          <t>32285001694487</t>
        </is>
      </c>
      <c r="BD260" t="inlineStr">
        <is>
          <t>893414856</t>
        </is>
      </c>
    </row>
    <row r="261">
      <c r="A261" t="inlineStr">
        <is>
          <t>No</t>
        </is>
      </c>
      <c r="B261" t="inlineStr">
        <is>
          <t>HQ1075 .K47</t>
        </is>
      </c>
      <c r="C261" t="inlineStr">
        <is>
          <t>0                      HQ 1075000K  47</t>
        </is>
      </c>
      <c r="D261" t="inlineStr">
        <is>
          <t>Gender : an ethnomethodological approach / Suzanne J. Kessler, Wendy McKenna.</t>
        </is>
      </c>
      <c r="F261" t="inlineStr">
        <is>
          <t>No</t>
        </is>
      </c>
      <c r="G261" t="inlineStr">
        <is>
          <t>1</t>
        </is>
      </c>
      <c r="H261" t="inlineStr">
        <is>
          <t>No</t>
        </is>
      </c>
      <c r="I261" t="inlineStr">
        <is>
          <t>No</t>
        </is>
      </c>
      <c r="J261" t="inlineStr">
        <is>
          <t>0</t>
        </is>
      </c>
      <c r="K261" t="inlineStr">
        <is>
          <t>Kessler, Suzanne J., 1946-</t>
        </is>
      </c>
      <c r="L261" t="inlineStr">
        <is>
          <t>New York : Wiley, c1978.</t>
        </is>
      </c>
      <c r="M261" t="inlineStr">
        <is>
          <t>1978</t>
        </is>
      </c>
      <c r="O261" t="inlineStr">
        <is>
          <t>eng</t>
        </is>
      </c>
      <c r="P261" t="inlineStr">
        <is>
          <t>nyu</t>
        </is>
      </c>
      <c r="R261" t="inlineStr">
        <is>
          <t xml:space="preserve">HQ </t>
        </is>
      </c>
      <c r="S261" t="n">
        <v>6</v>
      </c>
      <c r="T261" t="n">
        <v>6</v>
      </c>
      <c r="U261" t="inlineStr">
        <is>
          <t>2006-04-08</t>
        </is>
      </c>
      <c r="V261" t="inlineStr">
        <is>
          <t>2006-04-08</t>
        </is>
      </c>
      <c r="W261" t="inlineStr">
        <is>
          <t>1992-03-25</t>
        </is>
      </c>
      <c r="X261" t="inlineStr">
        <is>
          <t>1992-03-25</t>
        </is>
      </c>
      <c r="Y261" t="n">
        <v>655</v>
      </c>
      <c r="Z261" t="n">
        <v>539</v>
      </c>
      <c r="AA261" t="n">
        <v>708</v>
      </c>
      <c r="AB261" t="n">
        <v>3</v>
      </c>
      <c r="AC261" t="n">
        <v>3</v>
      </c>
      <c r="AD261" t="n">
        <v>26</v>
      </c>
      <c r="AE261" t="n">
        <v>32</v>
      </c>
      <c r="AF261" t="n">
        <v>13</v>
      </c>
      <c r="AG261" t="n">
        <v>16</v>
      </c>
      <c r="AH261" t="n">
        <v>7</v>
      </c>
      <c r="AI261" t="n">
        <v>9</v>
      </c>
      <c r="AJ261" t="n">
        <v>13</v>
      </c>
      <c r="AK261" t="n">
        <v>17</v>
      </c>
      <c r="AL261" t="n">
        <v>2</v>
      </c>
      <c r="AM261" t="n">
        <v>2</v>
      </c>
      <c r="AN261" t="n">
        <v>0</v>
      </c>
      <c r="AO261" t="n">
        <v>0</v>
      </c>
      <c r="AP261" t="inlineStr">
        <is>
          <t>No</t>
        </is>
      </c>
      <c r="AQ261" t="inlineStr">
        <is>
          <t>Yes</t>
        </is>
      </c>
      <c r="AR261">
        <f>HYPERLINK("http://catalog.hathitrust.org/Record/007115069","HathiTrust Record")</f>
        <v/>
      </c>
      <c r="AS261">
        <f>HYPERLINK("https://creighton-primo.hosted.exlibrisgroup.com/primo-explore/search?tab=default_tab&amp;search_scope=EVERYTHING&amp;vid=01CRU&amp;lang=en_US&amp;offset=0&amp;query=any,contains,991004420799702656","Catalog Record")</f>
        <v/>
      </c>
      <c r="AT261">
        <f>HYPERLINK("http://www.worldcat.org/oclc/3380463","WorldCat Record")</f>
        <v/>
      </c>
      <c r="AU261" t="inlineStr">
        <is>
          <t>874088:eng</t>
        </is>
      </c>
      <c r="AV261" t="inlineStr">
        <is>
          <t>3380463</t>
        </is>
      </c>
      <c r="AW261" t="inlineStr">
        <is>
          <t>991004420799702656</t>
        </is>
      </c>
      <c r="AX261" t="inlineStr">
        <is>
          <t>991004420799702656</t>
        </is>
      </c>
      <c r="AY261" t="inlineStr">
        <is>
          <t>2272557070002656</t>
        </is>
      </c>
      <c r="AZ261" t="inlineStr">
        <is>
          <t>BOOK</t>
        </is>
      </c>
      <c r="BB261" t="inlineStr">
        <is>
          <t>9780471584452</t>
        </is>
      </c>
      <c r="BC261" t="inlineStr">
        <is>
          <t>32285001028850</t>
        </is>
      </c>
      <c r="BD261" t="inlineStr">
        <is>
          <t>893700221</t>
        </is>
      </c>
    </row>
    <row r="262">
      <c r="A262" t="inlineStr">
        <is>
          <t>No</t>
        </is>
      </c>
      <c r="B262" t="inlineStr">
        <is>
          <t>HQ1075 .K88 2001</t>
        </is>
      </c>
      <c r="C262" t="inlineStr">
        <is>
          <t>0                      HQ 1075000K  88          2001</t>
        </is>
      </c>
      <c r="D262" t="inlineStr">
        <is>
          <t>Gender and social movements / M. Bahati Kuumba.</t>
        </is>
      </c>
      <c r="F262" t="inlineStr">
        <is>
          <t>No</t>
        </is>
      </c>
      <c r="G262" t="inlineStr">
        <is>
          <t>1</t>
        </is>
      </c>
      <c r="H262" t="inlineStr">
        <is>
          <t>No</t>
        </is>
      </c>
      <c r="I262" t="inlineStr">
        <is>
          <t>No</t>
        </is>
      </c>
      <c r="J262" t="inlineStr">
        <is>
          <t>0</t>
        </is>
      </c>
      <c r="K262" t="inlineStr">
        <is>
          <t>Kuumba, M. Bahati.</t>
        </is>
      </c>
      <c r="L262" t="inlineStr">
        <is>
          <t>Walnut Creek, CA : AltaMira Press, c2001.</t>
        </is>
      </c>
      <c r="M262" t="inlineStr">
        <is>
          <t>2001</t>
        </is>
      </c>
      <c r="O262" t="inlineStr">
        <is>
          <t>eng</t>
        </is>
      </c>
      <c r="P262" t="inlineStr">
        <is>
          <t>cau</t>
        </is>
      </c>
      <c r="Q262" t="inlineStr">
        <is>
          <t>Gender lens</t>
        </is>
      </c>
      <c r="R262" t="inlineStr">
        <is>
          <t xml:space="preserve">HQ </t>
        </is>
      </c>
      <c r="S262" t="n">
        <v>4</v>
      </c>
      <c r="T262" t="n">
        <v>4</v>
      </c>
      <c r="U262" t="inlineStr">
        <is>
          <t>2010-11-01</t>
        </is>
      </c>
      <c r="V262" t="inlineStr">
        <is>
          <t>2010-11-01</t>
        </is>
      </c>
      <c r="W262" t="inlineStr">
        <is>
          <t>2003-10-09</t>
        </is>
      </c>
      <c r="X262" t="inlineStr">
        <is>
          <t>2003-10-09</t>
        </is>
      </c>
      <c r="Y262" t="n">
        <v>397</v>
      </c>
      <c r="Z262" t="n">
        <v>326</v>
      </c>
      <c r="AA262" t="n">
        <v>344</v>
      </c>
      <c r="AB262" t="n">
        <v>4</v>
      </c>
      <c r="AC262" t="n">
        <v>4</v>
      </c>
      <c r="AD262" t="n">
        <v>22</v>
      </c>
      <c r="AE262" t="n">
        <v>23</v>
      </c>
      <c r="AF262" t="n">
        <v>9</v>
      </c>
      <c r="AG262" t="n">
        <v>10</v>
      </c>
      <c r="AH262" t="n">
        <v>6</v>
      </c>
      <c r="AI262" t="n">
        <v>7</v>
      </c>
      <c r="AJ262" t="n">
        <v>9</v>
      </c>
      <c r="AK262" t="n">
        <v>9</v>
      </c>
      <c r="AL262" t="n">
        <v>3</v>
      </c>
      <c r="AM262" t="n">
        <v>3</v>
      </c>
      <c r="AN262" t="n">
        <v>0</v>
      </c>
      <c r="AO262" t="n">
        <v>0</v>
      </c>
      <c r="AP262" t="inlineStr">
        <is>
          <t>No</t>
        </is>
      </c>
      <c r="AQ262" t="inlineStr">
        <is>
          <t>Yes</t>
        </is>
      </c>
      <c r="AR262">
        <f>HYPERLINK("http://catalog.hathitrust.org/Record/004201027","HathiTrust Record")</f>
        <v/>
      </c>
      <c r="AS262">
        <f>HYPERLINK("https://creighton-primo.hosted.exlibrisgroup.com/primo-explore/search?tab=default_tab&amp;search_scope=EVERYTHING&amp;vid=01CRU&amp;lang=en_US&amp;offset=0&amp;query=any,contains,991004140949702656","Catalog Record")</f>
        <v/>
      </c>
      <c r="AT262">
        <f>HYPERLINK("http://www.worldcat.org/oclc/46704142","WorldCat Record")</f>
        <v/>
      </c>
      <c r="AU262" t="inlineStr">
        <is>
          <t>35660019:eng</t>
        </is>
      </c>
      <c r="AV262" t="inlineStr">
        <is>
          <t>46704142</t>
        </is>
      </c>
      <c r="AW262" t="inlineStr">
        <is>
          <t>991004140949702656</t>
        </is>
      </c>
      <c r="AX262" t="inlineStr">
        <is>
          <t>991004140949702656</t>
        </is>
      </c>
      <c r="AY262" t="inlineStr">
        <is>
          <t>2272415230002656</t>
        </is>
      </c>
      <c r="AZ262" t="inlineStr">
        <is>
          <t>BOOK</t>
        </is>
      </c>
      <c r="BB262" t="inlineStr">
        <is>
          <t>9780759101876</t>
        </is>
      </c>
      <c r="BC262" t="inlineStr">
        <is>
          <t>32285004787551</t>
        </is>
      </c>
      <c r="BD262" t="inlineStr">
        <is>
          <t>893775680</t>
        </is>
      </c>
    </row>
    <row r="263">
      <c r="A263" t="inlineStr">
        <is>
          <t>No</t>
        </is>
      </c>
      <c r="B263" t="inlineStr">
        <is>
          <t>HQ1075 .L58 1988</t>
        </is>
      </c>
      <c r="C263" t="inlineStr">
        <is>
          <t>0                      HQ 1075000L  58          1988</t>
        </is>
      </c>
      <c r="D263" t="inlineStr">
        <is>
          <t>Sex &amp; gender : an introduction / Hilary M. Lips.</t>
        </is>
      </c>
      <c r="F263" t="inlineStr">
        <is>
          <t>No</t>
        </is>
      </c>
      <c r="G263" t="inlineStr">
        <is>
          <t>1</t>
        </is>
      </c>
      <c r="H263" t="inlineStr">
        <is>
          <t>No</t>
        </is>
      </c>
      <c r="I263" t="inlineStr">
        <is>
          <t>No</t>
        </is>
      </c>
      <c r="J263" t="inlineStr">
        <is>
          <t>0</t>
        </is>
      </c>
      <c r="K263" t="inlineStr">
        <is>
          <t>Lips, Hilary M.</t>
        </is>
      </c>
      <c r="L263" t="inlineStr">
        <is>
          <t>Mountain View, Calif. : Mayfield Pub. Co., c1988.</t>
        </is>
      </c>
      <c r="M263" t="inlineStr">
        <is>
          <t>1988</t>
        </is>
      </c>
      <c r="O263" t="inlineStr">
        <is>
          <t>eng</t>
        </is>
      </c>
      <c r="P263" t="inlineStr">
        <is>
          <t>cau</t>
        </is>
      </c>
      <c r="R263" t="inlineStr">
        <is>
          <t xml:space="preserve">HQ </t>
        </is>
      </c>
      <c r="S263" t="n">
        <v>30</v>
      </c>
      <c r="T263" t="n">
        <v>30</v>
      </c>
      <c r="U263" t="inlineStr">
        <is>
          <t>2008-12-01</t>
        </is>
      </c>
      <c r="V263" t="inlineStr">
        <is>
          <t>2008-12-01</t>
        </is>
      </c>
      <c r="W263" t="inlineStr">
        <is>
          <t>1990-04-20</t>
        </is>
      </c>
      <c r="X263" t="inlineStr">
        <is>
          <t>1990-04-20</t>
        </is>
      </c>
      <c r="Y263" t="n">
        <v>149</v>
      </c>
      <c r="Z263" t="n">
        <v>84</v>
      </c>
      <c r="AA263" t="n">
        <v>324</v>
      </c>
      <c r="AB263" t="n">
        <v>1</v>
      </c>
      <c r="AC263" t="n">
        <v>1</v>
      </c>
      <c r="AD263" t="n">
        <v>3</v>
      </c>
      <c r="AE263" t="n">
        <v>10</v>
      </c>
      <c r="AF263" t="n">
        <v>1</v>
      </c>
      <c r="AG263" t="n">
        <v>5</v>
      </c>
      <c r="AH263" t="n">
        <v>1</v>
      </c>
      <c r="AI263" t="n">
        <v>2</v>
      </c>
      <c r="AJ263" t="n">
        <v>2</v>
      </c>
      <c r="AK263" t="n">
        <v>7</v>
      </c>
      <c r="AL263" t="n">
        <v>0</v>
      </c>
      <c r="AM263" t="n">
        <v>0</v>
      </c>
      <c r="AN263" t="n">
        <v>0</v>
      </c>
      <c r="AO263" t="n">
        <v>0</v>
      </c>
      <c r="AP263" t="inlineStr">
        <is>
          <t>No</t>
        </is>
      </c>
      <c r="AQ263" t="inlineStr">
        <is>
          <t>Yes</t>
        </is>
      </c>
      <c r="AR263">
        <f>HYPERLINK("http://catalog.hathitrust.org/Record/101936958","HathiTrust Record")</f>
        <v/>
      </c>
      <c r="AS263">
        <f>HYPERLINK("https://creighton-primo.hosted.exlibrisgroup.com/primo-explore/search?tab=default_tab&amp;search_scope=EVERYTHING&amp;vid=01CRU&amp;lang=en_US&amp;offset=0&amp;query=any,contains,991001191949702656","Catalog Record")</f>
        <v/>
      </c>
      <c r="AT263">
        <f>HYPERLINK("http://www.worldcat.org/oclc/17260238","WorldCat Record")</f>
        <v/>
      </c>
      <c r="AU263" t="inlineStr">
        <is>
          <t>982657:eng</t>
        </is>
      </c>
      <c r="AV263" t="inlineStr">
        <is>
          <t>17260238</t>
        </is>
      </c>
      <c r="AW263" t="inlineStr">
        <is>
          <t>991001191949702656</t>
        </is>
      </c>
      <c r="AX263" t="inlineStr">
        <is>
          <t>991001191949702656</t>
        </is>
      </c>
      <c r="AY263" t="inlineStr">
        <is>
          <t>2267806710002656</t>
        </is>
      </c>
      <c r="AZ263" t="inlineStr">
        <is>
          <t>BOOK</t>
        </is>
      </c>
      <c r="BB263" t="inlineStr">
        <is>
          <t>9780874847642</t>
        </is>
      </c>
      <c r="BC263" t="inlineStr">
        <is>
          <t>32285000104215</t>
        </is>
      </c>
      <c r="BD263" t="inlineStr">
        <is>
          <t>893608641</t>
        </is>
      </c>
    </row>
    <row r="264">
      <c r="A264" t="inlineStr">
        <is>
          <t>No</t>
        </is>
      </c>
      <c r="B264" t="inlineStr">
        <is>
          <t>HQ1075 .L666 2005</t>
        </is>
      </c>
      <c r="C264" t="inlineStr">
        <is>
          <t>0                      HQ 1075000L  666         2005</t>
        </is>
      </c>
      <c r="D264" t="inlineStr">
        <is>
          <t>Breaking the bowls : degendering and feminist change / Judith Lorber.</t>
        </is>
      </c>
      <c r="F264" t="inlineStr">
        <is>
          <t>No</t>
        </is>
      </c>
      <c r="G264" t="inlineStr">
        <is>
          <t>1</t>
        </is>
      </c>
      <c r="H264" t="inlineStr">
        <is>
          <t>No</t>
        </is>
      </c>
      <c r="I264" t="inlineStr">
        <is>
          <t>No</t>
        </is>
      </c>
      <c r="J264" t="inlineStr">
        <is>
          <t>0</t>
        </is>
      </c>
      <c r="K264" t="inlineStr">
        <is>
          <t>Lorber, Judith.</t>
        </is>
      </c>
      <c r="L264" t="inlineStr">
        <is>
          <t>New York : W.W. Norton, c2005.</t>
        </is>
      </c>
      <c r="M264" t="inlineStr">
        <is>
          <t>2005</t>
        </is>
      </c>
      <c r="O264" t="inlineStr">
        <is>
          <t>eng</t>
        </is>
      </c>
      <c r="P264" t="inlineStr">
        <is>
          <t>nyu</t>
        </is>
      </c>
      <c r="Q264" t="inlineStr">
        <is>
          <t>Contemporary societies</t>
        </is>
      </c>
      <c r="R264" t="inlineStr">
        <is>
          <t xml:space="preserve">HQ </t>
        </is>
      </c>
      <c r="S264" t="n">
        <v>1</v>
      </c>
      <c r="T264" t="n">
        <v>1</v>
      </c>
      <c r="U264" t="inlineStr">
        <is>
          <t>2005-08-17</t>
        </is>
      </c>
      <c r="V264" t="inlineStr">
        <is>
          <t>2005-08-17</t>
        </is>
      </c>
      <c r="W264" t="inlineStr">
        <is>
          <t>2005-08-17</t>
        </is>
      </c>
      <c r="X264" t="inlineStr">
        <is>
          <t>2005-08-17</t>
        </is>
      </c>
      <c r="Y264" t="n">
        <v>354</v>
      </c>
      <c r="Z264" t="n">
        <v>286</v>
      </c>
      <c r="AA264" t="n">
        <v>287</v>
      </c>
      <c r="AB264" t="n">
        <v>5</v>
      </c>
      <c r="AC264" t="n">
        <v>5</v>
      </c>
      <c r="AD264" t="n">
        <v>18</v>
      </c>
      <c r="AE264" t="n">
        <v>18</v>
      </c>
      <c r="AF264" t="n">
        <v>6</v>
      </c>
      <c r="AG264" t="n">
        <v>6</v>
      </c>
      <c r="AH264" t="n">
        <v>4</v>
      </c>
      <c r="AI264" t="n">
        <v>4</v>
      </c>
      <c r="AJ264" t="n">
        <v>9</v>
      </c>
      <c r="AK264" t="n">
        <v>9</v>
      </c>
      <c r="AL264" t="n">
        <v>4</v>
      </c>
      <c r="AM264" t="n">
        <v>4</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HYPERLINK("https://creighton-primo.hosted.exlibrisgroup.com/primo-explore/search?tab=default_tab&amp;search_scope=EVERYTHING&amp;vid=01CRU&amp;lang=en_US&amp;offset=0&amp;query=any,contains,991004615149702656","Catalog Record")</f>
        <v/>
      </c>
      <c r="AT264">
        <f>HYPERLINK("http://www.worldcat.org/oclc/57557493","WorldCat Record")</f>
        <v/>
      </c>
      <c r="AU264" t="inlineStr">
        <is>
          <t>905883142:eng</t>
        </is>
      </c>
      <c r="AV264" t="inlineStr">
        <is>
          <t>57557493</t>
        </is>
      </c>
      <c r="AW264" t="inlineStr">
        <is>
          <t>991004615149702656</t>
        </is>
      </c>
      <c r="AX264" t="inlineStr">
        <is>
          <t>991004615149702656</t>
        </is>
      </c>
      <c r="AY264" t="inlineStr">
        <is>
          <t>2257215280002656</t>
        </is>
      </c>
      <c r="AZ264" t="inlineStr">
        <is>
          <t>BOOK</t>
        </is>
      </c>
      <c r="BB264" t="inlineStr">
        <is>
          <t>9780393973259</t>
        </is>
      </c>
      <c r="BC264" t="inlineStr">
        <is>
          <t>32285005081236</t>
        </is>
      </c>
      <c r="BD264" t="inlineStr">
        <is>
          <t>893430279</t>
        </is>
      </c>
    </row>
    <row r="265">
      <c r="A265" t="inlineStr">
        <is>
          <t>No</t>
        </is>
      </c>
      <c r="B265" t="inlineStr">
        <is>
          <t>HQ1075 .L67 1990</t>
        </is>
      </c>
      <c r="C265" t="inlineStr">
        <is>
          <t>0                      HQ 1075000L  67          1990</t>
        </is>
      </c>
      <c r="D265" t="inlineStr">
        <is>
          <t>Gender, identity, and the production of meaning / Tamsin E. Lorraine.</t>
        </is>
      </c>
      <c r="F265" t="inlineStr">
        <is>
          <t>No</t>
        </is>
      </c>
      <c r="G265" t="inlineStr">
        <is>
          <t>1</t>
        </is>
      </c>
      <c r="H265" t="inlineStr">
        <is>
          <t>No</t>
        </is>
      </c>
      <c r="I265" t="inlineStr">
        <is>
          <t>No</t>
        </is>
      </c>
      <c r="J265" t="inlineStr">
        <is>
          <t>0</t>
        </is>
      </c>
      <c r="K265" t="inlineStr">
        <is>
          <t>Lorraine, Tamsin E.</t>
        </is>
      </c>
      <c r="L265" t="inlineStr">
        <is>
          <t>Boulder : Westview Press, 1990.</t>
        </is>
      </c>
      <c r="M265" t="inlineStr">
        <is>
          <t>1990</t>
        </is>
      </c>
      <c r="O265" t="inlineStr">
        <is>
          <t>eng</t>
        </is>
      </c>
      <c r="P265" t="inlineStr">
        <is>
          <t>cou</t>
        </is>
      </c>
      <c r="Q265" t="inlineStr">
        <is>
          <t>Feminist theory and politics</t>
        </is>
      </c>
      <c r="R265" t="inlineStr">
        <is>
          <t xml:space="preserve">HQ </t>
        </is>
      </c>
      <c r="S265" t="n">
        <v>17</v>
      </c>
      <c r="T265" t="n">
        <v>17</v>
      </c>
      <c r="U265" t="inlineStr">
        <is>
          <t>2000-11-27</t>
        </is>
      </c>
      <c r="V265" t="inlineStr">
        <is>
          <t>2000-11-27</t>
        </is>
      </c>
      <c r="W265" t="inlineStr">
        <is>
          <t>1991-01-03</t>
        </is>
      </c>
      <c r="X265" t="inlineStr">
        <is>
          <t>1991-01-03</t>
        </is>
      </c>
      <c r="Y265" t="n">
        <v>374</v>
      </c>
      <c r="Z265" t="n">
        <v>283</v>
      </c>
      <c r="AA265" t="n">
        <v>302</v>
      </c>
      <c r="AB265" t="n">
        <v>3</v>
      </c>
      <c r="AC265" t="n">
        <v>3</v>
      </c>
      <c r="AD265" t="n">
        <v>20</v>
      </c>
      <c r="AE265" t="n">
        <v>20</v>
      </c>
      <c r="AF265" t="n">
        <v>5</v>
      </c>
      <c r="AG265" t="n">
        <v>5</v>
      </c>
      <c r="AH265" t="n">
        <v>5</v>
      </c>
      <c r="AI265" t="n">
        <v>5</v>
      </c>
      <c r="AJ265" t="n">
        <v>12</v>
      </c>
      <c r="AK265" t="n">
        <v>12</v>
      </c>
      <c r="AL265" t="n">
        <v>2</v>
      </c>
      <c r="AM265" t="n">
        <v>2</v>
      </c>
      <c r="AN265" t="n">
        <v>1</v>
      </c>
      <c r="AO265" t="n">
        <v>1</v>
      </c>
      <c r="AP265" t="inlineStr">
        <is>
          <t>No</t>
        </is>
      </c>
      <c r="AQ265" t="inlineStr">
        <is>
          <t>Yes</t>
        </is>
      </c>
      <c r="AR265">
        <f>HYPERLINK("http://catalog.hathitrust.org/Record/002228145","HathiTrust Record")</f>
        <v/>
      </c>
      <c r="AS265">
        <f>HYPERLINK("https://creighton-primo.hosted.exlibrisgroup.com/primo-explore/search?tab=default_tab&amp;search_scope=EVERYTHING&amp;vid=01CRU&amp;lang=en_US&amp;offset=0&amp;query=any,contains,991001622029702656","Catalog Record")</f>
        <v/>
      </c>
      <c r="AT265">
        <f>HYPERLINK("http://www.worldcat.org/oclc/20825755","WorldCat Record")</f>
        <v/>
      </c>
      <c r="AU265" t="inlineStr">
        <is>
          <t>22429452:eng</t>
        </is>
      </c>
      <c r="AV265" t="inlineStr">
        <is>
          <t>20825755</t>
        </is>
      </c>
      <c r="AW265" t="inlineStr">
        <is>
          <t>991001622029702656</t>
        </is>
      </c>
      <c r="AX265" t="inlineStr">
        <is>
          <t>991001622029702656</t>
        </is>
      </c>
      <c r="AY265" t="inlineStr">
        <is>
          <t>2260544830002656</t>
        </is>
      </c>
      <c r="AZ265" t="inlineStr">
        <is>
          <t>BOOK</t>
        </is>
      </c>
      <c r="BB265" t="inlineStr">
        <is>
          <t>9780813378787</t>
        </is>
      </c>
      <c r="BC265" t="inlineStr">
        <is>
          <t>32285000406370</t>
        </is>
      </c>
      <c r="BD265" t="inlineStr">
        <is>
          <t>893432948</t>
        </is>
      </c>
    </row>
    <row r="266">
      <c r="A266" t="inlineStr">
        <is>
          <t>No</t>
        </is>
      </c>
      <c r="B266" t="inlineStr">
        <is>
          <t>HQ1075 .M34 1990</t>
        </is>
      </c>
      <c r="C266" t="inlineStr">
        <is>
          <t>0                      HQ 1075000M  34          1990</t>
        </is>
      </c>
      <c r="D266" t="inlineStr">
        <is>
          <t>Making a difference : psychology and the construction of gender / edited by Rachel T. Hare-Mustin &amp; Jeanne Marecek.</t>
        </is>
      </c>
      <c r="F266" t="inlineStr">
        <is>
          <t>No</t>
        </is>
      </c>
      <c r="G266" t="inlineStr">
        <is>
          <t>1</t>
        </is>
      </c>
      <c r="H266" t="inlineStr">
        <is>
          <t>No</t>
        </is>
      </c>
      <c r="I266" t="inlineStr">
        <is>
          <t>No</t>
        </is>
      </c>
      <c r="J266" t="inlineStr">
        <is>
          <t>0</t>
        </is>
      </c>
      <c r="L266" t="inlineStr">
        <is>
          <t>New Haven : Yale University Press, c1990.</t>
        </is>
      </c>
      <c r="M266" t="inlineStr">
        <is>
          <t>1990</t>
        </is>
      </c>
      <c r="O266" t="inlineStr">
        <is>
          <t>eng</t>
        </is>
      </c>
      <c r="P266" t="inlineStr">
        <is>
          <t>ctu</t>
        </is>
      </c>
      <c r="R266" t="inlineStr">
        <is>
          <t xml:space="preserve">HQ </t>
        </is>
      </c>
      <c r="S266" t="n">
        <v>1</v>
      </c>
      <c r="T266" t="n">
        <v>1</v>
      </c>
      <c r="U266" t="inlineStr">
        <is>
          <t>1997-03-18</t>
        </is>
      </c>
      <c r="V266" t="inlineStr">
        <is>
          <t>1997-03-18</t>
        </is>
      </c>
      <c r="W266" t="inlineStr">
        <is>
          <t>1990-11-02</t>
        </is>
      </c>
      <c r="X266" t="inlineStr">
        <is>
          <t>1990-11-02</t>
        </is>
      </c>
      <c r="Y266" t="n">
        <v>753</v>
      </c>
      <c r="Z266" t="n">
        <v>617</v>
      </c>
      <c r="AA266" t="n">
        <v>765</v>
      </c>
      <c r="AB266" t="n">
        <v>5</v>
      </c>
      <c r="AC266" t="n">
        <v>5</v>
      </c>
      <c r="AD266" t="n">
        <v>32</v>
      </c>
      <c r="AE266" t="n">
        <v>37</v>
      </c>
      <c r="AF266" t="n">
        <v>13</v>
      </c>
      <c r="AG266" t="n">
        <v>16</v>
      </c>
      <c r="AH266" t="n">
        <v>9</v>
      </c>
      <c r="AI266" t="n">
        <v>11</v>
      </c>
      <c r="AJ266" t="n">
        <v>18</v>
      </c>
      <c r="AK266" t="n">
        <v>19</v>
      </c>
      <c r="AL266" t="n">
        <v>4</v>
      </c>
      <c r="AM266" t="n">
        <v>4</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HYPERLINK("https://creighton-primo.hosted.exlibrisgroup.com/primo-explore/search?tab=default_tab&amp;search_scope=EVERYTHING&amp;vid=01CRU&amp;lang=en_US&amp;offset=0&amp;query=any,contains,991001555019702656","Catalog Record")</f>
        <v/>
      </c>
      <c r="AT266">
        <f>HYPERLINK("http://www.worldcat.org/oclc/20262467","WorldCat Record")</f>
        <v/>
      </c>
      <c r="AU266" t="inlineStr">
        <is>
          <t>9490337383:eng</t>
        </is>
      </c>
      <c r="AV266" t="inlineStr">
        <is>
          <t>20262467</t>
        </is>
      </c>
      <c r="AW266" t="inlineStr">
        <is>
          <t>991001555019702656</t>
        </is>
      </c>
      <c r="AX266" t="inlineStr">
        <is>
          <t>991001555019702656</t>
        </is>
      </c>
      <c r="AY266" t="inlineStr">
        <is>
          <t>2261165230002656</t>
        </is>
      </c>
      <c r="AZ266" t="inlineStr">
        <is>
          <t>BOOK</t>
        </is>
      </c>
      <c r="BB266" t="inlineStr">
        <is>
          <t>9780300047158</t>
        </is>
      </c>
      <c r="BC266" t="inlineStr">
        <is>
          <t>32285000312719</t>
        </is>
      </c>
      <c r="BD266" t="inlineStr">
        <is>
          <t>893878953</t>
        </is>
      </c>
    </row>
    <row r="267">
      <c r="A267" t="inlineStr">
        <is>
          <t>No</t>
        </is>
      </c>
      <c r="B267" t="inlineStr">
        <is>
          <t>HQ1075 .M37 2003</t>
        </is>
      </c>
      <c r="C267" t="inlineStr">
        <is>
          <t>0                      HQ 1075000M  37          2003</t>
        </is>
      </c>
      <c r="D267" t="inlineStr">
        <is>
          <t>Material strategies : dress and gender in historical perspective / edited by Barbara Burman and Carole Turbin.</t>
        </is>
      </c>
      <c r="F267" t="inlineStr">
        <is>
          <t>No</t>
        </is>
      </c>
      <c r="G267" t="inlineStr">
        <is>
          <t>1</t>
        </is>
      </c>
      <c r="H267" t="inlineStr">
        <is>
          <t>No</t>
        </is>
      </c>
      <c r="I267" t="inlineStr">
        <is>
          <t>No</t>
        </is>
      </c>
      <c r="J267" t="inlineStr">
        <is>
          <t>0</t>
        </is>
      </c>
      <c r="L267" t="inlineStr">
        <is>
          <t>Oxford : Blackwell, 2003.</t>
        </is>
      </c>
      <c r="M267" t="inlineStr">
        <is>
          <t>2003</t>
        </is>
      </c>
      <c r="O267" t="inlineStr">
        <is>
          <t>eng</t>
        </is>
      </c>
      <c r="P267" t="inlineStr">
        <is>
          <t>enk</t>
        </is>
      </c>
      <c r="R267" t="inlineStr">
        <is>
          <t xml:space="preserve">HQ </t>
        </is>
      </c>
      <c r="S267" t="n">
        <v>1</v>
      </c>
      <c r="T267" t="n">
        <v>1</v>
      </c>
      <c r="U267" t="inlineStr">
        <is>
          <t>2003-12-02</t>
        </is>
      </c>
      <c r="V267" t="inlineStr">
        <is>
          <t>2003-12-02</t>
        </is>
      </c>
      <c r="W267" t="inlineStr">
        <is>
          <t>2003-10-03</t>
        </is>
      </c>
      <c r="X267" t="inlineStr">
        <is>
          <t>2003-10-03</t>
        </is>
      </c>
      <c r="Y267" t="n">
        <v>306</v>
      </c>
      <c r="Z267" t="n">
        <v>199</v>
      </c>
      <c r="AA267" t="n">
        <v>199</v>
      </c>
      <c r="AB267" t="n">
        <v>2</v>
      </c>
      <c r="AC267" t="n">
        <v>2</v>
      </c>
      <c r="AD267" t="n">
        <v>13</v>
      </c>
      <c r="AE267" t="n">
        <v>13</v>
      </c>
      <c r="AF267" t="n">
        <v>4</v>
      </c>
      <c r="AG267" t="n">
        <v>4</v>
      </c>
      <c r="AH267" t="n">
        <v>4</v>
      </c>
      <c r="AI267" t="n">
        <v>4</v>
      </c>
      <c r="AJ267" t="n">
        <v>8</v>
      </c>
      <c r="AK267" t="n">
        <v>8</v>
      </c>
      <c r="AL267" t="n">
        <v>1</v>
      </c>
      <c r="AM267" t="n">
        <v>1</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HYPERLINK("https://creighton-primo.hosted.exlibrisgroup.com/primo-explore/search?tab=default_tab&amp;search_scope=EVERYTHING&amp;vid=01CRU&amp;lang=en_US&amp;offset=0&amp;query=any,contains,991004150939702656","Catalog Record")</f>
        <v/>
      </c>
      <c r="AT267">
        <f>HYPERLINK("http://www.worldcat.org/oclc/53069644","WorldCat Record")</f>
        <v/>
      </c>
      <c r="AU267" t="inlineStr">
        <is>
          <t>837701473:eng</t>
        </is>
      </c>
      <c r="AV267" t="inlineStr">
        <is>
          <t>53069644</t>
        </is>
      </c>
      <c r="AW267" t="inlineStr">
        <is>
          <t>991004150939702656</t>
        </is>
      </c>
      <c r="AX267" t="inlineStr">
        <is>
          <t>991004150939702656</t>
        </is>
      </c>
      <c r="AY267" t="inlineStr">
        <is>
          <t>2268225540002656</t>
        </is>
      </c>
      <c r="AZ267" t="inlineStr">
        <is>
          <t>BOOK</t>
        </is>
      </c>
      <c r="BB267" t="inlineStr">
        <is>
          <t>9781405109062</t>
        </is>
      </c>
      <c r="BC267" t="inlineStr">
        <is>
          <t>32285004790076</t>
        </is>
      </c>
      <c r="BD267" t="inlineStr">
        <is>
          <t>893253309</t>
        </is>
      </c>
    </row>
    <row r="268">
      <c r="A268" t="inlineStr">
        <is>
          <t>No</t>
        </is>
      </c>
      <c r="B268" t="inlineStr">
        <is>
          <t>HQ1075 .N45</t>
        </is>
      </c>
      <c r="C268" t="inlineStr">
        <is>
          <t>0                      HQ 1075000N  45</t>
        </is>
      </c>
      <c r="D268" t="inlineStr">
        <is>
          <t>Children's perceptions of gender and work roles / Gloria Morris Nemerowicz.</t>
        </is>
      </c>
      <c r="F268" t="inlineStr">
        <is>
          <t>No</t>
        </is>
      </c>
      <c r="G268" t="inlineStr">
        <is>
          <t>1</t>
        </is>
      </c>
      <c r="H268" t="inlineStr">
        <is>
          <t>No</t>
        </is>
      </c>
      <c r="I268" t="inlineStr">
        <is>
          <t>No</t>
        </is>
      </c>
      <c r="J268" t="inlineStr">
        <is>
          <t>0</t>
        </is>
      </c>
      <c r="K268" t="inlineStr">
        <is>
          <t>Nemerowicz, Gloria Morris.</t>
        </is>
      </c>
      <c r="L268" t="inlineStr">
        <is>
          <t>New York : Praeger, 1979.</t>
        </is>
      </c>
      <c r="M268" t="inlineStr">
        <is>
          <t>1979</t>
        </is>
      </c>
      <c r="O268" t="inlineStr">
        <is>
          <t>eng</t>
        </is>
      </c>
      <c r="P268" t="inlineStr">
        <is>
          <t>nyu</t>
        </is>
      </c>
      <c r="R268" t="inlineStr">
        <is>
          <t xml:space="preserve">HQ </t>
        </is>
      </c>
      <c r="S268" t="n">
        <v>22</v>
      </c>
      <c r="T268" t="n">
        <v>22</v>
      </c>
      <c r="U268" t="inlineStr">
        <is>
          <t>2001-10-01</t>
        </is>
      </c>
      <c r="V268" t="inlineStr">
        <is>
          <t>2001-10-01</t>
        </is>
      </c>
      <c r="W268" t="inlineStr">
        <is>
          <t>1992-03-23</t>
        </is>
      </c>
      <c r="X268" t="inlineStr">
        <is>
          <t>1992-03-23</t>
        </is>
      </c>
      <c r="Y268" t="n">
        <v>360</v>
      </c>
      <c r="Z268" t="n">
        <v>297</v>
      </c>
      <c r="AA268" t="n">
        <v>298</v>
      </c>
      <c r="AB268" t="n">
        <v>4</v>
      </c>
      <c r="AC268" t="n">
        <v>4</v>
      </c>
      <c r="AD268" t="n">
        <v>12</v>
      </c>
      <c r="AE268" t="n">
        <v>12</v>
      </c>
      <c r="AF268" t="n">
        <v>3</v>
      </c>
      <c r="AG268" t="n">
        <v>3</v>
      </c>
      <c r="AH268" t="n">
        <v>4</v>
      </c>
      <c r="AI268" t="n">
        <v>4</v>
      </c>
      <c r="AJ268" t="n">
        <v>6</v>
      </c>
      <c r="AK268" t="n">
        <v>6</v>
      </c>
      <c r="AL268" t="n">
        <v>2</v>
      </c>
      <c r="AM268" t="n">
        <v>2</v>
      </c>
      <c r="AN268" t="n">
        <v>0</v>
      </c>
      <c r="AO268" t="n">
        <v>0</v>
      </c>
      <c r="AP268" t="inlineStr">
        <is>
          <t>No</t>
        </is>
      </c>
      <c r="AQ268" t="inlineStr">
        <is>
          <t>Yes</t>
        </is>
      </c>
      <c r="AR268">
        <f>HYPERLINK("http://catalog.hathitrust.org/Record/000682483","HathiTrust Record")</f>
        <v/>
      </c>
      <c r="AS268">
        <f>HYPERLINK("https://creighton-primo.hosted.exlibrisgroup.com/primo-explore/search?tab=default_tab&amp;search_scope=EVERYTHING&amp;vid=01CRU&amp;lang=en_US&amp;offset=0&amp;query=any,contains,991004728919702656","Catalog Record")</f>
        <v/>
      </c>
      <c r="AT268">
        <f>HYPERLINK("http://www.worldcat.org/oclc/4832330","WorldCat Record")</f>
        <v/>
      </c>
      <c r="AU268" t="inlineStr">
        <is>
          <t>431470:eng</t>
        </is>
      </c>
      <c r="AV268" t="inlineStr">
        <is>
          <t>4832330</t>
        </is>
      </c>
      <c r="AW268" t="inlineStr">
        <is>
          <t>991004728919702656</t>
        </is>
      </c>
      <c r="AX268" t="inlineStr">
        <is>
          <t>991004728919702656</t>
        </is>
      </c>
      <c r="AY268" t="inlineStr">
        <is>
          <t>2268747800002656</t>
        </is>
      </c>
      <c r="AZ268" t="inlineStr">
        <is>
          <t>BOOK</t>
        </is>
      </c>
      <c r="BB268" t="inlineStr">
        <is>
          <t>9780030498114</t>
        </is>
      </c>
      <c r="BC268" t="inlineStr">
        <is>
          <t>32285001027910</t>
        </is>
      </c>
      <c r="BD268" t="inlineStr">
        <is>
          <t>893612699</t>
        </is>
      </c>
    </row>
    <row r="269">
      <c r="A269" t="inlineStr">
        <is>
          <t>No</t>
        </is>
      </c>
      <c r="B269" t="inlineStr">
        <is>
          <t>HQ1075 .S34</t>
        </is>
      </c>
      <c r="C269" t="inlineStr">
        <is>
          <t>0                      HQ 1075000S  34</t>
        </is>
      </c>
      <c r="D269" t="inlineStr">
        <is>
          <t>Sex-role issues in mental health / Kay F. Schaffer.</t>
        </is>
      </c>
      <c r="F269" t="inlineStr">
        <is>
          <t>No</t>
        </is>
      </c>
      <c r="G269" t="inlineStr">
        <is>
          <t>1</t>
        </is>
      </c>
      <c r="H269" t="inlineStr">
        <is>
          <t>No</t>
        </is>
      </c>
      <c r="I269" t="inlineStr">
        <is>
          <t>No</t>
        </is>
      </c>
      <c r="J269" t="inlineStr">
        <is>
          <t>0</t>
        </is>
      </c>
      <c r="K269" t="inlineStr">
        <is>
          <t>Schaffer, Kay F.</t>
        </is>
      </c>
      <c r="L269" t="inlineStr">
        <is>
          <t>Reading, Mass. : Addison-Wesley Pub. Co., c1980.</t>
        </is>
      </c>
      <c r="M269" t="inlineStr">
        <is>
          <t>1980</t>
        </is>
      </c>
      <c r="O269" t="inlineStr">
        <is>
          <t>eng</t>
        </is>
      </c>
      <c r="P269" t="inlineStr">
        <is>
          <t>mau</t>
        </is>
      </c>
      <c r="Q269" t="inlineStr">
        <is>
          <t>Addison-Wesley series in clinical and professional psychology</t>
        </is>
      </c>
      <c r="R269" t="inlineStr">
        <is>
          <t xml:space="preserve">HQ </t>
        </is>
      </c>
      <c r="S269" t="n">
        <v>3</v>
      </c>
      <c r="T269" t="n">
        <v>3</v>
      </c>
      <c r="U269" t="inlineStr">
        <is>
          <t>1993-02-17</t>
        </is>
      </c>
      <c r="V269" t="inlineStr">
        <is>
          <t>1993-02-17</t>
        </is>
      </c>
      <c r="W269" t="inlineStr">
        <is>
          <t>1992-01-21</t>
        </is>
      </c>
      <c r="X269" t="inlineStr">
        <is>
          <t>1992-01-21</t>
        </is>
      </c>
      <c r="Y269" t="n">
        <v>388</v>
      </c>
      <c r="Z269" t="n">
        <v>336</v>
      </c>
      <c r="AA269" t="n">
        <v>337</v>
      </c>
      <c r="AB269" t="n">
        <v>3</v>
      </c>
      <c r="AC269" t="n">
        <v>3</v>
      </c>
      <c r="AD269" t="n">
        <v>10</v>
      </c>
      <c r="AE269" t="n">
        <v>10</v>
      </c>
      <c r="AF269" t="n">
        <v>3</v>
      </c>
      <c r="AG269" t="n">
        <v>3</v>
      </c>
      <c r="AH269" t="n">
        <v>3</v>
      </c>
      <c r="AI269" t="n">
        <v>3</v>
      </c>
      <c r="AJ269" t="n">
        <v>4</v>
      </c>
      <c r="AK269" t="n">
        <v>4</v>
      </c>
      <c r="AL269" t="n">
        <v>2</v>
      </c>
      <c r="AM269" t="n">
        <v>2</v>
      </c>
      <c r="AN269" t="n">
        <v>0</v>
      </c>
      <c r="AO269" t="n">
        <v>0</v>
      </c>
      <c r="AP269" t="inlineStr">
        <is>
          <t>No</t>
        </is>
      </c>
      <c r="AQ269" t="inlineStr">
        <is>
          <t>Yes</t>
        </is>
      </c>
      <c r="AR269">
        <f>HYPERLINK("http://catalog.hathitrust.org/Record/007115829","HathiTrust Record")</f>
        <v/>
      </c>
      <c r="AS269">
        <f>HYPERLINK("https://creighton-primo.hosted.exlibrisgroup.com/primo-explore/search?tab=default_tab&amp;search_scope=EVERYTHING&amp;vid=01CRU&amp;lang=en_US&amp;offset=0&amp;query=any,contains,991004858969702656","Catalog Record")</f>
        <v/>
      </c>
      <c r="AT269">
        <f>HYPERLINK("http://www.worldcat.org/oclc/5678251","WorldCat Record")</f>
        <v/>
      </c>
      <c r="AU269" t="inlineStr">
        <is>
          <t>461181:eng</t>
        </is>
      </c>
      <c r="AV269" t="inlineStr">
        <is>
          <t>5678251</t>
        </is>
      </c>
      <c r="AW269" t="inlineStr">
        <is>
          <t>991004858969702656</t>
        </is>
      </c>
      <c r="AX269" t="inlineStr">
        <is>
          <t>991004858969702656</t>
        </is>
      </c>
      <c r="AY269" t="inlineStr">
        <is>
          <t>2261047210002656</t>
        </is>
      </c>
      <c r="AZ269" t="inlineStr">
        <is>
          <t>BOOK</t>
        </is>
      </c>
      <c r="BB269" t="inlineStr">
        <is>
          <t>9780201067620</t>
        </is>
      </c>
      <c r="BC269" t="inlineStr">
        <is>
          <t>32285000916394</t>
        </is>
      </c>
      <c r="BD269" t="inlineStr">
        <is>
          <t>893600321</t>
        </is>
      </c>
    </row>
    <row r="270">
      <c r="A270" t="inlineStr">
        <is>
          <t>No</t>
        </is>
      </c>
      <c r="B270" t="inlineStr">
        <is>
          <t>HQ1075 .S488 1983</t>
        </is>
      </c>
      <c r="C270" t="inlineStr">
        <is>
          <t>0                      HQ 1075000S  488         1983</t>
        </is>
      </c>
      <c r="D270" t="inlineStr">
        <is>
          <t>Sex role research : measuring social change / edited by Barbara L. Richardson, Jeana Wirtenberg.</t>
        </is>
      </c>
      <c r="F270" t="inlineStr">
        <is>
          <t>No</t>
        </is>
      </c>
      <c r="G270" t="inlineStr">
        <is>
          <t>1</t>
        </is>
      </c>
      <c r="H270" t="inlineStr">
        <is>
          <t>No</t>
        </is>
      </c>
      <c r="I270" t="inlineStr">
        <is>
          <t>No</t>
        </is>
      </c>
      <c r="J270" t="inlineStr">
        <is>
          <t>0</t>
        </is>
      </c>
      <c r="L270" t="inlineStr">
        <is>
          <t>New York, N.Y. : Praeger, 1983.</t>
        </is>
      </c>
      <c r="M270" t="inlineStr">
        <is>
          <t>1983</t>
        </is>
      </c>
      <c r="O270" t="inlineStr">
        <is>
          <t>eng</t>
        </is>
      </c>
      <c r="P270" t="inlineStr">
        <is>
          <t>nyu</t>
        </is>
      </c>
      <c r="R270" t="inlineStr">
        <is>
          <t xml:space="preserve">HQ </t>
        </is>
      </c>
      <c r="S270" t="n">
        <v>8</v>
      </c>
      <c r="T270" t="n">
        <v>8</v>
      </c>
      <c r="U270" t="inlineStr">
        <is>
          <t>1998-10-05</t>
        </is>
      </c>
      <c r="V270" t="inlineStr">
        <is>
          <t>1998-10-05</t>
        </is>
      </c>
      <c r="W270" t="inlineStr">
        <is>
          <t>1990-03-28</t>
        </is>
      </c>
      <c r="X270" t="inlineStr">
        <is>
          <t>1990-03-28</t>
        </is>
      </c>
      <c r="Y270" t="n">
        <v>312</v>
      </c>
      <c r="Z270" t="n">
        <v>257</v>
      </c>
      <c r="AA270" t="n">
        <v>264</v>
      </c>
      <c r="AB270" t="n">
        <v>4</v>
      </c>
      <c r="AC270" t="n">
        <v>4</v>
      </c>
      <c r="AD270" t="n">
        <v>13</v>
      </c>
      <c r="AE270" t="n">
        <v>13</v>
      </c>
      <c r="AF270" t="n">
        <v>3</v>
      </c>
      <c r="AG270" t="n">
        <v>3</v>
      </c>
      <c r="AH270" t="n">
        <v>3</v>
      </c>
      <c r="AI270" t="n">
        <v>3</v>
      </c>
      <c r="AJ270" t="n">
        <v>7</v>
      </c>
      <c r="AK270" t="n">
        <v>7</v>
      </c>
      <c r="AL270" t="n">
        <v>3</v>
      </c>
      <c r="AM270" t="n">
        <v>3</v>
      </c>
      <c r="AN270" t="n">
        <v>0</v>
      </c>
      <c r="AO270" t="n">
        <v>0</v>
      </c>
      <c r="AP270" t="inlineStr">
        <is>
          <t>No</t>
        </is>
      </c>
      <c r="AQ270" t="inlineStr">
        <is>
          <t>Yes</t>
        </is>
      </c>
      <c r="AR270">
        <f>HYPERLINK("http://catalog.hathitrust.org/Record/000315152","HathiTrust Record")</f>
        <v/>
      </c>
      <c r="AS270">
        <f>HYPERLINK("https://creighton-primo.hosted.exlibrisgroup.com/primo-explore/search?tab=default_tab&amp;search_scope=EVERYTHING&amp;vid=01CRU&amp;lang=en_US&amp;offset=0&amp;query=any,contains,991000164319702656","Catalog Record")</f>
        <v/>
      </c>
      <c r="AT270">
        <f>HYPERLINK("http://www.worldcat.org/oclc/9282360","WorldCat Record")</f>
        <v/>
      </c>
      <c r="AU270" t="inlineStr">
        <is>
          <t>942852203:eng</t>
        </is>
      </c>
      <c r="AV270" t="inlineStr">
        <is>
          <t>9282360</t>
        </is>
      </c>
      <c r="AW270" t="inlineStr">
        <is>
          <t>991000164319702656</t>
        </is>
      </c>
      <c r="AX270" t="inlineStr">
        <is>
          <t>991000164319702656</t>
        </is>
      </c>
      <c r="AY270" t="inlineStr">
        <is>
          <t>2259999540002656</t>
        </is>
      </c>
      <c r="AZ270" t="inlineStr">
        <is>
          <t>BOOK</t>
        </is>
      </c>
      <c r="BB270" t="inlineStr">
        <is>
          <t>9780030631498</t>
        </is>
      </c>
      <c r="BC270" t="inlineStr">
        <is>
          <t>32285000066133</t>
        </is>
      </c>
      <c r="BD270" t="inlineStr">
        <is>
          <t>893351449</t>
        </is>
      </c>
    </row>
    <row r="271">
      <c r="A271" t="inlineStr">
        <is>
          <t>No</t>
        </is>
      </c>
      <c r="B271" t="inlineStr">
        <is>
          <t>HQ1075 .S4926 1986</t>
        </is>
      </c>
      <c r="C271" t="inlineStr">
        <is>
          <t>0                      HQ 1075000S  4926        1986</t>
        </is>
      </c>
      <c r="D271" t="inlineStr">
        <is>
          <t>Sex roles and social patterns / edited by Frances A. Boudreau, Roger S. Sennott, and Michele Wilson.</t>
        </is>
      </c>
      <c r="F271" t="inlineStr">
        <is>
          <t>No</t>
        </is>
      </c>
      <c r="G271" t="inlineStr">
        <is>
          <t>1</t>
        </is>
      </c>
      <c r="H271" t="inlineStr">
        <is>
          <t>No</t>
        </is>
      </c>
      <c r="I271" t="inlineStr">
        <is>
          <t>No</t>
        </is>
      </c>
      <c r="J271" t="inlineStr">
        <is>
          <t>0</t>
        </is>
      </c>
      <c r="L271" t="inlineStr">
        <is>
          <t>New York : Praeger, 1986.</t>
        </is>
      </c>
      <c r="M271" t="inlineStr">
        <is>
          <t>1985</t>
        </is>
      </c>
      <c r="O271" t="inlineStr">
        <is>
          <t>eng</t>
        </is>
      </c>
      <c r="P271" t="inlineStr">
        <is>
          <t>nyu</t>
        </is>
      </c>
      <c r="R271" t="inlineStr">
        <is>
          <t xml:space="preserve">HQ </t>
        </is>
      </c>
      <c r="S271" t="n">
        <v>10</v>
      </c>
      <c r="T271" t="n">
        <v>10</v>
      </c>
      <c r="U271" t="inlineStr">
        <is>
          <t>2008-10-17</t>
        </is>
      </c>
      <c r="V271" t="inlineStr">
        <is>
          <t>2008-10-17</t>
        </is>
      </c>
      <c r="W271" t="inlineStr">
        <is>
          <t>1992-04-06</t>
        </is>
      </c>
      <c r="X271" t="inlineStr">
        <is>
          <t>1992-04-06</t>
        </is>
      </c>
      <c r="Y271" t="n">
        <v>298</v>
      </c>
      <c r="Z271" t="n">
        <v>255</v>
      </c>
      <c r="AA271" t="n">
        <v>262</v>
      </c>
      <c r="AB271" t="n">
        <v>3</v>
      </c>
      <c r="AC271" t="n">
        <v>3</v>
      </c>
      <c r="AD271" t="n">
        <v>10</v>
      </c>
      <c r="AE271" t="n">
        <v>10</v>
      </c>
      <c r="AF271" t="n">
        <v>2</v>
      </c>
      <c r="AG271" t="n">
        <v>2</v>
      </c>
      <c r="AH271" t="n">
        <v>3</v>
      </c>
      <c r="AI271" t="n">
        <v>3</v>
      </c>
      <c r="AJ271" t="n">
        <v>4</v>
      </c>
      <c r="AK271" t="n">
        <v>4</v>
      </c>
      <c r="AL271" t="n">
        <v>2</v>
      </c>
      <c r="AM271" t="n">
        <v>2</v>
      </c>
      <c r="AN271" t="n">
        <v>0</v>
      </c>
      <c r="AO271" t="n">
        <v>0</v>
      </c>
      <c r="AP271" t="inlineStr">
        <is>
          <t>No</t>
        </is>
      </c>
      <c r="AQ271" t="inlineStr">
        <is>
          <t>Yes</t>
        </is>
      </c>
      <c r="AR271">
        <f>HYPERLINK("http://catalog.hathitrust.org/Record/000473550","HathiTrust Record")</f>
        <v/>
      </c>
      <c r="AS271">
        <f>HYPERLINK("https://creighton-primo.hosted.exlibrisgroup.com/primo-explore/search?tab=default_tab&amp;search_scope=EVERYTHING&amp;vid=01CRU&amp;lang=en_US&amp;offset=0&amp;query=any,contains,991000653679702656","Catalog Record")</f>
        <v/>
      </c>
      <c r="AT271">
        <f>HYPERLINK("http://www.worldcat.org/oclc/12189608","WorldCat Record")</f>
        <v/>
      </c>
      <c r="AU271" t="inlineStr">
        <is>
          <t>375842978:eng</t>
        </is>
      </c>
      <c r="AV271" t="inlineStr">
        <is>
          <t>12189608</t>
        </is>
      </c>
      <c r="AW271" t="inlineStr">
        <is>
          <t>991000653679702656</t>
        </is>
      </c>
      <c r="AX271" t="inlineStr">
        <is>
          <t>991000653679702656</t>
        </is>
      </c>
      <c r="AY271" t="inlineStr">
        <is>
          <t>2255391290002656</t>
        </is>
      </c>
      <c r="AZ271" t="inlineStr">
        <is>
          <t>BOOK</t>
        </is>
      </c>
      <c r="BB271" t="inlineStr">
        <is>
          <t>9780030028571</t>
        </is>
      </c>
      <c r="BC271" t="inlineStr">
        <is>
          <t>32285001049427</t>
        </is>
      </c>
      <c r="BD271" t="inlineStr">
        <is>
          <t>893784415</t>
        </is>
      </c>
    </row>
    <row r="272">
      <c r="A272" t="inlineStr">
        <is>
          <t>No</t>
        </is>
      </c>
      <c r="B272" t="inlineStr">
        <is>
          <t>HQ1075 .S73 2000</t>
        </is>
      </c>
      <c r="C272" t="inlineStr">
        <is>
          <t>0                      HQ 1075000S  73          2000</t>
        </is>
      </c>
      <c r="D272" t="inlineStr">
        <is>
          <t>Gender in world history / Peter N. Stearns.</t>
        </is>
      </c>
      <c r="F272" t="inlineStr">
        <is>
          <t>No</t>
        </is>
      </c>
      <c r="G272" t="inlineStr">
        <is>
          <t>1</t>
        </is>
      </c>
      <c r="H272" t="inlineStr">
        <is>
          <t>No</t>
        </is>
      </c>
      <c r="I272" t="inlineStr">
        <is>
          <t>No</t>
        </is>
      </c>
      <c r="J272" t="inlineStr">
        <is>
          <t>0</t>
        </is>
      </c>
      <c r="K272" t="inlineStr">
        <is>
          <t>Stearns, Peter N.</t>
        </is>
      </c>
      <c r="L272" t="inlineStr">
        <is>
          <t>London ; New York : Routledge, 2000.</t>
        </is>
      </c>
      <c r="M272" t="inlineStr">
        <is>
          <t>2000</t>
        </is>
      </c>
      <c r="O272" t="inlineStr">
        <is>
          <t>eng</t>
        </is>
      </c>
      <c r="P272" t="inlineStr">
        <is>
          <t>enk</t>
        </is>
      </c>
      <c r="Q272" t="inlineStr">
        <is>
          <t>Themes in world history</t>
        </is>
      </c>
      <c r="R272" t="inlineStr">
        <is>
          <t xml:space="preserve">HQ </t>
        </is>
      </c>
      <c r="S272" t="n">
        <v>15</v>
      </c>
      <c r="T272" t="n">
        <v>15</v>
      </c>
      <c r="U272" t="inlineStr">
        <is>
          <t>2009-11-04</t>
        </is>
      </c>
      <c r="V272" t="inlineStr">
        <is>
          <t>2009-11-04</t>
        </is>
      </c>
      <c r="W272" t="inlineStr">
        <is>
          <t>2002-10-03</t>
        </is>
      </c>
      <c r="X272" t="inlineStr">
        <is>
          <t>2002-10-03</t>
        </is>
      </c>
      <c r="Y272" t="n">
        <v>381</v>
      </c>
      <c r="Z272" t="n">
        <v>301</v>
      </c>
      <c r="AA272" t="n">
        <v>1664</v>
      </c>
      <c r="AB272" t="n">
        <v>2</v>
      </c>
      <c r="AC272" t="n">
        <v>17</v>
      </c>
      <c r="AD272" t="n">
        <v>12</v>
      </c>
      <c r="AE272" t="n">
        <v>47</v>
      </c>
      <c r="AF272" t="n">
        <v>5</v>
      </c>
      <c r="AG272" t="n">
        <v>17</v>
      </c>
      <c r="AH272" t="n">
        <v>2</v>
      </c>
      <c r="AI272" t="n">
        <v>8</v>
      </c>
      <c r="AJ272" t="n">
        <v>7</v>
      </c>
      <c r="AK272" t="n">
        <v>14</v>
      </c>
      <c r="AL272" t="n">
        <v>1</v>
      </c>
      <c r="AM272" t="n">
        <v>14</v>
      </c>
      <c r="AN272" t="n">
        <v>0</v>
      </c>
      <c r="AO272" t="n">
        <v>1</v>
      </c>
      <c r="AP272" t="inlineStr">
        <is>
          <t>No</t>
        </is>
      </c>
      <c r="AQ272" t="inlineStr">
        <is>
          <t>No</t>
        </is>
      </c>
      <c r="AS272">
        <f>HYPERLINK("https://creighton-primo.hosted.exlibrisgroup.com/primo-explore/search?tab=default_tab&amp;search_scope=EVERYTHING&amp;vid=01CRU&amp;lang=en_US&amp;offset=0&amp;query=any,contains,991003864789702656","Catalog Record")</f>
        <v/>
      </c>
      <c r="AT272">
        <f>HYPERLINK("http://www.worldcat.org/oclc/43701759","WorldCat Record")</f>
        <v/>
      </c>
      <c r="AU272" t="inlineStr">
        <is>
          <t>4798216966:eng</t>
        </is>
      </c>
      <c r="AV272" t="inlineStr">
        <is>
          <t>43701759</t>
        </is>
      </c>
      <c r="AW272" t="inlineStr">
        <is>
          <t>991003864789702656</t>
        </is>
      </c>
      <c r="AX272" t="inlineStr">
        <is>
          <t>991003864789702656</t>
        </is>
      </c>
      <c r="AY272" t="inlineStr">
        <is>
          <t>2271726450002656</t>
        </is>
      </c>
      <c r="AZ272" t="inlineStr">
        <is>
          <t>BOOK</t>
        </is>
      </c>
      <c r="BB272" t="inlineStr">
        <is>
          <t>9780415223102</t>
        </is>
      </c>
      <c r="BC272" t="inlineStr">
        <is>
          <t>32285004651641</t>
        </is>
      </c>
      <c r="BD272" t="inlineStr">
        <is>
          <t>893410806</t>
        </is>
      </c>
    </row>
    <row r="273">
      <c r="A273" t="inlineStr">
        <is>
          <t>No</t>
        </is>
      </c>
      <c r="B273" t="inlineStr">
        <is>
          <t>HQ1075 .S75 1980</t>
        </is>
      </c>
      <c r="C273" t="inlineStr">
        <is>
          <t>0                      HQ 1075000S  75          1980</t>
        </is>
      </c>
      <c r="D273" t="inlineStr">
        <is>
          <t>Sex roles : sex inequality and sex role development / Jean Stockard, Miriam M. Johnson.</t>
        </is>
      </c>
      <c r="F273" t="inlineStr">
        <is>
          <t>No</t>
        </is>
      </c>
      <c r="G273" t="inlineStr">
        <is>
          <t>1</t>
        </is>
      </c>
      <c r="H273" t="inlineStr">
        <is>
          <t>No</t>
        </is>
      </c>
      <c r="I273" t="inlineStr">
        <is>
          <t>No</t>
        </is>
      </c>
      <c r="J273" t="inlineStr">
        <is>
          <t>0</t>
        </is>
      </c>
      <c r="K273" t="inlineStr">
        <is>
          <t>Stockard, Jean.</t>
        </is>
      </c>
      <c r="L273" t="inlineStr">
        <is>
          <t>Englewood Cliffs, N.J. : Prentice-Hall, c1980.</t>
        </is>
      </c>
      <c r="M273" t="inlineStr">
        <is>
          <t>1980</t>
        </is>
      </c>
      <c r="O273" t="inlineStr">
        <is>
          <t>eng</t>
        </is>
      </c>
      <c r="P273" t="inlineStr">
        <is>
          <t>nju</t>
        </is>
      </c>
      <c r="Q273" t="inlineStr">
        <is>
          <t>Prentice-Hall sociology series</t>
        </is>
      </c>
      <c r="R273" t="inlineStr">
        <is>
          <t xml:space="preserve">HQ </t>
        </is>
      </c>
      <c r="S273" t="n">
        <v>26</v>
      </c>
      <c r="T273" t="n">
        <v>26</v>
      </c>
      <c r="U273" t="inlineStr">
        <is>
          <t>2001-10-27</t>
        </is>
      </c>
      <c r="V273" t="inlineStr">
        <is>
          <t>2001-10-27</t>
        </is>
      </c>
      <c r="W273" t="inlineStr">
        <is>
          <t>1992-12-08</t>
        </is>
      </c>
      <c r="X273" t="inlineStr">
        <is>
          <t>1992-12-08</t>
        </is>
      </c>
      <c r="Y273" t="n">
        <v>374</v>
      </c>
      <c r="Z273" t="n">
        <v>266</v>
      </c>
      <c r="AA273" t="n">
        <v>268</v>
      </c>
      <c r="AB273" t="n">
        <v>3</v>
      </c>
      <c r="AC273" t="n">
        <v>3</v>
      </c>
      <c r="AD273" t="n">
        <v>10</v>
      </c>
      <c r="AE273" t="n">
        <v>10</v>
      </c>
      <c r="AF273" t="n">
        <v>3</v>
      </c>
      <c r="AG273" t="n">
        <v>3</v>
      </c>
      <c r="AH273" t="n">
        <v>2</v>
      </c>
      <c r="AI273" t="n">
        <v>2</v>
      </c>
      <c r="AJ273" t="n">
        <v>5</v>
      </c>
      <c r="AK273" t="n">
        <v>5</v>
      </c>
      <c r="AL273" t="n">
        <v>2</v>
      </c>
      <c r="AM273" t="n">
        <v>2</v>
      </c>
      <c r="AN273" t="n">
        <v>0</v>
      </c>
      <c r="AO273" t="n">
        <v>0</v>
      </c>
      <c r="AP273" t="inlineStr">
        <is>
          <t>No</t>
        </is>
      </c>
      <c r="AQ273" t="inlineStr">
        <is>
          <t>Yes</t>
        </is>
      </c>
      <c r="AR273">
        <f>HYPERLINK("http://catalog.hathitrust.org/Record/000696777","HathiTrust Record")</f>
        <v/>
      </c>
      <c r="AS273">
        <f>HYPERLINK("https://creighton-primo.hosted.exlibrisgroup.com/primo-explore/search?tab=default_tab&amp;search_scope=EVERYTHING&amp;vid=01CRU&amp;lang=en_US&amp;offset=0&amp;query=any,contains,991005378399702656","Catalog Record")</f>
        <v/>
      </c>
      <c r="AT273">
        <f>HYPERLINK("http://www.worldcat.org/oclc/5674771","WorldCat Record")</f>
        <v/>
      </c>
      <c r="AU273" t="inlineStr">
        <is>
          <t>426184176:eng</t>
        </is>
      </c>
      <c r="AV273" t="inlineStr">
        <is>
          <t>5674771</t>
        </is>
      </c>
      <c r="AW273" t="inlineStr">
        <is>
          <t>991005378399702656</t>
        </is>
      </c>
      <c r="AX273" t="inlineStr">
        <is>
          <t>991005378399702656</t>
        </is>
      </c>
      <c r="AY273" t="inlineStr">
        <is>
          <t>2260260500002656</t>
        </is>
      </c>
      <c r="AZ273" t="inlineStr">
        <is>
          <t>BOOK</t>
        </is>
      </c>
      <c r="BB273" t="inlineStr">
        <is>
          <t>9780138075606</t>
        </is>
      </c>
      <c r="BC273" t="inlineStr">
        <is>
          <t>32285001401495</t>
        </is>
      </c>
      <c r="BD273" t="inlineStr">
        <is>
          <t>893508166</t>
        </is>
      </c>
    </row>
    <row r="274">
      <c r="A274" t="inlineStr">
        <is>
          <t>No</t>
        </is>
      </c>
      <c r="B274" t="inlineStr">
        <is>
          <t>HQ1075 .S78 2001</t>
        </is>
      </c>
      <c r="C274" t="inlineStr">
        <is>
          <t>0                      HQ 1075000S  78          2001</t>
        </is>
      </c>
      <c r="D274" t="inlineStr">
        <is>
          <t>Origins of difference : the gender debate revisited / Elaine Storkey.</t>
        </is>
      </c>
      <c r="F274" t="inlineStr">
        <is>
          <t>No</t>
        </is>
      </c>
      <c r="G274" t="inlineStr">
        <is>
          <t>1</t>
        </is>
      </c>
      <c r="H274" t="inlineStr">
        <is>
          <t>No</t>
        </is>
      </c>
      <c r="I274" t="inlineStr">
        <is>
          <t>No</t>
        </is>
      </c>
      <c r="J274" t="inlineStr">
        <is>
          <t>0</t>
        </is>
      </c>
      <c r="K274" t="inlineStr">
        <is>
          <t>Storkey, Elaine, 1943-</t>
        </is>
      </c>
      <c r="L274" t="inlineStr">
        <is>
          <t>Grand Rapids, Mich. : Baker Academic, c2001.</t>
        </is>
      </c>
      <c r="M274" t="inlineStr">
        <is>
          <t>2001</t>
        </is>
      </c>
      <c r="O274" t="inlineStr">
        <is>
          <t>eng</t>
        </is>
      </c>
      <c r="P274" t="inlineStr">
        <is>
          <t>miu</t>
        </is>
      </c>
      <c r="R274" t="inlineStr">
        <is>
          <t xml:space="preserve">HQ </t>
        </is>
      </c>
      <c r="S274" t="n">
        <v>7</v>
      </c>
      <c r="T274" t="n">
        <v>7</v>
      </c>
      <c r="U274" t="inlineStr">
        <is>
          <t>2009-11-04</t>
        </is>
      </c>
      <c r="V274" t="inlineStr">
        <is>
          <t>2009-11-04</t>
        </is>
      </c>
      <c r="W274" t="inlineStr">
        <is>
          <t>2001-08-29</t>
        </is>
      </c>
      <c r="X274" t="inlineStr">
        <is>
          <t>2001-08-29</t>
        </is>
      </c>
      <c r="Y274" t="n">
        <v>352</v>
      </c>
      <c r="Z274" t="n">
        <v>293</v>
      </c>
      <c r="AA274" t="n">
        <v>297</v>
      </c>
      <c r="AB274" t="n">
        <v>2</v>
      </c>
      <c r="AC274" t="n">
        <v>2</v>
      </c>
      <c r="AD274" t="n">
        <v>12</v>
      </c>
      <c r="AE274" t="n">
        <v>12</v>
      </c>
      <c r="AF274" t="n">
        <v>4</v>
      </c>
      <c r="AG274" t="n">
        <v>4</v>
      </c>
      <c r="AH274" t="n">
        <v>4</v>
      </c>
      <c r="AI274" t="n">
        <v>4</v>
      </c>
      <c r="AJ274" t="n">
        <v>4</v>
      </c>
      <c r="AK274" t="n">
        <v>4</v>
      </c>
      <c r="AL274" t="n">
        <v>1</v>
      </c>
      <c r="AM274" t="n">
        <v>1</v>
      </c>
      <c r="AN274" t="n">
        <v>0</v>
      </c>
      <c r="AO274" t="n">
        <v>0</v>
      </c>
      <c r="AP274" t="inlineStr">
        <is>
          <t>No</t>
        </is>
      </c>
      <c r="AQ274" t="inlineStr">
        <is>
          <t>Yes</t>
        </is>
      </c>
      <c r="AR274">
        <f>HYPERLINK("http://catalog.hathitrust.org/Record/004169338","HathiTrust Record")</f>
        <v/>
      </c>
      <c r="AS274">
        <f>HYPERLINK("https://creighton-primo.hosted.exlibrisgroup.com/primo-explore/search?tab=default_tab&amp;search_scope=EVERYTHING&amp;vid=01CRU&amp;lang=en_US&amp;offset=0&amp;query=any,contains,991003592969702656","Catalog Record")</f>
        <v/>
      </c>
      <c r="AT274">
        <f>HYPERLINK("http://www.worldcat.org/oclc/44914224","WorldCat Record")</f>
        <v/>
      </c>
      <c r="AU274" t="inlineStr">
        <is>
          <t>44089772:eng</t>
        </is>
      </c>
      <c r="AV274" t="inlineStr">
        <is>
          <t>44914224</t>
        </is>
      </c>
      <c r="AW274" t="inlineStr">
        <is>
          <t>991003592969702656</t>
        </is>
      </c>
      <c r="AX274" t="inlineStr">
        <is>
          <t>991003592969702656</t>
        </is>
      </c>
      <c r="AY274" t="inlineStr">
        <is>
          <t>2268407000002656</t>
        </is>
      </c>
      <c r="AZ274" t="inlineStr">
        <is>
          <t>BOOK</t>
        </is>
      </c>
      <c r="BB274" t="inlineStr">
        <is>
          <t>9780801022609</t>
        </is>
      </c>
      <c r="BC274" t="inlineStr">
        <is>
          <t>32285004382510</t>
        </is>
      </c>
      <c r="BD274" t="inlineStr">
        <is>
          <t>893774909</t>
        </is>
      </c>
    </row>
    <row r="275">
      <c r="A275" t="inlineStr">
        <is>
          <t>No</t>
        </is>
      </c>
      <c r="B275" t="inlineStr">
        <is>
          <t>HQ1075 .T75 1991</t>
        </is>
      </c>
      <c r="C275" t="inlineStr">
        <is>
          <t>0                      HQ 1075000T  75          1991</t>
        </is>
      </c>
      <c r="D275" t="inlineStr">
        <is>
          <t>Transcending boundaries : multi-disciplinary approaches to the study of gender / edited by Pamela R. Frese and John M. Coggeshall.</t>
        </is>
      </c>
      <c r="F275" t="inlineStr">
        <is>
          <t>No</t>
        </is>
      </c>
      <c r="G275" t="inlineStr">
        <is>
          <t>1</t>
        </is>
      </c>
      <c r="H275" t="inlineStr">
        <is>
          <t>No</t>
        </is>
      </c>
      <c r="I275" t="inlineStr">
        <is>
          <t>No</t>
        </is>
      </c>
      <c r="J275" t="inlineStr">
        <is>
          <t>0</t>
        </is>
      </c>
      <c r="L275" t="inlineStr">
        <is>
          <t>New York : Bergin &amp; Garvey, 1991.</t>
        </is>
      </c>
      <c r="M275" t="inlineStr">
        <is>
          <t>1991</t>
        </is>
      </c>
      <c r="O275" t="inlineStr">
        <is>
          <t>eng</t>
        </is>
      </c>
      <c r="P275" t="inlineStr">
        <is>
          <t>nyu</t>
        </is>
      </c>
      <c r="R275" t="inlineStr">
        <is>
          <t xml:space="preserve">HQ </t>
        </is>
      </c>
      <c r="S275" t="n">
        <v>9</v>
      </c>
      <c r="T275" t="n">
        <v>9</v>
      </c>
      <c r="U275" t="inlineStr">
        <is>
          <t>2007-05-17</t>
        </is>
      </c>
      <c r="V275" t="inlineStr">
        <is>
          <t>2007-05-17</t>
        </is>
      </c>
      <c r="W275" t="inlineStr">
        <is>
          <t>1991-12-30</t>
        </is>
      </c>
      <c r="X275" t="inlineStr">
        <is>
          <t>1991-12-30</t>
        </is>
      </c>
      <c r="Y275" t="n">
        <v>398</v>
      </c>
      <c r="Z275" t="n">
        <v>327</v>
      </c>
      <c r="AA275" t="n">
        <v>333</v>
      </c>
      <c r="AB275" t="n">
        <v>3</v>
      </c>
      <c r="AC275" t="n">
        <v>3</v>
      </c>
      <c r="AD275" t="n">
        <v>18</v>
      </c>
      <c r="AE275" t="n">
        <v>18</v>
      </c>
      <c r="AF275" t="n">
        <v>6</v>
      </c>
      <c r="AG275" t="n">
        <v>6</v>
      </c>
      <c r="AH275" t="n">
        <v>4</v>
      </c>
      <c r="AI275" t="n">
        <v>4</v>
      </c>
      <c r="AJ275" t="n">
        <v>10</v>
      </c>
      <c r="AK275" t="n">
        <v>10</v>
      </c>
      <c r="AL275" t="n">
        <v>2</v>
      </c>
      <c r="AM275" t="n">
        <v>2</v>
      </c>
      <c r="AN275" t="n">
        <v>0</v>
      </c>
      <c r="AO275" t="n">
        <v>0</v>
      </c>
      <c r="AP275" t="inlineStr">
        <is>
          <t>No</t>
        </is>
      </c>
      <c r="AQ275" t="inlineStr">
        <is>
          <t>Yes</t>
        </is>
      </c>
      <c r="AR275">
        <f>HYPERLINK("http://catalog.hathitrust.org/Record/002371002","HathiTrust Record")</f>
        <v/>
      </c>
      <c r="AS275">
        <f>HYPERLINK("https://creighton-primo.hosted.exlibrisgroup.com/primo-explore/search?tab=default_tab&amp;search_scope=EVERYTHING&amp;vid=01CRU&amp;lang=en_US&amp;offset=0&amp;query=any,contains,991001716259702656","Catalog Record")</f>
        <v/>
      </c>
      <c r="AT275">
        <f>HYPERLINK("http://www.worldcat.org/oclc/21678260","WorldCat Record")</f>
        <v/>
      </c>
      <c r="AU275" t="inlineStr">
        <is>
          <t>836708274:eng</t>
        </is>
      </c>
      <c r="AV275" t="inlineStr">
        <is>
          <t>21678260</t>
        </is>
      </c>
      <c r="AW275" t="inlineStr">
        <is>
          <t>991001716259702656</t>
        </is>
      </c>
      <c r="AX275" t="inlineStr">
        <is>
          <t>991001716259702656</t>
        </is>
      </c>
      <c r="AY275" t="inlineStr">
        <is>
          <t>2258295010002656</t>
        </is>
      </c>
      <c r="AZ275" t="inlineStr">
        <is>
          <t>BOOK</t>
        </is>
      </c>
      <c r="BB275" t="inlineStr">
        <is>
          <t>9780897892308</t>
        </is>
      </c>
      <c r="BC275" t="inlineStr">
        <is>
          <t>32285000862309</t>
        </is>
      </c>
      <c r="BD275" t="inlineStr">
        <is>
          <t>893602833</t>
        </is>
      </c>
    </row>
    <row r="276">
      <c r="A276" t="inlineStr">
        <is>
          <t>No</t>
        </is>
      </c>
      <c r="B276" t="inlineStr">
        <is>
          <t>HQ1075 .V53 1990</t>
        </is>
      </c>
      <c r="C276" t="inlineStr">
        <is>
          <t>0                      HQ 1075000V  53          1990</t>
        </is>
      </c>
      <c r="D276" t="inlineStr">
        <is>
          <t>Gender inequality : a comparative study of discrimination and participation / Mino Vianello, Renata Siemienska ; foreword by Cynthia Fuchs Epstein.</t>
        </is>
      </c>
      <c r="F276" t="inlineStr">
        <is>
          <t>No</t>
        </is>
      </c>
      <c r="G276" t="inlineStr">
        <is>
          <t>1</t>
        </is>
      </c>
      <c r="H276" t="inlineStr">
        <is>
          <t>No</t>
        </is>
      </c>
      <c r="I276" t="inlineStr">
        <is>
          <t>No</t>
        </is>
      </c>
      <c r="J276" t="inlineStr">
        <is>
          <t>0</t>
        </is>
      </c>
      <c r="K276" t="inlineStr">
        <is>
          <t>Vianello, Mino, 1927-</t>
        </is>
      </c>
      <c r="L276" t="inlineStr">
        <is>
          <t>London ; Newbury Park, Calif. : SAGE, 1990.</t>
        </is>
      </c>
      <c r="M276" t="inlineStr">
        <is>
          <t>1990</t>
        </is>
      </c>
      <c r="O276" t="inlineStr">
        <is>
          <t>eng</t>
        </is>
      </c>
      <c r="P276" t="inlineStr">
        <is>
          <t>enk</t>
        </is>
      </c>
      <c r="Q276" t="inlineStr">
        <is>
          <t>Sage studies in international sociology ; 39</t>
        </is>
      </c>
      <c r="R276" t="inlineStr">
        <is>
          <t xml:space="preserve">HQ </t>
        </is>
      </c>
      <c r="S276" t="n">
        <v>22</v>
      </c>
      <c r="T276" t="n">
        <v>22</v>
      </c>
      <c r="U276" t="inlineStr">
        <is>
          <t>1999-09-08</t>
        </is>
      </c>
      <c r="V276" t="inlineStr">
        <is>
          <t>1999-09-08</t>
        </is>
      </c>
      <c r="W276" t="inlineStr">
        <is>
          <t>1991-02-20</t>
        </is>
      </c>
      <c r="X276" t="inlineStr">
        <is>
          <t>1991-02-20</t>
        </is>
      </c>
      <c r="Y276" t="n">
        <v>371</v>
      </c>
      <c r="Z276" t="n">
        <v>227</v>
      </c>
      <c r="AA276" t="n">
        <v>228</v>
      </c>
      <c r="AB276" t="n">
        <v>3</v>
      </c>
      <c r="AC276" t="n">
        <v>3</v>
      </c>
      <c r="AD276" t="n">
        <v>12</v>
      </c>
      <c r="AE276" t="n">
        <v>12</v>
      </c>
      <c r="AF276" t="n">
        <v>3</v>
      </c>
      <c r="AG276" t="n">
        <v>3</v>
      </c>
      <c r="AH276" t="n">
        <v>4</v>
      </c>
      <c r="AI276" t="n">
        <v>4</v>
      </c>
      <c r="AJ276" t="n">
        <v>6</v>
      </c>
      <c r="AK276" t="n">
        <v>6</v>
      </c>
      <c r="AL276" t="n">
        <v>2</v>
      </c>
      <c r="AM276" t="n">
        <v>2</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HYPERLINK("https://creighton-primo.hosted.exlibrisgroup.com/primo-explore/search?tab=default_tab&amp;search_scope=EVERYTHING&amp;vid=01CRU&amp;lang=en_US&amp;offset=0&amp;query=any,contains,991001754899702656","Catalog Record")</f>
        <v/>
      </c>
      <c r="AT276">
        <f>HYPERLINK("http://www.worldcat.org/oclc/22207615","WorldCat Record")</f>
        <v/>
      </c>
      <c r="AU276" t="inlineStr">
        <is>
          <t>836726172:eng</t>
        </is>
      </c>
      <c r="AV276" t="inlineStr">
        <is>
          <t>22207615</t>
        </is>
      </c>
      <c r="AW276" t="inlineStr">
        <is>
          <t>991001754899702656</t>
        </is>
      </c>
      <c r="AX276" t="inlineStr">
        <is>
          <t>991001754899702656</t>
        </is>
      </c>
      <c r="AY276" t="inlineStr">
        <is>
          <t>2256685840002656</t>
        </is>
      </c>
      <c r="AZ276" t="inlineStr">
        <is>
          <t>BOOK</t>
        </is>
      </c>
      <c r="BB276" t="inlineStr">
        <is>
          <t>9780803982437</t>
        </is>
      </c>
      <c r="BC276" t="inlineStr">
        <is>
          <t>32285000490606</t>
        </is>
      </c>
      <c r="BD276" t="inlineStr">
        <is>
          <t>893232228</t>
        </is>
      </c>
    </row>
    <row r="277">
      <c r="A277" t="inlineStr">
        <is>
          <t>No</t>
        </is>
      </c>
      <c r="B277" t="inlineStr">
        <is>
          <t>HQ1075 .V546 2006</t>
        </is>
      </c>
      <c r="C277" t="inlineStr">
        <is>
          <t>0                      HQ 1075000V  546         2006</t>
        </is>
      </c>
      <c r="D277" t="inlineStr">
        <is>
          <t>Self-made man : one woman's journey into manhood and back again / Norah Vincent.</t>
        </is>
      </c>
      <c r="F277" t="inlineStr">
        <is>
          <t>No</t>
        </is>
      </c>
      <c r="G277" t="inlineStr">
        <is>
          <t>1</t>
        </is>
      </c>
      <c r="H277" t="inlineStr">
        <is>
          <t>No</t>
        </is>
      </c>
      <c r="I277" t="inlineStr">
        <is>
          <t>No</t>
        </is>
      </c>
      <c r="J277" t="inlineStr">
        <is>
          <t>0</t>
        </is>
      </c>
      <c r="K277" t="inlineStr">
        <is>
          <t>Vincent, Norah.</t>
        </is>
      </c>
      <c r="L277" t="inlineStr">
        <is>
          <t>New York : Viking, 2006.</t>
        </is>
      </c>
      <c r="M277" t="inlineStr">
        <is>
          <t>2006</t>
        </is>
      </c>
      <c r="O277" t="inlineStr">
        <is>
          <t>eng</t>
        </is>
      </c>
      <c r="P277" t="inlineStr">
        <is>
          <t>nyu</t>
        </is>
      </c>
      <c r="R277" t="inlineStr">
        <is>
          <t xml:space="preserve">HQ </t>
        </is>
      </c>
      <c r="S277" t="n">
        <v>4</v>
      </c>
      <c r="T277" t="n">
        <v>4</v>
      </c>
      <c r="U277" t="inlineStr">
        <is>
          <t>2006-10-24</t>
        </is>
      </c>
      <c r="V277" t="inlineStr">
        <is>
          <t>2006-10-24</t>
        </is>
      </c>
      <c r="W277" t="inlineStr">
        <is>
          <t>2006-02-01</t>
        </is>
      </c>
      <c r="X277" t="inlineStr">
        <is>
          <t>2006-02-01</t>
        </is>
      </c>
      <c r="Y277" t="n">
        <v>1522</v>
      </c>
      <c r="Z277" t="n">
        <v>1422</v>
      </c>
      <c r="AA277" t="n">
        <v>1466</v>
      </c>
      <c r="AB277" t="n">
        <v>8</v>
      </c>
      <c r="AC277" t="n">
        <v>8</v>
      </c>
      <c r="AD277" t="n">
        <v>28</v>
      </c>
      <c r="AE277" t="n">
        <v>28</v>
      </c>
      <c r="AF277" t="n">
        <v>9</v>
      </c>
      <c r="AG277" t="n">
        <v>9</v>
      </c>
      <c r="AH277" t="n">
        <v>6</v>
      </c>
      <c r="AI277" t="n">
        <v>6</v>
      </c>
      <c r="AJ277" t="n">
        <v>13</v>
      </c>
      <c r="AK277" t="n">
        <v>13</v>
      </c>
      <c r="AL277" t="n">
        <v>5</v>
      </c>
      <c r="AM277" t="n">
        <v>5</v>
      </c>
      <c r="AN277" t="n">
        <v>1</v>
      </c>
      <c r="AO277" t="n">
        <v>1</v>
      </c>
      <c r="AP277" t="inlineStr">
        <is>
          <t>No</t>
        </is>
      </c>
      <c r="AQ277" t="inlineStr">
        <is>
          <t>No</t>
        </is>
      </c>
      <c r="AS277">
        <f>HYPERLINK("https://creighton-primo.hosted.exlibrisgroup.com/primo-explore/search?tab=default_tab&amp;search_scope=EVERYTHING&amp;vid=01CRU&amp;lang=en_US&amp;offset=0&amp;query=any,contains,991004730249702656","Catalog Record")</f>
        <v/>
      </c>
      <c r="AT277">
        <f>HYPERLINK("http://www.worldcat.org/oclc/62089984","WorldCat Record")</f>
        <v/>
      </c>
      <c r="AU277" t="inlineStr">
        <is>
          <t>3373479939:eng</t>
        </is>
      </c>
      <c r="AV277" t="inlineStr">
        <is>
          <t>62089984</t>
        </is>
      </c>
      <c r="AW277" t="inlineStr">
        <is>
          <t>991004730249702656</t>
        </is>
      </c>
      <c r="AX277" t="inlineStr">
        <is>
          <t>991004730249702656</t>
        </is>
      </c>
      <c r="AY277" t="inlineStr">
        <is>
          <t>2270933180002656</t>
        </is>
      </c>
      <c r="AZ277" t="inlineStr">
        <is>
          <t>BOOK</t>
        </is>
      </c>
      <c r="BB277" t="inlineStr">
        <is>
          <t>9780670034666</t>
        </is>
      </c>
      <c r="BC277" t="inlineStr">
        <is>
          <t>32285005158711</t>
        </is>
      </c>
      <c r="BD277" t="inlineStr">
        <is>
          <t>893625022</t>
        </is>
      </c>
    </row>
    <row r="278">
      <c r="A278" t="inlineStr">
        <is>
          <t>No</t>
        </is>
      </c>
      <c r="B278" t="inlineStr">
        <is>
          <t>HQ1075 .W44</t>
        </is>
      </c>
      <c r="C278" t="inlineStr">
        <is>
          <t>0                      HQ 1075000W  44</t>
        </is>
      </c>
      <c r="D278" t="inlineStr">
        <is>
          <t>Sex roles : biological, psychological, and social foundations / Shirley Weitz.</t>
        </is>
      </c>
      <c r="F278" t="inlineStr">
        <is>
          <t>No</t>
        </is>
      </c>
      <c r="G278" t="inlineStr">
        <is>
          <t>1</t>
        </is>
      </c>
      <c r="H278" t="inlineStr">
        <is>
          <t>No</t>
        </is>
      </c>
      <c r="I278" t="inlineStr">
        <is>
          <t>No</t>
        </is>
      </c>
      <c r="J278" t="inlineStr">
        <is>
          <t>0</t>
        </is>
      </c>
      <c r="K278" t="inlineStr">
        <is>
          <t>Weitz, Shirley.</t>
        </is>
      </c>
      <c r="L278" t="inlineStr">
        <is>
          <t>New York : Oxford University Press, 1977.</t>
        </is>
      </c>
      <c r="M278" t="inlineStr">
        <is>
          <t>1977</t>
        </is>
      </c>
      <c r="O278" t="inlineStr">
        <is>
          <t>eng</t>
        </is>
      </c>
      <c r="P278" t="inlineStr">
        <is>
          <t>nyu</t>
        </is>
      </c>
      <c r="R278" t="inlineStr">
        <is>
          <t xml:space="preserve">HQ </t>
        </is>
      </c>
      <c r="S278" t="n">
        <v>7</v>
      </c>
      <c r="T278" t="n">
        <v>7</v>
      </c>
      <c r="U278" t="inlineStr">
        <is>
          <t>2000-10-30</t>
        </is>
      </c>
      <c r="V278" t="inlineStr">
        <is>
          <t>2000-10-30</t>
        </is>
      </c>
      <c r="W278" t="inlineStr">
        <is>
          <t>1991-02-19</t>
        </is>
      </c>
      <c r="X278" t="inlineStr">
        <is>
          <t>1991-02-19</t>
        </is>
      </c>
      <c r="Y278" t="n">
        <v>756</v>
      </c>
      <c r="Z278" t="n">
        <v>603</v>
      </c>
      <c r="AA278" t="n">
        <v>637</v>
      </c>
      <c r="AB278" t="n">
        <v>4</v>
      </c>
      <c r="AC278" t="n">
        <v>4</v>
      </c>
      <c r="AD278" t="n">
        <v>26</v>
      </c>
      <c r="AE278" t="n">
        <v>26</v>
      </c>
      <c r="AF278" t="n">
        <v>10</v>
      </c>
      <c r="AG278" t="n">
        <v>10</v>
      </c>
      <c r="AH278" t="n">
        <v>7</v>
      </c>
      <c r="AI278" t="n">
        <v>7</v>
      </c>
      <c r="AJ278" t="n">
        <v>15</v>
      </c>
      <c r="AK278" t="n">
        <v>15</v>
      </c>
      <c r="AL278" t="n">
        <v>2</v>
      </c>
      <c r="AM278" t="n">
        <v>2</v>
      </c>
      <c r="AN278" t="n">
        <v>0</v>
      </c>
      <c r="AO278" t="n">
        <v>0</v>
      </c>
      <c r="AP278" t="inlineStr">
        <is>
          <t>No</t>
        </is>
      </c>
      <c r="AQ278" t="inlineStr">
        <is>
          <t>Yes</t>
        </is>
      </c>
      <c r="AR278">
        <f>HYPERLINK("http://catalog.hathitrust.org/Record/000085432","HathiTrust Record")</f>
        <v/>
      </c>
      <c r="AS278">
        <f>HYPERLINK("https://creighton-primo.hosted.exlibrisgroup.com/primo-explore/search?tab=default_tab&amp;search_scope=EVERYTHING&amp;vid=01CRU&amp;lang=en_US&amp;offset=0&amp;query=any,contains,991004293929702656","Catalog Record")</f>
        <v/>
      </c>
      <c r="AT278">
        <f>HYPERLINK("http://www.worldcat.org/oclc/2957957","WorldCat Record")</f>
        <v/>
      </c>
      <c r="AU278" t="inlineStr">
        <is>
          <t>196182680:eng</t>
        </is>
      </c>
      <c r="AV278" t="inlineStr">
        <is>
          <t>2957957</t>
        </is>
      </c>
      <c r="AW278" t="inlineStr">
        <is>
          <t>991004293929702656</t>
        </is>
      </c>
      <c r="AX278" t="inlineStr">
        <is>
          <t>991004293929702656</t>
        </is>
      </c>
      <c r="AY278" t="inlineStr">
        <is>
          <t>2267996080002656</t>
        </is>
      </c>
      <c r="AZ278" t="inlineStr">
        <is>
          <t>BOOK</t>
        </is>
      </c>
      <c r="BB278" t="inlineStr">
        <is>
          <t>9780195021882</t>
        </is>
      </c>
      <c r="BC278" t="inlineStr">
        <is>
          <t>32285000497627</t>
        </is>
      </c>
      <c r="BD278" t="inlineStr">
        <is>
          <t>893535898</t>
        </is>
      </c>
    </row>
    <row r="279">
      <c r="A279" t="inlineStr">
        <is>
          <t>No</t>
        </is>
      </c>
      <c r="B279" t="inlineStr">
        <is>
          <t>HQ1075 .W48 1986</t>
        </is>
      </c>
      <c r="C279" t="inlineStr">
        <is>
          <t>0                      HQ 1075000W  48          1986</t>
        </is>
      </c>
      <c r="D279" t="inlineStr">
        <is>
          <t>Sex role changes : technology, politics, and policy / Marcia Lynn Whicker and Jennie Jacobs Kronenfeld.</t>
        </is>
      </c>
      <c r="F279" t="inlineStr">
        <is>
          <t>No</t>
        </is>
      </c>
      <c r="G279" t="inlineStr">
        <is>
          <t>1</t>
        </is>
      </c>
      <c r="H279" t="inlineStr">
        <is>
          <t>No</t>
        </is>
      </c>
      <c r="I279" t="inlineStr">
        <is>
          <t>No</t>
        </is>
      </c>
      <c r="J279" t="inlineStr">
        <is>
          <t>0</t>
        </is>
      </c>
      <c r="K279" t="inlineStr">
        <is>
          <t>Whicker, Marcia Lynn.</t>
        </is>
      </c>
      <c r="L279" t="inlineStr">
        <is>
          <t>New York : Praeger, 1986.</t>
        </is>
      </c>
      <c r="M279" t="inlineStr">
        <is>
          <t>1985</t>
        </is>
      </c>
      <c r="O279" t="inlineStr">
        <is>
          <t>eng</t>
        </is>
      </c>
      <c r="P279" t="inlineStr">
        <is>
          <t>nyu</t>
        </is>
      </c>
      <c r="R279" t="inlineStr">
        <is>
          <t xml:space="preserve">HQ </t>
        </is>
      </c>
      <c r="S279" t="n">
        <v>8</v>
      </c>
      <c r="T279" t="n">
        <v>8</v>
      </c>
      <c r="U279" t="inlineStr">
        <is>
          <t>2008-10-17</t>
        </is>
      </c>
      <c r="V279" t="inlineStr">
        <is>
          <t>2008-10-17</t>
        </is>
      </c>
      <c r="W279" t="inlineStr">
        <is>
          <t>1991-12-13</t>
        </is>
      </c>
      <c r="X279" t="inlineStr">
        <is>
          <t>1991-12-13</t>
        </is>
      </c>
      <c r="Y279" t="n">
        <v>407</v>
      </c>
      <c r="Z279" t="n">
        <v>367</v>
      </c>
      <c r="AA279" t="n">
        <v>386</v>
      </c>
      <c r="AB279" t="n">
        <v>2</v>
      </c>
      <c r="AC279" t="n">
        <v>2</v>
      </c>
      <c r="AD279" t="n">
        <v>13</v>
      </c>
      <c r="AE279" t="n">
        <v>13</v>
      </c>
      <c r="AF279" t="n">
        <v>5</v>
      </c>
      <c r="AG279" t="n">
        <v>5</v>
      </c>
      <c r="AH279" t="n">
        <v>5</v>
      </c>
      <c r="AI279" t="n">
        <v>5</v>
      </c>
      <c r="AJ279" t="n">
        <v>8</v>
      </c>
      <c r="AK279" t="n">
        <v>8</v>
      </c>
      <c r="AL279" t="n">
        <v>1</v>
      </c>
      <c r="AM279" t="n">
        <v>1</v>
      </c>
      <c r="AN279" t="n">
        <v>0</v>
      </c>
      <c r="AO279" t="n">
        <v>0</v>
      </c>
      <c r="AP279" t="inlineStr">
        <is>
          <t>No</t>
        </is>
      </c>
      <c r="AQ279" t="inlineStr">
        <is>
          <t>Yes</t>
        </is>
      </c>
      <c r="AR279">
        <f>HYPERLINK("http://catalog.hathitrust.org/Record/000359688","HathiTrust Record")</f>
        <v/>
      </c>
      <c r="AS279">
        <f>HYPERLINK("https://creighton-primo.hosted.exlibrisgroup.com/primo-explore/search?tab=default_tab&amp;search_scope=EVERYTHING&amp;vid=01CRU&amp;lang=en_US&amp;offset=0&amp;query=any,contains,991000668579702656","Catalog Record")</f>
        <v/>
      </c>
      <c r="AT279">
        <f>HYPERLINK("http://www.worldcat.org/oclc/12311973","WorldCat Record")</f>
        <v/>
      </c>
      <c r="AU279" t="inlineStr">
        <is>
          <t>2557362:eng</t>
        </is>
      </c>
      <c r="AV279" t="inlineStr">
        <is>
          <t>12311973</t>
        </is>
      </c>
      <c r="AW279" t="inlineStr">
        <is>
          <t>991000668579702656</t>
        </is>
      </c>
      <c r="AX279" t="inlineStr">
        <is>
          <t>991000668579702656</t>
        </is>
      </c>
      <c r="AY279" t="inlineStr">
        <is>
          <t>2271888040002656</t>
        </is>
      </c>
      <c r="AZ279" t="inlineStr">
        <is>
          <t>BOOK</t>
        </is>
      </c>
      <c r="BB279" t="inlineStr">
        <is>
          <t>9780030012938</t>
        </is>
      </c>
      <c r="BC279" t="inlineStr">
        <is>
          <t>32285000890821</t>
        </is>
      </c>
      <c r="BD279" t="inlineStr">
        <is>
          <t>893502688</t>
        </is>
      </c>
    </row>
    <row r="280">
      <c r="A280" t="inlineStr">
        <is>
          <t>No</t>
        </is>
      </c>
      <c r="B280" t="inlineStr">
        <is>
          <t>HQ1075 .W526 2001</t>
        </is>
      </c>
      <c r="C280" t="inlineStr">
        <is>
          <t>0                      HQ 1075000W  526         2001</t>
        </is>
      </c>
      <c r="D280" t="inlineStr">
        <is>
          <t>Gender in history / Merry E. Wiesner-Hanks.</t>
        </is>
      </c>
      <c r="F280" t="inlineStr">
        <is>
          <t>No</t>
        </is>
      </c>
      <c r="G280" t="inlineStr">
        <is>
          <t>1</t>
        </is>
      </c>
      <c r="H280" t="inlineStr">
        <is>
          <t>No</t>
        </is>
      </c>
      <c r="I280" t="inlineStr">
        <is>
          <t>No</t>
        </is>
      </c>
      <c r="J280" t="inlineStr">
        <is>
          <t>0</t>
        </is>
      </c>
      <c r="K280" t="inlineStr">
        <is>
          <t>Wiesner, Merry E., 1952-</t>
        </is>
      </c>
      <c r="L280" t="inlineStr">
        <is>
          <t>Malden, Mass. : Blackwell, 2001.</t>
        </is>
      </c>
      <c r="M280" t="inlineStr">
        <is>
          <t>2001</t>
        </is>
      </c>
      <c r="O280" t="inlineStr">
        <is>
          <t>eng</t>
        </is>
      </c>
      <c r="P280" t="inlineStr">
        <is>
          <t>mau</t>
        </is>
      </c>
      <c r="Q280" t="inlineStr">
        <is>
          <t>New perspectives on the past</t>
        </is>
      </c>
      <c r="R280" t="inlineStr">
        <is>
          <t xml:space="preserve">HQ </t>
        </is>
      </c>
      <c r="S280" t="n">
        <v>14</v>
      </c>
      <c r="T280" t="n">
        <v>14</v>
      </c>
      <c r="U280" t="inlineStr">
        <is>
          <t>2010-11-01</t>
        </is>
      </c>
      <c r="V280" t="inlineStr">
        <is>
          <t>2010-11-01</t>
        </is>
      </c>
      <c r="W280" t="inlineStr">
        <is>
          <t>2003-05-22</t>
        </is>
      </c>
      <c r="X280" t="inlineStr">
        <is>
          <t>2003-05-22</t>
        </is>
      </c>
      <c r="Y280" t="n">
        <v>750</v>
      </c>
      <c r="Z280" t="n">
        <v>594</v>
      </c>
      <c r="AA280" t="n">
        <v>750</v>
      </c>
      <c r="AB280" t="n">
        <v>4</v>
      </c>
      <c r="AC280" t="n">
        <v>5</v>
      </c>
      <c r="AD280" t="n">
        <v>30</v>
      </c>
      <c r="AE280" t="n">
        <v>37</v>
      </c>
      <c r="AF280" t="n">
        <v>11</v>
      </c>
      <c r="AG280" t="n">
        <v>14</v>
      </c>
      <c r="AH280" t="n">
        <v>8</v>
      </c>
      <c r="AI280" t="n">
        <v>9</v>
      </c>
      <c r="AJ280" t="n">
        <v>16</v>
      </c>
      <c r="AK280" t="n">
        <v>18</v>
      </c>
      <c r="AL280" t="n">
        <v>3</v>
      </c>
      <c r="AM280" t="n">
        <v>4</v>
      </c>
      <c r="AN280" t="n">
        <v>0</v>
      </c>
      <c r="AO280" t="n">
        <v>1</v>
      </c>
      <c r="AP280" t="inlineStr">
        <is>
          <t>No</t>
        </is>
      </c>
      <c r="AQ280" t="inlineStr">
        <is>
          <t>No</t>
        </is>
      </c>
      <c r="AS280">
        <f>HYPERLINK("https://creighton-primo.hosted.exlibrisgroup.com/primo-explore/search?tab=default_tab&amp;search_scope=EVERYTHING&amp;vid=01CRU&amp;lang=en_US&amp;offset=0&amp;query=any,contains,991004050629702656","Catalog Record")</f>
        <v/>
      </c>
      <c r="AT280">
        <f>HYPERLINK("http://www.worldcat.org/oclc/45618208","WorldCat Record")</f>
        <v/>
      </c>
      <c r="AU280" t="inlineStr">
        <is>
          <t>796415003:eng</t>
        </is>
      </c>
      <c r="AV280" t="inlineStr">
        <is>
          <t>45618208</t>
        </is>
      </c>
      <c r="AW280" t="inlineStr">
        <is>
          <t>991004050629702656</t>
        </is>
      </c>
      <c r="AX280" t="inlineStr">
        <is>
          <t>991004050629702656</t>
        </is>
      </c>
      <c r="AY280" t="inlineStr">
        <is>
          <t>2258715270002656</t>
        </is>
      </c>
      <c r="AZ280" t="inlineStr">
        <is>
          <t>BOOK</t>
        </is>
      </c>
      <c r="BB280" t="inlineStr">
        <is>
          <t>9780631210351</t>
        </is>
      </c>
      <c r="BC280" t="inlineStr">
        <is>
          <t>32285004748959</t>
        </is>
      </c>
      <c r="BD280" t="inlineStr">
        <is>
          <t>893699777</t>
        </is>
      </c>
    </row>
    <row r="281">
      <c r="A281" t="inlineStr">
        <is>
          <t>No</t>
        </is>
      </c>
      <c r="B281" t="inlineStr">
        <is>
          <t>HQ1075 .W53 1990</t>
        </is>
      </c>
      <c r="C281" t="inlineStr">
        <is>
          <t>0                      HQ 1075000W  53          1990</t>
        </is>
      </c>
      <c r="D281" t="inlineStr">
        <is>
          <t>Sex and psyche : gender and self viewed cross-culturally / John E. Williams, Deborah L. Best.</t>
        </is>
      </c>
      <c r="F281" t="inlineStr">
        <is>
          <t>No</t>
        </is>
      </c>
      <c r="G281" t="inlineStr">
        <is>
          <t>1</t>
        </is>
      </c>
      <c r="H281" t="inlineStr">
        <is>
          <t>No</t>
        </is>
      </c>
      <c r="I281" t="inlineStr">
        <is>
          <t>No</t>
        </is>
      </c>
      <c r="J281" t="inlineStr">
        <is>
          <t>0</t>
        </is>
      </c>
      <c r="K281" t="inlineStr">
        <is>
          <t>Williams, John E., 1928-</t>
        </is>
      </c>
      <c r="L281" t="inlineStr">
        <is>
          <t>Newbury Park, CA : Sage Publications, c1990.</t>
        </is>
      </c>
      <c r="M281" t="inlineStr">
        <is>
          <t>1990</t>
        </is>
      </c>
      <c r="O281" t="inlineStr">
        <is>
          <t>eng</t>
        </is>
      </c>
      <c r="P281" t="inlineStr">
        <is>
          <t>cau</t>
        </is>
      </c>
      <c r="Q281" t="inlineStr">
        <is>
          <t>Cross-cultural research and methodology series ; v. 13</t>
        </is>
      </c>
      <c r="R281" t="inlineStr">
        <is>
          <t xml:space="preserve">HQ </t>
        </is>
      </c>
      <c r="S281" t="n">
        <v>12</v>
      </c>
      <c r="T281" t="n">
        <v>12</v>
      </c>
      <c r="U281" t="inlineStr">
        <is>
          <t>2006-04-08</t>
        </is>
      </c>
      <c r="V281" t="inlineStr">
        <is>
          <t>2006-04-08</t>
        </is>
      </c>
      <c r="W281" t="inlineStr">
        <is>
          <t>1994-09-19</t>
        </is>
      </c>
      <c r="X281" t="inlineStr">
        <is>
          <t>1994-09-19</t>
        </is>
      </c>
      <c r="Y281" t="n">
        <v>549</v>
      </c>
      <c r="Z281" t="n">
        <v>431</v>
      </c>
      <c r="AA281" t="n">
        <v>438</v>
      </c>
      <c r="AB281" t="n">
        <v>4</v>
      </c>
      <c r="AC281" t="n">
        <v>4</v>
      </c>
      <c r="AD281" t="n">
        <v>26</v>
      </c>
      <c r="AE281" t="n">
        <v>26</v>
      </c>
      <c r="AF281" t="n">
        <v>10</v>
      </c>
      <c r="AG281" t="n">
        <v>10</v>
      </c>
      <c r="AH281" t="n">
        <v>8</v>
      </c>
      <c r="AI281" t="n">
        <v>8</v>
      </c>
      <c r="AJ281" t="n">
        <v>13</v>
      </c>
      <c r="AK281" t="n">
        <v>13</v>
      </c>
      <c r="AL281" t="n">
        <v>3</v>
      </c>
      <c r="AM281" t="n">
        <v>3</v>
      </c>
      <c r="AN281" t="n">
        <v>0</v>
      </c>
      <c r="AO281" t="n">
        <v>0</v>
      </c>
      <c r="AP281" t="inlineStr">
        <is>
          <t>No</t>
        </is>
      </c>
      <c r="AQ281" t="inlineStr">
        <is>
          <t>Yes</t>
        </is>
      </c>
      <c r="AR281">
        <f>HYPERLINK("http://catalog.hathitrust.org/Record/002057412","HathiTrust Record")</f>
        <v/>
      </c>
      <c r="AS281">
        <f>HYPERLINK("https://creighton-primo.hosted.exlibrisgroup.com/primo-explore/search?tab=default_tab&amp;search_scope=EVERYTHING&amp;vid=01CRU&amp;lang=en_US&amp;offset=0&amp;query=any,contains,991001653849702656","Catalog Record")</f>
        <v/>
      </c>
      <c r="AT281">
        <f>HYPERLINK("http://www.worldcat.org/oclc/21117200","WorldCat Record")</f>
        <v/>
      </c>
      <c r="AU281" t="inlineStr">
        <is>
          <t>889645565:eng</t>
        </is>
      </c>
      <c r="AV281" t="inlineStr">
        <is>
          <t>21117200</t>
        </is>
      </c>
      <c r="AW281" t="inlineStr">
        <is>
          <t>991001653849702656</t>
        </is>
      </c>
      <c r="AX281" t="inlineStr">
        <is>
          <t>991001653849702656</t>
        </is>
      </c>
      <c r="AY281" t="inlineStr">
        <is>
          <t>2263915250002656</t>
        </is>
      </c>
      <c r="AZ281" t="inlineStr">
        <is>
          <t>BOOK</t>
        </is>
      </c>
      <c r="BB281" t="inlineStr">
        <is>
          <t>9780803937697</t>
        </is>
      </c>
      <c r="BC281" t="inlineStr">
        <is>
          <t>32285001946606</t>
        </is>
      </c>
      <c r="BD281" t="inlineStr">
        <is>
          <t>893803781</t>
        </is>
      </c>
    </row>
    <row r="282">
      <c r="A282" t="inlineStr">
        <is>
          <t>No</t>
        </is>
      </c>
      <c r="B282" t="inlineStr">
        <is>
          <t>HQ1075 .W55 1989</t>
        </is>
      </c>
      <c r="C282" t="inlineStr">
        <is>
          <t>0                      HQ 1075000W  55          1989</t>
        </is>
      </c>
      <c r="D282" t="inlineStr">
        <is>
          <t>Sex and gender : making cultural sense of civilization / H.T. Wilson.</t>
        </is>
      </c>
      <c r="F282" t="inlineStr">
        <is>
          <t>No</t>
        </is>
      </c>
      <c r="G282" t="inlineStr">
        <is>
          <t>1</t>
        </is>
      </c>
      <c r="H282" t="inlineStr">
        <is>
          <t>No</t>
        </is>
      </c>
      <c r="I282" t="inlineStr">
        <is>
          <t>No</t>
        </is>
      </c>
      <c r="J282" t="inlineStr">
        <is>
          <t>0</t>
        </is>
      </c>
      <c r="K282" t="inlineStr">
        <is>
          <t>Wilson, H. T.</t>
        </is>
      </c>
      <c r="L282" t="inlineStr">
        <is>
          <t>Leiden [Netherlands] ; New York : E.J. Brill, 1989.</t>
        </is>
      </c>
      <c r="M282" t="inlineStr">
        <is>
          <t>1989</t>
        </is>
      </c>
      <c r="O282" t="inlineStr">
        <is>
          <t>eng</t>
        </is>
      </c>
      <c r="P282" t="inlineStr">
        <is>
          <t xml:space="preserve">ne </t>
        </is>
      </c>
      <c r="Q282" t="inlineStr">
        <is>
          <t>Monographs and theoretical studies in sociology and anthropology in honour of Nels Anderson, 0169-9202 ; publication 24</t>
        </is>
      </c>
      <c r="R282" t="inlineStr">
        <is>
          <t xml:space="preserve">HQ </t>
        </is>
      </c>
      <c r="S282" t="n">
        <v>6</v>
      </c>
      <c r="T282" t="n">
        <v>6</v>
      </c>
      <c r="U282" t="inlineStr">
        <is>
          <t>1998-10-16</t>
        </is>
      </c>
      <c r="V282" t="inlineStr">
        <is>
          <t>1998-10-16</t>
        </is>
      </c>
      <c r="W282" t="inlineStr">
        <is>
          <t>1989-12-05</t>
        </is>
      </c>
      <c r="X282" t="inlineStr">
        <is>
          <t>1989-12-05</t>
        </is>
      </c>
      <c r="Y282" t="n">
        <v>123</v>
      </c>
      <c r="Z282" t="n">
        <v>93</v>
      </c>
      <c r="AA282" t="n">
        <v>113</v>
      </c>
      <c r="AB282" t="n">
        <v>3</v>
      </c>
      <c r="AC282" t="n">
        <v>3</v>
      </c>
      <c r="AD282" t="n">
        <v>6</v>
      </c>
      <c r="AE282" t="n">
        <v>6</v>
      </c>
      <c r="AF282" t="n">
        <v>0</v>
      </c>
      <c r="AG282" t="n">
        <v>0</v>
      </c>
      <c r="AH282" t="n">
        <v>1</v>
      </c>
      <c r="AI282" t="n">
        <v>1</v>
      </c>
      <c r="AJ282" t="n">
        <v>3</v>
      </c>
      <c r="AK282" t="n">
        <v>3</v>
      </c>
      <c r="AL282" t="n">
        <v>2</v>
      </c>
      <c r="AM282" t="n">
        <v>2</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HYPERLINK("https://creighton-primo.hosted.exlibrisgroup.com/primo-explore/search?tab=default_tab&amp;search_scope=EVERYTHING&amp;vid=01CRU&amp;lang=en_US&amp;offset=0&amp;query=any,contains,991001291149702656","Catalog Record")</f>
        <v/>
      </c>
      <c r="AT282">
        <f>HYPERLINK("http://www.worldcat.org/oclc/17983688","WorldCat Record")</f>
        <v/>
      </c>
      <c r="AU282" t="inlineStr">
        <is>
          <t>889809560:eng</t>
        </is>
      </c>
      <c r="AV282" t="inlineStr">
        <is>
          <t>17983688</t>
        </is>
      </c>
      <c r="AW282" t="inlineStr">
        <is>
          <t>991001291149702656</t>
        </is>
      </c>
      <c r="AX282" t="inlineStr">
        <is>
          <t>991001291149702656</t>
        </is>
      </c>
      <c r="AY282" t="inlineStr">
        <is>
          <t>2258836620002656</t>
        </is>
      </c>
      <c r="AZ282" t="inlineStr">
        <is>
          <t>BOOK</t>
        </is>
      </c>
      <c r="BB282" t="inlineStr">
        <is>
          <t>9789004085466</t>
        </is>
      </c>
      <c r="BC282" t="inlineStr">
        <is>
          <t>32285000017037</t>
        </is>
      </c>
      <c r="BD282" t="inlineStr">
        <is>
          <t>893503295</t>
        </is>
      </c>
    </row>
    <row r="283">
      <c r="A283" t="inlineStr">
        <is>
          <t>No</t>
        </is>
      </c>
      <c r="B283" t="inlineStr">
        <is>
          <t>HQ1075 .W66</t>
        </is>
      </c>
      <c r="C283" t="inlineStr">
        <is>
          <t>0                      HQ 1075000W  66</t>
        </is>
      </c>
      <c r="D283" t="inlineStr">
        <is>
          <t>Women and men : traditions and trends / edited by Suzanne Fremon.</t>
        </is>
      </c>
      <c r="F283" t="inlineStr">
        <is>
          <t>No</t>
        </is>
      </c>
      <c r="G283" t="inlineStr">
        <is>
          <t>1</t>
        </is>
      </c>
      <c r="H283" t="inlineStr">
        <is>
          <t>No</t>
        </is>
      </c>
      <c r="I283" t="inlineStr">
        <is>
          <t>No</t>
        </is>
      </c>
      <c r="J283" t="inlineStr">
        <is>
          <t>0</t>
        </is>
      </c>
      <c r="L283" t="inlineStr">
        <is>
          <t>New York : H. W. Wilson, 1977.</t>
        </is>
      </c>
      <c r="M283" t="inlineStr">
        <is>
          <t>1977</t>
        </is>
      </c>
      <c r="O283" t="inlineStr">
        <is>
          <t>eng</t>
        </is>
      </c>
      <c r="P283" t="inlineStr">
        <is>
          <t>nyu</t>
        </is>
      </c>
      <c r="Q283" t="inlineStr">
        <is>
          <t>The Reference Shelf ; v. 49, no.5</t>
        </is>
      </c>
      <c r="R283" t="inlineStr">
        <is>
          <t xml:space="preserve">HQ </t>
        </is>
      </c>
      <c r="S283" t="n">
        <v>7</v>
      </c>
      <c r="T283" t="n">
        <v>7</v>
      </c>
      <c r="U283" t="inlineStr">
        <is>
          <t>2000-12-01</t>
        </is>
      </c>
      <c r="V283" t="inlineStr">
        <is>
          <t>2000-12-01</t>
        </is>
      </c>
      <c r="W283" t="inlineStr">
        <is>
          <t>1992-04-07</t>
        </is>
      </c>
      <c r="X283" t="inlineStr">
        <is>
          <t>1992-04-07</t>
        </is>
      </c>
      <c r="Y283" t="n">
        <v>1110</v>
      </c>
      <c r="Z283" t="n">
        <v>1063</v>
      </c>
      <c r="AA283" t="n">
        <v>1071</v>
      </c>
      <c r="AB283" t="n">
        <v>11</v>
      </c>
      <c r="AC283" t="n">
        <v>11</v>
      </c>
      <c r="AD283" t="n">
        <v>36</v>
      </c>
      <c r="AE283" t="n">
        <v>36</v>
      </c>
      <c r="AF283" t="n">
        <v>16</v>
      </c>
      <c r="AG283" t="n">
        <v>16</v>
      </c>
      <c r="AH283" t="n">
        <v>5</v>
      </c>
      <c r="AI283" t="n">
        <v>5</v>
      </c>
      <c r="AJ283" t="n">
        <v>18</v>
      </c>
      <c r="AK283" t="n">
        <v>18</v>
      </c>
      <c r="AL283" t="n">
        <v>5</v>
      </c>
      <c r="AM283" t="n">
        <v>5</v>
      </c>
      <c r="AN283" t="n">
        <v>0</v>
      </c>
      <c r="AO283" t="n">
        <v>0</v>
      </c>
      <c r="AP283" t="inlineStr">
        <is>
          <t>No</t>
        </is>
      </c>
      <c r="AQ283" t="inlineStr">
        <is>
          <t>Yes</t>
        </is>
      </c>
      <c r="AR283">
        <f>HYPERLINK("http://catalog.hathitrust.org/Record/000750879","HathiTrust Record")</f>
        <v/>
      </c>
      <c r="AS283">
        <f>HYPERLINK("https://creighton-primo.hosted.exlibrisgroup.com/primo-explore/search?tab=default_tab&amp;search_scope=EVERYTHING&amp;vid=01CRU&amp;lang=en_US&amp;offset=0&amp;query=any,contains,991004420769702656","Catalog Record")</f>
        <v/>
      </c>
      <c r="AT283">
        <f>HYPERLINK("http://www.worldcat.org/oclc/3380461","WorldCat Record")</f>
        <v/>
      </c>
      <c r="AU283" t="inlineStr">
        <is>
          <t>907954086:eng</t>
        </is>
      </c>
      <c r="AV283" t="inlineStr">
        <is>
          <t>3380461</t>
        </is>
      </c>
      <c r="AW283" t="inlineStr">
        <is>
          <t>991004420769702656</t>
        </is>
      </c>
      <c r="AX283" t="inlineStr">
        <is>
          <t>991004420769702656</t>
        </is>
      </c>
      <c r="AY283" t="inlineStr">
        <is>
          <t>2272556930002656</t>
        </is>
      </c>
      <c r="AZ283" t="inlineStr">
        <is>
          <t>BOOK</t>
        </is>
      </c>
      <c r="BB283" t="inlineStr">
        <is>
          <t>9780824206079</t>
        </is>
      </c>
      <c r="BC283" t="inlineStr">
        <is>
          <t>32285001055390</t>
        </is>
      </c>
      <c r="BD283" t="inlineStr">
        <is>
          <t>893776003</t>
        </is>
      </c>
    </row>
    <row r="284">
      <c r="A284" t="inlineStr">
        <is>
          <t>No</t>
        </is>
      </c>
      <c r="B284" t="inlineStr">
        <is>
          <t>HQ1075.5.A35 R43 2005</t>
        </is>
      </c>
      <c r="C284" t="inlineStr">
        <is>
          <t>0                      HQ 1075500A  35                 R  43          2005</t>
        </is>
      </c>
      <c r="D284" t="inlineStr">
        <is>
          <t>Readings in gender in Africa / edited by Andrea Cornwall.</t>
        </is>
      </c>
      <c r="F284" t="inlineStr">
        <is>
          <t>No</t>
        </is>
      </c>
      <c r="G284" t="inlineStr">
        <is>
          <t>1</t>
        </is>
      </c>
      <c r="H284" t="inlineStr">
        <is>
          <t>No</t>
        </is>
      </c>
      <c r="I284" t="inlineStr">
        <is>
          <t>No</t>
        </is>
      </c>
      <c r="J284" t="inlineStr">
        <is>
          <t>0</t>
        </is>
      </c>
      <c r="L284" t="inlineStr">
        <is>
          <t>Bloomington : Indiana University Press ; Oxford : James Currey, 2005.</t>
        </is>
      </c>
      <c r="M284" t="inlineStr">
        <is>
          <t>2005</t>
        </is>
      </c>
      <c r="O284" t="inlineStr">
        <is>
          <t>eng</t>
        </is>
      </c>
      <c r="P284" t="inlineStr">
        <is>
          <t>inu</t>
        </is>
      </c>
      <c r="R284" t="inlineStr">
        <is>
          <t xml:space="preserve">HQ </t>
        </is>
      </c>
      <c r="S284" t="n">
        <v>5</v>
      </c>
      <c r="T284" t="n">
        <v>5</v>
      </c>
      <c r="U284" t="inlineStr">
        <is>
          <t>2008-10-01</t>
        </is>
      </c>
      <c r="V284" t="inlineStr">
        <is>
          <t>2008-10-01</t>
        </is>
      </c>
      <c r="W284" t="inlineStr">
        <is>
          <t>2006-07-31</t>
        </is>
      </c>
      <c r="X284" t="inlineStr">
        <is>
          <t>2006-07-31</t>
        </is>
      </c>
      <c r="Y284" t="n">
        <v>346</v>
      </c>
      <c r="Z284" t="n">
        <v>256</v>
      </c>
      <c r="AA284" t="n">
        <v>427</v>
      </c>
      <c r="AB284" t="n">
        <v>2</v>
      </c>
      <c r="AC284" t="n">
        <v>4</v>
      </c>
      <c r="AD284" t="n">
        <v>16</v>
      </c>
      <c r="AE284" t="n">
        <v>29</v>
      </c>
      <c r="AF284" t="n">
        <v>6</v>
      </c>
      <c r="AG284" t="n">
        <v>11</v>
      </c>
      <c r="AH284" t="n">
        <v>6</v>
      </c>
      <c r="AI284" t="n">
        <v>10</v>
      </c>
      <c r="AJ284" t="n">
        <v>9</v>
      </c>
      <c r="AK284" t="n">
        <v>14</v>
      </c>
      <c r="AL284" t="n">
        <v>1</v>
      </c>
      <c r="AM284" t="n">
        <v>3</v>
      </c>
      <c r="AN284" t="n">
        <v>0</v>
      </c>
      <c r="AO284" t="n">
        <v>0</v>
      </c>
      <c r="AP284" t="inlineStr">
        <is>
          <t>No</t>
        </is>
      </c>
      <c r="AQ284" t="inlineStr">
        <is>
          <t>Yes</t>
        </is>
      </c>
      <c r="AR284">
        <f>HYPERLINK("http://catalog.hathitrust.org/Record/004949909","HathiTrust Record")</f>
        <v/>
      </c>
      <c r="AS284">
        <f>HYPERLINK("https://creighton-primo.hosted.exlibrisgroup.com/primo-explore/search?tab=default_tab&amp;search_scope=EVERYTHING&amp;vid=01CRU&amp;lang=en_US&amp;offset=0&amp;query=any,contains,991004769269702656","Catalog Record")</f>
        <v/>
      </c>
      <c r="AT284">
        <f>HYPERLINK("http://www.worldcat.org/oclc/56650797","WorldCat Record")</f>
        <v/>
      </c>
      <c r="AU284" t="inlineStr">
        <is>
          <t>367904353:eng</t>
        </is>
      </c>
      <c r="AV284" t="inlineStr">
        <is>
          <t>56650797</t>
        </is>
      </c>
      <c r="AW284" t="inlineStr">
        <is>
          <t>991004769269702656</t>
        </is>
      </c>
      <c r="AX284" t="inlineStr">
        <is>
          <t>991004769269702656</t>
        </is>
      </c>
      <c r="AY284" t="inlineStr">
        <is>
          <t>2255527830002656</t>
        </is>
      </c>
      <c r="AZ284" t="inlineStr">
        <is>
          <t>BOOK</t>
        </is>
      </c>
      <c r="BB284" t="inlineStr">
        <is>
          <t>9780253217400</t>
        </is>
      </c>
      <c r="BC284" t="inlineStr">
        <is>
          <t>32285005198345</t>
        </is>
      </c>
      <c r="BD284" t="inlineStr">
        <is>
          <t>893776410</t>
        </is>
      </c>
    </row>
    <row r="285">
      <c r="A285" t="inlineStr">
        <is>
          <t>No</t>
        </is>
      </c>
      <c r="B285" t="inlineStr">
        <is>
          <t>HQ1075.5.A35 R48 2005</t>
        </is>
      </c>
      <c r="C285" t="inlineStr">
        <is>
          <t>0                      HQ 1075500A  35                 R  48          2005</t>
        </is>
      </c>
      <c r="D285" t="inlineStr">
        <is>
          <t>Re-thinking sexualities in Africa / edited by Signe Arnfred.</t>
        </is>
      </c>
      <c r="F285" t="inlineStr">
        <is>
          <t>No</t>
        </is>
      </c>
      <c r="G285" t="inlineStr">
        <is>
          <t>1</t>
        </is>
      </c>
      <c r="H285" t="inlineStr">
        <is>
          <t>No</t>
        </is>
      </c>
      <c r="I285" t="inlineStr">
        <is>
          <t>No</t>
        </is>
      </c>
      <c r="J285" t="inlineStr">
        <is>
          <t>0</t>
        </is>
      </c>
      <c r="L285" t="inlineStr">
        <is>
          <t>Uppsala : Nordiska Afrikainstitutet, 2005.</t>
        </is>
      </c>
      <c r="M285" t="inlineStr">
        <is>
          <t>2005</t>
        </is>
      </c>
      <c r="N285" t="inlineStr">
        <is>
          <t>2nd ed.</t>
        </is>
      </c>
      <c r="O285" t="inlineStr">
        <is>
          <t>eng</t>
        </is>
      </c>
      <c r="P285" t="inlineStr">
        <is>
          <t xml:space="preserve">sw </t>
        </is>
      </c>
      <c r="R285" t="inlineStr">
        <is>
          <t xml:space="preserve">HQ </t>
        </is>
      </c>
      <c r="S285" t="n">
        <v>6</v>
      </c>
      <c r="T285" t="n">
        <v>6</v>
      </c>
      <c r="U285" t="inlineStr">
        <is>
          <t>2008-10-01</t>
        </is>
      </c>
      <c r="V285" t="inlineStr">
        <is>
          <t>2008-10-01</t>
        </is>
      </c>
      <c r="W285" t="inlineStr">
        <is>
          <t>2005-10-05</t>
        </is>
      </c>
      <c r="X285" t="inlineStr">
        <is>
          <t>2005-10-05</t>
        </is>
      </c>
      <c r="Y285" t="n">
        <v>97</v>
      </c>
      <c r="Z285" t="n">
        <v>75</v>
      </c>
      <c r="AA285" t="n">
        <v>367</v>
      </c>
      <c r="AB285" t="n">
        <v>1</v>
      </c>
      <c r="AC285" t="n">
        <v>1</v>
      </c>
      <c r="AD285" t="n">
        <v>2</v>
      </c>
      <c r="AE285" t="n">
        <v>17</v>
      </c>
      <c r="AF285" t="n">
        <v>0</v>
      </c>
      <c r="AG285" t="n">
        <v>6</v>
      </c>
      <c r="AH285" t="n">
        <v>1</v>
      </c>
      <c r="AI285" t="n">
        <v>6</v>
      </c>
      <c r="AJ285" t="n">
        <v>2</v>
      </c>
      <c r="AK285" t="n">
        <v>9</v>
      </c>
      <c r="AL285" t="n">
        <v>0</v>
      </c>
      <c r="AM285" t="n">
        <v>0</v>
      </c>
      <c r="AN285" t="n">
        <v>0</v>
      </c>
      <c r="AO285" t="n">
        <v>1</v>
      </c>
      <c r="AP285" t="inlineStr">
        <is>
          <t>No</t>
        </is>
      </c>
      <c r="AQ285" t="inlineStr">
        <is>
          <t>Yes</t>
        </is>
      </c>
      <c r="AR285">
        <f>HYPERLINK("http://catalog.hathitrust.org/Record/102057814","HathiTrust Record")</f>
        <v/>
      </c>
      <c r="AS285">
        <f>HYPERLINK("https://creighton-primo.hosted.exlibrisgroup.com/primo-explore/search?tab=default_tab&amp;search_scope=EVERYTHING&amp;vid=01CRU&amp;lang=en_US&amp;offset=0&amp;query=any,contains,991004644849702656","Catalog Record")</f>
        <v/>
      </c>
      <c r="AT285">
        <f>HYPERLINK("http://www.worldcat.org/oclc/61678275","WorldCat Record")</f>
        <v/>
      </c>
      <c r="AU285" t="inlineStr">
        <is>
          <t>115315178:eng</t>
        </is>
      </c>
      <c r="AV285" t="inlineStr">
        <is>
          <t>61678275</t>
        </is>
      </c>
      <c r="AW285" t="inlineStr">
        <is>
          <t>991004644849702656</t>
        </is>
      </c>
      <c r="AX285" t="inlineStr">
        <is>
          <t>991004644849702656</t>
        </is>
      </c>
      <c r="AY285" t="inlineStr">
        <is>
          <t>2259988720002656</t>
        </is>
      </c>
      <c r="AZ285" t="inlineStr">
        <is>
          <t>BOOK</t>
        </is>
      </c>
      <c r="BB285" t="inlineStr">
        <is>
          <t>9789171065131</t>
        </is>
      </c>
      <c r="BC285" t="inlineStr">
        <is>
          <t>32285005088173</t>
        </is>
      </c>
      <c r="BD285" t="inlineStr">
        <is>
          <t>893350237</t>
        </is>
      </c>
    </row>
    <row r="286">
      <c r="A286" t="inlineStr">
        <is>
          <t>No</t>
        </is>
      </c>
      <c r="B286" t="inlineStr">
        <is>
          <t>HQ1075.5.A8 G66 1994</t>
        </is>
      </c>
      <c r="C286" t="inlineStr">
        <is>
          <t>0                      HQ 1075500A  8                  G  66          1994</t>
        </is>
      </c>
      <c r="D286" t="inlineStr">
        <is>
          <t>Men, women, and household work / Jacqueline J. Goodnow &amp; Jennifer M. Bowes.</t>
        </is>
      </c>
      <c r="F286" t="inlineStr">
        <is>
          <t>No</t>
        </is>
      </c>
      <c r="G286" t="inlineStr">
        <is>
          <t>1</t>
        </is>
      </c>
      <c r="H286" t="inlineStr">
        <is>
          <t>No</t>
        </is>
      </c>
      <c r="I286" t="inlineStr">
        <is>
          <t>No</t>
        </is>
      </c>
      <c r="J286" t="inlineStr">
        <is>
          <t>0</t>
        </is>
      </c>
      <c r="K286" t="inlineStr">
        <is>
          <t>Goodnow, Jacqueline J.</t>
        </is>
      </c>
      <c r="L286" t="inlineStr">
        <is>
          <t>Melbourne ; New York : Oxford University Press, 1994.</t>
        </is>
      </c>
      <c r="M286" t="inlineStr">
        <is>
          <t>1994</t>
        </is>
      </c>
      <c r="O286" t="inlineStr">
        <is>
          <t>eng</t>
        </is>
      </c>
      <c r="P286" t="inlineStr">
        <is>
          <t xml:space="preserve">at </t>
        </is>
      </c>
      <c r="R286" t="inlineStr">
        <is>
          <t xml:space="preserve">HQ </t>
        </is>
      </c>
      <c r="S286" t="n">
        <v>6</v>
      </c>
      <c r="T286" t="n">
        <v>6</v>
      </c>
      <c r="U286" t="inlineStr">
        <is>
          <t>2010-11-01</t>
        </is>
      </c>
      <c r="V286" t="inlineStr">
        <is>
          <t>2010-11-01</t>
        </is>
      </c>
      <c r="W286" t="inlineStr">
        <is>
          <t>1995-02-03</t>
        </is>
      </c>
      <c r="X286" t="inlineStr">
        <is>
          <t>1995-02-03</t>
        </is>
      </c>
      <c r="Y286" t="n">
        <v>468</v>
      </c>
      <c r="Z286" t="n">
        <v>343</v>
      </c>
      <c r="AA286" t="n">
        <v>350</v>
      </c>
      <c r="AB286" t="n">
        <v>2</v>
      </c>
      <c r="AC286" t="n">
        <v>2</v>
      </c>
      <c r="AD286" t="n">
        <v>19</v>
      </c>
      <c r="AE286" t="n">
        <v>19</v>
      </c>
      <c r="AF286" t="n">
        <v>7</v>
      </c>
      <c r="AG286" t="n">
        <v>7</v>
      </c>
      <c r="AH286" t="n">
        <v>5</v>
      </c>
      <c r="AI286" t="n">
        <v>5</v>
      </c>
      <c r="AJ286" t="n">
        <v>10</v>
      </c>
      <c r="AK286" t="n">
        <v>10</v>
      </c>
      <c r="AL286" t="n">
        <v>1</v>
      </c>
      <c r="AM286" t="n">
        <v>1</v>
      </c>
      <c r="AN286" t="n">
        <v>0</v>
      </c>
      <c r="AO286" t="n">
        <v>0</v>
      </c>
      <c r="AP286" t="inlineStr">
        <is>
          <t>No</t>
        </is>
      </c>
      <c r="AQ286" t="inlineStr">
        <is>
          <t>Yes</t>
        </is>
      </c>
      <c r="AR286">
        <f>HYPERLINK("http://catalog.hathitrust.org/Record/007130842","HathiTrust Record")</f>
        <v/>
      </c>
      <c r="AS286">
        <f>HYPERLINK("https://creighton-primo.hosted.exlibrisgroup.com/primo-explore/search?tab=default_tab&amp;search_scope=EVERYTHING&amp;vid=01CRU&amp;lang=en_US&amp;offset=0&amp;query=any,contains,991002384379702656","Catalog Record")</f>
        <v/>
      </c>
      <c r="AT286">
        <f>HYPERLINK("http://www.worldcat.org/oclc/30978162","WorldCat Record")</f>
        <v/>
      </c>
      <c r="AU286" t="inlineStr">
        <is>
          <t>7501844:eng</t>
        </is>
      </c>
      <c r="AV286" t="inlineStr">
        <is>
          <t>30978162</t>
        </is>
      </c>
      <c r="AW286" t="inlineStr">
        <is>
          <t>991002384379702656</t>
        </is>
      </c>
      <c r="AX286" t="inlineStr">
        <is>
          <t>991002384379702656</t>
        </is>
      </c>
      <c r="AY286" t="inlineStr">
        <is>
          <t>2266936150002656</t>
        </is>
      </c>
      <c r="AZ286" t="inlineStr">
        <is>
          <t>BOOK</t>
        </is>
      </c>
      <c r="BB286" t="inlineStr">
        <is>
          <t>9780195535723</t>
        </is>
      </c>
      <c r="BC286" t="inlineStr">
        <is>
          <t>32285001997153</t>
        </is>
      </c>
      <c r="BD286" t="inlineStr">
        <is>
          <t>893523544</t>
        </is>
      </c>
    </row>
    <row r="287">
      <c r="A287" t="inlineStr">
        <is>
          <t>No</t>
        </is>
      </c>
      <c r="B287" t="inlineStr">
        <is>
          <t>HQ1075.5.C2 F67 2003</t>
        </is>
      </c>
      <c r="C287" t="inlineStr">
        <is>
          <t>0                      HQ 1075500C  2                  F  67          2003</t>
        </is>
      </c>
      <c r="D287" t="inlineStr">
        <is>
          <t>The captors' narrative : Catholic women and their Puritan men on the early American frontier / William Henry Foster.</t>
        </is>
      </c>
      <c r="F287" t="inlineStr">
        <is>
          <t>No</t>
        </is>
      </c>
      <c r="G287" t="inlineStr">
        <is>
          <t>1</t>
        </is>
      </c>
      <c r="H287" t="inlineStr">
        <is>
          <t>No</t>
        </is>
      </c>
      <c r="I287" t="inlineStr">
        <is>
          <t>No</t>
        </is>
      </c>
      <c r="J287" t="inlineStr">
        <is>
          <t>0</t>
        </is>
      </c>
      <c r="K287" t="inlineStr">
        <is>
          <t>Foster, William Henry, 1963-</t>
        </is>
      </c>
      <c r="L287" t="inlineStr">
        <is>
          <t>Ithaca : Cornell University Press, 2003.</t>
        </is>
      </c>
      <c r="M287" t="inlineStr">
        <is>
          <t>2003</t>
        </is>
      </c>
      <c r="O287" t="inlineStr">
        <is>
          <t>eng</t>
        </is>
      </c>
      <c r="P287" t="inlineStr">
        <is>
          <t>nyu</t>
        </is>
      </c>
      <c r="R287" t="inlineStr">
        <is>
          <t xml:space="preserve">HQ </t>
        </is>
      </c>
      <c r="S287" t="n">
        <v>2</v>
      </c>
      <c r="T287" t="n">
        <v>2</v>
      </c>
      <c r="U287" t="inlineStr">
        <is>
          <t>2006-04-13</t>
        </is>
      </c>
      <c r="V287" t="inlineStr">
        <is>
          <t>2006-04-13</t>
        </is>
      </c>
      <c r="W287" t="inlineStr">
        <is>
          <t>2005-05-11</t>
        </is>
      </c>
      <c r="X287" t="inlineStr">
        <is>
          <t>2005-05-11</t>
        </is>
      </c>
      <c r="Y287" t="n">
        <v>379</v>
      </c>
      <c r="Z287" t="n">
        <v>322</v>
      </c>
      <c r="AA287" t="n">
        <v>327</v>
      </c>
      <c r="AB287" t="n">
        <v>3</v>
      </c>
      <c r="AC287" t="n">
        <v>3</v>
      </c>
      <c r="AD287" t="n">
        <v>22</v>
      </c>
      <c r="AE287" t="n">
        <v>23</v>
      </c>
      <c r="AF287" t="n">
        <v>8</v>
      </c>
      <c r="AG287" t="n">
        <v>9</v>
      </c>
      <c r="AH287" t="n">
        <v>6</v>
      </c>
      <c r="AI287" t="n">
        <v>6</v>
      </c>
      <c r="AJ287" t="n">
        <v>11</v>
      </c>
      <c r="AK287" t="n">
        <v>11</v>
      </c>
      <c r="AL287" t="n">
        <v>2</v>
      </c>
      <c r="AM287" t="n">
        <v>2</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HYPERLINK("https://creighton-primo.hosted.exlibrisgroup.com/primo-explore/search?tab=default_tab&amp;search_scope=EVERYTHING&amp;vid=01CRU&amp;lang=en_US&amp;offset=0&amp;query=any,contains,991004472859702656","Catalog Record")</f>
        <v/>
      </c>
      <c r="AT287">
        <f>HYPERLINK("http://www.worldcat.org/oclc/50859310","WorldCat Record")</f>
        <v/>
      </c>
      <c r="AU287" t="inlineStr">
        <is>
          <t>839196355:eng</t>
        </is>
      </c>
      <c r="AV287" t="inlineStr">
        <is>
          <t>50859310</t>
        </is>
      </c>
      <c r="AW287" t="inlineStr">
        <is>
          <t>991004472859702656</t>
        </is>
      </c>
      <c r="AX287" t="inlineStr">
        <is>
          <t>991004472859702656</t>
        </is>
      </c>
      <c r="AY287" t="inlineStr">
        <is>
          <t>2264399580002656</t>
        </is>
      </c>
      <c r="AZ287" t="inlineStr">
        <is>
          <t>BOOK</t>
        </is>
      </c>
      <c r="BB287" t="inlineStr">
        <is>
          <t>9780801440595</t>
        </is>
      </c>
      <c r="BC287" t="inlineStr">
        <is>
          <t>32285005037600</t>
        </is>
      </c>
      <c r="BD287" t="inlineStr">
        <is>
          <t>893706458</t>
        </is>
      </c>
    </row>
    <row r="288">
      <c r="A288" t="inlineStr">
        <is>
          <t>No</t>
        </is>
      </c>
      <c r="B288" t="inlineStr">
        <is>
          <t>HQ1075.5.D44 E55 2001</t>
        </is>
      </c>
      <c r="C288" t="inlineStr">
        <is>
          <t>0                      HQ 1075500D  44                 E  55          2001</t>
        </is>
      </c>
      <c r="D288" t="inlineStr">
        <is>
          <t>Engendering development : through gender equality in rights, resources, and voice.</t>
        </is>
      </c>
      <c r="F288" t="inlineStr">
        <is>
          <t>No</t>
        </is>
      </c>
      <c r="G288" t="inlineStr">
        <is>
          <t>1</t>
        </is>
      </c>
      <c r="H288" t="inlineStr">
        <is>
          <t>No</t>
        </is>
      </c>
      <c r="I288" t="inlineStr">
        <is>
          <t>No</t>
        </is>
      </c>
      <c r="J288" t="inlineStr">
        <is>
          <t>0</t>
        </is>
      </c>
      <c r="L288" t="inlineStr">
        <is>
          <t>Washington, D.C. : World Bank ; New York : Oxford University Press, 2001.</t>
        </is>
      </c>
      <c r="M288" t="inlineStr">
        <is>
          <t>2001</t>
        </is>
      </c>
      <c r="O288" t="inlineStr">
        <is>
          <t>eng</t>
        </is>
      </c>
      <c r="P288" t="inlineStr">
        <is>
          <t>dcu</t>
        </is>
      </c>
      <c r="Q288" t="inlineStr">
        <is>
          <t>World Bank policy research report</t>
        </is>
      </c>
      <c r="R288" t="inlineStr">
        <is>
          <t xml:space="preserve">HQ </t>
        </is>
      </c>
      <c r="S288" t="n">
        <v>4</v>
      </c>
      <c r="T288" t="n">
        <v>4</v>
      </c>
      <c r="U288" t="inlineStr">
        <is>
          <t>2002-04-14</t>
        </is>
      </c>
      <c r="V288" t="inlineStr">
        <is>
          <t>2002-04-14</t>
        </is>
      </c>
      <c r="W288" t="inlineStr">
        <is>
          <t>2002-01-29</t>
        </is>
      </c>
      <c r="X288" t="inlineStr">
        <is>
          <t>2002-01-29</t>
        </is>
      </c>
      <c r="Y288" t="n">
        <v>642</v>
      </c>
      <c r="Z288" t="n">
        <v>471</v>
      </c>
      <c r="AA288" t="n">
        <v>488</v>
      </c>
      <c r="AB288" t="n">
        <v>3</v>
      </c>
      <c r="AC288" t="n">
        <v>3</v>
      </c>
      <c r="AD288" t="n">
        <v>27</v>
      </c>
      <c r="AE288" t="n">
        <v>28</v>
      </c>
      <c r="AF288" t="n">
        <v>8</v>
      </c>
      <c r="AG288" t="n">
        <v>8</v>
      </c>
      <c r="AH288" t="n">
        <v>7</v>
      </c>
      <c r="AI288" t="n">
        <v>7</v>
      </c>
      <c r="AJ288" t="n">
        <v>13</v>
      </c>
      <c r="AK288" t="n">
        <v>14</v>
      </c>
      <c r="AL288" t="n">
        <v>2</v>
      </c>
      <c r="AM288" t="n">
        <v>2</v>
      </c>
      <c r="AN288" t="n">
        <v>2</v>
      </c>
      <c r="AO288" t="n">
        <v>2</v>
      </c>
      <c r="AP288" t="inlineStr">
        <is>
          <t>No</t>
        </is>
      </c>
      <c r="AQ288" t="inlineStr">
        <is>
          <t>No</t>
        </is>
      </c>
      <c r="AS288">
        <f>HYPERLINK("https://creighton-primo.hosted.exlibrisgroup.com/primo-explore/search?tab=default_tab&amp;search_scope=EVERYTHING&amp;vid=01CRU&amp;lang=en_US&amp;offset=0&amp;query=any,contains,991003646989702656","Catalog Record")</f>
        <v/>
      </c>
      <c r="AT288">
        <f>HYPERLINK("http://www.worldcat.org/oclc/45439820","WorldCat Record")</f>
        <v/>
      </c>
      <c r="AU288" t="inlineStr">
        <is>
          <t>56955699:eng</t>
        </is>
      </c>
      <c r="AV288" t="inlineStr">
        <is>
          <t>45439820</t>
        </is>
      </c>
      <c r="AW288" t="inlineStr">
        <is>
          <t>991003646989702656</t>
        </is>
      </c>
      <c r="AX288" t="inlineStr">
        <is>
          <t>991003646989702656</t>
        </is>
      </c>
      <c r="AY288" t="inlineStr">
        <is>
          <t>2269096000002656</t>
        </is>
      </c>
      <c r="AZ288" t="inlineStr">
        <is>
          <t>BOOK</t>
        </is>
      </c>
      <c r="BB288" t="inlineStr">
        <is>
          <t>9780195215960</t>
        </is>
      </c>
      <c r="BC288" t="inlineStr">
        <is>
          <t>32285004451232</t>
        </is>
      </c>
      <c r="BD288" t="inlineStr">
        <is>
          <t>893324306</t>
        </is>
      </c>
    </row>
    <row r="289">
      <c r="A289" t="inlineStr">
        <is>
          <t>No</t>
        </is>
      </c>
      <c r="B289" t="inlineStr">
        <is>
          <t>HQ1075.5.G8 G46 1986</t>
        </is>
      </c>
      <c r="C289" t="inlineStr">
        <is>
          <t>0                      HQ 1075500G  8                  G  46          1986</t>
        </is>
      </c>
      <c r="D289" t="inlineStr">
        <is>
          <t>Gender &amp; power in rural Greece / edited by Jill Dubisch.</t>
        </is>
      </c>
      <c r="F289" t="inlineStr">
        <is>
          <t>No</t>
        </is>
      </c>
      <c r="G289" t="inlineStr">
        <is>
          <t>1</t>
        </is>
      </c>
      <c r="H289" t="inlineStr">
        <is>
          <t>No</t>
        </is>
      </c>
      <c r="I289" t="inlineStr">
        <is>
          <t>No</t>
        </is>
      </c>
      <c r="J289" t="inlineStr">
        <is>
          <t>0</t>
        </is>
      </c>
      <c r="L289" t="inlineStr">
        <is>
          <t>Princeton, N.J. : Princeton University Press, c1986.</t>
        </is>
      </c>
      <c r="M289" t="inlineStr">
        <is>
          <t>1986</t>
        </is>
      </c>
      <c r="O289" t="inlineStr">
        <is>
          <t>eng</t>
        </is>
      </c>
      <c r="P289" t="inlineStr">
        <is>
          <t>nju</t>
        </is>
      </c>
      <c r="R289" t="inlineStr">
        <is>
          <t xml:space="preserve">HQ </t>
        </is>
      </c>
      <c r="S289" t="n">
        <v>32</v>
      </c>
      <c r="T289" t="n">
        <v>32</v>
      </c>
      <c r="U289" t="inlineStr">
        <is>
          <t>2010-09-27</t>
        </is>
      </c>
      <c r="V289" t="inlineStr">
        <is>
          <t>2010-09-27</t>
        </is>
      </c>
      <c r="W289" t="inlineStr">
        <is>
          <t>1993-04-26</t>
        </is>
      </c>
      <c r="X289" t="inlineStr">
        <is>
          <t>1993-04-26</t>
        </is>
      </c>
      <c r="Y289" t="n">
        <v>440</v>
      </c>
      <c r="Z289" t="n">
        <v>328</v>
      </c>
      <c r="AA289" t="n">
        <v>617</v>
      </c>
      <c r="AB289" t="n">
        <v>2</v>
      </c>
      <c r="AC289" t="n">
        <v>3</v>
      </c>
      <c r="AD289" t="n">
        <v>17</v>
      </c>
      <c r="AE289" t="n">
        <v>32</v>
      </c>
      <c r="AF289" t="n">
        <v>5</v>
      </c>
      <c r="AG289" t="n">
        <v>13</v>
      </c>
      <c r="AH289" t="n">
        <v>5</v>
      </c>
      <c r="AI289" t="n">
        <v>10</v>
      </c>
      <c r="AJ289" t="n">
        <v>11</v>
      </c>
      <c r="AK289" t="n">
        <v>18</v>
      </c>
      <c r="AL289" t="n">
        <v>1</v>
      </c>
      <c r="AM289" t="n">
        <v>2</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HYPERLINK("https://creighton-primo.hosted.exlibrisgroup.com/primo-explore/search?tab=default_tab&amp;search_scope=EVERYTHING&amp;vid=01CRU&amp;lang=en_US&amp;offset=0&amp;query=any,contains,991005406289702656","Catalog Record")</f>
        <v/>
      </c>
      <c r="AT289">
        <f>HYPERLINK("http://www.worldcat.org/oclc/13185108","WorldCat Record")</f>
        <v/>
      </c>
      <c r="AU289" t="inlineStr">
        <is>
          <t>54793451:eng</t>
        </is>
      </c>
      <c r="AV289" t="inlineStr">
        <is>
          <t>13185108</t>
        </is>
      </c>
      <c r="AW289" t="inlineStr">
        <is>
          <t>991005406289702656</t>
        </is>
      </c>
      <c r="AX289" t="inlineStr">
        <is>
          <t>991005406289702656</t>
        </is>
      </c>
      <c r="AY289" t="inlineStr">
        <is>
          <t>2255085820002656</t>
        </is>
      </c>
      <c r="AZ289" t="inlineStr">
        <is>
          <t>BOOK</t>
        </is>
      </c>
      <c r="BB289" t="inlineStr">
        <is>
          <t>9780691028330</t>
        </is>
      </c>
      <c r="BC289" t="inlineStr">
        <is>
          <t>32285001626885</t>
        </is>
      </c>
      <c r="BD289" t="inlineStr">
        <is>
          <t>893431452</t>
        </is>
      </c>
    </row>
    <row r="290">
      <c r="A290" t="inlineStr">
        <is>
          <t>No</t>
        </is>
      </c>
      <c r="B290" t="inlineStr">
        <is>
          <t>HQ1075.5.K4 S55 1999</t>
        </is>
      </c>
      <c r="C290" t="inlineStr">
        <is>
          <t>0                      HQ 1075500K  4                  S  55          1999</t>
        </is>
      </c>
      <c r="D290" t="inlineStr">
        <is>
          <t>"Women forget that men are the masters" : gender antagonism and socio-economic change in Kisii District, Kenya / Margrethe Silberschmidt.</t>
        </is>
      </c>
      <c r="F290" t="inlineStr">
        <is>
          <t>No</t>
        </is>
      </c>
      <c r="G290" t="inlineStr">
        <is>
          <t>1</t>
        </is>
      </c>
      <c r="H290" t="inlineStr">
        <is>
          <t>No</t>
        </is>
      </c>
      <c r="I290" t="inlineStr">
        <is>
          <t>No</t>
        </is>
      </c>
      <c r="J290" t="inlineStr">
        <is>
          <t>0</t>
        </is>
      </c>
      <c r="K290" t="inlineStr">
        <is>
          <t>Silberschmidt, Margrethe.</t>
        </is>
      </c>
      <c r="L290" t="inlineStr">
        <is>
          <t>Uppsala : Nordiska Afrikainstitutet ; Somerset, NJ : Distributor in North America, Transaction Publishers, 1999.</t>
        </is>
      </c>
      <c r="M290" t="inlineStr">
        <is>
          <t>1999</t>
        </is>
      </c>
      <c r="O290" t="inlineStr">
        <is>
          <t>eng</t>
        </is>
      </c>
      <c r="P290" t="inlineStr">
        <is>
          <t xml:space="preserve">sw </t>
        </is>
      </c>
      <c r="R290" t="inlineStr">
        <is>
          <t xml:space="preserve">HQ </t>
        </is>
      </c>
      <c r="S290" t="n">
        <v>5</v>
      </c>
      <c r="T290" t="n">
        <v>5</v>
      </c>
      <c r="U290" t="inlineStr">
        <is>
          <t>2008-03-11</t>
        </is>
      </c>
      <c r="V290" t="inlineStr">
        <is>
          <t>2008-03-11</t>
        </is>
      </c>
      <c r="W290" t="inlineStr">
        <is>
          <t>2000-10-23</t>
        </is>
      </c>
      <c r="X290" t="inlineStr">
        <is>
          <t>2000-10-23</t>
        </is>
      </c>
      <c r="Y290" t="n">
        <v>235</v>
      </c>
      <c r="Z290" t="n">
        <v>186</v>
      </c>
      <c r="AA290" t="n">
        <v>193</v>
      </c>
      <c r="AB290" t="n">
        <v>2</v>
      </c>
      <c r="AC290" t="n">
        <v>2</v>
      </c>
      <c r="AD290" t="n">
        <v>8</v>
      </c>
      <c r="AE290" t="n">
        <v>8</v>
      </c>
      <c r="AF290" t="n">
        <v>4</v>
      </c>
      <c r="AG290" t="n">
        <v>4</v>
      </c>
      <c r="AH290" t="n">
        <v>2</v>
      </c>
      <c r="AI290" t="n">
        <v>2</v>
      </c>
      <c r="AJ290" t="n">
        <v>5</v>
      </c>
      <c r="AK290" t="n">
        <v>5</v>
      </c>
      <c r="AL290" t="n">
        <v>1</v>
      </c>
      <c r="AM290" t="n">
        <v>1</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HYPERLINK("https://creighton-primo.hosted.exlibrisgroup.com/primo-explore/search?tab=default_tab&amp;search_scope=EVERYTHING&amp;vid=01CRU&amp;lang=en_US&amp;offset=0&amp;query=any,contains,991003239249702656","Catalog Record")</f>
        <v/>
      </c>
      <c r="AT290">
        <f>HYPERLINK("http://www.worldcat.org/oclc/41387867","WorldCat Record")</f>
        <v/>
      </c>
      <c r="AU290" t="inlineStr">
        <is>
          <t>836995712:eng</t>
        </is>
      </c>
      <c r="AV290" t="inlineStr">
        <is>
          <t>41387867</t>
        </is>
      </c>
      <c r="AW290" t="inlineStr">
        <is>
          <t>991003239249702656</t>
        </is>
      </c>
      <c r="AX290" t="inlineStr">
        <is>
          <t>991003239249702656</t>
        </is>
      </c>
      <c r="AY290" t="inlineStr">
        <is>
          <t>2269447840002656</t>
        </is>
      </c>
      <c r="AZ290" t="inlineStr">
        <is>
          <t>BOOK</t>
        </is>
      </c>
      <c r="BB290" t="inlineStr">
        <is>
          <t>9789171064394</t>
        </is>
      </c>
      <c r="BC290" t="inlineStr">
        <is>
          <t>32285003769196</t>
        </is>
      </c>
      <c r="BD290" t="inlineStr">
        <is>
          <t>893692519</t>
        </is>
      </c>
    </row>
    <row r="291">
      <c r="A291" t="inlineStr">
        <is>
          <t>No</t>
        </is>
      </c>
      <c r="B291" t="inlineStr">
        <is>
          <t>HQ1075.5.L29 M33 1996</t>
        </is>
      </c>
      <c r="C291" t="inlineStr">
        <is>
          <t>0                      HQ 1075500L  29                 M  33          1996</t>
        </is>
      </c>
      <c r="D291" t="inlineStr">
        <is>
          <t>Machos, mistresses, madonnas : contesting the power of Latin American gender imagery / edited by Marit Melhuus and Kristi Anne Stølen.</t>
        </is>
      </c>
      <c r="F291" t="inlineStr">
        <is>
          <t>No</t>
        </is>
      </c>
      <c r="G291" t="inlineStr">
        <is>
          <t>1</t>
        </is>
      </c>
      <c r="H291" t="inlineStr">
        <is>
          <t>No</t>
        </is>
      </c>
      <c r="I291" t="inlineStr">
        <is>
          <t>No</t>
        </is>
      </c>
      <c r="J291" t="inlineStr">
        <is>
          <t>0</t>
        </is>
      </c>
      <c r="L291" t="inlineStr">
        <is>
          <t>London ; New York : Verso, 1996.</t>
        </is>
      </c>
      <c r="M291" t="inlineStr">
        <is>
          <t>1996</t>
        </is>
      </c>
      <c r="O291" t="inlineStr">
        <is>
          <t>eng</t>
        </is>
      </c>
      <c r="P291" t="inlineStr">
        <is>
          <t>enk</t>
        </is>
      </c>
      <c r="Q291" t="inlineStr">
        <is>
          <t>Critical studies in Latin American and Iberian cultures</t>
        </is>
      </c>
      <c r="R291" t="inlineStr">
        <is>
          <t xml:space="preserve">HQ </t>
        </is>
      </c>
      <c r="S291" t="n">
        <v>8</v>
      </c>
      <c r="T291" t="n">
        <v>8</v>
      </c>
      <c r="U291" t="inlineStr">
        <is>
          <t>2007-11-27</t>
        </is>
      </c>
      <c r="V291" t="inlineStr">
        <is>
          <t>2007-11-27</t>
        </is>
      </c>
      <c r="W291" t="inlineStr">
        <is>
          <t>1997-03-17</t>
        </is>
      </c>
      <c r="X291" t="inlineStr">
        <is>
          <t>1997-03-17</t>
        </is>
      </c>
      <c r="Y291" t="n">
        <v>402</v>
      </c>
      <c r="Z291" t="n">
        <v>322</v>
      </c>
      <c r="AA291" t="n">
        <v>325</v>
      </c>
      <c r="AB291" t="n">
        <v>3</v>
      </c>
      <c r="AC291" t="n">
        <v>3</v>
      </c>
      <c r="AD291" t="n">
        <v>22</v>
      </c>
      <c r="AE291" t="n">
        <v>22</v>
      </c>
      <c r="AF291" t="n">
        <v>5</v>
      </c>
      <c r="AG291" t="n">
        <v>5</v>
      </c>
      <c r="AH291" t="n">
        <v>6</v>
      </c>
      <c r="AI291" t="n">
        <v>6</v>
      </c>
      <c r="AJ291" t="n">
        <v>13</v>
      </c>
      <c r="AK291" t="n">
        <v>13</v>
      </c>
      <c r="AL291" t="n">
        <v>2</v>
      </c>
      <c r="AM291" t="n">
        <v>2</v>
      </c>
      <c r="AN291" t="n">
        <v>0</v>
      </c>
      <c r="AO291" t="n">
        <v>0</v>
      </c>
      <c r="AP291" t="inlineStr">
        <is>
          <t>No</t>
        </is>
      </c>
      <c r="AQ291" t="inlineStr">
        <is>
          <t>Yes</t>
        </is>
      </c>
      <c r="AR291">
        <f>HYPERLINK("http://catalog.hathitrust.org/Record/003138069","HathiTrust Record")</f>
        <v/>
      </c>
      <c r="AS291">
        <f>HYPERLINK("https://creighton-primo.hosted.exlibrisgroup.com/primo-explore/search?tab=default_tab&amp;search_scope=EVERYTHING&amp;vid=01CRU&amp;lang=en_US&amp;offset=0&amp;query=any,contains,991002735099702656","Catalog Record")</f>
        <v/>
      </c>
      <c r="AT291">
        <f>HYPERLINK("http://www.worldcat.org/oclc/35887230","WorldCat Record")</f>
        <v/>
      </c>
      <c r="AU291" t="inlineStr">
        <is>
          <t>837035108:eng</t>
        </is>
      </c>
      <c r="AV291" t="inlineStr">
        <is>
          <t>35887230</t>
        </is>
      </c>
      <c r="AW291" t="inlineStr">
        <is>
          <t>991002735099702656</t>
        </is>
      </c>
      <c r="AX291" t="inlineStr">
        <is>
          <t>991002735099702656</t>
        </is>
      </c>
      <c r="AY291" t="inlineStr">
        <is>
          <t>2266361410002656</t>
        </is>
      </c>
      <c r="AZ291" t="inlineStr">
        <is>
          <t>BOOK</t>
        </is>
      </c>
      <c r="BB291" t="inlineStr">
        <is>
          <t>9781859841600</t>
        </is>
      </c>
      <c r="BC291" t="inlineStr">
        <is>
          <t>32285002081957</t>
        </is>
      </c>
      <c r="BD291" t="inlineStr">
        <is>
          <t>893440453</t>
        </is>
      </c>
    </row>
    <row r="292">
      <c r="A292" t="inlineStr">
        <is>
          <t>No</t>
        </is>
      </c>
      <c r="B292" t="inlineStr">
        <is>
          <t>HQ1075.5.U6 B67 1985</t>
        </is>
      </c>
      <c r="C292" t="inlineStr">
        <is>
          <t>0                      HQ 1075500U  6                  B  67          1985</t>
        </is>
      </c>
      <c r="D292" t="inlineStr">
        <is>
          <t>The power to communicate : gender differences as barriers / Deborah Borisoff, Lisa Merrill.</t>
        </is>
      </c>
      <c r="F292" t="inlineStr">
        <is>
          <t>No</t>
        </is>
      </c>
      <c r="G292" t="inlineStr">
        <is>
          <t>1</t>
        </is>
      </c>
      <c r="H292" t="inlineStr">
        <is>
          <t>No</t>
        </is>
      </c>
      <c r="I292" t="inlineStr">
        <is>
          <t>No</t>
        </is>
      </c>
      <c r="J292" t="inlineStr">
        <is>
          <t>0</t>
        </is>
      </c>
      <c r="K292" t="inlineStr">
        <is>
          <t>Borisoff, Deborah.</t>
        </is>
      </c>
      <c r="L292" t="inlineStr">
        <is>
          <t>Prospect Heights, Ill. : Waveland Press, c1985.</t>
        </is>
      </c>
      <c r="M292" t="inlineStr">
        <is>
          <t>1985</t>
        </is>
      </c>
      <c r="O292" t="inlineStr">
        <is>
          <t>eng</t>
        </is>
      </c>
      <c r="P292" t="inlineStr">
        <is>
          <t>ilu</t>
        </is>
      </c>
      <c r="R292" t="inlineStr">
        <is>
          <t xml:space="preserve">HQ </t>
        </is>
      </c>
      <c r="S292" t="n">
        <v>26</v>
      </c>
      <c r="T292" t="n">
        <v>26</v>
      </c>
      <c r="U292" t="inlineStr">
        <is>
          <t>2004-11-13</t>
        </is>
      </c>
      <c r="V292" t="inlineStr">
        <is>
          <t>2004-11-13</t>
        </is>
      </c>
      <c r="W292" t="inlineStr">
        <is>
          <t>1992-04-09</t>
        </is>
      </c>
      <c r="X292" t="inlineStr">
        <is>
          <t>1992-04-09</t>
        </is>
      </c>
      <c r="Y292" t="n">
        <v>195</v>
      </c>
      <c r="Z292" t="n">
        <v>186</v>
      </c>
      <c r="AA292" t="n">
        <v>464</v>
      </c>
      <c r="AB292" t="n">
        <v>3</v>
      </c>
      <c r="AC292" t="n">
        <v>7</v>
      </c>
      <c r="AD292" t="n">
        <v>8</v>
      </c>
      <c r="AE292" t="n">
        <v>21</v>
      </c>
      <c r="AF292" t="n">
        <v>3</v>
      </c>
      <c r="AG292" t="n">
        <v>9</v>
      </c>
      <c r="AH292" t="n">
        <v>1</v>
      </c>
      <c r="AI292" t="n">
        <v>3</v>
      </c>
      <c r="AJ292" t="n">
        <v>2</v>
      </c>
      <c r="AK292" t="n">
        <v>6</v>
      </c>
      <c r="AL292" t="n">
        <v>2</v>
      </c>
      <c r="AM292" t="n">
        <v>6</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HYPERLINK("https://creighton-primo.hosted.exlibrisgroup.com/primo-explore/search?tab=default_tab&amp;search_scope=EVERYTHING&amp;vid=01CRU&amp;lang=en_US&amp;offset=0&amp;query=any,contains,991000581859702656","Catalog Record")</f>
        <v/>
      </c>
      <c r="AT292">
        <f>HYPERLINK("http://www.worldcat.org/oclc/11747078","WorldCat Record")</f>
        <v/>
      </c>
      <c r="AU292" t="inlineStr">
        <is>
          <t>4740287:eng</t>
        </is>
      </c>
      <c r="AV292" t="inlineStr">
        <is>
          <t>11747078</t>
        </is>
      </c>
      <c r="AW292" t="inlineStr">
        <is>
          <t>991000581859702656</t>
        </is>
      </c>
      <c r="AX292" t="inlineStr">
        <is>
          <t>991000581859702656</t>
        </is>
      </c>
      <c r="AY292" t="inlineStr">
        <is>
          <t>2255781410002656</t>
        </is>
      </c>
      <c r="AZ292" t="inlineStr">
        <is>
          <t>BOOK</t>
        </is>
      </c>
      <c r="BB292" t="inlineStr">
        <is>
          <t>9780881331301</t>
        </is>
      </c>
      <c r="BC292" t="inlineStr">
        <is>
          <t>32285001066439</t>
        </is>
      </c>
      <c r="BD292" t="inlineStr">
        <is>
          <t>893608066</t>
        </is>
      </c>
    </row>
    <row r="293">
      <c r="A293" t="inlineStr">
        <is>
          <t>No</t>
        </is>
      </c>
      <c r="B293" t="inlineStr">
        <is>
          <t>HQ1075.5.U6 C36 1987</t>
        </is>
      </c>
      <c r="C293" t="inlineStr">
        <is>
          <t>0                      HQ 1075500U  6                  C  36          1987</t>
        </is>
      </c>
      <c r="D293" t="inlineStr">
        <is>
          <t>Love in America : gender and self-development / Francesca M. Cancian.</t>
        </is>
      </c>
      <c r="F293" t="inlineStr">
        <is>
          <t>No</t>
        </is>
      </c>
      <c r="G293" t="inlineStr">
        <is>
          <t>1</t>
        </is>
      </c>
      <c r="H293" t="inlineStr">
        <is>
          <t>No</t>
        </is>
      </c>
      <c r="I293" t="inlineStr">
        <is>
          <t>No</t>
        </is>
      </c>
      <c r="J293" t="inlineStr">
        <is>
          <t>0</t>
        </is>
      </c>
      <c r="K293" t="inlineStr">
        <is>
          <t>Cancian, Francesca M.</t>
        </is>
      </c>
      <c r="L293" t="inlineStr">
        <is>
          <t>Cambridge [Cambridgeshire] ; New York : Cambridge University Press, 1987.</t>
        </is>
      </c>
      <c r="M293" t="inlineStr">
        <is>
          <t>1987</t>
        </is>
      </c>
      <c r="O293" t="inlineStr">
        <is>
          <t>eng</t>
        </is>
      </c>
      <c r="P293" t="inlineStr">
        <is>
          <t>enk</t>
        </is>
      </c>
      <c r="R293" t="inlineStr">
        <is>
          <t xml:space="preserve">HQ </t>
        </is>
      </c>
      <c r="S293" t="n">
        <v>8</v>
      </c>
      <c r="T293" t="n">
        <v>8</v>
      </c>
      <c r="U293" t="inlineStr">
        <is>
          <t>2006-06-18</t>
        </is>
      </c>
      <c r="V293" t="inlineStr">
        <is>
          <t>2006-06-18</t>
        </is>
      </c>
      <c r="W293" t="inlineStr">
        <is>
          <t>1990-04-30</t>
        </is>
      </c>
      <c r="X293" t="inlineStr">
        <is>
          <t>1990-04-30</t>
        </is>
      </c>
      <c r="Y293" t="n">
        <v>796</v>
      </c>
      <c r="Z293" t="n">
        <v>656</v>
      </c>
      <c r="AA293" t="n">
        <v>686</v>
      </c>
      <c r="AB293" t="n">
        <v>5</v>
      </c>
      <c r="AC293" t="n">
        <v>5</v>
      </c>
      <c r="AD293" t="n">
        <v>31</v>
      </c>
      <c r="AE293" t="n">
        <v>32</v>
      </c>
      <c r="AF293" t="n">
        <v>14</v>
      </c>
      <c r="AG293" t="n">
        <v>14</v>
      </c>
      <c r="AH293" t="n">
        <v>7</v>
      </c>
      <c r="AI293" t="n">
        <v>8</v>
      </c>
      <c r="AJ293" t="n">
        <v>15</v>
      </c>
      <c r="AK293" t="n">
        <v>15</v>
      </c>
      <c r="AL293" t="n">
        <v>4</v>
      </c>
      <c r="AM293" t="n">
        <v>4</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HYPERLINK("https://creighton-primo.hosted.exlibrisgroup.com/primo-explore/search?tab=default_tab&amp;search_scope=EVERYTHING&amp;vid=01CRU&amp;lang=en_US&amp;offset=0&amp;query=any,contains,991001033319702656","Catalog Record")</f>
        <v/>
      </c>
      <c r="AT293">
        <f>HYPERLINK("http://www.worldcat.org/oclc/15521237","WorldCat Record")</f>
        <v/>
      </c>
      <c r="AU293" t="inlineStr">
        <is>
          <t>836717368:eng</t>
        </is>
      </c>
      <c r="AV293" t="inlineStr">
        <is>
          <t>15521237</t>
        </is>
      </c>
      <c r="AW293" t="inlineStr">
        <is>
          <t>991001033319702656</t>
        </is>
      </c>
      <c r="AX293" t="inlineStr">
        <is>
          <t>991001033319702656</t>
        </is>
      </c>
      <c r="AY293" t="inlineStr">
        <is>
          <t>2270894510002656</t>
        </is>
      </c>
      <c r="AZ293" t="inlineStr">
        <is>
          <t>BOOK</t>
        </is>
      </c>
      <c r="BB293" t="inlineStr">
        <is>
          <t>9780521342025</t>
        </is>
      </c>
      <c r="BC293" t="inlineStr">
        <is>
          <t>32285000134964</t>
        </is>
      </c>
      <c r="BD293" t="inlineStr">
        <is>
          <t>893243801</t>
        </is>
      </c>
    </row>
    <row r="294">
      <c r="A294" t="inlineStr">
        <is>
          <t>No</t>
        </is>
      </c>
      <c r="B294" t="inlineStr">
        <is>
          <t>HQ1075.5.U6 E67 1988</t>
        </is>
      </c>
      <c r="C294" t="inlineStr">
        <is>
          <t>0                      HQ 1075500U  6                  E  67          1988</t>
        </is>
      </c>
      <c r="D294" t="inlineStr">
        <is>
          <t>Deceptive distinctions : sex, gender, and the social order / Cynthia Fuchs Epstein.</t>
        </is>
      </c>
      <c r="F294" t="inlineStr">
        <is>
          <t>No</t>
        </is>
      </c>
      <c r="G294" t="inlineStr">
        <is>
          <t>1</t>
        </is>
      </c>
      <c r="H294" t="inlineStr">
        <is>
          <t>Yes</t>
        </is>
      </c>
      <c r="I294" t="inlineStr">
        <is>
          <t>No</t>
        </is>
      </c>
      <c r="J294" t="inlineStr">
        <is>
          <t>0</t>
        </is>
      </c>
      <c r="K294" t="inlineStr">
        <is>
          <t>Epstein, Cynthia Fuchs.</t>
        </is>
      </c>
      <c r="L294" t="inlineStr">
        <is>
          <t>New Haven : Yale University Press ; New York : Russell Sage Foundation, c1988.</t>
        </is>
      </c>
      <c r="M294" t="inlineStr">
        <is>
          <t>1988</t>
        </is>
      </c>
      <c r="O294" t="inlineStr">
        <is>
          <t>eng</t>
        </is>
      </c>
      <c r="P294" t="inlineStr">
        <is>
          <t>ctu</t>
        </is>
      </c>
      <c r="R294" t="inlineStr">
        <is>
          <t xml:space="preserve">HQ </t>
        </is>
      </c>
      <c r="S294" t="n">
        <v>7</v>
      </c>
      <c r="T294" t="n">
        <v>8</v>
      </c>
      <c r="U294" t="inlineStr">
        <is>
          <t>2000-03-20</t>
        </is>
      </c>
      <c r="V294" t="inlineStr">
        <is>
          <t>2000-03-20</t>
        </is>
      </c>
      <c r="W294" t="inlineStr">
        <is>
          <t>1992-03-26</t>
        </is>
      </c>
      <c r="X294" t="inlineStr">
        <is>
          <t>1993-10-15</t>
        </is>
      </c>
      <c r="Y294" t="n">
        <v>1253</v>
      </c>
      <c r="Z294" t="n">
        <v>1051</v>
      </c>
      <c r="AA294" t="n">
        <v>1053</v>
      </c>
      <c r="AB294" t="n">
        <v>9</v>
      </c>
      <c r="AC294" t="n">
        <v>9</v>
      </c>
      <c r="AD294" t="n">
        <v>57</v>
      </c>
      <c r="AE294" t="n">
        <v>57</v>
      </c>
      <c r="AF294" t="n">
        <v>20</v>
      </c>
      <c r="AG294" t="n">
        <v>20</v>
      </c>
      <c r="AH294" t="n">
        <v>9</v>
      </c>
      <c r="AI294" t="n">
        <v>9</v>
      </c>
      <c r="AJ294" t="n">
        <v>22</v>
      </c>
      <c r="AK294" t="n">
        <v>22</v>
      </c>
      <c r="AL294" t="n">
        <v>5</v>
      </c>
      <c r="AM294" t="n">
        <v>5</v>
      </c>
      <c r="AN294" t="n">
        <v>14</v>
      </c>
      <c r="AO294" t="n">
        <v>14</v>
      </c>
      <c r="AP294" t="inlineStr">
        <is>
          <t>No</t>
        </is>
      </c>
      <c r="AQ294" t="inlineStr">
        <is>
          <t>No</t>
        </is>
      </c>
      <c r="AS294">
        <f>HYPERLINK("https://creighton-primo.hosted.exlibrisgroup.com/primo-explore/search?tab=default_tab&amp;search_scope=EVERYTHING&amp;vid=01CRU&amp;lang=en_US&amp;offset=0&amp;query=any,contains,991001638809702656","Catalog Record")</f>
        <v/>
      </c>
      <c r="AT294">
        <f>HYPERLINK("http://www.worldcat.org/oclc/17677901","WorldCat Record")</f>
        <v/>
      </c>
      <c r="AU294" t="inlineStr">
        <is>
          <t>796540941:eng</t>
        </is>
      </c>
      <c r="AV294" t="inlineStr">
        <is>
          <t>17677901</t>
        </is>
      </c>
      <c r="AW294" t="inlineStr">
        <is>
          <t>991001638809702656</t>
        </is>
      </c>
      <c r="AX294" t="inlineStr">
        <is>
          <t>991001638809702656</t>
        </is>
      </c>
      <c r="AY294" t="inlineStr">
        <is>
          <t>2260975680002656</t>
        </is>
      </c>
      <c r="AZ294" t="inlineStr">
        <is>
          <t>BOOK</t>
        </is>
      </c>
      <c r="BB294" t="inlineStr">
        <is>
          <t>9780300041750</t>
        </is>
      </c>
      <c r="BC294" t="inlineStr">
        <is>
          <t>32285001040764</t>
        </is>
      </c>
      <c r="BD294" t="inlineStr">
        <is>
          <t>893432969</t>
        </is>
      </c>
    </row>
    <row r="295">
      <c r="A295" t="inlineStr">
        <is>
          <t>No</t>
        </is>
      </c>
      <c r="B295" t="inlineStr">
        <is>
          <t>HQ1075.5.U6 L53 2000</t>
        </is>
      </c>
      <c r="C295" t="inlineStr">
        <is>
          <t>0                      HQ 1075500U  6                  L  53          2000</t>
        </is>
      </c>
      <c r="D295" t="inlineStr">
        <is>
          <t>Playing catch with my mother : coming to manhood when all the rules have changed / Greg Lichtenberg.</t>
        </is>
      </c>
      <c r="F295" t="inlineStr">
        <is>
          <t>No</t>
        </is>
      </c>
      <c r="G295" t="inlineStr">
        <is>
          <t>1</t>
        </is>
      </c>
      <c r="H295" t="inlineStr">
        <is>
          <t>No</t>
        </is>
      </c>
      <c r="I295" t="inlineStr">
        <is>
          <t>No</t>
        </is>
      </c>
      <c r="J295" t="inlineStr">
        <is>
          <t>0</t>
        </is>
      </c>
      <c r="K295" t="inlineStr">
        <is>
          <t>Lichtenberg, Greg.</t>
        </is>
      </c>
      <c r="L295" t="inlineStr">
        <is>
          <t>New York : Bantam Books, 2000.</t>
        </is>
      </c>
      <c r="M295" t="inlineStr">
        <is>
          <t>2000</t>
        </is>
      </c>
      <c r="N295" t="inlineStr">
        <is>
          <t>Bantam trade paperback ed.</t>
        </is>
      </c>
      <c r="O295" t="inlineStr">
        <is>
          <t>eng</t>
        </is>
      </c>
      <c r="P295" t="inlineStr">
        <is>
          <t>nyu</t>
        </is>
      </c>
      <c r="R295" t="inlineStr">
        <is>
          <t xml:space="preserve">HQ </t>
        </is>
      </c>
      <c r="S295" t="n">
        <v>4</v>
      </c>
      <c r="T295" t="n">
        <v>4</v>
      </c>
      <c r="U295" t="inlineStr">
        <is>
          <t>2003-06-06</t>
        </is>
      </c>
      <c r="V295" t="inlineStr">
        <is>
          <t>2003-06-06</t>
        </is>
      </c>
      <c r="W295" t="inlineStr">
        <is>
          <t>2001-09-12</t>
        </is>
      </c>
      <c r="X295" t="inlineStr">
        <is>
          <t>2001-09-12</t>
        </is>
      </c>
      <c r="Y295" t="n">
        <v>24</v>
      </c>
      <c r="Z295" t="n">
        <v>24</v>
      </c>
      <c r="AA295" t="n">
        <v>226</v>
      </c>
      <c r="AB295" t="n">
        <v>1</v>
      </c>
      <c r="AC295" t="n">
        <v>4</v>
      </c>
      <c r="AD295" t="n">
        <v>1</v>
      </c>
      <c r="AE295" t="n">
        <v>12</v>
      </c>
      <c r="AF295" t="n">
        <v>0</v>
      </c>
      <c r="AG295" t="n">
        <v>1</v>
      </c>
      <c r="AH295" t="n">
        <v>0</v>
      </c>
      <c r="AI295" t="n">
        <v>5</v>
      </c>
      <c r="AJ295" t="n">
        <v>1</v>
      </c>
      <c r="AK295" t="n">
        <v>5</v>
      </c>
      <c r="AL295" t="n">
        <v>0</v>
      </c>
      <c r="AM295" t="n">
        <v>3</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HYPERLINK("https://creighton-primo.hosted.exlibrisgroup.com/primo-explore/search?tab=default_tab&amp;search_scope=EVERYTHING&amp;vid=01CRU&amp;lang=en_US&amp;offset=0&amp;query=any,contains,991003590999702656","Catalog Record")</f>
        <v/>
      </c>
      <c r="AT295">
        <f>HYPERLINK("http://www.worldcat.org/oclc/45084739","WorldCat Record")</f>
        <v/>
      </c>
      <c r="AU295" t="inlineStr">
        <is>
          <t>914658201:eng</t>
        </is>
      </c>
      <c r="AV295" t="inlineStr">
        <is>
          <t>45084739</t>
        </is>
      </c>
      <c r="AW295" t="inlineStr">
        <is>
          <t>991003590999702656</t>
        </is>
      </c>
      <c r="AX295" t="inlineStr">
        <is>
          <t>991003590999702656</t>
        </is>
      </c>
      <c r="AY295" t="inlineStr">
        <is>
          <t>2266202250002656</t>
        </is>
      </c>
      <c r="AZ295" t="inlineStr">
        <is>
          <t>BOOK</t>
        </is>
      </c>
      <c r="BB295" t="inlineStr">
        <is>
          <t>9780553378023</t>
        </is>
      </c>
      <c r="BC295" t="inlineStr">
        <is>
          <t>32285004390711</t>
        </is>
      </c>
      <c r="BD295" t="inlineStr">
        <is>
          <t>893330521</t>
        </is>
      </c>
    </row>
    <row r="296">
      <c r="A296" t="inlineStr">
        <is>
          <t>No</t>
        </is>
      </c>
      <c r="B296" t="inlineStr">
        <is>
          <t>HQ1075.5.U6 L68 1994</t>
        </is>
      </c>
      <c r="C296" t="inlineStr">
        <is>
          <t>0                      HQ 1075500U  6                  L  68          1994</t>
        </is>
      </c>
      <c r="D296" t="inlineStr">
        <is>
          <t>Women's lives : themes and variations in gender learning / Bernice Lott.</t>
        </is>
      </c>
      <c r="F296" t="inlineStr">
        <is>
          <t>No</t>
        </is>
      </c>
      <c r="G296" t="inlineStr">
        <is>
          <t>1</t>
        </is>
      </c>
      <c r="H296" t="inlineStr">
        <is>
          <t>No</t>
        </is>
      </c>
      <c r="I296" t="inlineStr">
        <is>
          <t>No</t>
        </is>
      </c>
      <c r="J296" t="inlineStr">
        <is>
          <t>0</t>
        </is>
      </c>
      <c r="K296" t="inlineStr">
        <is>
          <t>Lott, Bernice E.</t>
        </is>
      </c>
      <c r="L296" t="inlineStr">
        <is>
          <t>Pacific Grove, Calif. : Brooks/Cole Pub. Co., c1994.</t>
        </is>
      </c>
      <c r="M296" t="inlineStr">
        <is>
          <t>1994</t>
        </is>
      </c>
      <c r="N296" t="inlineStr">
        <is>
          <t>2nd ed.</t>
        </is>
      </c>
      <c r="O296" t="inlineStr">
        <is>
          <t>eng</t>
        </is>
      </c>
      <c r="P296" t="inlineStr">
        <is>
          <t>cau</t>
        </is>
      </c>
      <c r="R296" t="inlineStr">
        <is>
          <t xml:space="preserve">HQ </t>
        </is>
      </c>
      <c r="S296" t="n">
        <v>1</v>
      </c>
      <c r="T296" t="n">
        <v>1</v>
      </c>
      <c r="U296" t="inlineStr">
        <is>
          <t>2010-09-01</t>
        </is>
      </c>
      <c r="V296" t="inlineStr">
        <is>
          <t>2010-09-01</t>
        </is>
      </c>
      <c r="W296" t="inlineStr">
        <is>
          <t>2010-09-01</t>
        </is>
      </c>
      <c r="X296" t="inlineStr">
        <is>
          <t>2010-09-01</t>
        </is>
      </c>
      <c r="Y296" t="n">
        <v>202</v>
      </c>
      <c r="Z296" t="n">
        <v>157</v>
      </c>
      <c r="AA296" t="n">
        <v>368</v>
      </c>
      <c r="AB296" t="n">
        <v>2</v>
      </c>
      <c r="AC296" t="n">
        <v>4</v>
      </c>
      <c r="AD296" t="n">
        <v>7</v>
      </c>
      <c r="AE296" t="n">
        <v>14</v>
      </c>
      <c r="AF296" t="n">
        <v>3</v>
      </c>
      <c r="AG296" t="n">
        <v>4</v>
      </c>
      <c r="AH296" t="n">
        <v>1</v>
      </c>
      <c r="AI296" t="n">
        <v>3</v>
      </c>
      <c r="AJ296" t="n">
        <v>3</v>
      </c>
      <c r="AK296" t="n">
        <v>7</v>
      </c>
      <c r="AL296" t="n">
        <v>1</v>
      </c>
      <c r="AM296" t="n">
        <v>3</v>
      </c>
      <c r="AN296" t="n">
        <v>0</v>
      </c>
      <c r="AO296" t="n">
        <v>0</v>
      </c>
      <c r="AP296" t="inlineStr">
        <is>
          <t>No</t>
        </is>
      </c>
      <c r="AQ296" t="inlineStr">
        <is>
          <t>Yes</t>
        </is>
      </c>
      <c r="AR296">
        <f>HYPERLINK("http://catalog.hathitrust.org/Record/003796150","HathiTrust Record")</f>
        <v/>
      </c>
      <c r="AS296">
        <f>HYPERLINK("https://creighton-primo.hosted.exlibrisgroup.com/primo-explore/search?tab=default_tab&amp;search_scope=EVERYTHING&amp;vid=01CRU&amp;lang=en_US&amp;offset=0&amp;query=any,contains,991000097089702656","Catalog Record")</f>
        <v/>
      </c>
      <c r="AT296">
        <f>HYPERLINK("http://www.worldcat.org/oclc/28294024","WorldCat Record")</f>
        <v/>
      </c>
      <c r="AU296" t="inlineStr">
        <is>
          <t>9076430:eng</t>
        </is>
      </c>
      <c r="AV296" t="inlineStr">
        <is>
          <t>28294024</t>
        </is>
      </c>
      <c r="AW296" t="inlineStr">
        <is>
          <t>991000097089702656</t>
        </is>
      </c>
      <c r="AX296" t="inlineStr">
        <is>
          <t>991000097089702656</t>
        </is>
      </c>
      <c r="AY296" t="inlineStr">
        <is>
          <t>2258749690002656</t>
        </is>
      </c>
      <c r="AZ296" t="inlineStr">
        <is>
          <t>BOOK</t>
        </is>
      </c>
      <c r="BB296" t="inlineStr">
        <is>
          <t>9780534159542</t>
        </is>
      </c>
      <c r="BC296" t="inlineStr">
        <is>
          <t>32285005594261</t>
        </is>
      </c>
      <c r="BD296" t="inlineStr">
        <is>
          <t>893521394</t>
        </is>
      </c>
    </row>
    <row r="297">
      <c r="A297" t="inlineStr">
        <is>
          <t>No</t>
        </is>
      </c>
      <c r="B297" t="inlineStr">
        <is>
          <t>HQ1075.5.U6 M46 1986</t>
        </is>
      </c>
      <c r="C297" t="inlineStr">
        <is>
          <t>0                      HQ 1075500U  6                  M  46          1986</t>
        </is>
      </c>
      <c r="D297" t="inlineStr">
        <is>
          <t>Men's changing roles in the family / edited by Robert A. Lewis and Marvin B. Sussman.</t>
        </is>
      </c>
      <c r="F297" t="inlineStr">
        <is>
          <t>No</t>
        </is>
      </c>
      <c r="G297" t="inlineStr">
        <is>
          <t>1</t>
        </is>
      </c>
      <c r="H297" t="inlineStr">
        <is>
          <t>No</t>
        </is>
      </c>
      <c r="I297" t="inlineStr">
        <is>
          <t>No</t>
        </is>
      </c>
      <c r="J297" t="inlineStr">
        <is>
          <t>0</t>
        </is>
      </c>
      <c r="L297" t="inlineStr">
        <is>
          <t>New York : Haworth Press, c1986.</t>
        </is>
      </c>
      <c r="M297" t="inlineStr">
        <is>
          <t>1986</t>
        </is>
      </c>
      <c r="O297" t="inlineStr">
        <is>
          <t>eng</t>
        </is>
      </c>
      <c r="P297" t="inlineStr">
        <is>
          <t>nyu</t>
        </is>
      </c>
      <c r="R297" t="inlineStr">
        <is>
          <t xml:space="preserve">HQ </t>
        </is>
      </c>
      <c r="S297" t="n">
        <v>8</v>
      </c>
      <c r="T297" t="n">
        <v>8</v>
      </c>
      <c r="U297" t="inlineStr">
        <is>
          <t>1999-06-25</t>
        </is>
      </c>
      <c r="V297" t="inlineStr">
        <is>
          <t>1999-06-25</t>
        </is>
      </c>
      <c r="W297" t="inlineStr">
        <is>
          <t>1992-05-18</t>
        </is>
      </c>
      <c r="X297" t="inlineStr">
        <is>
          <t>1992-05-18</t>
        </is>
      </c>
      <c r="Y297" t="n">
        <v>302</v>
      </c>
      <c r="Z297" t="n">
        <v>230</v>
      </c>
      <c r="AA297" t="n">
        <v>254</v>
      </c>
      <c r="AB297" t="n">
        <v>1</v>
      </c>
      <c r="AC297" t="n">
        <v>1</v>
      </c>
      <c r="AD297" t="n">
        <v>9</v>
      </c>
      <c r="AE297" t="n">
        <v>9</v>
      </c>
      <c r="AF297" t="n">
        <v>3</v>
      </c>
      <c r="AG297" t="n">
        <v>3</v>
      </c>
      <c r="AH297" t="n">
        <v>4</v>
      </c>
      <c r="AI297" t="n">
        <v>4</v>
      </c>
      <c r="AJ297" t="n">
        <v>5</v>
      </c>
      <c r="AK297" t="n">
        <v>5</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HYPERLINK("https://creighton-primo.hosted.exlibrisgroup.com/primo-explore/search?tab=default_tab&amp;search_scope=EVERYTHING&amp;vid=01CRU&amp;lang=en_US&amp;offset=0&amp;query=any,contains,991000779779702656","Catalog Record")</f>
        <v/>
      </c>
      <c r="AT297">
        <f>HYPERLINK("http://www.worldcat.org/oclc/13094394","WorldCat Record")</f>
        <v/>
      </c>
      <c r="AU297" t="inlineStr">
        <is>
          <t>5844509:eng</t>
        </is>
      </c>
      <c r="AV297" t="inlineStr">
        <is>
          <t>13094394</t>
        </is>
      </c>
      <c r="AW297" t="inlineStr">
        <is>
          <t>991000779779702656</t>
        </is>
      </c>
      <c r="AX297" t="inlineStr">
        <is>
          <t>991000779779702656</t>
        </is>
      </c>
      <c r="AY297" t="inlineStr">
        <is>
          <t>2271941940002656</t>
        </is>
      </c>
      <c r="AZ297" t="inlineStr">
        <is>
          <t>BOOK</t>
        </is>
      </c>
      <c r="BB297" t="inlineStr">
        <is>
          <t>9780866565028</t>
        </is>
      </c>
      <c r="BC297" t="inlineStr">
        <is>
          <t>32285001111672</t>
        </is>
      </c>
      <c r="BD297" t="inlineStr">
        <is>
          <t>893891016</t>
        </is>
      </c>
    </row>
    <row r="298">
      <c r="A298" t="inlineStr">
        <is>
          <t>No</t>
        </is>
      </c>
      <c r="B298" t="inlineStr">
        <is>
          <t>HQ1075.5.U6 M67 1991</t>
        </is>
      </c>
      <c r="C298" t="inlineStr">
        <is>
          <t>0                      HQ 1075500U  6                  M  67          1991</t>
        </is>
      </c>
      <c r="D298" t="inlineStr">
        <is>
          <t>Unleashing our unknown selves : an inquiry into the future of femininity and masculinity / France Morrow ; foreword by Dee L. Aker.</t>
        </is>
      </c>
      <c r="F298" t="inlineStr">
        <is>
          <t>No</t>
        </is>
      </c>
      <c r="G298" t="inlineStr">
        <is>
          <t>1</t>
        </is>
      </c>
      <c r="H298" t="inlineStr">
        <is>
          <t>No</t>
        </is>
      </c>
      <c r="I298" t="inlineStr">
        <is>
          <t>No</t>
        </is>
      </c>
      <c r="J298" t="inlineStr">
        <is>
          <t>0</t>
        </is>
      </c>
      <c r="K298" t="inlineStr">
        <is>
          <t>Morrow, France.</t>
        </is>
      </c>
      <c r="L298" t="inlineStr">
        <is>
          <t>New York : Praeger, 1991.</t>
        </is>
      </c>
      <c r="M298" t="inlineStr">
        <is>
          <t>1991</t>
        </is>
      </c>
      <c r="O298" t="inlineStr">
        <is>
          <t>eng</t>
        </is>
      </c>
      <c r="P298" t="inlineStr">
        <is>
          <t>nyu</t>
        </is>
      </c>
      <c r="R298" t="inlineStr">
        <is>
          <t xml:space="preserve">HQ </t>
        </is>
      </c>
      <c r="S298" t="n">
        <v>5</v>
      </c>
      <c r="T298" t="n">
        <v>5</v>
      </c>
      <c r="U298" t="inlineStr">
        <is>
          <t>2009-11-04</t>
        </is>
      </c>
      <c r="V298" t="inlineStr">
        <is>
          <t>2009-11-04</t>
        </is>
      </c>
      <c r="W298" t="inlineStr">
        <is>
          <t>1991-10-16</t>
        </is>
      </c>
      <c r="X298" t="inlineStr">
        <is>
          <t>1991-10-16</t>
        </is>
      </c>
      <c r="Y298" t="n">
        <v>454</v>
      </c>
      <c r="Z298" t="n">
        <v>382</v>
      </c>
      <c r="AA298" t="n">
        <v>388</v>
      </c>
      <c r="AB298" t="n">
        <v>4</v>
      </c>
      <c r="AC298" t="n">
        <v>4</v>
      </c>
      <c r="AD298" t="n">
        <v>23</v>
      </c>
      <c r="AE298" t="n">
        <v>23</v>
      </c>
      <c r="AF298" t="n">
        <v>7</v>
      </c>
      <c r="AG298" t="n">
        <v>7</v>
      </c>
      <c r="AH298" t="n">
        <v>5</v>
      </c>
      <c r="AI298" t="n">
        <v>5</v>
      </c>
      <c r="AJ298" t="n">
        <v>16</v>
      </c>
      <c r="AK298" t="n">
        <v>16</v>
      </c>
      <c r="AL298" t="n">
        <v>3</v>
      </c>
      <c r="AM298" t="n">
        <v>3</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HYPERLINK("https://creighton-primo.hosted.exlibrisgroup.com/primo-explore/search?tab=default_tab&amp;search_scope=EVERYTHING&amp;vid=01CRU&amp;lang=en_US&amp;offset=0&amp;query=any,contains,991001719289702656","Catalog Record")</f>
        <v/>
      </c>
      <c r="AT298">
        <f>HYPERLINK("http://www.worldcat.org/oclc/21760848","WorldCat Record")</f>
        <v/>
      </c>
      <c r="AU298" t="inlineStr">
        <is>
          <t>371596644:eng</t>
        </is>
      </c>
      <c r="AV298" t="inlineStr">
        <is>
          <t>21760848</t>
        </is>
      </c>
      <c r="AW298" t="inlineStr">
        <is>
          <t>991001719289702656</t>
        </is>
      </c>
      <c r="AX298" t="inlineStr">
        <is>
          <t>991001719289702656</t>
        </is>
      </c>
      <c r="AY298" t="inlineStr">
        <is>
          <t>2255106530002656</t>
        </is>
      </c>
      <c r="AZ298" t="inlineStr">
        <is>
          <t>BOOK</t>
        </is>
      </c>
      <c r="BB298" t="inlineStr">
        <is>
          <t>9780275938376</t>
        </is>
      </c>
      <c r="BC298" t="inlineStr">
        <is>
          <t>32285000726793</t>
        </is>
      </c>
      <c r="BD298" t="inlineStr">
        <is>
          <t>893426776</t>
        </is>
      </c>
    </row>
    <row r="299">
      <c r="A299" t="inlineStr">
        <is>
          <t>No</t>
        </is>
      </c>
      <c r="B299" t="inlineStr">
        <is>
          <t>HQ1075.5.U6 R42 2002</t>
        </is>
      </c>
      <c r="C299" t="inlineStr">
        <is>
          <t>0                      HQ 1075500U  6                  R  42          2002</t>
        </is>
      </c>
      <c r="D299" t="inlineStr">
        <is>
          <t>Readings in gender and culture in America / edited by Nancy P. McKee, Linda Stone.</t>
        </is>
      </c>
      <c r="F299" t="inlineStr">
        <is>
          <t>No</t>
        </is>
      </c>
      <c r="G299" t="inlineStr">
        <is>
          <t>1</t>
        </is>
      </c>
      <c r="H299" t="inlineStr">
        <is>
          <t>No</t>
        </is>
      </c>
      <c r="I299" t="inlineStr">
        <is>
          <t>No</t>
        </is>
      </c>
      <c r="J299" t="inlineStr">
        <is>
          <t>0</t>
        </is>
      </c>
      <c r="L299" t="inlineStr">
        <is>
          <t>Upper Saddle River, N.J. : Prentice Hall, c2002.</t>
        </is>
      </c>
      <c r="M299" t="inlineStr">
        <is>
          <t>2002</t>
        </is>
      </c>
      <c r="O299" t="inlineStr">
        <is>
          <t>eng</t>
        </is>
      </c>
      <c r="P299" t="inlineStr">
        <is>
          <t>nju</t>
        </is>
      </c>
      <c r="R299" t="inlineStr">
        <is>
          <t xml:space="preserve">HQ </t>
        </is>
      </c>
      <c r="S299" t="n">
        <v>2</v>
      </c>
      <c r="T299" t="n">
        <v>2</v>
      </c>
      <c r="U299" t="inlineStr">
        <is>
          <t>2004-03-11</t>
        </is>
      </c>
      <c r="V299" t="inlineStr">
        <is>
          <t>2004-03-11</t>
        </is>
      </c>
      <c r="W299" t="inlineStr">
        <is>
          <t>2002-03-20</t>
        </is>
      </c>
      <c r="X299" t="inlineStr">
        <is>
          <t>2002-03-20</t>
        </is>
      </c>
      <c r="Y299" t="n">
        <v>116</v>
      </c>
      <c r="Z299" t="n">
        <v>111</v>
      </c>
      <c r="AA299" t="n">
        <v>111</v>
      </c>
      <c r="AB299" t="n">
        <v>2</v>
      </c>
      <c r="AC299" t="n">
        <v>2</v>
      </c>
      <c r="AD299" t="n">
        <v>4</v>
      </c>
      <c r="AE299" t="n">
        <v>4</v>
      </c>
      <c r="AF299" t="n">
        <v>2</v>
      </c>
      <c r="AG299" t="n">
        <v>2</v>
      </c>
      <c r="AH299" t="n">
        <v>0</v>
      </c>
      <c r="AI299" t="n">
        <v>0</v>
      </c>
      <c r="AJ299" t="n">
        <v>2</v>
      </c>
      <c r="AK299" t="n">
        <v>2</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HYPERLINK("https://creighton-primo.hosted.exlibrisgroup.com/primo-explore/search?tab=default_tab&amp;search_scope=EVERYTHING&amp;vid=01CRU&amp;lang=en_US&amp;offset=0&amp;query=any,contains,991003741689702656","Catalog Record")</f>
        <v/>
      </c>
      <c r="AT299">
        <f>HYPERLINK("http://www.worldcat.org/oclc/48176659","WorldCat Record")</f>
        <v/>
      </c>
      <c r="AU299" t="inlineStr">
        <is>
          <t>3858909091:eng</t>
        </is>
      </c>
      <c r="AV299" t="inlineStr">
        <is>
          <t>48176659</t>
        </is>
      </c>
      <c r="AW299" t="inlineStr">
        <is>
          <t>991003741689702656</t>
        </is>
      </c>
      <c r="AX299" t="inlineStr">
        <is>
          <t>991003741689702656</t>
        </is>
      </c>
      <c r="AY299" t="inlineStr">
        <is>
          <t>2255969610002656</t>
        </is>
      </c>
      <c r="AZ299" t="inlineStr">
        <is>
          <t>BOOK</t>
        </is>
      </c>
      <c r="BB299" t="inlineStr">
        <is>
          <t>9780130404855</t>
        </is>
      </c>
      <c r="BC299" t="inlineStr">
        <is>
          <t>32285004463138</t>
        </is>
      </c>
      <c r="BD299" t="inlineStr">
        <is>
          <t>893623845</t>
        </is>
      </c>
    </row>
    <row r="300">
      <c r="A300" t="inlineStr">
        <is>
          <t>No</t>
        </is>
      </c>
      <c r="B300" t="inlineStr">
        <is>
          <t>HQ1075.5.U6 S56 1996</t>
        </is>
      </c>
      <c r="C300" t="inlineStr">
        <is>
          <t>0                      HQ 1075500U  6                  S  56          1996</t>
        </is>
      </c>
      <c r="D300" t="inlineStr">
        <is>
          <t>Ambition &amp; accommodation : how women view gender relations / Roberta S. Sigel.</t>
        </is>
      </c>
      <c r="F300" t="inlineStr">
        <is>
          <t>No</t>
        </is>
      </c>
      <c r="G300" t="inlineStr">
        <is>
          <t>1</t>
        </is>
      </c>
      <c r="H300" t="inlineStr">
        <is>
          <t>No</t>
        </is>
      </c>
      <c r="I300" t="inlineStr">
        <is>
          <t>No</t>
        </is>
      </c>
      <c r="J300" t="inlineStr">
        <is>
          <t>0</t>
        </is>
      </c>
      <c r="K300" t="inlineStr">
        <is>
          <t>Sigel, Roberta S.</t>
        </is>
      </c>
      <c r="L300" t="inlineStr">
        <is>
          <t>Chicago : University of Chicago Press, c1996.</t>
        </is>
      </c>
      <c r="M300" t="inlineStr">
        <is>
          <t>1996</t>
        </is>
      </c>
      <c r="O300" t="inlineStr">
        <is>
          <t>eng</t>
        </is>
      </c>
      <c r="P300" t="inlineStr">
        <is>
          <t>ilu</t>
        </is>
      </c>
      <c r="R300" t="inlineStr">
        <is>
          <t xml:space="preserve">HQ </t>
        </is>
      </c>
      <c r="S300" t="n">
        <v>1</v>
      </c>
      <c r="T300" t="n">
        <v>1</v>
      </c>
      <c r="U300" t="inlineStr">
        <is>
          <t>2005-03-26</t>
        </is>
      </c>
      <c r="V300" t="inlineStr">
        <is>
          <t>2005-03-26</t>
        </is>
      </c>
      <c r="W300" t="inlineStr">
        <is>
          <t>1997-05-07</t>
        </is>
      </c>
      <c r="X300" t="inlineStr">
        <is>
          <t>1997-05-07</t>
        </is>
      </c>
      <c r="Y300" t="n">
        <v>720</v>
      </c>
      <c r="Z300" t="n">
        <v>639</v>
      </c>
      <c r="AA300" t="n">
        <v>641</v>
      </c>
      <c r="AB300" t="n">
        <v>5</v>
      </c>
      <c r="AC300" t="n">
        <v>5</v>
      </c>
      <c r="AD300" t="n">
        <v>34</v>
      </c>
      <c r="AE300" t="n">
        <v>34</v>
      </c>
      <c r="AF300" t="n">
        <v>15</v>
      </c>
      <c r="AG300" t="n">
        <v>15</v>
      </c>
      <c r="AH300" t="n">
        <v>8</v>
      </c>
      <c r="AI300" t="n">
        <v>8</v>
      </c>
      <c r="AJ300" t="n">
        <v>16</v>
      </c>
      <c r="AK300" t="n">
        <v>16</v>
      </c>
      <c r="AL300" t="n">
        <v>4</v>
      </c>
      <c r="AM300" t="n">
        <v>4</v>
      </c>
      <c r="AN300" t="n">
        <v>2</v>
      </c>
      <c r="AO300" t="n">
        <v>2</v>
      </c>
      <c r="AP300" t="inlineStr">
        <is>
          <t>No</t>
        </is>
      </c>
      <c r="AQ300" t="inlineStr">
        <is>
          <t>No</t>
        </is>
      </c>
      <c r="AS300">
        <f>HYPERLINK("https://creighton-primo.hosted.exlibrisgroup.com/primo-explore/search?tab=default_tab&amp;search_scope=EVERYTHING&amp;vid=01CRU&amp;lang=en_US&amp;offset=0&amp;query=any,contains,991002578069702656","Catalog Record")</f>
        <v/>
      </c>
      <c r="AT300">
        <f>HYPERLINK("http://www.worldcat.org/oclc/33667203","WorldCat Record")</f>
        <v/>
      </c>
      <c r="AU300" t="inlineStr">
        <is>
          <t>837021975:eng</t>
        </is>
      </c>
      <c r="AV300" t="inlineStr">
        <is>
          <t>33667203</t>
        </is>
      </c>
      <c r="AW300" t="inlineStr">
        <is>
          <t>991002578069702656</t>
        </is>
      </c>
      <c r="AX300" t="inlineStr">
        <is>
          <t>991002578069702656</t>
        </is>
      </c>
      <c r="AY300" t="inlineStr">
        <is>
          <t>2254998530002656</t>
        </is>
      </c>
      <c r="AZ300" t="inlineStr">
        <is>
          <t>BOOK</t>
        </is>
      </c>
      <c r="BB300" t="inlineStr">
        <is>
          <t>9780226756950</t>
        </is>
      </c>
      <c r="BC300" t="inlineStr">
        <is>
          <t>32285002605839</t>
        </is>
      </c>
      <c r="BD300" t="inlineStr">
        <is>
          <t>893616296</t>
        </is>
      </c>
    </row>
    <row r="301">
      <c r="A301" t="inlineStr">
        <is>
          <t>No</t>
        </is>
      </c>
      <c r="B301" t="inlineStr">
        <is>
          <t>HQ1075.5.U6 S66 1987</t>
        </is>
      </c>
      <c r="C301" t="inlineStr">
        <is>
          <t>0                      HQ 1075500U  6                  S  66          1987</t>
        </is>
      </c>
      <c r="D301" t="inlineStr">
        <is>
          <t>Spouse, parent, worker : on gender and multiple roles / edited by Faye J. Crosby.</t>
        </is>
      </c>
      <c r="F301" t="inlineStr">
        <is>
          <t>No</t>
        </is>
      </c>
      <c r="G301" t="inlineStr">
        <is>
          <t>1</t>
        </is>
      </c>
      <c r="H301" t="inlineStr">
        <is>
          <t>No</t>
        </is>
      </c>
      <c r="I301" t="inlineStr">
        <is>
          <t>No</t>
        </is>
      </c>
      <c r="J301" t="inlineStr">
        <is>
          <t>0</t>
        </is>
      </c>
      <c r="L301" t="inlineStr">
        <is>
          <t>New Haven : Yale University Press, c1987.</t>
        </is>
      </c>
      <c r="M301" t="inlineStr">
        <is>
          <t>1987</t>
        </is>
      </c>
      <c r="O301" t="inlineStr">
        <is>
          <t>eng</t>
        </is>
      </c>
      <c r="P301" t="inlineStr">
        <is>
          <t>ctu</t>
        </is>
      </c>
      <c r="R301" t="inlineStr">
        <is>
          <t xml:space="preserve">HQ </t>
        </is>
      </c>
      <c r="S301" t="n">
        <v>4</v>
      </c>
      <c r="T301" t="n">
        <v>4</v>
      </c>
      <c r="U301" t="inlineStr">
        <is>
          <t>2003-02-19</t>
        </is>
      </c>
      <c r="V301" t="inlineStr">
        <is>
          <t>2003-02-19</t>
        </is>
      </c>
      <c r="W301" t="inlineStr">
        <is>
          <t>1993-04-26</t>
        </is>
      </c>
      <c r="X301" t="inlineStr">
        <is>
          <t>1993-04-26</t>
        </is>
      </c>
      <c r="Y301" t="n">
        <v>709</v>
      </c>
      <c r="Z301" t="n">
        <v>579</v>
      </c>
      <c r="AA301" t="n">
        <v>725</v>
      </c>
      <c r="AB301" t="n">
        <v>2</v>
      </c>
      <c r="AC301" t="n">
        <v>2</v>
      </c>
      <c r="AD301" t="n">
        <v>28</v>
      </c>
      <c r="AE301" t="n">
        <v>35</v>
      </c>
      <c r="AF301" t="n">
        <v>12</v>
      </c>
      <c r="AG301" t="n">
        <v>17</v>
      </c>
      <c r="AH301" t="n">
        <v>7</v>
      </c>
      <c r="AI301" t="n">
        <v>9</v>
      </c>
      <c r="AJ301" t="n">
        <v>13</v>
      </c>
      <c r="AK301" t="n">
        <v>16</v>
      </c>
      <c r="AL301" t="n">
        <v>1</v>
      </c>
      <c r="AM301" t="n">
        <v>1</v>
      </c>
      <c r="AN301" t="n">
        <v>1</v>
      </c>
      <c r="AO301" t="n">
        <v>1</v>
      </c>
      <c r="AP301" t="inlineStr">
        <is>
          <t>No</t>
        </is>
      </c>
      <c r="AQ301" t="inlineStr">
        <is>
          <t>No</t>
        </is>
      </c>
      <c r="AS301">
        <f>HYPERLINK("https://creighton-primo.hosted.exlibrisgroup.com/primo-explore/search?tab=default_tab&amp;search_scope=EVERYTHING&amp;vid=01CRU&amp;lang=en_US&amp;offset=0&amp;query=any,contains,991000941549702656","Catalog Record")</f>
        <v/>
      </c>
      <c r="AT301">
        <f>HYPERLINK("http://www.worldcat.org/oclc/14412991","WorldCat Record")</f>
        <v/>
      </c>
      <c r="AU301" t="inlineStr">
        <is>
          <t>836630828:eng</t>
        </is>
      </c>
      <c r="AV301" t="inlineStr">
        <is>
          <t>14412991</t>
        </is>
      </c>
      <c r="AW301" t="inlineStr">
        <is>
          <t>991000941549702656</t>
        </is>
      </c>
      <c r="AX301" t="inlineStr">
        <is>
          <t>991000941549702656</t>
        </is>
      </c>
      <c r="AY301" t="inlineStr">
        <is>
          <t>2263987030002656</t>
        </is>
      </c>
      <c r="AZ301" t="inlineStr">
        <is>
          <t>BOOK</t>
        </is>
      </c>
      <c r="BB301" t="inlineStr">
        <is>
          <t>9780300038439</t>
        </is>
      </c>
      <c r="BC301" t="inlineStr">
        <is>
          <t>32285001626893</t>
        </is>
      </c>
      <c r="BD301" t="inlineStr">
        <is>
          <t>893509242</t>
        </is>
      </c>
    </row>
    <row r="302">
      <c r="A302" t="inlineStr">
        <is>
          <t>No</t>
        </is>
      </c>
      <c r="B302" t="inlineStr">
        <is>
          <t>HQ1075.5.U6 S74 1986</t>
        </is>
      </c>
      <c r="C302" t="inlineStr">
        <is>
          <t>0                      HQ 1075500U  6                  S  74          1986</t>
        </is>
      </c>
      <c r="D302" t="inlineStr">
        <is>
          <t>Communication between the sexes : sex differences and sex-role stereotypes / Lea P. Stewart, Pamela J. Cooper, Sheryl A. Friedley.</t>
        </is>
      </c>
      <c r="F302" t="inlineStr">
        <is>
          <t>No</t>
        </is>
      </c>
      <c r="G302" t="inlineStr">
        <is>
          <t>1</t>
        </is>
      </c>
      <c r="H302" t="inlineStr">
        <is>
          <t>No</t>
        </is>
      </c>
      <c r="I302" t="inlineStr">
        <is>
          <t>No</t>
        </is>
      </c>
      <c r="J302" t="inlineStr">
        <is>
          <t>0</t>
        </is>
      </c>
      <c r="K302" t="inlineStr">
        <is>
          <t>Stewart, Lea.</t>
        </is>
      </c>
      <c r="L302" t="inlineStr">
        <is>
          <t>Scottsdale, Ariz. : Gorsuch Scarisbrick, c1986.</t>
        </is>
      </c>
      <c r="M302" t="inlineStr">
        <is>
          <t>1986</t>
        </is>
      </c>
      <c r="O302" t="inlineStr">
        <is>
          <t>eng</t>
        </is>
      </c>
      <c r="P302" t="inlineStr">
        <is>
          <t>azu</t>
        </is>
      </c>
      <c r="R302" t="inlineStr">
        <is>
          <t xml:space="preserve">HQ </t>
        </is>
      </c>
      <c r="S302" t="n">
        <v>17</v>
      </c>
      <c r="T302" t="n">
        <v>17</v>
      </c>
      <c r="U302" t="inlineStr">
        <is>
          <t>2000-06-22</t>
        </is>
      </c>
      <c r="V302" t="inlineStr">
        <is>
          <t>2000-06-22</t>
        </is>
      </c>
      <c r="W302" t="inlineStr">
        <is>
          <t>1991-12-05</t>
        </is>
      </c>
      <c r="X302" t="inlineStr">
        <is>
          <t>1991-12-05</t>
        </is>
      </c>
      <c r="Y302" t="n">
        <v>146</v>
      </c>
      <c r="Z302" t="n">
        <v>139</v>
      </c>
      <c r="AA302" t="n">
        <v>221</v>
      </c>
      <c r="AB302" t="n">
        <v>2</v>
      </c>
      <c r="AC302" t="n">
        <v>2</v>
      </c>
      <c r="AD302" t="n">
        <v>7</v>
      </c>
      <c r="AE302" t="n">
        <v>13</v>
      </c>
      <c r="AF302" t="n">
        <v>3</v>
      </c>
      <c r="AG302" t="n">
        <v>7</v>
      </c>
      <c r="AH302" t="n">
        <v>1</v>
      </c>
      <c r="AI302" t="n">
        <v>2</v>
      </c>
      <c r="AJ302" t="n">
        <v>3</v>
      </c>
      <c r="AK302" t="n">
        <v>5</v>
      </c>
      <c r="AL302" t="n">
        <v>1</v>
      </c>
      <c r="AM302" t="n">
        <v>1</v>
      </c>
      <c r="AN302" t="n">
        <v>0</v>
      </c>
      <c r="AO302" t="n">
        <v>0</v>
      </c>
      <c r="AP302" t="inlineStr">
        <is>
          <t>No</t>
        </is>
      </c>
      <c r="AQ302" t="inlineStr">
        <is>
          <t>Yes</t>
        </is>
      </c>
      <c r="AR302">
        <f>HYPERLINK("http://catalog.hathitrust.org/Record/007104777","HathiTrust Record")</f>
        <v/>
      </c>
      <c r="AS302">
        <f>HYPERLINK("https://creighton-primo.hosted.exlibrisgroup.com/primo-explore/search?tab=default_tab&amp;search_scope=EVERYTHING&amp;vid=01CRU&amp;lang=en_US&amp;offset=0&amp;query=any,contains,991000945329702656","Catalog Record")</f>
        <v/>
      </c>
      <c r="AT302">
        <f>HYPERLINK("http://www.worldcat.org/oclc/14520859","WorldCat Record")</f>
        <v/>
      </c>
      <c r="AU302" t="inlineStr">
        <is>
          <t>8570490:eng</t>
        </is>
      </c>
      <c r="AV302" t="inlineStr">
        <is>
          <t>14520859</t>
        </is>
      </c>
      <c r="AW302" t="inlineStr">
        <is>
          <t>991000945329702656</t>
        </is>
      </c>
      <c r="AX302" t="inlineStr">
        <is>
          <t>991000945329702656</t>
        </is>
      </c>
      <c r="AY302" t="inlineStr">
        <is>
          <t>2264187770002656</t>
        </is>
      </c>
      <c r="AZ302" t="inlineStr">
        <is>
          <t>BOOK</t>
        </is>
      </c>
      <c r="BB302" t="inlineStr">
        <is>
          <t>9780897873253</t>
        </is>
      </c>
      <c r="BC302" t="inlineStr">
        <is>
          <t>32285000654680</t>
        </is>
      </c>
      <c r="BD302" t="inlineStr">
        <is>
          <t>893340027</t>
        </is>
      </c>
    </row>
    <row r="303">
      <c r="A303" t="inlineStr">
        <is>
          <t>No</t>
        </is>
      </c>
      <c r="B303" t="inlineStr">
        <is>
          <t>HQ1075.U6 D58 1992</t>
        </is>
      </c>
      <c r="C303" t="inlineStr">
        <is>
          <t>0                      HQ 1075000U  6                  D  58          1992</t>
        </is>
      </c>
      <c r="D303" t="inlineStr">
        <is>
          <t>Divided houses : gender and the Civil War / edited by Catherine Clinton and Nina Silber.</t>
        </is>
      </c>
      <c r="F303" t="inlineStr">
        <is>
          <t>No</t>
        </is>
      </c>
      <c r="G303" t="inlineStr">
        <is>
          <t>1</t>
        </is>
      </c>
      <c r="H303" t="inlineStr">
        <is>
          <t>No</t>
        </is>
      </c>
      <c r="I303" t="inlineStr">
        <is>
          <t>No</t>
        </is>
      </c>
      <c r="J303" t="inlineStr">
        <is>
          <t>0</t>
        </is>
      </c>
      <c r="L303" t="inlineStr">
        <is>
          <t>New York : Oxford University Press, 1992.</t>
        </is>
      </c>
      <c r="M303" t="inlineStr">
        <is>
          <t>1992</t>
        </is>
      </c>
      <c r="O303" t="inlineStr">
        <is>
          <t>eng</t>
        </is>
      </c>
      <c r="P303" t="inlineStr">
        <is>
          <t>nyu</t>
        </is>
      </c>
      <c r="R303" t="inlineStr">
        <is>
          <t xml:space="preserve">HQ </t>
        </is>
      </c>
      <c r="S303" t="n">
        <v>1</v>
      </c>
      <c r="T303" t="n">
        <v>1</v>
      </c>
      <c r="U303" t="inlineStr">
        <is>
          <t>2001-06-12</t>
        </is>
      </c>
      <c r="V303" t="inlineStr">
        <is>
          <t>2001-06-12</t>
        </is>
      </c>
      <c r="W303" t="inlineStr">
        <is>
          <t>2001-06-12</t>
        </is>
      </c>
      <c r="X303" t="inlineStr">
        <is>
          <t>2001-06-12</t>
        </is>
      </c>
      <c r="Y303" t="n">
        <v>1015</v>
      </c>
      <c r="Z303" t="n">
        <v>897</v>
      </c>
      <c r="AA303" t="n">
        <v>905</v>
      </c>
      <c r="AB303" t="n">
        <v>7</v>
      </c>
      <c r="AC303" t="n">
        <v>7</v>
      </c>
      <c r="AD303" t="n">
        <v>41</v>
      </c>
      <c r="AE303" t="n">
        <v>41</v>
      </c>
      <c r="AF303" t="n">
        <v>18</v>
      </c>
      <c r="AG303" t="n">
        <v>18</v>
      </c>
      <c r="AH303" t="n">
        <v>7</v>
      </c>
      <c r="AI303" t="n">
        <v>7</v>
      </c>
      <c r="AJ303" t="n">
        <v>21</v>
      </c>
      <c r="AK303" t="n">
        <v>21</v>
      </c>
      <c r="AL303" t="n">
        <v>6</v>
      </c>
      <c r="AM303" t="n">
        <v>6</v>
      </c>
      <c r="AN303" t="n">
        <v>0</v>
      </c>
      <c r="AO303" t="n">
        <v>0</v>
      </c>
      <c r="AP303" t="inlineStr">
        <is>
          <t>No</t>
        </is>
      </c>
      <c r="AQ303" t="inlineStr">
        <is>
          <t>Yes</t>
        </is>
      </c>
      <c r="AR303">
        <f>HYPERLINK("http://catalog.hathitrust.org/Record/002598717","HathiTrust Record")</f>
        <v/>
      </c>
      <c r="AS303">
        <f>HYPERLINK("https://creighton-primo.hosted.exlibrisgroup.com/primo-explore/search?tab=default_tab&amp;search_scope=EVERYTHING&amp;vid=01CRU&amp;lang=en_US&amp;offset=0&amp;query=any,contains,991003554019702656","Catalog Record")</f>
        <v/>
      </c>
      <c r="AT303">
        <f>HYPERLINK("http://www.worldcat.org/oclc/25130798","WorldCat Record")</f>
        <v/>
      </c>
      <c r="AU303" t="inlineStr">
        <is>
          <t>796312606:eng</t>
        </is>
      </c>
      <c r="AV303" t="inlineStr">
        <is>
          <t>25130798</t>
        </is>
      </c>
      <c r="AW303" t="inlineStr">
        <is>
          <t>991003554019702656</t>
        </is>
      </c>
      <c r="AX303" t="inlineStr">
        <is>
          <t>991003554019702656</t>
        </is>
      </c>
      <c r="AY303" t="inlineStr">
        <is>
          <t>2265608010002656</t>
        </is>
      </c>
      <c r="AZ303" t="inlineStr">
        <is>
          <t>BOOK</t>
        </is>
      </c>
      <c r="BB303" t="inlineStr">
        <is>
          <t>9780195074079</t>
        </is>
      </c>
      <c r="BC303" t="inlineStr">
        <is>
          <t>32285004326640</t>
        </is>
      </c>
      <c r="BD303" t="inlineStr">
        <is>
          <t>893900113</t>
        </is>
      </c>
    </row>
    <row r="304">
      <c r="A304" t="inlineStr">
        <is>
          <t>No</t>
        </is>
      </c>
      <c r="B304" t="inlineStr">
        <is>
          <t>HQ1088 .M35 1987</t>
        </is>
      </c>
      <c r="C304" t="inlineStr">
        <is>
          <t>0                      HQ 1088000M  35          1987</t>
        </is>
      </c>
      <c r="D304" t="inlineStr">
        <is>
          <t>The Making of masculinities : the new men's studies / edited by Harry Brod.</t>
        </is>
      </c>
      <c r="F304" t="inlineStr">
        <is>
          <t>No</t>
        </is>
      </c>
      <c r="G304" t="inlineStr">
        <is>
          <t>1</t>
        </is>
      </c>
      <c r="H304" t="inlineStr">
        <is>
          <t>No</t>
        </is>
      </c>
      <c r="I304" t="inlineStr">
        <is>
          <t>No</t>
        </is>
      </c>
      <c r="J304" t="inlineStr">
        <is>
          <t>0</t>
        </is>
      </c>
      <c r="L304" t="inlineStr">
        <is>
          <t>Boston : Allen &amp; Unwin, c1987.</t>
        </is>
      </c>
      <c r="M304" t="inlineStr">
        <is>
          <t>1987</t>
        </is>
      </c>
      <c r="O304" t="inlineStr">
        <is>
          <t>eng</t>
        </is>
      </c>
      <c r="P304" t="inlineStr">
        <is>
          <t>mau</t>
        </is>
      </c>
      <c r="R304" t="inlineStr">
        <is>
          <t xml:space="preserve">HQ </t>
        </is>
      </c>
      <c r="S304" t="n">
        <v>4</v>
      </c>
      <c r="T304" t="n">
        <v>4</v>
      </c>
      <c r="U304" t="inlineStr">
        <is>
          <t>2004-03-11</t>
        </is>
      </c>
      <c r="V304" t="inlineStr">
        <is>
          <t>2004-03-11</t>
        </is>
      </c>
      <c r="W304" t="inlineStr">
        <is>
          <t>1993-04-26</t>
        </is>
      </c>
      <c r="X304" t="inlineStr">
        <is>
          <t>1993-04-26</t>
        </is>
      </c>
      <c r="Y304" t="n">
        <v>751</v>
      </c>
      <c r="Z304" t="n">
        <v>585</v>
      </c>
      <c r="AA304" t="n">
        <v>645</v>
      </c>
      <c r="AB304" t="n">
        <v>4</v>
      </c>
      <c r="AC304" t="n">
        <v>4</v>
      </c>
      <c r="AD304" t="n">
        <v>28</v>
      </c>
      <c r="AE304" t="n">
        <v>30</v>
      </c>
      <c r="AF304" t="n">
        <v>12</v>
      </c>
      <c r="AG304" t="n">
        <v>14</v>
      </c>
      <c r="AH304" t="n">
        <v>7</v>
      </c>
      <c r="AI304" t="n">
        <v>8</v>
      </c>
      <c r="AJ304" t="n">
        <v>13</v>
      </c>
      <c r="AK304" t="n">
        <v>13</v>
      </c>
      <c r="AL304" t="n">
        <v>3</v>
      </c>
      <c r="AM304" t="n">
        <v>3</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HYPERLINK("https://creighton-primo.hosted.exlibrisgroup.com/primo-explore/search?tab=default_tab&amp;search_scope=EVERYTHING&amp;vid=01CRU&amp;lang=en_US&amp;offset=0&amp;query=any,contains,991000971819702656","Catalog Record")</f>
        <v/>
      </c>
      <c r="AT304">
        <f>HYPERLINK("http://www.worldcat.org/oclc/14964628","WorldCat Record")</f>
        <v/>
      </c>
      <c r="AU304" t="inlineStr">
        <is>
          <t>347656572:eng</t>
        </is>
      </c>
      <c r="AV304" t="inlineStr">
        <is>
          <t>14964628</t>
        </is>
      </c>
      <c r="AW304" t="inlineStr">
        <is>
          <t>991000971819702656</t>
        </is>
      </c>
      <c r="AX304" t="inlineStr">
        <is>
          <t>991000971819702656</t>
        </is>
      </c>
      <c r="AY304" t="inlineStr">
        <is>
          <t>2266446790002656</t>
        </is>
      </c>
      <c r="AZ304" t="inlineStr">
        <is>
          <t>BOOK</t>
        </is>
      </c>
      <c r="BB304" t="inlineStr">
        <is>
          <t>9780044970361</t>
        </is>
      </c>
      <c r="BC304" t="inlineStr">
        <is>
          <t>32285001626901</t>
        </is>
      </c>
      <c r="BD304" t="inlineStr">
        <is>
          <t>893346137</t>
        </is>
      </c>
    </row>
    <row r="305">
      <c r="A305" t="inlineStr">
        <is>
          <t>No</t>
        </is>
      </c>
      <c r="B305" t="inlineStr">
        <is>
          <t>HQ1088 .M377 2002</t>
        </is>
      </c>
      <c r="C305" t="inlineStr">
        <is>
          <t>0                      HQ 1088000M  377         2002</t>
        </is>
      </c>
      <c r="D305" t="inlineStr">
        <is>
          <t>The masculinity studies reader / edited by Rachel Adams and David Savran.</t>
        </is>
      </c>
      <c r="F305" t="inlineStr">
        <is>
          <t>No</t>
        </is>
      </c>
      <c r="G305" t="inlineStr">
        <is>
          <t>1</t>
        </is>
      </c>
      <c r="H305" t="inlineStr">
        <is>
          <t>No</t>
        </is>
      </c>
      <c r="I305" t="inlineStr">
        <is>
          <t>No</t>
        </is>
      </c>
      <c r="J305" t="inlineStr">
        <is>
          <t>0</t>
        </is>
      </c>
      <c r="L305" t="inlineStr">
        <is>
          <t>Malden, Mass. : Blackwell, 2002.</t>
        </is>
      </c>
      <c r="M305" t="inlineStr">
        <is>
          <t>2002</t>
        </is>
      </c>
      <c r="O305" t="inlineStr">
        <is>
          <t>eng</t>
        </is>
      </c>
      <c r="P305" t="inlineStr">
        <is>
          <t>mau</t>
        </is>
      </c>
      <c r="Q305" t="inlineStr">
        <is>
          <t>Keyworks in cultural studies ; 5</t>
        </is>
      </c>
      <c r="R305" t="inlineStr">
        <is>
          <t xml:space="preserve">HQ </t>
        </is>
      </c>
      <c r="S305" t="n">
        <v>9</v>
      </c>
      <c r="T305" t="n">
        <v>9</v>
      </c>
      <c r="U305" t="inlineStr">
        <is>
          <t>2009-10-09</t>
        </is>
      </c>
      <c r="V305" t="inlineStr">
        <is>
          <t>2009-10-09</t>
        </is>
      </c>
      <c r="W305" t="inlineStr">
        <is>
          <t>2003-10-03</t>
        </is>
      </c>
      <c r="X305" t="inlineStr">
        <is>
          <t>2003-10-03</t>
        </is>
      </c>
      <c r="Y305" t="n">
        <v>466</v>
      </c>
      <c r="Z305" t="n">
        <v>290</v>
      </c>
      <c r="AA305" t="n">
        <v>291</v>
      </c>
      <c r="AB305" t="n">
        <v>3</v>
      </c>
      <c r="AC305" t="n">
        <v>3</v>
      </c>
      <c r="AD305" t="n">
        <v>15</v>
      </c>
      <c r="AE305" t="n">
        <v>15</v>
      </c>
      <c r="AF305" t="n">
        <v>7</v>
      </c>
      <c r="AG305" t="n">
        <v>7</v>
      </c>
      <c r="AH305" t="n">
        <v>5</v>
      </c>
      <c r="AI305" t="n">
        <v>5</v>
      </c>
      <c r="AJ305" t="n">
        <v>7</v>
      </c>
      <c r="AK305" t="n">
        <v>7</v>
      </c>
      <c r="AL305" t="n">
        <v>2</v>
      </c>
      <c r="AM305" t="n">
        <v>2</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HYPERLINK("https://creighton-primo.hosted.exlibrisgroup.com/primo-explore/search?tab=default_tab&amp;search_scope=EVERYTHING&amp;vid=01CRU&amp;lang=en_US&amp;offset=0&amp;query=any,contains,991004150809702656","Catalog Record")</f>
        <v/>
      </c>
      <c r="AT305">
        <f>HYPERLINK("http://www.worldcat.org/oclc/47764312","WorldCat Record")</f>
        <v/>
      </c>
      <c r="AU305" t="inlineStr">
        <is>
          <t>352222255:eng</t>
        </is>
      </c>
      <c r="AV305" t="inlineStr">
        <is>
          <t>47764312</t>
        </is>
      </c>
      <c r="AW305" t="inlineStr">
        <is>
          <t>991004150809702656</t>
        </is>
      </c>
      <c r="AX305" t="inlineStr">
        <is>
          <t>991004150809702656</t>
        </is>
      </c>
      <c r="AY305" t="inlineStr">
        <is>
          <t>2263911030002656</t>
        </is>
      </c>
      <c r="AZ305" t="inlineStr">
        <is>
          <t>BOOK</t>
        </is>
      </c>
      <c r="BB305" t="inlineStr">
        <is>
          <t>9780631226598</t>
        </is>
      </c>
      <c r="BC305" t="inlineStr">
        <is>
          <t>32285004794151</t>
        </is>
      </c>
      <c r="BD305" t="inlineStr">
        <is>
          <t>893343520</t>
        </is>
      </c>
    </row>
    <row r="306">
      <c r="A306" t="inlineStr">
        <is>
          <t>No</t>
        </is>
      </c>
      <c r="B306" t="inlineStr">
        <is>
          <t>HQ1088 .T55 1994</t>
        </is>
      </c>
      <c r="C306" t="inlineStr">
        <is>
          <t>0                      HQ 1088000T  55          1994</t>
        </is>
      </c>
      <c r="D306" t="inlineStr">
        <is>
          <t>Theorizing masculinities / edited by Harry Brod, Michael Kaufman.</t>
        </is>
      </c>
      <c r="F306" t="inlineStr">
        <is>
          <t>No</t>
        </is>
      </c>
      <c r="G306" t="inlineStr">
        <is>
          <t>1</t>
        </is>
      </c>
      <c r="H306" t="inlineStr">
        <is>
          <t>No</t>
        </is>
      </c>
      <c r="I306" t="inlineStr">
        <is>
          <t>No</t>
        </is>
      </c>
      <c r="J306" t="inlineStr">
        <is>
          <t>0</t>
        </is>
      </c>
      <c r="L306" t="inlineStr">
        <is>
          <t>Thousand Oaks, Calif. : Sage Publications, c1994.</t>
        </is>
      </c>
      <c r="M306" t="inlineStr">
        <is>
          <t>1994</t>
        </is>
      </c>
      <c r="O306" t="inlineStr">
        <is>
          <t>eng</t>
        </is>
      </c>
      <c r="P306" t="inlineStr">
        <is>
          <t>cau</t>
        </is>
      </c>
      <c r="Q306" t="inlineStr">
        <is>
          <t>Research on men and masculinities series ; 5</t>
        </is>
      </c>
      <c r="R306" t="inlineStr">
        <is>
          <t xml:space="preserve">HQ </t>
        </is>
      </c>
      <c r="S306" t="n">
        <v>11</v>
      </c>
      <c r="T306" t="n">
        <v>11</v>
      </c>
      <c r="U306" t="inlineStr">
        <is>
          <t>2007-07-30</t>
        </is>
      </c>
      <c r="V306" t="inlineStr">
        <is>
          <t>2007-07-30</t>
        </is>
      </c>
      <c r="W306" t="inlineStr">
        <is>
          <t>1994-09-23</t>
        </is>
      </c>
      <c r="X306" t="inlineStr">
        <is>
          <t>1994-09-23</t>
        </is>
      </c>
      <c r="Y306" t="n">
        <v>586</v>
      </c>
      <c r="Z306" t="n">
        <v>402</v>
      </c>
      <c r="AA306" t="n">
        <v>1083</v>
      </c>
      <c r="AB306" t="n">
        <v>4</v>
      </c>
      <c r="AC306" t="n">
        <v>15</v>
      </c>
      <c r="AD306" t="n">
        <v>28</v>
      </c>
      <c r="AE306" t="n">
        <v>50</v>
      </c>
      <c r="AF306" t="n">
        <v>11</v>
      </c>
      <c r="AG306" t="n">
        <v>18</v>
      </c>
      <c r="AH306" t="n">
        <v>8</v>
      </c>
      <c r="AI306" t="n">
        <v>10</v>
      </c>
      <c r="AJ306" t="n">
        <v>11</v>
      </c>
      <c r="AK306" t="n">
        <v>16</v>
      </c>
      <c r="AL306" t="n">
        <v>3</v>
      </c>
      <c r="AM306" t="n">
        <v>13</v>
      </c>
      <c r="AN306" t="n">
        <v>0</v>
      </c>
      <c r="AO306" t="n">
        <v>1</v>
      </c>
      <c r="AP306" t="inlineStr">
        <is>
          <t>No</t>
        </is>
      </c>
      <c r="AQ306" t="inlineStr">
        <is>
          <t>Yes</t>
        </is>
      </c>
      <c r="AR306">
        <f>HYPERLINK("http://catalog.hathitrust.org/Record/002875307","HathiTrust Record")</f>
        <v/>
      </c>
      <c r="AS306">
        <f>HYPERLINK("https://creighton-primo.hosted.exlibrisgroup.com/primo-explore/search?tab=default_tab&amp;search_scope=EVERYTHING&amp;vid=01CRU&amp;lang=en_US&amp;offset=0&amp;query=any,contains,991002309539702656","Catalog Record")</f>
        <v/>
      </c>
      <c r="AT306">
        <f>HYPERLINK("http://www.worldcat.org/oclc/29954517","WorldCat Record")</f>
        <v/>
      </c>
      <c r="AU306" t="inlineStr">
        <is>
          <t>350591332:eng</t>
        </is>
      </c>
      <c r="AV306" t="inlineStr">
        <is>
          <t>29954517</t>
        </is>
      </c>
      <c r="AW306" t="inlineStr">
        <is>
          <t>991002309539702656</t>
        </is>
      </c>
      <c r="AX306" t="inlineStr">
        <is>
          <t>991002309539702656</t>
        </is>
      </c>
      <c r="AY306" t="inlineStr">
        <is>
          <t>2262218980002656</t>
        </is>
      </c>
      <c r="AZ306" t="inlineStr">
        <is>
          <t>BOOK</t>
        </is>
      </c>
      <c r="BB306" t="inlineStr">
        <is>
          <t>9780803949034</t>
        </is>
      </c>
      <c r="BC306" t="inlineStr">
        <is>
          <t>32285001947240</t>
        </is>
      </c>
      <c r="BD306" t="inlineStr">
        <is>
          <t>893440022</t>
        </is>
      </c>
    </row>
    <row r="307">
      <c r="A307" t="inlineStr">
        <is>
          <t>No</t>
        </is>
      </c>
      <c r="B307" t="inlineStr">
        <is>
          <t>HQ1090 .A84 1985</t>
        </is>
      </c>
      <c r="C307" t="inlineStr">
        <is>
          <t>0                      HQ 1090000A  84          1985</t>
        </is>
      </c>
      <c r="D307" t="inlineStr">
        <is>
          <t>Men's studies : a selected and annotated interdisciplinary bibliography / Eugene R. August.</t>
        </is>
      </c>
      <c r="F307" t="inlineStr">
        <is>
          <t>No</t>
        </is>
      </c>
      <c r="G307" t="inlineStr">
        <is>
          <t>1</t>
        </is>
      </c>
      <c r="H307" t="inlineStr">
        <is>
          <t>No</t>
        </is>
      </c>
      <c r="I307" t="inlineStr">
        <is>
          <t>No</t>
        </is>
      </c>
      <c r="J307" t="inlineStr">
        <is>
          <t>0</t>
        </is>
      </c>
      <c r="K307" t="inlineStr">
        <is>
          <t>August, Eugene R., 1935-</t>
        </is>
      </c>
      <c r="L307" t="inlineStr">
        <is>
          <t>Littleton, Colo. : Libraries Unlimited, 1985.</t>
        </is>
      </c>
      <c r="M307" t="inlineStr">
        <is>
          <t>1985</t>
        </is>
      </c>
      <c r="O307" t="inlineStr">
        <is>
          <t>eng</t>
        </is>
      </c>
      <c r="P307" t="inlineStr">
        <is>
          <t>cou</t>
        </is>
      </c>
      <c r="R307" t="inlineStr">
        <is>
          <t xml:space="preserve">HQ </t>
        </is>
      </c>
      <c r="S307" t="n">
        <v>1</v>
      </c>
      <c r="T307" t="n">
        <v>1</v>
      </c>
      <c r="U307" t="inlineStr">
        <is>
          <t>2003-02-22</t>
        </is>
      </c>
      <c r="V307" t="inlineStr">
        <is>
          <t>2003-02-22</t>
        </is>
      </c>
      <c r="W307" t="inlineStr">
        <is>
          <t>1998-02-12</t>
        </is>
      </c>
      <c r="X307" t="inlineStr">
        <is>
          <t>1998-02-12</t>
        </is>
      </c>
      <c r="Y307" t="n">
        <v>412</v>
      </c>
      <c r="Z307" t="n">
        <v>333</v>
      </c>
      <c r="AA307" t="n">
        <v>340</v>
      </c>
      <c r="AB307" t="n">
        <v>2</v>
      </c>
      <c r="AC307" t="n">
        <v>2</v>
      </c>
      <c r="AD307" t="n">
        <v>11</v>
      </c>
      <c r="AE307" t="n">
        <v>11</v>
      </c>
      <c r="AF307" t="n">
        <v>1</v>
      </c>
      <c r="AG307" t="n">
        <v>1</v>
      </c>
      <c r="AH307" t="n">
        <v>4</v>
      </c>
      <c r="AI307" t="n">
        <v>4</v>
      </c>
      <c r="AJ307" t="n">
        <v>8</v>
      </c>
      <c r="AK307" t="n">
        <v>8</v>
      </c>
      <c r="AL307" t="n">
        <v>1</v>
      </c>
      <c r="AM307" t="n">
        <v>1</v>
      </c>
      <c r="AN307" t="n">
        <v>0</v>
      </c>
      <c r="AO307" t="n">
        <v>0</v>
      </c>
      <c r="AP307" t="inlineStr">
        <is>
          <t>No</t>
        </is>
      </c>
      <c r="AQ307" t="inlineStr">
        <is>
          <t>Yes</t>
        </is>
      </c>
      <c r="AR307">
        <f>HYPERLINK("http://catalog.hathitrust.org/Record/000570712","HathiTrust Record")</f>
        <v/>
      </c>
      <c r="AS307">
        <f>HYPERLINK("https://creighton-primo.hosted.exlibrisgroup.com/primo-explore/search?tab=default_tab&amp;search_scope=EVERYTHING&amp;vid=01CRU&amp;lang=en_US&amp;offset=0&amp;query=any,contains,991002000799702656","Catalog Record")</f>
        <v/>
      </c>
      <c r="AT307">
        <f>HYPERLINK("http://www.worldcat.org/oclc/11550576","WorldCat Record")</f>
        <v/>
      </c>
      <c r="AU307" t="inlineStr">
        <is>
          <t>3855356474:eng</t>
        </is>
      </c>
      <c r="AV307" t="inlineStr">
        <is>
          <t>11550576</t>
        </is>
      </c>
      <c r="AW307" t="inlineStr">
        <is>
          <t>991002000799702656</t>
        </is>
      </c>
      <c r="AX307" t="inlineStr">
        <is>
          <t>991002000799702656</t>
        </is>
      </c>
      <c r="AY307" t="inlineStr">
        <is>
          <t>2259948560002656</t>
        </is>
      </c>
      <c r="AZ307" t="inlineStr">
        <is>
          <t>BOOK</t>
        </is>
      </c>
      <c r="BB307" t="inlineStr">
        <is>
          <t>9780872874817</t>
        </is>
      </c>
      <c r="BC307" t="inlineStr">
        <is>
          <t>32285003350658</t>
        </is>
      </c>
      <c r="BD307" t="inlineStr">
        <is>
          <t>893256756</t>
        </is>
      </c>
    </row>
    <row r="308">
      <c r="A308" t="inlineStr">
        <is>
          <t>No</t>
        </is>
      </c>
      <c r="B308" t="inlineStr">
        <is>
          <t>HQ1090 .B474 1993</t>
        </is>
      </c>
      <c r="C308" t="inlineStr">
        <is>
          <t>0                      HQ 1090000B  474         1993</t>
        </is>
      </c>
      <c r="D308" t="inlineStr">
        <is>
          <t>In a time of fallen heroes : the re-creation of masculinity / R. William Betcher and William S. Pollack.</t>
        </is>
      </c>
      <c r="F308" t="inlineStr">
        <is>
          <t>No</t>
        </is>
      </c>
      <c r="G308" t="inlineStr">
        <is>
          <t>1</t>
        </is>
      </c>
      <c r="H308" t="inlineStr">
        <is>
          <t>No</t>
        </is>
      </c>
      <c r="I308" t="inlineStr">
        <is>
          <t>No</t>
        </is>
      </c>
      <c r="J308" t="inlineStr">
        <is>
          <t>0</t>
        </is>
      </c>
      <c r="K308" t="inlineStr">
        <is>
          <t>Betcher, R. William.</t>
        </is>
      </c>
      <c r="L308" t="inlineStr">
        <is>
          <t>New York : Atheneum ; Toronto : Maxwell Macmillan Canada ; New York : Macmillan Pub. Co., 1993.</t>
        </is>
      </c>
      <c r="M308" t="inlineStr">
        <is>
          <t>1993</t>
        </is>
      </c>
      <c r="O308" t="inlineStr">
        <is>
          <t>eng</t>
        </is>
      </c>
      <c r="P308" t="inlineStr">
        <is>
          <t>nyu</t>
        </is>
      </c>
      <c r="R308" t="inlineStr">
        <is>
          <t xml:space="preserve">HQ </t>
        </is>
      </c>
      <c r="S308" t="n">
        <v>2</v>
      </c>
      <c r="T308" t="n">
        <v>2</v>
      </c>
      <c r="U308" t="inlineStr">
        <is>
          <t>1994-03-21</t>
        </is>
      </c>
      <c r="V308" t="inlineStr">
        <is>
          <t>1994-03-21</t>
        </is>
      </c>
      <c r="W308" t="inlineStr">
        <is>
          <t>1994-03-02</t>
        </is>
      </c>
      <c r="X308" t="inlineStr">
        <is>
          <t>1994-03-02</t>
        </is>
      </c>
      <c r="Y308" t="n">
        <v>571</v>
      </c>
      <c r="Z308" t="n">
        <v>526</v>
      </c>
      <c r="AA308" t="n">
        <v>648</v>
      </c>
      <c r="AB308" t="n">
        <v>4</v>
      </c>
      <c r="AC308" t="n">
        <v>6</v>
      </c>
      <c r="AD308" t="n">
        <v>20</v>
      </c>
      <c r="AE308" t="n">
        <v>26</v>
      </c>
      <c r="AF308" t="n">
        <v>3</v>
      </c>
      <c r="AG308" t="n">
        <v>6</v>
      </c>
      <c r="AH308" t="n">
        <v>5</v>
      </c>
      <c r="AI308" t="n">
        <v>5</v>
      </c>
      <c r="AJ308" t="n">
        <v>13</v>
      </c>
      <c r="AK308" t="n">
        <v>15</v>
      </c>
      <c r="AL308" t="n">
        <v>3</v>
      </c>
      <c r="AM308" t="n">
        <v>5</v>
      </c>
      <c r="AN308" t="n">
        <v>0</v>
      </c>
      <c r="AO308" t="n">
        <v>0</v>
      </c>
      <c r="AP308" t="inlineStr">
        <is>
          <t>No</t>
        </is>
      </c>
      <c r="AQ308" t="inlineStr">
        <is>
          <t>Yes</t>
        </is>
      </c>
      <c r="AR308">
        <f>HYPERLINK("http://catalog.hathitrust.org/Record/002702971","HathiTrust Record")</f>
        <v/>
      </c>
      <c r="AS308">
        <f>HYPERLINK("https://creighton-primo.hosted.exlibrisgroup.com/primo-explore/search?tab=default_tab&amp;search_scope=EVERYTHING&amp;vid=01CRU&amp;lang=en_US&amp;offset=0&amp;query=any,contains,991002137429702656","Catalog Record")</f>
        <v/>
      </c>
      <c r="AT308">
        <f>HYPERLINK("http://www.worldcat.org/oclc/27428759","WorldCat Record")</f>
        <v/>
      </c>
      <c r="AU308" t="inlineStr">
        <is>
          <t>347641:eng</t>
        </is>
      </c>
      <c r="AV308" t="inlineStr">
        <is>
          <t>27428759</t>
        </is>
      </c>
      <c r="AW308" t="inlineStr">
        <is>
          <t>991002137429702656</t>
        </is>
      </c>
      <c r="AX308" t="inlineStr">
        <is>
          <t>991002137429702656</t>
        </is>
      </c>
      <c r="AY308" t="inlineStr">
        <is>
          <t>2258502970002656</t>
        </is>
      </c>
      <c r="AZ308" t="inlineStr">
        <is>
          <t>BOOK</t>
        </is>
      </c>
      <c r="BB308" t="inlineStr">
        <is>
          <t>9780689121777</t>
        </is>
      </c>
      <c r="BC308" t="inlineStr">
        <is>
          <t>32285001843654</t>
        </is>
      </c>
      <c r="BD308" t="inlineStr">
        <is>
          <t>893792067</t>
        </is>
      </c>
    </row>
    <row r="309">
      <c r="A309" t="inlineStr">
        <is>
          <t>No</t>
        </is>
      </c>
      <c r="B309" t="inlineStr">
        <is>
          <t>HQ1090 .B69 1996</t>
        </is>
      </c>
      <c r="C309" t="inlineStr">
        <is>
          <t>0                      HQ 1090000B  69          1996</t>
        </is>
      </c>
      <c r="D309" t="inlineStr">
        <is>
          <t>Boys : masculinities in contemporary culture / edited by Paul Smith.</t>
        </is>
      </c>
      <c r="F309" t="inlineStr">
        <is>
          <t>No</t>
        </is>
      </c>
      <c r="G309" t="inlineStr">
        <is>
          <t>1</t>
        </is>
      </c>
      <c r="H309" t="inlineStr">
        <is>
          <t>No</t>
        </is>
      </c>
      <c r="I309" t="inlineStr">
        <is>
          <t>No</t>
        </is>
      </c>
      <c r="J309" t="inlineStr">
        <is>
          <t>0</t>
        </is>
      </c>
      <c r="L309" t="inlineStr">
        <is>
          <t>Boulder, Colo. : Westview Press, 1996.</t>
        </is>
      </c>
      <c r="M309" t="inlineStr">
        <is>
          <t>1996</t>
        </is>
      </c>
      <c r="O309" t="inlineStr">
        <is>
          <t>eng</t>
        </is>
      </c>
      <c r="P309" t="inlineStr">
        <is>
          <t>cou</t>
        </is>
      </c>
      <c r="Q309" t="inlineStr">
        <is>
          <t>Cultural studies</t>
        </is>
      </c>
      <c r="R309" t="inlineStr">
        <is>
          <t xml:space="preserve">HQ </t>
        </is>
      </c>
      <c r="S309" t="n">
        <v>3</v>
      </c>
      <c r="T309" t="n">
        <v>3</v>
      </c>
      <c r="U309" t="inlineStr">
        <is>
          <t>1997-04-16</t>
        </is>
      </c>
      <c r="V309" t="inlineStr">
        <is>
          <t>1997-04-16</t>
        </is>
      </c>
      <c r="W309" t="inlineStr">
        <is>
          <t>1996-09-30</t>
        </is>
      </c>
      <c r="X309" t="inlineStr">
        <is>
          <t>1996-09-30</t>
        </is>
      </c>
      <c r="Y309" t="n">
        <v>313</v>
      </c>
      <c r="Z309" t="n">
        <v>236</v>
      </c>
      <c r="AA309" t="n">
        <v>252</v>
      </c>
      <c r="AB309" t="n">
        <v>2</v>
      </c>
      <c r="AC309" t="n">
        <v>2</v>
      </c>
      <c r="AD309" t="n">
        <v>19</v>
      </c>
      <c r="AE309" t="n">
        <v>19</v>
      </c>
      <c r="AF309" t="n">
        <v>7</v>
      </c>
      <c r="AG309" t="n">
        <v>7</v>
      </c>
      <c r="AH309" t="n">
        <v>5</v>
      </c>
      <c r="AI309" t="n">
        <v>5</v>
      </c>
      <c r="AJ309" t="n">
        <v>10</v>
      </c>
      <c r="AK309" t="n">
        <v>10</v>
      </c>
      <c r="AL309" t="n">
        <v>1</v>
      </c>
      <c r="AM309" t="n">
        <v>1</v>
      </c>
      <c r="AN309" t="n">
        <v>0</v>
      </c>
      <c r="AO309" t="n">
        <v>0</v>
      </c>
      <c r="AP309" t="inlineStr">
        <is>
          <t>No</t>
        </is>
      </c>
      <c r="AQ309" t="inlineStr">
        <is>
          <t>Yes</t>
        </is>
      </c>
      <c r="AR309">
        <f>HYPERLINK("http://catalog.hathitrust.org/Record/003076228","HathiTrust Record")</f>
        <v/>
      </c>
      <c r="AS309">
        <f>HYPERLINK("https://creighton-primo.hosted.exlibrisgroup.com/primo-explore/search?tab=default_tab&amp;search_scope=EVERYTHING&amp;vid=01CRU&amp;lang=en_US&amp;offset=0&amp;query=any,contains,991002645509702656","Catalog Record")</f>
        <v/>
      </c>
      <c r="AT309">
        <f>HYPERLINK("http://www.worldcat.org/oclc/34618041","WorldCat Record")</f>
        <v/>
      </c>
      <c r="AU309" t="inlineStr">
        <is>
          <t>1083502118:eng</t>
        </is>
      </c>
      <c r="AV309" t="inlineStr">
        <is>
          <t>34618041</t>
        </is>
      </c>
      <c r="AW309" t="inlineStr">
        <is>
          <t>991002645509702656</t>
        </is>
      </c>
      <c r="AX309" t="inlineStr">
        <is>
          <t>991002645509702656</t>
        </is>
      </c>
      <c r="AY309" t="inlineStr">
        <is>
          <t>2271770820002656</t>
        </is>
      </c>
      <c r="AZ309" t="inlineStr">
        <is>
          <t>BOOK</t>
        </is>
      </c>
      <c r="BB309" t="inlineStr">
        <is>
          <t>9780813321752</t>
        </is>
      </c>
      <c r="BC309" t="inlineStr">
        <is>
          <t>32285002321080</t>
        </is>
      </c>
      <c r="BD309" t="inlineStr">
        <is>
          <t>893323176</t>
        </is>
      </c>
    </row>
    <row r="310">
      <c r="A310" t="inlineStr">
        <is>
          <t>No</t>
        </is>
      </c>
      <c r="B310" t="inlineStr">
        <is>
          <t>HQ1090 .B75 1989</t>
        </is>
      </c>
      <c r="C310" t="inlineStr">
        <is>
          <t>0                      HQ 1090000B  75          1989</t>
        </is>
      </c>
      <c r="D310" t="inlineStr">
        <is>
          <t>Masculinity and power / Arthur Brittan.</t>
        </is>
      </c>
      <c r="F310" t="inlineStr">
        <is>
          <t>No</t>
        </is>
      </c>
      <c r="G310" t="inlineStr">
        <is>
          <t>1</t>
        </is>
      </c>
      <c r="H310" t="inlineStr">
        <is>
          <t>No</t>
        </is>
      </c>
      <c r="I310" t="inlineStr">
        <is>
          <t>No</t>
        </is>
      </c>
      <c r="J310" t="inlineStr">
        <is>
          <t>0</t>
        </is>
      </c>
      <c r="K310" t="inlineStr">
        <is>
          <t>Brittan, Arthur.</t>
        </is>
      </c>
      <c r="L310" t="inlineStr">
        <is>
          <t>Oxford, UK ; New York, NY, USA : Basil Blackwell, 1989.</t>
        </is>
      </c>
      <c r="M310" t="inlineStr">
        <is>
          <t>1989</t>
        </is>
      </c>
      <c r="O310" t="inlineStr">
        <is>
          <t>eng</t>
        </is>
      </c>
      <c r="P310" t="inlineStr">
        <is>
          <t>enk</t>
        </is>
      </c>
      <c r="R310" t="inlineStr">
        <is>
          <t xml:space="preserve">HQ </t>
        </is>
      </c>
      <c r="S310" t="n">
        <v>2</v>
      </c>
      <c r="T310" t="n">
        <v>2</v>
      </c>
      <c r="U310" t="inlineStr">
        <is>
          <t>2003-10-09</t>
        </is>
      </c>
      <c r="V310" t="inlineStr">
        <is>
          <t>2003-10-09</t>
        </is>
      </c>
      <c r="W310" t="inlineStr">
        <is>
          <t>1989-10-23</t>
        </is>
      </c>
      <c r="X310" t="inlineStr">
        <is>
          <t>1989-10-23</t>
        </is>
      </c>
      <c r="Y310" t="n">
        <v>551</v>
      </c>
      <c r="Z310" t="n">
        <v>344</v>
      </c>
      <c r="AA310" t="n">
        <v>344</v>
      </c>
      <c r="AB310" t="n">
        <v>5</v>
      </c>
      <c r="AC310" t="n">
        <v>5</v>
      </c>
      <c r="AD310" t="n">
        <v>19</v>
      </c>
      <c r="AE310" t="n">
        <v>19</v>
      </c>
      <c r="AF310" t="n">
        <v>6</v>
      </c>
      <c r="AG310" t="n">
        <v>6</v>
      </c>
      <c r="AH310" t="n">
        <v>6</v>
      </c>
      <c r="AI310" t="n">
        <v>6</v>
      </c>
      <c r="AJ310" t="n">
        <v>9</v>
      </c>
      <c r="AK310" t="n">
        <v>9</v>
      </c>
      <c r="AL310" t="n">
        <v>4</v>
      </c>
      <c r="AM310" t="n">
        <v>4</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HYPERLINK("https://creighton-primo.hosted.exlibrisgroup.com/primo-explore/search?tab=default_tab&amp;search_scope=EVERYTHING&amp;vid=01CRU&amp;lang=en_US&amp;offset=0&amp;query=any,contains,991001389899702656","Catalog Record")</f>
        <v/>
      </c>
      <c r="AT310">
        <f>HYPERLINK("http://www.worldcat.org/oclc/18746469","WorldCat Record")</f>
        <v/>
      </c>
      <c r="AU310" t="inlineStr">
        <is>
          <t>566090:eng</t>
        </is>
      </c>
      <c r="AV310" t="inlineStr">
        <is>
          <t>18746469</t>
        </is>
      </c>
      <c r="AW310" t="inlineStr">
        <is>
          <t>991001389899702656</t>
        </is>
      </c>
      <c r="AX310" t="inlineStr">
        <is>
          <t>991001389899702656</t>
        </is>
      </c>
      <c r="AY310" t="inlineStr">
        <is>
          <t>2254996650002656</t>
        </is>
      </c>
      <c r="AZ310" t="inlineStr">
        <is>
          <t>BOOK</t>
        </is>
      </c>
      <c r="BB310" t="inlineStr">
        <is>
          <t>9780631141679</t>
        </is>
      </c>
      <c r="BC310" t="inlineStr">
        <is>
          <t>32285000002070</t>
        </is>
      </c>
      <c r="BD310" t="inlineStr">
        <is>
          <t>893250214</t>
        </is>
      </c>
    </row>
    <row r="311">
      <c r="A311" t="inlineStr">
        <is>
          <t>No</t>
        </is>
      </c>
      <c r="B311" t="inlineStr">
        <is>
          <t>HQ1090 .D68 1995</t>
        </is>
      </c>
      <c r="C311" t="inlineStr">
        <is>
          <t>0                      HQ 1090000D  68          1995</t>
        </is>
      </c>
      <c r="D311" t="inlineStr">
        <is>
          <t>The male experience / James A. Doyle.</t>
        </is>
      </c>
      <c r="F311" t="inlineStr">
        <is>
          <t>No</t>
        </is>
      </c>
      <c r="G311" t="inlineStr">
        <is>
          <t>1</t>
        </is>
      </c>
      <c r="H311" t="inlineStr">
        <is>
          <t>No</t>
        </is>
      </c>
      <c r="I311" t="inlineStr">
        <is>
          <t>No</t>
        </is>
      </c>
      <c r="J311" t="inlineStr">
        <is>
          <t>0</t>
        </is>
      </c>
      <c r="K311" t="inlineStr">
        <is>
          <t>Doyle, James A.</t>
        </is>
      </c>
      <c r="L311" t="inlineStr">
        <is>
          <t>Madison, Wis. : Brown &amp; Benchmark, c1995.</t>
        </is>
      </c>
      <c r="M311" t="inlineStr">
        <is>
          <t>1995</t>
        </is>
      </c>
      <c r="N311" t="inlineStr">
        <is>
          <t>3rd ed.</t>
        </is>
      </c>
      <c r="O311" t="inlineStr">
        <is>
          <t>eng</t>
        </is>
      </c>
      <c r="P311" t="inlineStr">
        <is>
          <t>wiu</t>
        </is>
      </c>
      <c r="R311" t="inlineStr">
        <is>
          <t xml:space="preserve">HQ </t>
        </is>
      </c>
      <c r="S311" t="n">
        <v>6</v>
      </c>
      <c r="T311" t="n">
        <v>6</v>
      </c>
      <c r="U311" t="inlineStr">
        <is>
          <t>2005-09-14</t>
        </is>
      </c>
      <c r="V311" t="inlineStr">
        <is>
          <t>2005-09-14</t>
        </is>
      </c>
      <c r="W311" t="inlineStr">
        <is>
          <t>1995-12-27</t>
        </is>
      </c>
      <c r="X311" t="inlineStr">
        <is>
          <t>1995-12-27</t>
        </is>
      </c>
      <c r="Y311" t="n">
        <v>150</v>
      </c>
      <c r="Z311" t="n">
        <v>120</v>
      </c>
      <c r="AA311" t="n">
        <v>673</v>
      </c>
      <c r="AB311" t="n">
        <v>1</v>
      </c>
      <c r="AC311" t="n">
        <v>3</v>
      </c>
      <c r="AD311" t="n">
        <v>3</v>
      </c>
      <c r="AE311" t="n">
        <v>23</v>
      </c>
      <c r="AF311" t="n">
        <v>2</v>
      </c>
      <c r="AG311" t="n">
        <v>11</v>
      </c>
      <c r="AH311" t="n">
        <v>1</v>
      </c>
      <c r="AI311" t="n">
        <v>3</v>
      </c>
      <c r="AJ311" t="n">
        <v>1</v>
      </c>
      <c r="AK311" t="n">
        <v>13</v>
      </c>
      <c r="AL311" t="n">
        <v>0</v>
      </c>
      <c r="AM311" t="n">
        <v>2</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HYPERLINK("https://creighton-primo.hosted.exlibrisgroup.com/primo-explore/search?tab=default_tab&amp;search_scope=EVERYTHING&amp;vid=01CRU&amp;lang=en_US&amp;offset=0&amp;query=any,contains,991002438139702656","Catalog Record")</f>
        <v/>
      </c>
      <c r="AT311">
        <f>HYPERLINK("http://www.worldcat.org/oclc/31778082","WorldCat Record")</f>
        <v/>
      </c>
      <c r="AU311" t="inlineStr">
        <is>
          <t>18461911:eng</t>
        </is>
      </c>
      <c r="AV311" t="inlineStr">
        <is>
          <t>31778082</t>
        </is>
      </c>
      <c r="AW311" t="inlineStr">
        <is>
          <t>991002438139702656</t>
        </is>
      </c>
      <c r="AX311" t="inlineStr">
        <is>
          <t>991002438139702656</t>
        </is>
      </c>
      <c r="AY311" t="inlineStr">
        <is>
          <t>2259406310002656</t>
        </is>
      </c>
      <c r="AZ311" t="inlineStr">
        <is>
          <t>BOOK</t>
        </is>
      </c>
      <c r="BB311" t="inlineStr">
        <is>
          <t>9780697104588</t>
        </is>
      </c>
      <c r="BC311" t="inlineStr">
        <is>
          <t>32285002113529</t>
        </is>
      </c>
      <c r="BD311" t="inlineStr">
        <is>
          <t>893779813</t>
        </is>
      </c>
    </row>
    <row r="312">
      <c r="A312" t="inlineStr">
        <is>
          <t>No</t>
        </is>
      </c>
      <c r="B312" t="inlineStr">
        <is>
          <t>HQ1090 .D82</t>
        </is>
      </c>
      <c r="C312" t="inlineStr">
        <is>
          <t>0                      HQ 1090000D  82</t>
        </is>
      </c>
      <c r="D312" t="inlineStr">
        <is>
          <t>A man's place : masculinity in transition / Joe L. Dubbert.</t>
        </is>
      </c>
      <c r="F312" t="inlineStr">
        <is>
          <t>No</t>
        </is>
      </c>
      <c r="G312" t="inlineStr">
        <is>
          <t>1</t>
        </is>
      </c>
      <c r="H312" t="inlineStr">
        <is>
          <t>No</t>
        </is>
      </c>
      <c r="I312" t="inlineStr">
        <is>
          <t>No</t>
        </is>
      </c>
      <c r="J312" t="inlineStr">
        <is>
          <t>0</t>
        </is>
      </c>
      <c r="K312" t="inlineStr">
        <is>
          <t>Dubbert, Joe L.</t>
        </is>
      </c>
      <c r="L312" t="inlineStr">
        <is>
          <t>Englewood Cliffs, N.J. : Prentice-Hall, c1979.</t>
        </is>
      </c>
      <c r="M312" t="inlineStr">
        <is>
          <t>1979</t>
        </is>
      </c>
      <c r="O312" t="inlineStr">
        <is>
          <t>eng</t>
        </is>
      </c>
      <c r="P312" t="inlineStr">
        <is>
          <t>nju</t>
        </is>
      </c>
      <c r="Q312" t="inlineStr">
        <is>
          <t>A Spectrum book</t>
        </is>
      </c>
      <c r="R312" t="inlineStr">
        <is>
          <t xml:space="preserve">HQ </t>
        </is>
      </c>
      <c r="S312" t="n">
        <v>3</v>
      </c>
      <c r="T312" t="n">
        <v>3</v>
      </c>
      <c r="U312" t="inlineStr">
        <is>
          <t>2008-09-16</t>
        </is>
      </c>
      <c r="V312" t="inlineStr">
        <is>
          <t>2008-09-16</t>
        </is>
      </c>
      <c r="W312" t="inlineStr">
        <is>
          <t>1993-11-18</t>
        </is>
      </c>
      <c r="X312" t="inlineStr">
        <is>
          <t>1993-11-18</t>
        </is>
      </c>
      <c r="Y312" t="n">
        <v>954</v>
      </c>
      <c r="Z312" t="n">
        <v>845</v>
      </c>
      <c r="AA312" t="n">
        <v>852</v>
      </c>
      <c r="AB312" t="n">
        <v>6</v>
      </c>
      <c r="AC312" t="n">
        <v>6</v>
      </c>
      <c r="AD312" t="n">
        <v>32</v>
      </c>
      <c r="AE312" t="n">
        <v>32</v>
      </c>
      <c r="AF312" t="n">
        <v>14</v>
      </c>
      <c r="AG312" t="n">
        <v>14</v>
      </c>
      <c r="AH312" t="n">
        <v>5</v>
      </c>
      <c r="AI312" t="n">
        <v>5</v>
      </c>
      <c r="AJ312" t="n">
        <v>15</v>
      </c>
      <c r="AK312" t="n">
        <v>15</v>
      </c>
      <c r="AL312" t="n">
        <v>5</v>
      </c>
      <c r="AM312" t="n">
        <v>5</v>
      </c>
      <c r="AN312" t="n">
        <v>0</v>
      </c>
      <c r="AO312" t="n">
        <v>0</v>
      </c>
      <c r="AP312" t="inlineStr">
        <is>
          <t>No</t>
        </is>
      </c>
      <c r="AQ312" t="inlineStr">
        <is>
          <t>Yes</t>
        </is>
      </c>
      <c r="AR312">
        <f>HYPERLINK("http://catalog.hathitrust.org/Record/000187415","HathiTrust Record")</f>
        <v/>
      </c>
      <c r="AS312">
        <f>HYPERLINK("https://creighton-primo.hosted.exlibrisgroup.com/primo-explore/search?tab=default_tab&amp;search_scope=EVERYTHING&amp;vid=01CRU&amp;lang=en_US&amp;offset=0&amp;query=any,contains,991004684839702656","Catalog Record")</f>
        <v/>
      </c>
      <c r="AT312">
        <f>HYPERLINK("http://www.worldcat.org/oclc/4591310","WorldCat Record")</f>
        <v/>
      </c>
      <c r="AU312" t="inlineStr">
        <is>
          <t>14918899:eng</t>
        </is>
      </c>
      <c r="AV312" t="inlineStr">
        <is>
          <t>4591310</t>
        </is>
      </c>
      <c r="AW312" t="inlineStr">
        <is>
          <t>991004684839702656</t>
        </is>
      </c>
      <c r="AX312" t="inlineStr">
        <is>
          <t>991004684839702656</t>
        </is>
      </c>
      <c r="AY312" t="inlineStr">
        <is>
          <t>2266106620002656</t>
        </is>
      </c>
      <c r="AZ312" t="inlineStr">
        <is>
          <t>BOOK</t>
        </is>
      </c>
      <c r="BB312" t="inlineStr">
        <is>
          <t>9780135520598</t>
        </is>
      </c>
      <c r="BC312" t="inlineStr">
        <is>
          <t>32285001799963</t>
        </is>
      </c>
      <c r="BD312" t="inlineStr">
        <is>
          <t>893338000</t>
        </is>
      </c>
    </row>
    <row r="313">
      <c r="A313" t="inlineStr">
        <is>
          <t>No</t>
        </is>
      </c>
      <c r="B313" t="inlineStr">
        <is>
          <t>HQ1090 .D83 2004</t>
        </is>
      </c>
      <c r="C313" t="inlineStr">
        <is>
          <t>0                      HQ 1090000D  83          2004</t>
        </is>
      </c>
      <c r="D313" t="inlineStr">
        <is>
          <t>The wimp factor : gender gaps, holy wars, and the politics of anxious masculinity / Stephen J. Ducat.</t>
        </is>
      </c>
      <c r="F313" t="inlineStr">
        <is>
          <t>No</t>
        </is>
      </c>
      <c r="G313" t="inlineStr">
        <is>
          <t>1</t>
        </is>
      </c>
      <c r="H313" t="inlineStr">
        <is>
          <t>No</t>
        </is>
      </c>
      <c r="I313" t="inlineStr">
        <is>
          <t>No</t>
        </is>
      </c>
      <c r="J313" t="inlineStr">
        <is>
          <t>0</t>
        </is>
      </c>
      <c r="K313" t="inlineStr">
        <is>
          <t>Ducat, Stephen.</t>
        </is>
      </c>
      <c r="L313" t="inlineStr">
        <is>
          <t>Boston : Beacon Press, c2004.</t>
        </is>
      </c>
      <c r="M313" t="inlineStr">
        <is>
          <t>2004</t>
        </is>
      </c>
      <c r="O313" t="inlineStr">
        <is>
          <t>eng</t>
        </is>
      </c>
      <c r="P313" t="inlineStr">
        <is>
          <t>mau</t>
        </is>
      </c>
      <c r="R313" t="inlineStr">
        <is>
          <t xml:space="preserve">HQ </t>
        </is>
      </c>
      <c r="S313" t="n">
        <v>4</v>
      </c>
      <c r="T313" t="n">
        <v>4</v>
      </c>
      <c r="U313" t="inlineStr">
        <is>
          <t>2007-01-17</t>
        </is>
      </c>
      <c r="V313" t="inlineStr">
        <is>
          <t>2007-01-17</t>
        </is>
      </c>
      <c r="W313" t="inlineStr">
        <is>
          <t>2004-11-02</t>
        </is>
      </c>
      <c r="X313" t="inlineStr">
        <is>
          <t>2004-11-02</t>
        </is>
      </c>
      <c r="Y313" t="n">
        <v>579</v>
      </c>
      <c r="Z313" t="n">
        <v>518</v>
      </c>
      <c r="AA313" t="n">
        <v>873</v>
      </c>
      <c r="AB313" t="n">
        <v>4</v>
      </c>
      <c r="AC313" t="n">
        <v>7</v>
      </c>
      <c r="AD313" t="n">
        <v>26</v>
      </c>
      <c r="AE313" t="n">
        <v>38</v>
      </c>
      <c r="AF313" t="n">
        <v>12</v>
      </c>
      <c r="AG313" t="n">
        <v>15</v>
      </c>
      <c r="AH313" t="n">
        <v>6</v>
      </c>
      <c r="AI313" t="n">
        <v>9</v>
      </c>
      <c r="AJ313" t="n">
        <v>13</v>
      </c>
      <c r="AK313" t="n">
        <v>16</v>
      </c>
      <c r="AL313" t="n">
        <v>2</v>
      </c>
      <c r="AM313" t="n">
        <v>5</v>
      </c>
      <c r="AN313" t="n">
        <v>0</v>
      </c>
      <c r="AO313" t="n">
        <v>1</v>
      </c>
      <c r="AP313" t="inlineStr">
        <is>
          <t>No</t>
        </is>
      </c>
      <c r="AQ313" t="inlineStr">
        <is>
          <t>Yes</t>
        </is>
      </c>
      <c r="AR313">
        <f>HYPERLINK("http://catalog.hathitrust.org/Record/004768374","HathiTrust Record")</f>
        <v/>
      </c>
      <c r="AS313">
        <f>HYPERLINK("https://creighton-primo.hosted.exlibrisgroup.com/primo-explore/search?tab=default_tab&amp;search_scope=EVERYTHING&amp;vid=01CRU&amp;lang=en_US&amp;offset=0&amp;query=any,contains,991004391589702656","Catalog Record")</f>
        <v/>
      </c>
      <c r="AT313">
        <f>HYPERLINK("http://www.worldcat.org/oclc/54528940","WorldCat Record")</f>
        <v/>
      </c>
      <c r="AU313" t="inlineStr">
        <is>
          <t>794159474:eng</t>
        </is>
      </c>
      <c r="AV313" t="inlineStr">
        <is>
          <t>54528940</t>
        </is>
      </c>
      <c r="AW313" t="inlineStr">
        <is>
          <t>991004391589702656</t>
        </is>
      </c>
      <c r="AX313" t="inlineStr">
        <is>
          <t>991004391589702656</t>
        </is>
      </c>
      <c r="AY313" t="inlineStr">
        <is>
          <t>2271110170002656</t>
        </is>
      </c>
      <c r="AZ313" t="inlineStr">
        <is>
          <t>BOOK</t>
        </is>
      </c>
      <c r="BB313" t="inlineStr">
        <is>
          <t>9780807043448</t>
        </is>
      </c>
      <c r="BC313" t="inlineStr">
        <is>
          <t>32285005008379</t>
        </is>
      </c>
      <c r="BD313" t="inlineStr">
        <is>
          <t>893430011</t>
        </is>
      </c>
    </row>
    <row r="314">
      <c r="A314" t="inlineStr">
        <is>
          <t>No</t>
        </is>
      </c>
      <c r="B314" t="inlineStr">
        <is>
          <t>HQ1090 .E36 1983</t>
        </is>
      </c>
      <c r="C314" t="inlineStr">
        <is>
          <t>0                      HQ 1090000E  36          1983</t>
        </is>
      </c>
      <c r="D314" t="inlineStr">
        <is>
          <t>The hearts of men : American dreams and the flight from commitment / Barbara Ehrenreich.</t>
        </is>
      </c>
      <c r="F314" t="inlineStr">
        <is>
          <t>No</t>
        </is>
      </c>
      <c r="G314" t="inlineStr">
        <is>
          <t>1</t>
        </is>
      </c>
      <c r="H314" t="inlineStr">
        <is>
          <t>No</t>
        </is>
      </c>
      <c r="I314" t="inlineStr">
        <is>
          <t>No</t>
        </is>
      </c>
      <c r="J314" t="inlineStr">
        <is>
          <t>0</t>
        </is>
      </c>
      <c r="K314" t="inlineStr">
        <is>
          <t>Ehrenreich, Barbara.</t>
        </is>
      </c>
      <c r="L314" t="inlineStr">
        <is>
          <t>Garden City, N.Y. : Anchor Press/Doubleday, 1983.</t>
        </is>
      </c>
      <c r="M314" t="inlineStr">
        <is>
          <t>1983</t>
        </is>
      </c>
      <c r="N314" t="inlineStr">
        <is>
          <t>1st ed.</t>
        </is>
      </c>
      <c r="O314" t="inlineStr">
        <is>
          <t>eng</t>
        </is>
      </c>
      <c r="P314" t="inlineStr">
        <is>
          <t>nyu</t>
        </is>
      </c>
      <c r="R314" t="inlineStr">
        <is>
          <t xml:space="preserve">HQ </t>
        </is>
      </c>
      <c r="S314" t="n">
        <v>8</v>
      </c>
      <c r="T314" t="n">
        <v>8</v>
      </c>
      <c r="U314" t="inlineStr">
        <is>
          <t>2007-11-15</t>
        </is>
      </c>
      <c r="V314" t="inlineStr">
        <is>
          <t>2007-11-15</t>
        </is>
      </c>
      <c r="W314" t="inlineStr">
        <is>
          <t>1991-09-17</t>
        </is>
      </c>
      <c r="X314" t="inlineStr">
        <is>
          <t>1991-09-17</t>
        </is>
      </c>
      <c r="Y314" t="n">
        <v>1078</v>
      </c>
      <c r="Z314" t="n">
        <v>950</v>
      </c>
      <c r="AA314" t="n">
        <v>1034</v>
      </c>
      <c r="AB314" t="n">
        <v>4</v>
      </c>
      <c r="AC314" t="n">
        <v>4</v>
      </c>
      <c r="AD314" t="n">
        <v>34</v>
      </c>
      <c r="AE314" t="n">
        <v>38</v>
      </c>
      <c r="AF314" t="n">
        <v>13</v>
      </c>
      <c r="AG314" t="n">
        <v>17</v>
      </c>
      <c r="AH314" t="n">
        <v>8</v>
      </c>
      <c r="AI314" t="n">
        <v>8</v>
      </c>
      <c r="AJ314" t="n">
        <v>17</v>
      </c>
      <c r="AK314" t="n">
        <v>18</v>
      </c>
      <c r="AL314" t="n">
        <v>3</v>
      </c>
      <c r="AM314" t="n">
        <v>3</v>
      </c>
      <c r="AN314" t="n">
        <v>0</v>
      </c>
      <c r="AO314" t="n">
        <v>0</v>
      </c>
      <c r="AP314" t="inlineStr">
        <is>
          <t>No</t>
        </is>
      </c>
      <c r="AQ314" t="inlineStr">
        <is>
          <t>Yes</t>
        </is>
      </c>
      <c r="AR314">
        <f>HYPERLINK("http://catalog.hathitrust.org/Record/000238765","HathiTrust Record")</f>
        <v/>
      </c>
      <c r="AS314">
        <f>HYPERLINK("https://creighton-primo.hosted.exlibrisgroup.com/primo-explore/search?tab=default_tab&amp;search_scope=EVERYTHING&amp;vid=01CRU&amp;lang=en_US&amp;offset=0&amp;query=any,contains,991000078899702656","Catalog Record")</f>
        <v/>
      </c>
      <c r="AT314">
        <f>HYPERLINK("http://www.worldcat.org/oclc/8826287","WorldCat Record")</f>
        <v/>
      </c>
      <c r="AU314" t="inlineStr">
        <is>
          <t>455950:eng</t>
        </is>
      </c>
      <c r="AV314" t="inlineStr">
        <is>
          <t>8826287</t>
        </is>
      </c>
      <c r="AW314" t="inlineStr">
        <is>
          <t>991000078899702656</t>
        </is>
      </c>
      <c r="AX314" t="inlineStr">
        <is>
          <t>991000078899702656</t>
        </is>
      </c>
      <c r="AY314" t="inlineStr">
        <is>
          <t>2265323960002656</t>
        </is>
      </c>
      <c r="AZ314" t="inlineStr">
        <is>
          <t>BOOK</t>
        </is>
      </c>
      <c r="BB314" t="inlineStr">
        <is>
          <t>9780385176149</t>
        </is>
      </c>
      <c r="BC314" t="inlineStr">
        <is>
          <t>32285000704006</t>
        </is>
      </c>
      <c r="BD314" t="inlineStr">
        <is>
          <t>893708091</t>
        </is>
      </c>
    </row>
    <row r="315">
      <c r="A315" t="inlineStr">
        <is>
          <t>No</t>
        </is>
      </c>
      <c r="B315" t="inlineStr">
        <is>
          <t>HQ1090 .G64 1980</t>
        </is>
      </c>
      <c r="C315" t="inlineStr">
        <is>
          <t>0                      HQ 1090000G  64          1980</t>
        </is>
      </c>
      <c r="D315" t="inlineStr">
        <is>
          <t>The new male : from self-destruction to self-care / by Herb Goldberg.</t>
        </is>
      </c>
      <c r="F315" t="inlineStr">
        <is>
          <t>No</t>
        </is>
      </c>
      <c r="G315" t="inlineStr">
        <is>
          <t>1</t>
        </is>
      </c>
      <c r="H315" t="inlineStr">
        <is>
          <t>No</t>
        </is>
      </c>
      <c r="I315" t="inlineStr">
        <is>
          <t>No</t>
        </is>
      </c>
      <c r="J315" t="inlineStr">
        <is>
          <t>0</t>
        </is>
      </c>
      <c r="K315" t="inlineStr">
        <is>
          <t>Goldberg, Herb, 1937-</t>
        </is>
      </c>
      <c r="L315" t="inlineStr">
        <is>
          <t>New York : New American Library, 1980, c1979.</t>
        </is>
      </c>
      <c r="M315" t="inlineStr">
        <is>
          <t>1980</t>
        </is>
      </c>
      <c r="O315" t="inlineStr">
        <is>
          <t>eng</t>
        </is>
      </c>
      <c r="P315" t="inlineStr">
        <is>
          <t>nyu</t>
        </is>
      </c>
      <c r="Q315" t="inlineStr">
        <is>
          <t>A Signet book</t>
        </is>
      </c>
      <c r="R315" t="inlineStr">
        <is>
          <t xml:space="preserve">HQ </t>
        </is>
      </c>
      <c r="S315" t="n">
        <v>14</v>
      </c>
      <c r="T315" t="n">
        <v>14</v>
      </c>
      <c r="U315" t="inlineStr">
        <is>
          <t>2000-05-31</t>
        </is>
      </c>
      <c r="V315" t="inlineStr">
        <is>
          <t>2000-05-31</t>
        </is>
      </c>
      <c r="W315" t="inlineStr">
        <is>
          <t>1993-04-26</t>
        </is>
      </c>
      <c r="X315" t="inlineStr">
        <is>
          <t>1993-04-26</t>
        </is>
      </c>
      <c r="Y315" t="n">
        <v>149</v>
      </c>
      <c r="Z315" t="n">
        <v>133</v>
      </c>
      <c r="AA315" t="n">
        <v>567</v>
      </c>
      <c r="AB315" t="n">
        <v>2</v>
      </c>
      <c r="AC315" t="n">
        <v>6</v>
      </c>
      <c r="AD315" t="n">
        <v>8</v>
      </c>
      <c r="AE315" t="n">
        <v>21</v>
      </c>
      <c r="AF315" t="n">
        <v>2</v>
      </c>
      <c r="AG315" t="n">
        <v>7</v>
      </c>
      <c r="AH315" t="n">
        <v>0</v>
      </c>
      <c r="AI315" t="n">
        <v>3</v>
      </c>
      <c r="AJ315" t="n">
        <v>5</v>
      </c>
      <c r="AK315" t="n">
        <v>9</v>
      </c>
      <c r="AL315" t="n">
        <v>1</v>
      </c>
      <c r="AM315" t="n">
        <v>4</v>
      </c>
      <c r="AN315" t="n">
        <v>0</v>
      </c>
      <c r="AO315" t="n">
        <v>0</v>
      </c>
      <c r="AP315" t="inlineStr">
        <is>
          <t>No</t>
        </is>
      </c>
      <c r="AQ315" t="inlineStr">
        <is>
          <t>Yes</t>
        </is>
      </c>
      <c r="AR315">
        <f>HYPERLINK("http://catalog.hathitrust.org/Record/003517128","HathiTrust Record")</f>
        <v/>
      </c>
      <c r="AS315">
        <f>HYPERLINK("https://creighton-primo.hosted.exlibrisgroup.com/primo-explore/search?tab=default_tab&amp;search_scope=EVERYTHING&amp;vid=01CRU&amp;lang=en_US&amp;offset=0&amp;query=any,contains,991005385139702656","Catalog Record")</f>
        <v/>
      </c>
      <c r="AT315">
        <f>HYPERLINK("http://www.worldcat.org/oclc/6848193","WorldCat Record")</f>
        <v/>
      </c>
      <c r="AU315" t="inlineStr">
        <is>
          <t>15212091:eng</t>
        </is>
      </c>
      <c r="AV315" t="inlineStr">
        <is>
          <t>6848193</t>
        </is>
      </c>
      <c r="AW315" t="inlineStr">
        <is>
          <t>991005385139702656</t>
        </is>
      </c>
      <c r="AX315" t="inlineStr">
        <is>
          <t>991005385139702656</t>
        </is>
      </c>
      <c r="AY315" t="inlineStr">
        <is>
          <t>2269102150002656</t>
        </is>
      </c>
      <c r="AZ315" t="inlineStr">
        <is>
          <t>BOOK</t>
        </is>
      </c>
      <c r="BB315" t="inlineStr">
        <is>
          <t>9780451093394</t>
        </is>
      </c>
      <c r="BC315" t="inlineStr">
        <is>
          <t>32285001581189</t>
        </is>
      </c>
      <c r="BD315" t="inlineStr">
        <is>
          <t>893508176</t>
        </is>
      </c>
    </row>
    <row r="316">
      <c r="A316" t="inlineStr">
        <is>
          <t>No</t>
        </is>
      </c>
      <c r="B316" t="inlineStr">
        <is>
          <t>HQ1090 .H375 2006</t>
        </is>
      </c>
      <c r="C316" t="inlineStr">
        <is>
          <t>0                      HQ 1090000H  375         2006</t>
        </is>
      </c>
      <c r="D316" t="inlineStr">
        <is>
          <t>Power and intimacy in men's development / Gordon M. Hart.</t>
        </is>
      </c>
      <c r="F316" t="inlineStr">
        <is>
          <t>No</t>
        </is>
      </c>
      <c r="G316" t="inlineStr">
        <is>
          <t>1</t>
        </is>
      </c>
      <c r="H316" t="inlineStr">
        <is>
          <t>No</t>
        </is>
      </c>
      <c r="I316" t="inlineStr">
        <is>
          <t>No</t>
        </is>
      </c>
      <c r="J316" t="inlineStr">
        <is>
          <t>0</t>
        </is>
      </c>
      <c r="K316" t="inlineStr">
        <is>
          <t>Hart, Gordon M.</t>
        </is>
      </c>
      <c r="L316" t="inlineStr">
        <is>
          <t>Lanham, Md. : University Press of America, 2006.</t>
        </is>
      </c>
      <c r="M316" t="inlineStr">
        <is>
          <t>2006</t>
        </is>
      </c>
      <c r="O316" t="inlineStr">
        <is>
          <t>eng</t>
        </is>
      </c>
      <c r="P316" t="inlineStr">
        <is>
          <t>mdu</t>
        </is>
      </c>
      <c r="R316" t="inlineStr">
        <is>
          <t xml:space="preserve">HQ </t>
        </is>
      </c>
      <c r="S316" t="n">
        <v>1</v>
      </c>
      <c r="T316" t="n">
        <v>1</v>
      </c>
      <c r="U316" t="inlineStr">
        <is>
          <t>2007-03-15</t>
        </is>
      </c>
      <c r="V316" t="inlineStr">
        <is>
          <t>2007-03-15</t>
        </is>
      </c>
      <c r="W316" t="inlineStr">
        <is>
          <t>2007-03-15</t>
        </is>
      </c>
      <c r="X316" t="inlineStr">
        <is>
          <t>2007-03-15</t>
        </is>
      </c>
      <c r="Y316" t="n">
        <v>181</v>
      </c>
      <c r="Z316" t="n">
        <v>148</v>
      </c>
      <c r="AA316" t="n">
        <v>150</v>
      </c>
      <c r="AB316" t="n">
        <v>2</v>
      </c>
      <c r="AC316" t="n">
        <v>2</v>
      </c>
      <c r="AD316" t="n">
        <v>5</v>
      </c>
      <c r="AE316" t="n">
        <v>5</v>
      </c>
      <c r="AF316" t="n">
        <v>1</v>
      </c>
      <c r="AG316" t="n">
        <v>1</v>
      </c>
      <c r="AH316" t="n">
        <v>1</v>
      </c>
      <c r="AI316" t="n">
        <v>1</v>
      </c>
      <c r="AJ316" t="n">
        <v>2</v>
      </c>
      <c r="AK316" t="n">
        <v>2</v>
      </c>
      <c r="AL316" t="n">
        <v>1</v>
      </c>
      <c r="AM316" t="n">
        <v>1</v>
      </c>
      <c r="AN316" t="n">
        <v>0</v>
      </c>
      <c r="AO316" t="n">
        <v>0</v>
      </c>
      <c r="AP316" t="inlineStr">
        <is>
          <t>No</t>
        </is>
      </c>
      <c r="AQ316" t="inlineStr">
        <is>
          <t>Yes</t>
        </is>
      </c>
      <c r="AR316">
        <f>HYPERLINK("http://catalog.hathitrust.org/Record/005708768","HathiTrust Record")</f>
        <v/>
      </c>
      <c r="AS316">
        <f>HYPERLINK("https://creighton-primo.hosted.exlibrisgroup.com/primo-explore/search?tab=default_tab&amp;search_scope=EVERYTHING&amp;vid=01CRU&amp;lang=en_US&amp;offset=0&amp;query=any,contains,991005035159702656","Catalog Record")</f>
        <v/>
      </c>
      <c r="AT316">
        <f>HYPERLINK("http://www.worldcat.org/oclc/70005064","WorldCat Record")</f>
        <v/>
      </c>
      <c r="AU316" t="inlineStr">
        <is>
          <t>53639309:eng</t>
        </is>
      </c>
      <c r="AV316" t="inlineStr">
        <is>
          <t>70005064</t>
        </is>
      </c>
      <c r="AW316" t="inlineStr">
        <is>
          <t>991005035159702656</t>
        </is>
      </c>
      <c r="AX316" t="inlineStr">
        <is>
          <t>991005035159702656</t>
        </is>
      </c>
      <c r="AY316" t="inlineStr">
        <is>
          <t>2265839580002656</t>
        </is>
      </c>
      <c r="AZ316" t="inlineStr">
        <is>
          <t>BOOK</t>
        </is>
      </c>
      <c r="BB316" t="inlineStr">
        <is>
          <t>9780761834496</t>
        </is>
      </c>
      <c r="BC316" t="inlineStr">
        <is>
          <t>32285005282040</t>
        </is>
      </c>
      <c r="BD316" t="inlineStr">
        <is>
          <t>893326077</t>
        </is>
      </c>
    </row>
    <row r="317">
      <c r="A317" t="inlineStr">
        <is>
          <t>No</t>
        </is>
      </c>
      <c r="B317" t="inlineStr">
        <is>
          <t>HQ1090 .K44 1991</t>
        </is>
      </c>
      <c r="C317" t="inlineStr">
        <is>
          <t>0                      HQ 1090000K  44          1991</t>
        </is>
      </c>
      <c r="D317" t="inlineStr">
        <is>
          <t>Fire in the belly : on being a man / Sam Keen.</t>
        </is>
      </c>
      <c r="F317" t="inlineStr">
        <is>
          <t>No</t>
        </is>
      </c>
      <c r="G317" t="inlineStr">
        <is>
          <t>1</t>
        </is>
      </c>
      <c r="H317" t="inlineStr">
        <is>
          <t>No</t>
        </is>
      </c>
      <c r="I317" t="inlineStr">
        <is>
          <t>Yes</t>
        </is>
      </c>
      <c r="J317" t="inlineStr">
        <is>
          <t>0</t>
        </is>
      </c>
      <c r="K317" t="inlineStr">
        <is>
          <t>Keen, Sam.</t>
        </is>
      </c>
      <c r="L317" t="inlineStr">
        <is>
          <t>New York : Bantam Books, c1991.</t>
        </is>
      </c>
      <c r="M317" t="inlineStr">
        <is>
          <t>1991</t>
        </is>
      </c>
      <c r="O317" t="inlineStr">
        <is>
          <t>eng</t>
        </is>
      </c>
      <c r="P317" t="inlineStr">
        <is>
          <t>nyu</t>
        </is>
      </c>
      <c r="R317" t="inlineStr">
        <is>
          <t xml:space="preserve">HQ </t>
        </is>
      </c>
      <c r="S317" t="n">
        <v>13</v>
      </c>
      <c r="T317" t="n">
        <v>13</v>
      </c>
      <c r="U317" t="inlineStr">
        <is>
          <t>2002-08-25</t>
        </is>
      </c>
      <c r="V317" t="inlineStr">
        <is>
          <t>2002-08-25</t>
        </is>
      </c>
      <c r="W317" t="inlineStr">
        <is>
          <t>1992-07-28</t>
        </is>
      </c>
      <c r="X317" t="inlineStr">
        <is>
          <t>1992-07-28</t>
        </is>
      </c>
      <c r="Y317" t="n">
        <v>1569</v>
      </c>
      <c r="Z317" t="n">
        <v>1450</v>
      </c>
      <c r="AA317" t="n">
        <v>1704</v>
      </c>
      <c r="AB317" t="n">
        <v>8</v>
      </c>
      <c r="AC317" t="n">
        <v>11</v>
      </c>
      <c r="AD317" t="n">
        <v>32</v>
      </c>
      <c r="AE317" t="n">
        <v>37</v>
      </c>
      <c r="AF317" t="n">
        <v>15</v>
      </c>
      <c r="AG317" t="n">
        <v>17</v>
      </c>
      <c r="AH317" t="n">
        <v>5</v>
      </c>
      <c r="AI317" t="n">
        <v>6</v>
      </c>
      <c r="AJ317" t="n">
        <v>15</v>
      </c>
      <c r="AK317" t="n">
        <v>16</v>
      </c>
      <c r="AL317" t="n">
        <v>4</v>
      </c>
      <c r="AM317" t="n">
        <v>6</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HYPERLINK("https://creighton-primo.hosted.exlibrisgroup.com/primo-explore/search?tab=default_tab&amp;search_scope=EVERYTHING&amp;vid=01CRU&amp;lang=en_US&amp;offset=0&amp;query=any,contains,991005412819702656","Catalog Record")</f>
        <v/>
      </c>
      <c r="AT317">
        <f>HYPERLINK("http://www.worldcat.org/oclc/22544128","WorldCat Record")</f>
        <v/>
      </c>
      <c r="AU317" t="inlineStr">
        <is>
          <t>292503561:eng</t>
        </is>
      </c>
      <c r="AV317" t="inlineStr">
        <is>
          <t>22544128</t>
        </is>
      </c>
      <c r="AW317" t="inlineStr">
        <is>
          <t>991005412819702656</t>
        </is>
      </c>
      <c r="AX317" t="inlineStr">
        <is>
          <t>991005412819702656</t>
        </is>
      </c>
      <c r="AY317" t="inlineStr">
        <is>
          <t>2267186980002656</t>
        </is>
      </c>
      <c r="AZ317" t="inlineStr">
        <is>
          <t>BOOK</t>
        </is>
      </c>
      <c r="BB317" t="inlineStr">
        <is>
          <t>9780553071887</t>
        </is>
      </c>
      <c r="BC317" t="inlineStr">
        <is>
          <t>32285001195469</t>
        </is>
      </c>
      <c r="BD317" t="inlineStr">
        <is>
          <t>893883847</t>
        </is>
      </c>
    </row>
    <row r="318">
      <c r="A318" t="inlineStr">
        <is>
          <t>No</t>
        </is>
      </c>
      <c r="B318" t="inlineStr">
        <is>
          <t>HQ1090 .K86 1993</t>
        </is>
      </c>
      <c r="C318" t="inlineStr">
        <is>
          <t>0                      HQ 1090000K  86          1993</t>
        </is>
      </c>
      <c r="D318" t="inlineStr">
        <is>
          <t>Revisioning men's lives : gender, intimacy, and power / Terry A. Kupers.</t>
        </is>
      </c>
      <c r="F318" t="inlineStr">
        <is>
          <t>No</t>
        </is>
      </c>
      <c r="G318" t="inlineStr">
        <is>
          <t>1</t>
        </is>
      </c>
      <c r="H318" t="inlineStr">
        <is>
          <t>No</t>
        </is>
      </c>
      <c r="I318" t="inlineStr">
        <is>
          <t>No</t>
        </is>
      </c>
      <c r="J318" t="inlineStr">
        <is>
          <t>0</t>
        </is>
      </c>
      <c r="K318" t="inlineStr">
        <is>
          <t>Kupers, Terry Allen.</t>
        </is>
      </c>
      <c r="L318" t="inlineStr">
        <is>
          <t>New York : Guilford Press, c1993.</t>
        </is>
      </c>
      <c r="M318" t="inlineStr">
        <is>
          <t>1993</t>
        </is>
      </c>
      <c r="O318" t="inlineStr">
        <is>
          <t>eng</t>
        </is>
      </c>
      <c r="P318" t="inlineStr">
        <is>
          <t>nyu</t>
        </is>
      </c>
      <c r="R318" t="inlineStr">
        <is>
          <t xml:space="preserve">HQ </t>
        </is>
      </c>
      <c r="S318" t="n">
        <v>9</v>
      </c>
      <c r="T318" t="n">
        <v>9</v>
      </c>
      <c r="U318" t="inlineStr">
        <is>
          <t>1998-04-13</t>
        </is>
      </c>
      <c r="V318" t="inlineStr">
        <is>
          <t>1998-04-13</t>
        </is>
      </c>
      <c r="W318" t="inlineStr">
        <is>
          <t>1993-09-14</t>
        </is>
      </c>
      <c r="X318" t="inlineStr">
        <is>
          <t>1993-09-14</t>
        </is>
      </c>
      <c r="Y318" t="n">
        <v>494</v>
      </c>
      <c r="Z318" t="n">
        <v>433</v>
      </c>
      <c r="AA318" t="n">
        <v>438</v>
      </c>
      <c r="AB318" t="n">
        <v>4</v>
      </c>
      <c r="AC318" t="n">
        <v>4</v>
      </c>
      <c r="AD318" t="n">
        <v>24</v>
      </c>
      <c r="AE318" t="n">
        <v>24</v>
      </c>
      <c r="AF318" t="n">
        <v>8</v>
      </c>
      <c r="AG318" t="n">
        <v>8</v>
      </c>
      <c r="AH318" t="n">
        <v>7</v>
      </c>
      <c r="AI318" t="n">
        <v>7</v>
      </c>
      <c r="AJ318" t="n">
        <v>14</v>
      </c>
      <c r="AK318" t="n">
        <v>14</v>
      </c>
      <c r="AL318" t="n">
        <v>3</v>
      </c>
      <c r="AM318" t="n">
        <v>3</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HYPERLINK("https://creighton-primo.hosted.exlibrisgroup.com/primo-explore/search?tab=default_tab&amp;search_scope=EVERYTHING&amp;vid=01CRU&amp;lang=en_US&amp;offset=0&amp;query=any,contains,991002106809702656","Catalog Record")</f>
        <v/>
      </c>
      <c r="AT318">
        <f>HYPERLINK("http://www.worldcat.org/oclc/27014075","WorldCat Record")</f>
        <v/>
      </c>
      <c r="AU318" t="inlineStr">
        <is>
          <t>890177337:eng</t>
        </is>
      </c>
      <c r="AV318" t="inlineStr">
        <is>
          <t>27014075</t>
        </is>
      </c>
      <c r="AW318" t="inlineStr">
        <is>
          <t>991002106809702656</t>
        </is>
      </c>
      <c r="AX318" t="inlineStr">
        <is>
          <t>991002106809702656</t>
        </is>
      </c>
      <c r="AY318" t="inlineStr">
        <is>
          <t>2257898040002656</t>
        </is>
      </c>
      <c r="AZ318" t="inlineStr">
        <is>
          <t>BOOK</t>
        </is>
      </c>
      <c r="BB318" t="inlineStr">
        <is>
          <t>9780898622713</t>
        </is>
      </c>
      <c r="BC318" t="inlineStr">
        <is>
          <t>32285001766350</t>
        </is>
      </c>
      <c r="BD318" t="inlineStr">
        <is>
          <t>893232596</t>
        </is>
      </c>
    </row>
    <row r="319">
      <c r="A319" t="inlineStr">
        <is>
          <t>No</t>
        </is>
      </c>
      <c r="B319" t="inlineStr">
        <is>
          <t>HQ1090 .L44 1991</t>
        </is>
      </c>
      <c r="C319" t="inlineStr">
        <is>
          <t>0                      HQ 1090000L  44          1991</t>
        </is>
      </c>
      <c r="D319" t="inlineStr">
        <is>
          <t>At my father's wedding : reclaiming our true masculinity / John Lee.</t>
        </is>
      </c>
      <c r="F319" t="inlineStr">
        <is>
          <t>No</t>
        </is>
      </c>
      <c r="G319" t="inlineStr">
        <is>
          <t>1</t>
        </is>
      </c>
      <c r="H319" t="inlineStr">
        <is>
          <t>No</t>
        </is>
      </c>
      <c r="I319" t="inlineStr">
        <is>
          <t>No</t>
        </is>
      </c>
      <c r="J319" t="inlineStr">
        <is>
          <t>0</t>
        </is>
      </c>
      <c r="K319" t="inlineStr">
        <is>
          <t>Lee, John H., 1951-</t>
        </is>
      </c>
      <c r="L319" t="inlineStr">
        <is>
          <t>New York : Bantam Books, 1991.</t>
        </is>
      </c>
      <c r="M319" t="inlineStr">
        <is>
          <t>1991</t>
        </is>
      </c>
      <c r="O319" t="inlineStr">
        <is>
          <t>eng</t>
        </is>
      </c>
      <c r="P319" t="inlineStr">
        <is>
          <t>nyu</t>
        </is>
      </c>
      <c r="R319" t="inlineStr">
        <is>
          <t xml:space="preserve">HQ </t>
        </is>
      </c>
      <c r="S319" t="n">
        <v>5</v>
      </c>
      <c r="T319" t="n">
        <v>5</v>
      </c>
      <c r="U319" t="inlineStr">
        <is>
          <t>1995-05-16</t>
        </is>
      </c>
      <c r="V319" t="inlineStr">
        <is>
          <t>1995-05-16</t>
        </is>
      </c>
      <c r="W319" t="inlineStr">
        <is>
          <t>1991-12-13</t>
        </is>
      </c>
      <c r="X319" t="inlineStr">
        <is>
          <t>1991-12-13</t>
        </is>
      </c>
      <c r="Y319" t="n">
        <v>308</v>
      </c>
      <c r="Z319" t="n">
        <v>271</v>
      </c>
      <c r="AA319" t="n">
        <v>273</v>
      </c>
      <c r="AB319" t="n">
        <v>2</v>
      </c>
      <c r="AC319" t="n">
        <v>2</v>
      </c>
      <c r="AD319" t="n">
        <v>5</v>
      </c>
      <c r="AE319" t="n">
        <v>5</v>
      </c>
      <c r="AF319" t="n">
        <v>2</v>
      </c>
      <c r="AG319" t="n">
        <v>2</v>
      </c>
      <c r="AH319" t="n">
        <v>1</v>
      </c>
      <c r="AI319" t="n">
        <v>1</v>
      </c>
      <c r="AJ319" t="n">
        <v>1</v>
      </c>
      <c r="AK319" t="n">
        <v>1</v>
      </c>
      <c r="AL319" t="n">
        <v>1</v>
      </c>
      <c r="AM319" t="n">
        <v>1</v>
      </c>
      <c r="AN319" t="n">
        <v>0</v>
      </c>
      <c r="AO319" t="n">
        <v>0</v>
      </c>
      <c r="AP319" t="inlineStr">
        <is>
          <t>No</t>
        </is>
      </c>
      <c r="AQ319" t="inlineStr">
        <is>
          <t>Yes</t>
        </is>
      </c>
      <c r="AR319">
        <f>HYPERLINK("http://catalog.hathitrust.org/Record/007109940","HathiTrust Record")</f>
        <v/>
      </c>
      <c r="AS319">
        <f>HYPERLINK("https://creighton-primo.hosted.exlibrisgroup.com/primo-explore/search?tab=default_tab&amp;search_scope=EVERYTHING&amp;vid=01CRU&amp;lang=en_US&amp;offset=0&amp;query=any,contains,991001880909702656","Catalog Record")</f>
        <v/>
      </c>
      <c r="AT319">
        <f>HYPERLINK("http://www.worldcat.org/oclc/23731832","WorldCat Record")</f>
        <v/>
      </c>
      <c r="AU319" t="inlineStr">
        <is>
          <t>25323285:eng</t>
        </is>
      </c>
      <c r="AV319" t="inlineStr">
        <is>
          <t>23731832</t>
        </is>
      </c>
      <c r="AW319" t="inlineStr">
        <is>
          <t>991001880909702656</t>
        </is>
      </c>
      <c r="AX319" t="inlineStr">
        <is>
          <t>991001880909702656</t>
        </is>
      </c>
      <c r="AY319" t="inlineStr">
        <is>
          <t>2265488590002656</t>
        </is>
      </c>
      <c r="AZ319" t="inlineStr">
        <is>
          <t>BOOK</t>
        </is>
      </c>
      <c r="BB319" t="inlineStr">
        <is>
          <t>9780553077308</t>
        </is>
      </c>
      <c r="BC319" t="inlineStr">
        <is>
          <t>32285000819770</t>
        </is>
      </c>
      <c r="BD319" t="inlineStr">
        <is>
          <t>893785464</t>
        </is>
      </c>
    </row>
    <row r="320">
      <c r="A320" t="inlineStr">
        <is>
          <t>No</t>
        </is>
      </c>
      <c r="B320" t="inlineStr">
        <is>
          <t>HQ1090 .M382 2006</t>
        </is>
      </c>
      <c r="C320" t="inlineStr">
        <is>
          <t>0                      HQ 1090000M  382         2006</t>
        </is>
      </c>
      <c r="D320" t="inlineStr">
        <is>
          <t>Crossing into manhood : a men's studies curriculum / Christopher P. Mason.</t>
        </is>
      </c>
      <c r="F320" t="inlineStr">
        <is>
          <t>No</t>
        </is>
      </c>
      <c r="G320" t="inlineStr">
        <is>
          <t>1</t>
        </is>
      </c>
      <c r="H320" t="inlineStr">
        <is>
          <t>No</t>
        </is>
      </c>
      <c r="I320" t="inlineStr">
        <is>
          <t>No</t>
        </is>
      </c>
      <c r="J320" t="inlineStr">
        <is>
          <t>0</t>
        </is>
      </c>
      <c r="K320" t="inlineStr">
        <is>
          <t>Mason, Christopher P.</t>
        </is>
      </c>
      <c r="L320" t="inlineStr">
        <is>
          <t>Youngstown, N.Y. : Cambria Press, c2006.</t>
        </is>
      </c>
      <c r="M320" t="inlineStr">
        <is>
          <t>2006</t>
        </is>
      </c>
      <c r="O320" t="inlineStr">
        <is>
          <t>eng</t>
        </is>
      </c>
      <c r="P320" t="inlineStr">
        <is>
          <t>nyu</t>
        </is>
      </c>
      <c r="R320" t="inlineStr">
        <is>
          <t xml:space="preserve">HQ </t>
        </is>
      </c>
      <c r="S320" t="n">
        <v>1</v>
      </c>
      <c r="T320" t="n">
        <v>1</v>
      </c>
      <c r="U320" t="inlineStr">
        <is>
          <t>2008-06-05</t>
        </is>
      </c>
      <c r="V320" t="inlineStr">
        <is>
          <t>2008-06-05</t>
        </is>
      </c>
      <c r="W320" t="inlineStr">
        <is>
          <t>2008-06-05</t>
        </is>
      </c>
      <c r="X320" t="inlineStr">
        <is>
          <t>2008-06-05</t>
        </is>
      </c>
      <c r="Y320" t="n">
        <v>467</v>
      </c>
      <c r="Z320" t="n">
        <v>423</v>
      </c>
      <c r="AA320" t="n">
        <v>632</v>
      </c>
      <c r="AB320" t="n">
        <v>5</v>
      </c>
      <c r="AC320" t="n">
        <v>7</v>
      </c>
      <c r="AD320" t="n">
        <v>26</v>
      </c>
      <c r="AE320" t="n">
        <v>30</v>
      </c>
      <c r="AF320" t="n">
        <v>12</v>
      </c>
      <c r="AG320" t="n">
        <v>12</v>
      </c>
      <c r="AH320" t="n">
        <v>5</v>
      </c>
      <c r="AI320" t="n">
        <v>6</v>
      </c>
      <c r="AJ320" t="n">
        <v>12</v>
      </c>
      <c r="AK320" t="n">
        <v>14</v>
      </c>
      <c r="AL320" t="n">
        <v>4</v>
      </c>
      <c r="AM320" t="n">
        <v>6</v>
      </c>
      <c r="AN320" t="n">
        <v>0</v>
      </c>
      <c r="AO320" t="n">
        <v>0</v>
      </c>
      <c r="AP320" t="inlineStr">
        <is>
          <t>No</t>
        </is>
      </c>
      <c r="AQ320" t="inlineStr">
        <is>
          <t>Yes</t>
        </is>
      </c>
      <c r="AR320">
        <f>HYPERLINK("http://catalog.hathitrust.org/Record/005664178","HathiTrust Record")</f>
        <v/>
      </c>
      <c r="AS320">
        <f>HYPERLINK("https://creighton-primo.hosted.exlibrisgroup.com/primo-explore/search?tab=default_tab&amp;search_scope=EVERYTHING&amp;vid=01CRU&amp;lang=en_US&amp;offset=0&amp;query=any,contains,991005212229702656","Catalog Record")</f>
        <v/>
      </c>
      <c r="AT320">
        <f>HYPERLINK("http://www.worldcat.org/oclc/73993761","WorldCat Record")</f>
        <v/>
      </c>
      <c r="AU320" t="inlineStr">
        <is>
          <t>473196432:eng</t>
        </is>
      </c>
      <c r="AV320" t="inlineStr">
        <is>
          <t>73993761</t>
        </is>
      </c>
      <c r="AW320" t="inlineStr">
        <is>
          <t>991005212229702656</t>
        </is>
      </c>
      <c r="AX320" t="inlineStr">
        <is>
          <t>991005212229702656</t>
        </is>
      </c>
      <c r="AY320" t="inlineStr">
        <is>
          <t>2263318280002656</t>
        </is>
      </c>
      <c r="AZ320" t="inlineStr">
        <is>
          <t>BOOK</t>
        </is>
      </c>
      <c r="BB320" t="inlineStr">
        <is>
          <t>9781934043301</t>
        </is>
      </c>
      <c r="BC320" t="inlineStr">
        <is>
          <t>32285005442974</t>
        </is>
      </c>
      <c r="BD320" t="inlineStr">
        <is>
          <t>893789628</t>
        </is>
      </c>
    </row>
    <row r="321">
      <c r="A321" t="inlineStr">
        <is>
          <t>No</t>
        </is>
      </c>
      <c r="B321" t="inlineStr">
        <is>
          <t>HQ1090 .M39</t>
        </is>
      </c>
      <c r="C321" t="inlineStr">
        <is>
          <t>0                      HQ 1090000M  39</t>
        </is>
      </c>
      <c r="D321" t="inlineStr">
        <is>
          <t>The male mid-life crisis : fresh starts after forty / Nancy Mayer.</t>
        </is>
      </c>
      <c r="F321" t="inlineStr">
        <is>
          <t>No</t>
        </is>
      </c>
      <c r="G321" t="inlineStr">
        <is>
          <t>1</t>
        </is>
      </c>
      <c r="H321" t="inlineStr">
        <is>
          <t>No</t>
        </is>
      </c>
      <c r="I321" t="inlineStr">
        <is>
          <t>No</t>
        </is>
      </c>
      <c r="J321" t="inlineStr">
        <is>
          <t>0</t>
        </is>
      </c>
      <c r="K321" t="inlineStr">
        <is>
          <t>Mayer, Nancy.</t>
        </is>
      </c>
      <c r="L321" t="inlineStr">
        <is>
          <t>Garden City, N.Y. : Doubleday, 1978.</t>
        </is>
      </c>
      <c r="M321" t="inlineStr">
        <is>
          <t>1978</t>
        </is>
      </c>
      <c r="N321" t="inlineStr">
        <is>
          <t>1st ed.</t>
        </is>
      </c>
      <c r="O321" t="inlineStr">
        <is>
          <t>eng</t>
        </is>
      </c>
      <c r="P321" t="inlineStr">
        <is>
          <t>nyu</t>
        </is>
      </c>
      <c r="R321" t="inlineStr">
        <is>
          <t xml:space="preserve">HQ </t>
        </is>
      </c>
      <c r="S321" t="n">
        <v>7</v>
      </c>
      <c r="T321" t="n">
        <v>7</v>
      </c>
      <c r="U321" t="inlineStr">
        <is>
          <t>2006-03-06</t>
        </is>
      </c>
      <c r="V321" t="inlineStr">
        <is>
          <t>2006-03-06</t>
        </is>
      </c>
      <c r="W321" t="inlineStr">
        <is>
          <t>1997-08-14</t>
        </is>
      </c>
      <c r="X321" t="inlineStr">
        <is>
          <t>1997-08-14</t>
        </is>
      </c>
      <c r="Y321" t="n">
        <v>497</v>
      </c>
      <c r="Z321" t="n">
        <v>466</v>
      </c>
      <c r="AA321" t="n">
        <v>555</v>
      </c>
      <c r="AB321" t="n">
        <v>6</v>
      </c>
      <c r="AC321" t="n">
        <v>8</v>
      </c>
      <c r="AD321" t="n">
        <v>11</v>
      </c>
      <c r="AE321" t="n">
        <v>16</v>
      </c>
      <c r="AF321" t="n">
        <v>3</v>
      </c>
      <c r="AG321" t="n">
        <v>7</v>
      </c>
      <c r="AH321" t="n">
        <v>2</v>
      </c>
      <c r="AI321" t="n">
        <v>3</v>
      </c>
      <c r="AJ321" t="n">
        <v>5</v>
      </c>
      <c r="AK321" t="n">
        <v>6</v>
      </c>
      <c r="AL321" t="n">
        <v>3</v>
      </c>
      <c r="AM321" t="n">
        <v>4</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HYPERLINK("https://creighton-primo.hosted.exlibrisgroup.com/primo-explore/search?tab=default_tab&amp;search_scope=EVERYTHING&amp;vid=01CRU&amp;lang=en_US&amp;offset=0&amp;query=any,contains,991004477459702656","Catalog Record")</f>
        <v/>
      </c>
      <c r="AT321">
        <f>HYPERLINK("http://www.worldcat.org/oclc/3610069","WorldCat Record")</f>
        <v/>
      </c>
      <c r="AU321" t="inlineStr">
        <is>
          <t>339431:eng</t>
        </is>
      </c>
      <c r="AV321" t="inlineStr">
        <is>
          <t>3610069</t>
        </is>
      </c>
      <c r="AW321" t="inlineStr">
        <is>
          <t>991004477459702656</t>
        </is>
      </c>
      <c r="AX321" t="inlineStr">
        <is>
          <t>991004477459702656</t>
        </is>
      </c>
      <c r="AY321" t="inlineStr">
        <is>
          <t>2266276480002656</t>
        </is>
      </c>
      <c r="AZ321" t="inlineStr">
        <is>
          <t>BOOK</t>
        </is>
      </c>
      <c r="BB321" t="inlineStr">
        <is>
          <t>9780385015295</t>
        </is>
      </c>
      <c r="BC321" t="inlineStr">
        <is>
          <t>32285003103750</t>
        </is>
      </c>
      <c r="BD321" t="inlineStr">
        <is>
          <t>893618711</t>
        </is>
      </c>
    </row>
    <row r="322">
      <c r="A322" t="inlineStr">
        <is>
          <t>No</t>
        </is>
      </c>
      <c r="B322" t="inlineStr">
        <is>
          <t>HQ1090 .M4282 2001</t>
        </is>
      </c>
      <c r="C322" t="inlineStr">
        <is>
          <t>0                      HQ 1090000M  4282        2001</t>
        </is>
      </c>
      <c r="D322" t="inlineStr">
        <is>
          <t>Men and masculinity : a text reader / [edited by] Theodore F. Cohen.</t>
        </is>
      </c>
      <c r="F322" t="inlineStr">
        <is>
          <t>No</t>
        </is>
      </c>
      <c r="G322" t="inlineStr">
        <is>
          <t>1</t>
        </is>
      </c>
      <c r="H322" t="inlineStr">
        <is>
          <t>No</t>
        </is>
      </c>
      <c r="I322" t="inlineStr">
        <is>
          <t>No</t>
        </is>
      </c>
      <c r="J322" t="inlineStr">
        <is>
          <t>0</t>
        </is>
      </c>
      <c r="L322" t="inlineStr">
        <is>
          <t>Belmont, CA : Wadsworth Thomson Learning, 2001.</t>
        </is>
      </c>
      <c r="M322" t="inlineStr">
        <is>
          <t>2000</t>
        </is>
      </c>
      <c r="O322" t="inlineStr">
        <is>
          <t>eng</t>
        </is>
      </c>
      <c r="P322" t="inlineStr">
        <is>
          <t>cau</t>
        </is>
      </c>
      <c r="R322" t="inlineStr">
        <is>
          <t xml:space="preserve">HQ </t>
        </is>
      </c>
      <c r="S322" t="n">
        <v>21</v>
      </c>
      <c r="T322" t="n">
        <v>21</v>
      </c>
      <c r="U322" t="inlineStr">
        <is>
          <t>2006-12-14</t>
        </is>
      </c>
      <c r="V322" t="inlineStr">
        <is>
          <t>2006-12-14</t>
        </is>
      </c>
      <c r="W322" t="inlineStr">
        <is>
          <t>2001-08-13</t>
        </is>
      </c>
      <c r="X322" t="inlineStr">
        <is>
          <t>2001-08-13</t>
        </is>
      </c>
      <c r="Y322" t="n">
        <v>160</v>
      </c>
      <c r="Z322" t="n">
        <v>115</v>
      </c>
      <c r="AA322" t="n">
        <v>117</v>
      </c>
      <c r="AB322" t="n">
        <v>1</v>
      </c>
      <c r="AC322" t="n">
        <v>1</v>
      </c>
      <c r="AD322" t="n">
        <v>4</v>
      </c>
      <c r="AE322" t="n">
        <v>4</v>
      </c>
      <c r="AF322" t="n">
        <v>1</v>
      </c>
      <c r="AG322" t="n">
        <v>1</v>
      </c>
      <c r="AH322" t="n">
        <v>3</v>
      </c>
      <c r="AI322" t="n">
        <v>3</v>
      </c>
      <c r="AJ322" t="n">
        <v>1</v>
      </c>
      <c r="AK322" t="n">
        <v>1</v>
      </c>
      <c r="AL322" t="n">
        <v>0</v>
      </c>
      <c r="AM322" t="n">
        <v>0</v>
      </c>
      <c r="AN322" t="n">
        <v>0</v>
      </c>
      <c r="AO322" t="n">
        <v>0</v>
      </c>
      <c r="AP322" t="inlineStr">
        <is>
          <t>No</t>
        </is>
      </c>
      <c r="AQ322" t="inlineStr">
        <is>
          <t>Yes</t>
        </is>
      </c>
      <c r="AR322">
        <f>HYPERLINK("http://catalog.hathitrust.org/Record/012280394","HathiTrust Record")</f>
        <v/>
      </c>
      <c r="AS322">
        <f>HYPERLINK("https://creighton-primo.hosted.exlibrisgroup.com/primo-explore/search?tab=default_tab&amp;search_scope=EVERYTHING&amp;vid=01CRU&amp;lang=en_US&amp;offset=0&amp;query=any,contains,991003586019702656","Catalog Record")</f>
        <v/>
      </c>
      <c r="AT322">
        <f>HYPERLINK("http://www.worldcat.org/oclc/43615420","WorldCat Record")</f>
        <v/>
      </c>
      <c r="AU322" t="inlineStr">
        <is>
          <t>837004758:eng</t>
        </is>
      </c>
      <c r="AV322" t="inlineStr">
        <is>
          <t>43615420</t>
        </is>
      </c>
      <c r="AW322" t="inlineStr">
        <is>
          <t>991003586019702656</t>
        </is>
      </c>
      <c r="AX322" t="inlineStr">
        <is>
          <t>991003586019702656</t>
        </is>
      </c>
      <c r="AY322" t="inlineStr">
        <is>
          <t>2261965680002656</t>
        </is>
      </c>
      <c r="AZ322" t="inlineStr">
        <is>
          <t>BOOK</t>
        </is>
      </c>
      <c r="BB322" t="inlineStr">
        <is>
          <t>9780534536589</t>
        </is>
      </c>
      <c r="BC322" t="inlineStr">
        <is>
          <t>32285004377429</t>
        </is>
      </c>
      <c r="BD322" t="inlineStr">
        <is>
          <t>893445736</t>
        </is>
      </c>
    </row>
    <row r="323">
      <c r="A323" t="inlineStr">
        <is>
          <t>No</t>
        </is>
      </c>
      <c r="B323" t="inlineStr">
        <is>
          <t>HQ1090 .M452 1993</t>
        </is>
      </c>
      <c r="C323" t="inlineStr">
        <is>
          <t>0                      HQ 1090000M  452         1993</t>
        </is>
      </c>
      <c r="D323" t="inlineStr">
        <is>
          <t>Men, work, and family / edited by Jane C. Hood.</t>
        </is>
      </c>
      <c r="F323" t="inlineStr">
        <is>
          <t>No</t>
        </is>
      </c>
      <c r="G323" t="inlineStr">
        <is>
          <t>1</t>
        </is>
      </c>
      <c r="H323" t="inlineStr">
        <is>
          <t>No</t>
        </is>
      </c>
      <c r="I323" t="inlineStr">
        <is>
          <t>No</t>
        </is>
      </c>
      <c r="J323" t="inlineStr">
        <is>
          <t>0</t>
        </is>
      </c>
      <c r="L323" t="inlineStr">
        <is>
          <t>Newbury Park : Sage Publications, c1993.</t>
        </is>
      </c>
      <c r="M323" t="inlineStr">
        <is>
          <t>1993</t>
        </is>
      </c>
      <c r="O323" t="inlineStr">
        <is>
          <t>eng</t>
        </is>
      </c>
      <c r="P323" t="inlineStr">
        <is>
          <t>cau</t>
        </is>
      </c>
      <c r="Q323" t="inlineStr">
        <is>
          <t>Research on men and masculinities series ; 4</t>
        </is>
      </c>
      <c r="R323" t="inlineStr">
        <is>
          <t xml:space="preserve">HQ </t>
        </is>
      </c>
      <c r="S323" t="n">
        <v>22</v>
      </c>
      <c r="T323" t="n">
        <v>22</v>
      </c>
      <c r="U323" t="inlineStr">
        <is>
          <t>2000-11-08</t>
        </is>
      </c>
      <c r="V323" t="inlineStr">
        <is>
          <t>2000-11-08</t>
        </is>
      </c>
      <c r="W323" t="inlineStr">
        <is>
          <t>1994-03-14</t>
        </is>
      </c>
      <c r="X323" t="inlineStr">
        <is>
          <t>1994-03-14</t>
        </is>
      </c>
      <c r="Y323" t="n">
        <v>764</v>
      </c>
      <c r="Z323" t="n">
        <v>597</v>
      </c>
      <c r="AA323" t="n">
        <v>600</v>
      </c>
      <c r="AB323" t="n">
        <v>5</v>
      </c>
      <c r="AC323" t="n">
        <v>5</v>
      </c>
      <c r="AD323" t="n">
        <v>31</v>
      </c>
      <c r="AE323" t="n">
        <v>31</v>
      </c>
      <c r="AF323" t="n">
        <v>9</v>
      </c>
      <c r="AG323" t="n">
        <v>9</v>
      </c>
      <c r="AH323" t="n">
        <v>7</v>
      </c>
      <c r="AI323" t="n">
        <v>7</v>
      </c>
      <c r="AJ323" t="n">
        <v>18</v>
      </c>
      <c r="AK323" t="n">
        <v>18</v>
      </c>
      <c r="AL323" t="n">
        <v>4</v>
      </c>
      <c r="AM323" t="n">
        <v>4</v>
      </c>
      <c r="AN323" t="n">
        <v>1</v>
      </c>
      <c r="AO323" t="n">
        <v>1</v>
      </c>
      <c r="AP323" t="inlineStr">
        <is>
          <t>No</t>
        </is>
      </c>
      <c r="AQ323" t="inlineStr">
        <is>
          <t>Yes</t>
        </is>
      </c>
      <c r="AR323">
        <f>HYPERLINK("http://catalog.hathitrust.org/Record/002734632","HathiTrust Record")</f>
        <v/>
      </c>
      <c r="AS323">
        <f>HYPERLINK("https://creighton-primo.hosted.exlibrisgroup.com/primo-explore/search?tab=default_tab&amp;search_scope=EVERYTHING&amp;vid=01CRU&amp;lang=en_US&amp;offset=0&amp;query=any,contains,991002214289702656","Catalog Record")</f>
        <v/>
      </c>
      <c r="AT323">
        <f>HYPERLINK("http://www.worldcat.org/oclc/28506737","WorldCat Record")</f>
        <v/>
      </c>
      <c r="AU323" t="inlineStr">
        <is>
          <t>351659584:eng</t>
        </is>
      </c>
      <c r="AV323" t="inlineStr">
        <is>
          <t>28506737</t>
        </is>
      </c>
      <c r="AW323" t="inlineStr">
        <is>
          <t>991002214289702656</t>
        </is>
      </c>
      <c r="AX323" t="inlineStr">
        <is>
          <t>991002214289702656</t>
        </is>
      </c>
      <c r="AY323" t="inlineStr">
        <is>
          <t>2271254770002656</t>
        </is>
      </c>
      <c r="AZ323" t="inlineStr">
        <is>
          <t>BOOK</t>
        </is>
      </c>
      <c r="BB323" t="inlineStr">
        <is>
          <t>9780803938908</t>
        </is>
      </c>
      <c r="BC323" t="inlineStr">
        <is>
          <t>32285001856466</t>
        </is>
      </c>
      <c r="BD323" t="inlineStr">
        <is>
          <t>893232688</t>
        </is>
      </c>
    </row>
    <row r="324">
      <c r="A324" t="inlineStr">
        <is>
          <t>No</t>
        </is>
      </c>
      <c r="B324" t="inlineStr">
        <is>
          <t>HQ1090 .M47 1992</t>
        </is>
      </c>
      <c r="C324" t="inlineStr">
        <is>
          <t>0                      HQ 1090000M  47          1992</t>
        </is>
      </c>
      <c r="D324" t="inlineStr">
        <is>
          <t>Men's friendships / edited by Peter M. Nardi.</t>
        </is>
      </c>
      <c r="F324" t="inlineStr">
        <is>
          <t>No</t>
        </is>
      </c>
      <c r="G324" t="inlineStr">
        <is>
          <t>1</t>
        </is>
      </c>
      <c r="H324" t="inlineStr">
        <is>
          <t>No</t>
        </is>
      </c>
      <c r="I324" t="inlineStr">
        <is>
          <t>No</t>
        </is>
      </c>
      <c r="J324" t="inlineStr">
        <is>
          <t>0</t>
        </is>
      </c>
      <c r="L324" t="inlineStr">
        <is>
          <t>Newbury Park : Sage Publications, c1992.</t>
        </is>
      </c>
      <c r="M324" t="inlineStr">
        <is>
          <t>1992</t>
        </is>
      </c>
      <c r="O324" t="inlineStr">
        <is>
          <t>eng</t>
        </is>
      </c>
      <c r="P324" t="inlineStr">
        <is>
          <t>cau</t>
        </is>
      </c>
      <c r="Q324" t="inlineStr">
        <is>
          <t>Research on men and masculinities series ; 2</t>
        </is>
      </c>
      <c r="R324" t="inlineStr">
        <is>
          <t xml:space="preserve">HQ </t>
        </is>
      </c>
      <c r="S324" t="n">
        <v>15</v>
      </c>
      <c r="T324" t="n">
        <v>15</v>
      </c>
      <c r="U324" t="inlineStr">
        <is>
          <t>2006-06-24</t>
        </is>
      </c>
      <c r="V324" t="inlineStr">
        <is>
          <t>2006-06-24</t>
        </is>
      </c>
      <c r="W324" t="inlineStr">
        <is>
          <t>1992-10-07</t>
        </is>
      </c>
      <c r="X324" t="inlineStr">
        <is>
          <t>1992-10-07</t>
        </is>
      </c>
      <c r="Y324" t="n">
        <v>760</v>
      </c>
      <c r="Z324" t="n">
        <v>621</v>
      </c>
      <c r="AA324" t="n">
        <v>670</v>
      </c>
      <c r="AB324" t="n">
        <v>5</v>
      </c>
      <c r="AC324" t="n">
        <v>5</v>
      </c>
      <c r="AD324" t="n">
        <v>36</v>
      </c>
      <c r="AE324" t="n">
        <v>39</v>
      </c>
      <c r="AF324" t="n">
        <v>15</v>
      </c>
      <c r="AG324" t="n">
        <v>17</v>
      </c>
      <c r="AH324" t="n">
        <v>7</v>
      </c>
      <c r="AI324" t="n">
        <v>8</v>
      </c>
      <c r="AJ324" t="n">
        <v>19</v>
      </c>
      <c r="AK324" t="n">
        <v>20</v>
      </c>
      <c r="AL324" t="n">
        <v>4</v>
      </c>
      <c r="AM324" t="n">
        <v>4</v>
      </c>
      <c r="AN324" t="n">
        <v>0</v>
      </c>
      <c r="AO324" t="n">
        <v>0</v>
      </c>
      <c r="AP324" t="inlineStr">
        <is>
          <t>No</t>
        </is>
      </c>
      <c r="AQ324" t="inlineStr">
        <is>
          <t>Yes</t>
        </is>
      </c>
      <c r="AR324">
        <f>HYPERLINK("http://catalog.hathitrust.org/Record/002619562","HathiTrust Record")</f>
        <v/>
      </c>
      <c r="AS324">
        <f>HYPERLINK("https://creighton-primo.hosted.exlibrisgroup.com/primo-explore/search?tab=default_tab&amp;search_scope=EVERYTHING&amp;vid=01CRU&amp;lang=en_US&amp;offset=0&amp;query=any,contains,991001971199702656","Catalog Record")</f>
        <v/>
      </c>
      <c r="AT324">
        <f>HYPERLINK("http://www.worldcat.org/oclc/25009150","WorldCat Record")</f>
        <v/>
      </c>
      <c r="AU324" t="inlineStr">
        <is>
          <t>904311:eng</t>
        </is>
      </c>
      <c r="AV324" t="inlineStr">
        <is>
          <t>25009150</t>
        </is>
      </c>
      <c r="AW324" t="inlineStr">
        <is>
          <t>991001971199702656</t>
        </is>
      </c>
      <c r="AX324" t="inlineStr">
        <is>
          <t>991001971199702656</t>
        </is>
      </c>
      <c r="AY324" t="inlineStr">
        <is>
          <t>2269538870002656</t>
        </is>
      </c>
      <c r="AZ324" t="inlineStr">
        <is>
          <t>BOOK</t>
        </is>
      </c>
      <c r="BB324" t="inlineStr">
        <is>
          <t>9780803937734</t>
        </is>
      </c>
      <c r="BC324" t="inlineStr">
        <is>
          <t>32285001316024</t>
        </is>
      </c>
      <c r="BD324" t="inlineStr">
        <is>
          <t>893503874</t>
        </is>
      </c>
    </row>
    <row r="325">
      <c r="A325" t="inlineStr">
        <is>
          <t>No</t>
        </is>
      </c>
      <c r="B325" t="inlineStr">
        <is>
          <t>HQ1090 .M53 1991</t>
        </is>
      </c>
      <c r="C325" t="inlineStr">
        <is>
          <t>0                      HQ 1090000M  53          1991</t>
        </is>
      </c>
      <c r="D325" t="inlineStr">
        <is>
          <t>Love, sex, death, and the making of the male / by Rosalind Miles.</t>
        </is>
      </c>
      <c r="F325" t="inlineStr">
        <is>
          <t>No</t>
        </is>
      </c>
      <c r="G325" t="inlineStr">
        <is>
          <t>1</t>
        </is>
      </c>
      <c r="H325" t="inlineStr">
        <is>
          <t>No</t>
        </is>
      </c>
      <c r="I325" t="inlineStr">
        <is>
          <t>No</t>
        </is>
      </c>
      <c r="J325" t="inlineStr">
        <is>
          <t>0</t>
        </is>
      </c>
      <c r="K325" t="inlineStr">
        <is>
          <t>Miles, Rosalind.</t>
        </is>
      </c>
      <c r="L325" t="inlineStr">
        <is>
          <t>New York : Summit Books, c1991.</t>
        </is>
      </c>
      <c r="M325" t="inlineStr">
        <is>
          <t>1991</t>
        </is>
      </c>
      <c r="O325" t="inlineStr">
        <is>
          <t>eng</t>
        </is>
      </c>
      <c r="P325" t="inlineStr">
        <is>
          <t>nyu</t>
        </is>
      </c>
      <c r="R325" t="inlineStr">
        <is>
          <t xml:space="preserve">HQ </t>
        </is>
      </c>
      <c r="S325" t="n">
        <v>5</v>
      </c>
      <c r="T325" t="n">
        <v>5</v>
      </c>
      <c r="U325" t="inlineStr">
        <is>
          <t>1992-11-07</t>
        </is>
      </c>
      <c r="V325" t="inlineStr">
        <is>
          <t>1992-11-07</t>
        </is>
      </c>
      <c r="W325" t="inlineStr">
        <is>
          <t>1992-01-28</t>
        </is>
      </c>
      <c r="X325" t="inlineStr">
        <is>
          <t>1992-01-28</t>
        </is>
      </c>
      <c r="Y325" t="n">
        <v>224</v>
      </c>
      <c r="Z325" t="n">
        <v>206</v>
      </c>
      <c r="AA325" t="n">
        <v>208</v>
      </c>
      <c r="AB325" t="n">
        <v>1</v>
      </c>
      <c r="AC325" t="n">
        <v>1</v>
      </c>
      <c r="AD325" t="n">
        <v>3</v>
      </c>
      <c r="AE325" t="n">
        <v>3</v>
      </c>
      <c r="AF325" t="n">
        <v>0</v>
      </c>
      <c r="AG325" t="n">
        <v>0</v>
      </c>
      <c r="AH325" t="n">
        <v>2</v>
      </c>
      <c r="AI325" t="n">
        <v>2</v>
      </c>
      <c r="AJ325" t="n">
        <v>2</v>
      </c>
      <c r="AK325" t="n">
        <v>2</v>
      </c>
      <c r="AL325" t="n">
        <v>0</v>
      </c>
      <c r="AM325" t="n">
        <v>0</v>
      </c>
      <c r="AN325" t="n">
        <v>0</v>
      </c>
      <c r="AO325" t="n">
        <v>0</v>
      </c>
      <c r="AP325" t="inlineStr">
        <is>
          <t>No</t>
        </is>
      </c>
      <c r="AQ325" t="inlineStr">
        <is>
          <t>Yes</t>
        </is>
      </c>
      <c r="AR325">
        <f>HYPERLINK("http://catalog.hathitrust.org/Record/002499357","HathiTrust Record")</f>
        <v/>
      </c>
      <c r="AS325">
        <f>HYPERLINK("https://creighton-primo.hosted.exlibrisgroup.com/primo-explore/search?tab=default_tab&amp;search_scope=EVERYTHING&amp;vid=01CRU&amp;lang=en_US&amp;offset=0&amp;query=any,contains,991001914739702656","Catalog Record")</f>
        <v/>
      </c>
      <c r="AT325">
        <f>HYPERLINK("http://www.worldcat.org/oclc/24174290","WorldCat Record")</f>
        <v/>
      </c>
      <c r="AU325" t="inlineStr">
        <is>
          <t>26453336:eng</t>
        </is>
      </c>
      <c r="AV325" t="inlineStr">
        <is>
          <t>24174290</t>
        </is>
      </c>
      <c r="AW325" t="inlineStr">
        <is>
          <t>991001914739702656</t>
        </is>
      </c>
      <c r="AX325" t="inlineStr">
        <is>
          <t>991001914739702656</t>
        </is>
      </c>
      <c r="AY325" t="inlineStr">
        <is>
          <t>2269440550002656</t>
        </is>
      </c>
      <c r="AZ325" t="inlineStr">
        <is>
          <t>BOOK</t>
        </is>
      </c>
      <c r="BB325" t="inlineStr">
        <is>
          <t>9780671744922</t>
        </is>
      </c>
      <c r="BC325" t="inlineStr">
        <is>
          <t>32285000866748</t>
        </is>
      </c>
      <c r="BD325" t="inlineStr">
        <is>
          <t>893250605</t>
        </is>
      </c>
    </row>
    <row r="326">
      <c r="A326" t="inlineStr">
        <is>
          <t>No</t>
        </is>
      </c>
      <c r="B326" t="inlineStr">
        <is>
          <t>HQ1090 .M56 1983</t>
        </is>
      </c>
      <c r="C326" t="inlineStr">
        <is>
          <t>0                      HQ 1090000M  56          1983</t>
        </is>
      </c>
      <c r="D326" t="inlineStr">
        <is>
          <t>Men and friendship / Stuart Miller.</t>
        </is>
      </c>
      <c r="F326" t="inlineStr">
        <is>
          <t>No</t>
        </is>
      </c>
      <c r="G326" t="inlineStr">
        <is>
          <t>1</t>
        </is>
      </c>
      <c r="H326" t="inlineStr">
        <is>
          <t>No</t>
        </is>
      </c>
      <c r="I326" t="inlineStr">
        <is>
          <t>No</t>
        </is>
      </c>
      <c r="J326" t="inlineStr">
        <is>
          <t>0</t>
        </is>
      </c>
      <c r="K326" t="inlineStr">
        <is>
          <t>Miller, Stuart.</t>
        </is>
      </c>
      <c r="L326" t="inlineStr">
        <is>
          <t>Boston : Houghton Mifflin, c1983.</t>
        </is>
      </c>
      <c r="M326" t="inlineStr">
        <is>
          <t>1983</t>
        </is>
      </c>
      <c r="O326" t="inlineStr">
        <is>
          <t>eng</t>
        </is>
      </c>
      <c r="P326" t="inlineStr">
        <is>
          <t>mau</t>
        </is>
      </c>
      <c r="R326" t="inlineStr">
        <is>
          <t xml:space="preserve">HQ </t>
        </is>
      </c>
      <c r="S326" t="n">
        <v>12</v>
      </c>
      <c r="T326" t="n">
        <v>12</v>
      </c>
      <c r="U326" t="inlineStr">
        <is>
          <t>1997-07-02</t>
        </is>
      </c>
      <c r="V326" t="inlineStr">
        <is>
          <t>1997-07-02</t>
        </is>
      </c>
      <c r="W326" t="inlineStr">
        <is>
          <t>1990-05-01</t>
        </is>
      </c>
      <c r="X326" t="inlineStr">
        <is>
          <t>1990-05-01</t>
        </is>
      </c>
      <c r="Y326" t="n">
        <v>437</v>
      </c>
      <c r="Z326" t="n">
        <v>408</v>
      </c>
      <c r="AA326" t="n">
        <v>486</v>
      </c>
      <c r="AB326" t="n">
        <v>3</v>
      </c>
      <c r="AC326" t="n">
        <v>3</v>
      </c>
      <c r="AD326" t="n">
        <v>7</v>
      </c>
      <c r="AE326" t="n">
        <v>11</v>
      </c>
      <c r="AF326" t="n">
        <v>2</v>
      </c>
      <c r="AG326" t="n">
        <v>4</v>
      </c>
      <c r="AH326" t="n">
        <v>1</v>
      </c>
      <c r="AI326" t="n">
        <v>1</v>
      </c>
      <c r="AJ326" t="n">
        <v>5</v>
      </c>
      <c r="AK326" t="n">
        <v>7</v>
      </c>
      <c r="AL326" t="n">
        <v>1</v>
      </c>
      <c r="AM326" t="n">
        <v>1</v>
      </c>
      <c r="AN326" t="n">
        <v>0</v>
      </c>
      <c r="AO326" t="n">
        <v>0</v>
      </c>
      <c r="AP326" t="inlineStr">
        <is>
          <t>No</t>
        </is>
      </c>
      <c r="AQ326" t="inlineStr">
        <is>
          <t>Yes</t>
        </is>
      </c>
      <c r="AR326">
        <f>HYPERLINK("http://catalog.hathitrust.org/Record/000195138","HathiTrust Record")</f>
        <v/>
      </c>
      <c r="AS326">
        <f>HYPERLINK("https://creighton-primo.hosted.exlibrisgroup.com/primo-explore/search?tab=default_tab&amp;search_scope=EVERYTHING&amp;vid=01CRU&amp;lang=en_US&amp;offset=0&amp;query=any,contains,991000094469702656","Catalog Record")</f>
        <v/>
      </c>
      <c r="AT326">
        <f>HYPERLINK("http://www.worldcat.org/oclc/8927979","WorldCat Record")</f>
        <v/>
      </c>
      <c r="AU326" t="inlineStr">
        <is>
          <t>7665587:eng</t>
        </is>
      </c>
      <c r="AV326" t="inlineStr">
        <is>
          <t>8927979</t>
        </is>
      </c>
      <c r="AW326" t="inlineStr">
        <is>
          <t>991000094469702656</t>
        </is>
      </c>
      <c r="AX326" t="inlineStr">
        <is>
          <t>991000094469702656</t>
        </is>
      </c>
      <c r="AY326" t="inlineStr">
        <is>
          <t>2265041700002656</t>
        </is>
      </c>
      <c r="AZ326" t="inlineStr">
        <is>
          <t>BOOK</t>
        </is>
      </c>
      <c r="BB326" t="inlineStr">
        <is>
          <t>9780395331033</t>
        </is>
      </c>
      <c r="BC326" t="inlineStr">
        <is>
          <t>32285000147040</t>
        </is>
      </c>
      <c r="BD326" t="inlineStr">
        <is>
          <t>893720572</t>
        </is>
      </c>
    </row>
    <row r="327">
      <c r="A327" t="inlineStr">
        <is>
          <t>No</t>
        </is>
      </c>
      <c r="B327" t="inlineStr">
        <is>
          <t>HQ1090 .M665 1999</t>
        </is>
      </c>
      <c r="C327" t="inlineStr">
        <is>
          <t>0                      HQ 1090000M  665         1999</t>
        </is>
      </c>
      <c r="D327" t="inlineStr">
        <is>
          <t>Why men don't iron : the fascinating and unalterable differences between men and women / Anne and Bill Moir.</t>
        </is>
      </c>
      <c r="F327" t="inlineStr">
        <is>
          <t>No</t>
        </is>
      </c>
      <c r="G327" t="inlineStr">
        <is>
          <t>1</t>
        </is>
      </c>
      <c r="H327" t="inlineStr">
        <is>
          <t>No</t>
        </is>
      </c>
      <c r="I327" t="inlineStr">
        <is>
          <t>No</t>
        </is>
      </c>
      <c r="J327" t="inlineStr">
        <is>
          <t>0</t>
        </is>
      </c>
      <c r="K327" t="inlineStr">
        <is>
          <t>Moir, Anne.</t>
        </is>
      </c>
      <c r="M327" t="inlineStr">
        <is>
          <t>1999</t>
        </is>
      </c>
      <c r="O327" t="inlineStr">
        <is>
          <t>eng</t>
        </is>
      </c>
      <c r="P327" t="inlineStr">
        <is>
          <t>nyu</t>
        </is>
      </c>
      <c r="R327" t="inlineStr">
        <is>
          <t xml:space="preserve">HQ </t>
        </is>
      </c>
      <c r="S327" t="n">
        <v>4</v>
      </c>
      <c r="T327" t="n">
        <v>4</v>
      </c>
      <c r="U327" t="inlineStr">
        <is>
          <t>2006-10-04</t>
        </is>
      </c>
      <c r="V327" t="inlineStr">
        <is>
          <t>2006-10-04</t>
        </is>
      </c>
      <c r="W327" t="inlineStr">
        <is>
          <t>2001-04-09</t>
        </is>
      </c>
      <c r="X327" t="inlineStr">
        <is>
          <t>2001-04-09</t>
        </is>
      </c>
      <c r="Y327" t="n">
        <v>82</v>
      </c>
      <c r="Z327" t="n">
        <v>75</v>
      </c>
      <c r="AA327" t="n">
        <v>92</v>
      </c>
      <c r="AB327" t="n">
        <v>1</v>
      </c>
      <c r="AC327" t="n">
        <v>1</v>
      </c>
      <c r="AD327" t="n">
        <v>5</v>
      </c>
      <c r="AE327" t="n">
        <v>5</v>
      </c>
      <c r="AF327" t="n">
        <v>2</v>
      </c>
      <c r="AG327" t="n">
        <v>2</v>
      </c>
      <c r="AH327" t="n">
        <v>1</v>
      </c>
      <c r="AI327" t="n">
        <v>1</v>
      </c>
      <c r="AJ327" t="n">
        <v>2</v>
      </c>
      <c r="AK327" t="n">
        <v>2</v>
      </c>
      <c r="AL327" t="n">
        <v>0</v>
      </c>
      <c r="AM327" t="n">
        <v>0</v>
      </c>
      <c r="AN327" t="n">
        <v>0</v>
      </c>
      <c r="AO327" t="n">
        <v>0</v>
      </c>
      <c r="AP327" t="inlineStr">
        <is>
          <t>No</t>
        </is>
      </c>
      <c r="AQ327" t="inlineStr">
        <is>
          <t>Yes</t>
        </is>
      </c>
      <c r="AR327">
        <f>HYPERLINK("http://catalog.hathitrust.org/Record/007574760","HathiTrust Record")</f>
        <v/>
      </c>
      <c r="AS327">
        <f>HYPERLINK("https://creighton-primo.hosted.exlibrisgroup.com/primo-explore/search?tab=default_tab&amp;search_scope=EVERYTHING&amp;vid=01CRU&amp;lang=en_US&amp;offset=0&amp;query=any,contains,991003519089702656","Catalog Record")</f>
        <v/>
      </c>
      <c r="AT327">
        <f>HYPERLINK("http://www.worldcat.org/oclc/41951189","WorldCat Record")</f>
        <v/>
      </c>
      <c r="AU327" t="inlineStr">
        <is>
          <t>785538:eng</t>
        </is>
      </c>
      <c r="AV327" t="inlineStr">
        <is>
          <t>41951189</t>
        </is>
      </c>
      <c r="AW327" t="inlineStr">
        <is>
          <t>991003519089702656</t>
        </is>
      </c>
      <c r="AX327" t="inlineStr">
        <is>
          <t>991003519089702656</t>
        </is>
      </c>
      <c r="AY327" t="inlineStr">
        <is>
          <t>2269294370002656</t>
        </is>
      </c>
      <c r="AZ327" t="inlineStr">
        <is>
          <t>BOOK</t>
        </is>
      </c>
      <c r="BB327" t="inlineStr">
        <is>
          <t>9781559725217</t>
        </is>
      </c>
      <c r="BC327" t="inlineStr">
        <is>
          <t>32285004310495</t>
        </is>
      </c>
      <c r="BD327" t="inlineStr">
        <is>
          <t>893699072</t>
        </is>
      </c>
    </row>
    <row r="328">
      <c r="A328" t="inlineStr">
        <is>
          <t>No</t>
        </is>
      </c>
      <c r="B328" t="inlineStr">
        <is>
          <t>HQ1090 .O85 1986</t>
        </is>
      </c>
      <c r="C328" t="inlineStr">
        <is>
          <t>0                      HQ 1090000O  85          1986</t>
        </is>
      </c>
      <c r="D328" t="inlineStr">
        <is>
          <t>Finding our fathers : the unfinished business of manhood / Samuel Osherson.</t>
        </is>
      </c>
      <c r="F328" t="inlineStr">
        <is>
          <t>No</t>
        </is>
      </c>
      <c r="G328" t="inlineStr">
        <is>
          <t>1</t>
        </is>
      </c>
      <c r="H328" t="inlineStr">
        <is>
          <t>No</t>
        </is>
      </c>
      <c r="I328" t="inlineStr">
        <is>
          <t>No</t>
        </is>
      </c>
      <c r="J328" t="inlineStr">
        <is>
          <t>0</t>
        </is>
      </c>
      <c r="K328" t="inlineStr">
        <is>
          <t>Osherson, Samuel, 1945-</t>
        </is>
      </c>
      <c r="L328" t="inlineStr">
        <is>
          <t>New York : Free Press ; London : Collier Macmillan Publishers, c1986.</t>
        </is>
      </c>
      <c r="M328" t="inlineStr">
        <is>
          <t>1986</t>
        </is>
      </c>
      <c r="O328" t="inlineStr">
        <is>
          <t>eng</t>
        </is>
      </c>
      <c r="P328" t="inlineStr">
        <is>
          <t>nyu</t>
        </is>
      </c>
      <c r="R328" t="inlineStr">
        <is>
          <t xml:space="preserve">HQ </t>
        </is>
      </c>
      <c r="S328" t="n">
        <v>6</v>
      </c>
      <c r="T328" t="n">
        <v>6</v>
      </c>
      <c r="U328" t="inlineStr">
        <is>
          <t>1999-12-02</t>
        </is>
      </c>
      <c r="V328" t="inlineStr">
        <is>
          <t>1999-12-02</t>
        </is>
      </c>
      <c r="W328" t="inlineStr">
        <is>
          <t>1989-12-11</t>
        </is>
      </c>
      <c r="X328" t="inlineStr">
        <is>
          <t>1989-12-11</t>
        </is>
      </c>
      <c r="Y328" t="n">
        <v>679</v>
      </c>
      <c r="Z328" t="n">
        <v>624</v>
      </c>
      <c r="AA328" t="n">
        <v>630</v>
      </c>
      <c r="AB328" t="n">
        <v>3</v>
      </c>
      <c r="AC328" t="n">
        <v>3</v>
      </c>
      <c r="AD328" t="n">
        <v>17</v>
      </c>
      <c r="AE328" t="n">
        <v>17</v>
      </c>
      <c r="AF328" t="n">
        <v>5</v>
      </c>
      <c r="AG328" t="n">
        <v>5</v>
      </c>
      <c r="AH328" t="n">
        <v>5</v>
      </c>
      <c r="AI328" t="n">
        <v>5</v>
      </c>
      <c r="AJ328" t="n">
        <v>11</v>
      </c>
      <c r="AK328" t="n">
        <v>11</v>
      </c>
      <c r="AL328" t="n">
        <v>1</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HYPERLINK("https://creighton-primo.hosted.exlibrisgroup.com/primo-explore/search?tab=default_tab&amp;search_scope=EVERYTHING&amp;vid=01CRU&amp;lang=en_US&amp;offset=0&amp;query=any,contains,991000744519702656","Catalog Record")</f>
        <v/>
      </c>
      <c r="AT328">
        <f>HYPERLINK("http://www.worldcat.org/oclc/12836468","WorldCat Record")</f>
        <v/>
      </c>
      <c r="AU328" t="inlineStr">
        <is>
          <t>196796387:eng</t>
        </is>
      </c>
      <c r="AV328" t="inlineStr">
        <is>
          <t>12836468</t>
        </is>
      </c>
      <c r="AW328" t="inlineStr">
        <is>
          <t>991000744519702656</t>
        </is>
      </c>
      <c r="AX328" t="inlineStr">
        <is>
          <t>991000744519702656</t>
        </is>
      </c>
      <c r="AY328" t="inlineStr">
        <is>
          <t>2272804030002656</t>
        </is>
      </c>
      <c r="AZ328" t="inlineStr">
        <is>
          <t>BOOK</t>
        </is>
      </c>
      <c r="BB328" t="inlineStr">
        <is>
          <t>9780029236901</t>
        </is>
      </c>
      <c r="BC328" t="inlineStr">
        <is>
          <t>32285000030261</t>
        </is>
      </c>
      <c r="BD328" t="inlineStr">
        <is>
          <t>893432254</t>
        </is>
      </c>
    </row>
    <row r="329">
      <c r="A329" t="inlineStr">
        <is>
          <t>No</t>
        </is>
      </c>
      <c r="B329" t="inlineStr">
        <is>
          <t>HQ1090 .O853 1992</t>
        </is>
      </c>
      <c r="C329" t="inlineStr">
        <is>
          <t>0                      HQ 1090000O  853         1992</t>
        </is>
      </c>
      <c r="D329" t="inlineStr">
        <is>
          <t>Wrestling with love : how men struggle with intimacy with women, children, parents, and each other / Samuel Osherson.</t>
        </is>
      </c>
      <c r="F329" t="inlineStr">
        <is>
          <t>No</t>
        </is>
      </c>
      <c r="G329" t="inlineStr">
        <is>
          <t>1</t>
        </is>
      </c>
      <c r="H329" t="inlineStr">
        <is>
          <t>No</t>
        </is>
      </c>
      <c r="I329" t="inlineStr">
        <is>
          <t>No</t>
        </is>
      </c>
      <c r="J329" t="inlineStr">
        <is>
          <t>0</t>
        </is>
      </c>
      <c r="K329" t="inlineStr">
        <is>
          <t>Osherson, Samuel, 1945-</t>
        </is>
      </c>
      <c r="L329" t="inlineStr">
        <is>
          <t>New York : Fawcett Columbine, 1992.</t>
        </is>
      </c>
      <c r="M329" t="inlineStr">
        <is>
          <t>1992</t>
        </is>
      </c>
      <c r="N329" t="inlineStr">
        <is>
          <t>1st ed.</t>
        </is>
      </c>
      <c r="O329" t="inlineStr">
        <is>
          <t>eng</t>
        </is>
      </c>
      <c r="P329" t="inlineStr">
        <is>
          <t>nyu</t>
        </is>
      </c>
      <c r="R329" t="inlineStr">
        <is>
          <t xml:space="preserve">HQ </t>
        </is>
      </c>
      <c r="S329" t="n">
        <v>7</v>
      </c>
      <c r="T329" t="n">
        <v>7</v>
      </c>
      <c r="U329" t="inlineStr">
        <is>
          <t>2004-04-02</t>
        </is>
      </c>
      <c r="V329" t="inlineStr">
        <is>
          <t>2004-04-02</t>
        </is>
      </c>
      <c r="W329" t="inlineStr">
        <is>
          <t>1994-05-11</t>
        </is>
      </c>
      <c r="X329" t="inlineStr">
        <is>
          <t>1994-05-11</t>
        </is>
      </c>
      <c r="Y329" t="n">
        <v>570</v>
      </c>
      <c r="Z329" t="n">
        <v>527</v>
      </c>
      <c r="AA329" t="n">
        <v>592</v>
      </c>
      <c r="AB329" t="n">
        <v>2</v>
      </c>
      <c r="AC329" t="n">
        <v>2</v>
      </c>
      <c r="AD329" t="n">
        <v>8</v>
      </c>
      <c r="AE329" t="n">
        <v>9</v>
      </c>
      <c r="AF329" t="n">
        <v>3</v>
      </c>
      <c r="AG329" t="n">
        <v>3</v>
      </c>
      <c r="AH329" t="n">
        <v>2</v>
      </c>
      <c r="AI329" t="n">
        <v>2</v>
      </c>
      <c r="AJ329" t="n">
        <v>4</v>
      </c>
      <c r="AK329" t="n">
        <v>5</v>
      </c>
      <c r="AL329" t="n">
        <v>1</v>
      </c>
      <c r="AM329" t="n">
        <v>1</v>
      </c>
      <c r="AN329" t="n">
        <v>0</v>
      </c>
      <c r="AO329" t="n">
        <v>0</v>
      </c>
      <c r="AP329" t="inlineStr">
        <is>
          <t>No</t>
        </is>
      </c>
      <c r="AQ329" t="inlineStr">
        <is>
          <t>Yes</t>
        </is>
      </c>
      <c r="AR329">
        <f>HYPERLINK("http://catalog.hathitrust.org/Record/002801373","HathiTrust Record")</f>
        <v/>
      </c>
      <c r="AS329">
        <f>HYPERLINK("https://creighton-primo.hosted.exlibrisgroup.com/primo-explore/search?tab=default_tab&amp;search_scope=EVERYTHING&amp;vid=01CRU&amp;lang=en_US&amp;offset=0&amp;query=any,contains,991001926319702656","Catalog Record")</f>
        <v/>
      </c>
      <c r="AT329">
        <f>HYPERLINK("http://www.worldcat.org/oclc/24319892","WorldCat Record")</f>
        <v/>
      </c>
      <c r="AU329" t="inlineStr">
        <is>
          <t>197415414:eng</t>
        </is>
      </c>
      <c r="AV329" t="inlineStr">
        <is>
          <t>24319892</t>
        </is>
      </c>
      <c r="AW329" t="inlineStr">
        <is>
          <t>991001926319702656</t>
        </is>
      </c>
      <c r="AX329" t="inlineStr">
        <is>
          <t>991001926319702656</t>
        </is>
      </c>
      <c r="AY329" t="inlineStr">
        <is>
          <t>2271989020002656</t>
        </is>
      </c>
      <c r="AZ329" t="inlineStr">
        <is>
          <t>BOOK</t>
        </is>
      </c>
      <c r="BB329" t="inlineStr">
        <is>
          <t>9780449905500</t>
        </is>
      </c>
      <c r="BC329" t="inlineStr">
        <is>
          <t>32285001895845</t>
        </is>
      </c>
      <c r="BD329" t="inlineStr">
        <is>
          <t>893791841</t>
        </is>
      </c>
    </row>
    <row r="330">
      <c r="A330" t="inlineStr">
        <is>
          <t>No</t>
        </is>
      </c>
      <c r="B330" t="inlineStr">
        <is>
          <t>HQ1090 .S325 2005</t>
        </is>
      </c>
      <c r="C330" t="inlineStr">
        <is>
          <t>0                      HQ 1090000S  325         2005</t>
        </is>
      </c>
      <c r="D330" t="inlineStr">
        <is>
          <t>The future of men / by Marian Salzman, Ira Matathia, and Ann O'Reilly.</t>
        </is>
      </c>
      <c r="F330" t="inlineStr">
        <is>
          <t>No</t>
        </is>
      </c>
      <c r="G330" t="inlineStr">
        <is>
          <t>1</t>
        </is>
      </c>
      <c r="H330" t="inlineStr">
        <is>
          <t>No</t>
        </is>
      </c>
      <c r="I330" t="inlineStr">
        <is>
          <t>No</t>
        </is>
      </c>
      <c r="J330" t="inlineStr">
        <is>
          <t>0</t>
        </is>
      </c>
      <c r="K330" t="inlineStr">
        <is>
          <t>Salzman, Marian L.</t>
        </is>
      </c>
      <c r="L330" t="inlineStr">
        <is>
          <t>New York : Palgrave Macmillan, 2005.</t>
        </is>
      </c>
      <c r="M330" t="inlineStr">
        <is>
          <t>2005</t>
        </is>
      </c>
      <c r="O330" t="inlineStr">
        <is>
          <t>eng</t>
        </is>
      </c>
      <c r="P330" t="inlineStr">
        <is>
          <t>nyu</t>
        </is>
      </c>
      <c r="R330" t="inlineStr">
        <is>
          <t xml:space="preserve">HQ </t>
        </is>
      </c>
      <c r="S330" t="n">
        <v>2</v>
      </c>
      <c r="T330" t="n">
        <v>2</v>
      </c>
      <c r="U330" t="inlineStr">
        <is>
          <t>2008-11-20</t>
        </is>
      </c>
      <c r="V330" t="inlineStr">
        <is>
          <t>2008-11-20</t>
        </is>
      </c>
      <c r="W330" t="inlineStr">
        <is>
          <t>2005-11-29</t>
        </is>
      </c>
      <c r="X330" t="inlineStr">
        <is>
          <t>2005-11-29</t>
        </is>
      </c>
      <c r="Y330" t="n">
        <v>521</v>
      </c>
      <c r="Z330" t="n">
        <v>387</v>
      </c>
      <c r="AA330" t="n">
        <v>395</v>
      </c>
      <c r="AB330" t="n">
        <v>5</v>
      </c>
      <c r="AC330" t="n">
        <v>5</v>
      </c>
      <c r="AD330" t="n">
        <v>14</v>
      </c>
      <c r="AE330" t="n">
        <v>14</v>
      </c>
      <c r="AF330" t="n">
        <v>4</v>
      </c>
      <c r="AG330" t="n">
        <v>4</v>
      </c>
      <c r="AH330" t="n">
        <v>3</v>
      </c>
      <c r="AI330" t="n">
        <v>3</v>
      </c>
      <c r="AJ330" t="n">
        <v>4</v>
      </c>
      <c r="AK330" t="n">
        <v>4</v>
      </c>
      <c r="AL330" t="n">
        <v>4</v>
      </c>
      <c r="AM330" t="n">
        <v>4</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HYPERLINK("https://creighton-primo.hosted.exlibrisgroup.com/primo-explore/search?tab=default_tab&amp;search_scope=EVERYTHING&amp;vid=01CRU&amp;lang=en_US&amp;offset=0&amp;query=any,contains,991004682909702656","Catalog Record")</f>
        <v/>
      </c>
      <c r="AT330">
        <f>HYPERLINK("http://www.worldcat.org/oclc/58526312","WorldCat Record")</f>
        <v/>
      </c>
      <c r="AU330" t="inlineStr">
        <is>
          <t>1044499:eng</t>
        </is>
      </c>
      <c r="AV330" t="inlineStr">
        <is>
          <t>58526312</t>
        </is>
      </c>
      <c r="AW330" t="inlineStr">
        <is>
          <t>991004682909702656</t>
        </is>
      </c>
      <c r="AX330" t="inlineStr">
        <is>
          <t>991004682909702656</t>
        </is>
      </c>
      <c r="AY330" t="inlineStr">
        <is>
          <t>2258138920002656</t>
        </is>
      </c>
      <c r="AZ330" t="inlineStr">
        <is>
          <t>BOOK</t>
        </is>
      </c>
      <c r="BB330" t="inlineStr">
        <is>
          <t>9781403968821</t>
        </is>
      </c>
      <c r="BC330" t="inlineStr">
        <is>
          <t>32285005148720</t>
        </is>
      </c>
      <c r="BD330" t="inlineStr">
        <is>
          <t>893700539</t>
        </is>
      </c>
    </row>
    <row r="331">
      <c r="A331" t="inlineStr">
        <is>
          <t>No</t>
        </is>
      </c>
      <c r="B331" t="inlineStr">
        <is>
          <t>HQ1090 .S43 1990</t>
        </is>
      </c>
      <c r="C331" t="inlineStr">
        <is>
          <t>0                      HQ 1090000S  43          1990</t>
        </is>
      </c>
      <c r="D331" t="inlineStr">
        <is>
          <t>Slow motion : changing masculinities, changing men / Lynne Segal.</t>
        </is>
      </c>
      <c r="F331" t="inlineStr">
        <is>
          <t>No</t>
        </is>
      </c>
      <c r="G331" t="inlineStr">
        <is>
          <t>1</t>
        </is>
      </c>
      <c r="H331" t="inlineStr">
        <is>
          <t>No</t>
        </is>
      </c>
      <c r="I331" t="inlineStr">
        <is>
          <t>No</t>
        </is>
      </c>
      <c r="J331" t="inlineStr">
        <is>
          <t>0</t>
        </is>
      </c>
      <c r="K331" t="inlineStr">
        <is>
          <t>Segal, Lynne.</t>
        </is>
      </c>
      <c r="L331" t="inlineStr">
        <is>
          <t>New Brunswick, N.J. : Rutgers University Press, 1990.</t>
        </is>
      </c>
      <c r="M331" t="inlineStr">
        <is>
          <t>1990</t>
        </is>
      </c>
      <c r="O331" t="inlineStr">
        <is>
          <t>eng</t>
        </is>
      </c>
      <c r="P331" t="inlineStr">
        <is>
          <t>nju</t>
        </is>
      </c>
      <c r="R331" t="inlineStr">
        <is>
          <t xml:space="preserve">HQ </t>
        </is>
      </c>
      <c r="S331" t="n">
        <v>2</v>
      </c>
      <c r="T331" t="n">
        <v>2</v>
      </c>
      <c r="U331" t="inlineStr">
        <is>
          <t>2006-03-20</t>
        </is>
      </c>
      <c r="V331" t="inlineStr">
        <is>
          <t>2006-03-20</t>
        </is>
      </c>
      <c r="W331" t="inlineStr">
        <is>
          <t>1991-11-26</t>
        </is>
      </c>
      <c r="X331" t="inlineStr">
        <is>
          <t>1991-11-26</t>
        </is>
      </c>
      <c r="Y331" t="n">
        <v>656</v>
      </c>
      <c r="Z331" t="n">
        <v>572</v>
      </c>
      <c r="AA331" t="n">
        <v>637</v>
      </c>
      <c r="AB331" t="n">
        <v>3</v>
      </c>
      <c r="AC331" t="n">
        <v>3</v>
      </c>
      <c r="AD331" t="n">
        <v>24</v>
      </c>
      <c r="AE331" t="n">
        <v>25</v>
      </c>
      <c r="AF331" t="n">
        <v>10</v>
      </c>
      <c r="AG331" t="n">
        <v>11</v>
      </c>
      <c r="AH331" t="n">
        <v>7</v>
      </c>
      <c r="AI331" t="n">
        <v>7</v>
      </c>
      <c r="AJ331" t="n">
        <v>11</v>
      </c>
      <c r="AK331" t="n">
        <v>12</v>
      </c>
      <c r="AL331" t="n">
        <v>2</v>
      </c>
      <c r="AM331" t="n">
        <v>2</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HYPERLINK("https://creighton-primo.hosted.exlibrisgroup.com/primo-explore/search?tab=default_tab&amp;search_scope=EVERYTHING&amp;vid=01CRU&amp;lang=en_US&amp;offset=0&amp;query=any,contains,991001740899702656","Catalog Record")</f>
        <v/>
      </c>
      <c r="AT331">
        <f>HYPERLINK("http://www.worldcat.org/oclc/22004314","WorldCat Record")</f>
        <v/>
      </c>
      <c r="AU331" t="inlineStr">
        <is>
          <t>22522723:eng</t>
        </is>
      </c>
      <c r="AV331" t="inlineStr">
        <is>
          <t>22004314</t>
        </is>
      </c>
      <c r="AW331" t="inlineStr">
        <is>
          <t>991001740899702656</t>
        </is>
      </c>
      <c r="AX331" t="inlineStr">
        <is>
          <t>991001740899702656</t>
        </is>
      </c>
      <c r="AY331" t="inlineStr">
        <is>
          <t>2271926880002656</t>
        </is>
      </c>
      <c r="AZ331" t="inlineStr">
        <is>
          <t>BOOK</t>
        </is>
      </c>
      <c r="BB331" t="inlineStr">
        <is>
          <t>9780813516202</t>
        </is>
      </c>
      <c r="BC331" t="inlineStr">
        <is>
          <t>32285000817659</t>
        </is>
      </c>
      <c r="BD331" t="inlineStr">
        <is>
          <t>893690853</t>
        </is>
      </c>
    </row>
    <row r="332">
      <c r="A332" t="inlineStr">
        <is>
          <t>No</t>
        </is>
      </c>
      <c r="B332" t="inlineStr">
        <is>
          <t>HQ1090 .S44 1989</t>
        </is>
      </c>
      <c r="C332" t="inlineStr">
        <is>
          <t>0                      HQ 1090000S  44          1989</t>
        </is>
      </c>
      <c r="D332" t="inlineStr">
        <is>
          <t>Rediscovering masculinity : reason, language, and sexuality / Victor J. Seidler.</t>
        </is>
      </c>
      <c r="F332" t="inlineStr">
        <is>
          <t>No</t>
        </is>
      </c>
      <c r="G332" t="inlineStr">
        <is>
          <t>1</t>
        </is>
      </c>
      <c r="H332" t="inlineStr">
        <is>
          <t>No</t>
        </is>
      </c>
      <c r="I332" t="inlineStr">
        <is>
          <t>No</t>
        </is>
      </c>
      <c r="J332" t="inlineStr">
        <is>
          <t>0</t>
        </is>
      </c>
      <c r="K332" t="inlineStr">
        <is>
          <t>Seidler, Victor J., 1945-</t>
        </is>
      </c>
      <c r="L332" t="inlineStr">
        <is>
          <t>London ; New York : Routledge, 1989.</t>
        </is>
      </c>
      <c r="M332" t="inlineStr">
        <is>
          <t>1989</t>
        </is>
      </c>
      <c r="O332" t="inlineStr">
        <is>
          <t>eng</t>
        </is>
      </c>
      <c r="P332" t="inlineStr">
        <is>
          <t>enk</t>
        </is>
      </c>
      <c r="R332" t="inlineStr">
        <is>
          <t xml:space="preserve">HQ </t>
        </is>
      </c>
      <c r="S332" t="n">
        <v>7</v>
      </c>
      <c r="T332" t="n">
        <v>7</v>
      </c>
      <c r="U332" t="inlineStr">
        <is>
          <t>2006-03-20</t>
        </is>
      </c>
      <c r="V332" t="inlineStr">
        <is>
          <t>2006-03-20</t>
        </is>
      </c>
      <c r="W332" t="inlineStr">
        <is>
          <t>1989-10-23</t>
        </is>
      </c>
      <c r="X332" t="inlineStr">
        <is>
          <t>1989-10-23</t>
        </is>
      </c>
      <c r="Y332" t="n">
        <v>552</v>
      </c>
      <c r="Z332" t="n">
        <v>353</v>
      </c>
      <c r="AA332" t="n">
        <v>377</v>
      </c>
      <c r="AB332" t="n">
        <v>3</v>
      </c>
      <c r="AC332" t="n">
        <v>3</v>
      </c>
      <c r="AD332" t="n">
        <v>20</v>
      </c>
      <c r="AE332" t="n">
        <v>20</v>
      </c>
      <c r="AF332" t="n">
        <v>9</v>
      </c>
      <c r="AG332" t="n">
        <v>9</v>
      </c>
      <c r="AH332" t="n">
        <v>4</v>
      </c>
      <c r="AI332" t="n">
        <v>4</v>
      </c>
      <c r="AJ332" t="n">
        <v>8</v>
      </c>
      <c r="AK332" t="n">
        <v>8</v>
      </c>
      <c r="AL332" t="n">
        <v>2</v>
      </c>
      <c r="AM332" t="n">
        <v>2</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HYPERLINK("https://creighton-primo.hosted.exlibrisgroup.com/primo-explore/search?tab=default_tab&amp;search_scope=EVERYTHING&amp;vid=01CRU&amp;lang=en_US&amp;offset=0&amp;query=any,contains,991001376679702656","Catalog Record")</f>
        <v/>
      </c>
      <c r="AT332">
        <f>HYPERLINK("http://www.worldcat.org/oclc/18624716","WorldCat Record")</f>
        <v/>
      </c>
      <c r="AU332" t="inlineStr">
        <is>
          <t>801287982:eng</t>
        </is>
      </c>
      <c r="AV332" t="inlineStr">
        <is>
          <t>18624716</t>
        </is>
      </c>
      <c r="AW332" t="inlineStr">
        <is>
          <t>991001376679702656</t>
        </is>
      </c>
      <c r="AX332" t="inlineStr">
        <is>
          <t>991001376679702656</t>
        </is>
      </c>
      <c r="AY332" t="inlineStr">
        <is>
          <t>2266116540002656</t>
        </is>
      </c>
      <c r="AZ332" t="inlineStr">
        <is>
          <t>BOOK</t>
        </is>
      </c>
      <c r="BB332" t="inlineStr">
        <is>
          <t>9780415031998</t>
        </is>
      </c>
      <c r="BC332" t="inlineStr">
        <is>
          <t>32285000003789</t>
        </is>
      </c>
      <c r="BD332" t="inlineStr">
        <is>
          <t>893785067</t>
        </is>
      </c>
    </row>
    <row r="333">
      <c r="A333" t="inlineStr">
        <is>
          <t>No</t>
        </is>
      </c>
      <c r="B333" t="inlineStr">
        <is>
          <t>HQ1090 .S45 1994</t>
        </is>
      </c>
      <c r="C333" t="inlineStr">
        <is>
          <t>0                      HQ 1090000S  45          1994</t>
        </is>
      </c>
      <c r="D333" t="inlineStr">
        <is>
          <t>Unreasonable men : masculinity and social theory / Victor J. Seidler.</t>
        </is>
      </c>
      <c r="F333" t="inlineStr">
        <is>
          <t>No</t>
        </is>
      </c>
      <c r="G333" t="inlineStr">
        <is>
          <t>1</t>
        </is>
      </c>
      <c r="H333" t="inlineStr">
        <is>
          <t>No</t>
        </is>
      </c>
      <c r="I333" t="inlineStr">
        <is>
          <t>No</t>
        </is>
      </c>
      <c r="J333" t="inlineStr">
        <is>
          <t>0</t>
        </is>
      </c>
      <c r="K333" t="inlineStr">
        <is>
          <t>Seidler, Victor J., 1945-</t>
        </is>
      </c>
      <c r="L333" t="inlineStr">
        <is>
          <t>London ; New York : Routledge, 1994.</t>
        </is>
      </c>
      <c r="M333" t="inlineStr">
        <is>
          <t>1994</t>
        </is>
      </c>
      <c r="O333" t="inlineStr">
        <is>
          <t>eng</t>
        </is>
      </c>
      <c r="P333" t="inlineStr">
        <is>
          <t>enk</t>
        </is>
      </c>
      <c r="Q333" t="inlineStr">
        <is>
          <t>Male orders</t>
        </is>
      </c>
      <c r="R333" t="inlineStr">
        <is>
          <t xml:space="preserve">HQ </t>
        </is>
      </c>
      <c r="S333" t="n">
        <v>2</v>
      </c>
      <c r="T333" t="n">
        <v>2</v>
      </c>
      <c r="U333" t="inlineStr">
        <is>
          <t>1997-11-03</t>
        </is>
      </c>
      <c r="V333" t="inlineStr">
        <is>
          <t>1997-11-03</t>
        </is>
      </c>
      <c r="W333" t="inlineStr">
        <is>
          <t>1994-09-23</t>
        </is>
      </c>
      <c r="X333" t="inlineStr">
        <is>
          <t>1994-09-23</t>
        </is>
      </c>
      <c r="Y333" t="n">
        <v>324</v>
      </c>
      <c r="Z333" t="n">
        <v>164</v>
      </c>
      <c r="AA333" t="n">
        <v>185</v>
      </c>
      <c r="AB333" t="n">
        <v>3</v>
      </c>
      <c r="AC333" t="n">
        <v>3</v>
      </c>
      <c r="AD333" t="n">
        <v>12</v>
      </c>
      <c r="AE333" t="n">
        <v>12</v>
      </c>
      <c r="AF333" t="n">
        <v>2</v>
      </c>
      <c r="AG333" t="n">
        <v>2</v>
      </c>
      <c r="AH333" t="n">
        <v>4</v>
      </c>
      <c r="AI333" t="n">
        <v>4</v>
      </c>
      <c r="AJ333" t="n">
        <v>6</v>
      </c>
      <c r="AK333" t="n">
        <v>6</v>
      </c>
      <c r="AL333" t="n">
        <v>2</v>
      </c>
      <c r="AM333" t="n">
        <v>2</v>
      </c>
      <c r="AN333" t="n">
        <v>1</v>
      </c>
      <c r="AO333" t="n">
        <v>1</v>
      </c>
      <c r="AP333" t="inlineStr">
        <is>
          <t>No</t>
        </is>
      </c>
      <c r="AQ333" t="inlineStr">
        <is>
          <t>Yes</t>
        </is>
      </c>
      <c r="AR333">
        <f>HYPERLINK("http://catalog.hathitrust.org/Record/002784061","HathiTrust Record")</f>
        <v/>
      </c>
      <c r="AS333">
        <f>HYPERLINK("https://creighton-primo.hosted.exlibrisgroup.com/primo-explore/search?tab=default_tab&amp;search_scope=EVERYTHING&amp;vid=01CRU&amp;lang=en_US&amp;offset=0&amp;query=any,contains,991002161979702656","Catalog Record")</f>
        <v/>
      </c>
      <c r="AT333">
        <f>HYPERLINK("http://www.worldcat.org/oclc/27814652","WorldCat Record")</f>
        <v/>
      </c>
      <c r="AU333" t="inlineStr">
        <is>
          <t>337558:eng</t>
        </is>
      </c>
      <c r="AV333" t="inlineStr">
        <is>
          <t>27814652</t>
        </is>
      </c>
      <c r="AW333" t="inlineStr">
        <is>
          <t>991002161979702656</t>
        </is>
      </c>
      <c r="AX333" t="inlineStr">
        <is>
          <t>991002161979702656</t>
        </is>
      </c>
      <c r="AY333" t="inlineStr">
        <is>
          <t>2259502320002656</t>
        </is>
      </c>
      <c r="AZ333" t="inlineStr">
        <is>
          <t>BOOK</t>
        </is>
      </c>
      <c r="BB333" t="inlineStr">
        <is>
          <t>9780415082938</t>
        </is>
      </c>
      <c r="BC333" t="inlineStr">
        <is>
          <t>32285001947158</t>
        </is>
      </c>
      <c r="BD333" t="inlineStr">
        <is>
          <t>893621972</t>
        </is>
      </c>
    </row>
    <row r="334">
      <c r="A334" t="inlineStr">
        <is>
          <t>No</t>
        </is>
      </c>
      <c r="B334" t="inlineStr">
        <is>
          <t>HQ1090 .S47 1984</t>
        </is>
      </c>
      <c r="C334" t="inlineStr">
        <is>
          <t>0                      HQ 1090000S  47          1984</t>
        </is>
      </c>
      <c r="D334" t="inlineStr">
        <is>
          <t>Manhood : a new definition / Stephen A. Shapiro.</t>
        </is>
      </c>
      <c r="F334" t="inlineStr">
        <is>
          <t>No</t>
        </is>
      </c>
      <c r="G334" t="inlineStr">
        <is>
          <t>1</t>
        </is>
      </c>
      <c r="H334" t="inlineStr">
        <is>
          <t>No</t>
        </is>
      </c>
      <c r="I334" t="inlineStr">
        <is>
          <t>No</t>
        </is>
      </c>
      <c r="J334" t="inlineStr">
        <is>
          <t>0</t>
        </is>
      </c>
      <c r="K334" t="inlineStr">
        <is>
          <t>Shapiro, Stephen A.</t>
        </is>
      </c>
      <c r="L334" t="inlineStr">
        <is>
          <t>New York : Putnam, c1984.</t>
        </is>
      </c>
      <c r="M334" t="inlineStr">
        <is>
          <t>1984</t>
        </is>
      </c>
      <c r="O334" t="inlineStr">
        <is>
          <t>eng</t>
        </is>
      </c>
      <c r="P334" t="inlineStr">
        <is>
          <t>nyu</t>
        </is>
      </c>
      <c r="R334" t="inlineStr">
        <is>
          <t xml:space="preserve">HQ </t>
        </is>
      </c>
      <c r="S334" t="n">
        <v>3</v>
      </c>
      <c r="T334" t="n">
        <v>3</v>
      </c>
      <c r="U334" t="inlineStr">
        <is>
          <t>1995-11-20</t>
        </is>
      </c>
      <c r="V334" t="inlineStr">
        <is>
          <t>1995-11-20</t>
        </is>
      </c>
      <c r="W334" t="inlineStr">
        <is>
          <t>1993-04-26</t>
        </is>
      </c>
      <c r="X334" t="inlineStr">
        <is>
          <t>1993-04-26</t>
        </is>
      </c>
      <c r="Y334" t="n">
        <v>355</v>
      </c>
      <c r="Z334" t="n">
        <v>336</v>
      </c>
      <c r="AA334" t="n">
        <v>338</v>
      </c>
      <c r="AB334" t="n">
        <v>2</v>
      </c>
      <c r="AC334" t="n">
        <v>2</v>
      </c>
      <c r="AD334" t="n">
        <v>9</v>
      </c>
      <c r="AE334" t="n">
        <v>9</v>
      </c>
      <c r="AF334" t="n">
        <v>3</v>
      </c>
      <c r="AG334" t="n">
        <v>3</v>
      </c>
      <c r="AH334" t="n">
        <v>1</v>
      </c>
      <c r="AI334" t="n">
        <v>1</v>
      </c>
      <c r="AJ334" t="n">
        <v>7</v>
      </c>
      <c r="AK334" t="n">
        <v>7</v>
      </c>
      <c r="AL334" t="n">
        <v>0</v>
      </c>
      <c r="AM334" t="n">
        <v>0</v>
      </c>
      <c r="AN334" t="n">
        <v>0</v>
      </c>
      <c r="AO334" t="n">
        <v>0</v>
      </c>
      <c r="AP334" t="inlineStr">
        <is>
          <t>No</t>
        </is>
      </c>
      <c r="AQ334" t="inlineStr">
        <is>
          <t>Yes</t>
        </is>
      </c>
      <c r="AR334">
        <f>HYPERLINK("http://catalog.hathitrust.org/Record/000455930","HathiTrust Record")</f>
        <v/>
      </c>
      <c r="AS334">
        <f>HYPERLINK("https://creighton-primo.hosted.exlibrisgroup.com/primo-explore/search?tab=default_tab&amp;search_scope=EVERYTHING&amp;vid=01CRU&amp;lang=en_US&amp;offset=0&amp;query=any,contains,991000441119702656","Catalog Record")</f>
        <v/>
      </c>
      <c r="AT334">
        <f>HYPERLINK("http://www.worldcat.org/oclc/10824520","WorldCat Record")</f>
        <v/>
      </c>
      <c r="AU334" t="inlineStr">
        <is>
          <t>428717079:eng</t>
        </is>
      </c>
      <c r="AV334" t="inlineStr">
        <is>
          <t>10824520</t>
        </is>
      </c>
      <c r="AW334" t="inlineStr">
        <is>
          <t>991000441119702656</t>
        </is>
      </c>
      <c r="AX334" t="inlineStr">
        <is>
          <t>991000441119702656</t>
        </is>
      </c>
      <c r="AY334" t="inlineStr">
        <is>
          <t>2265156580002656</t>
        </is>
      </c>
      <c r="AZ334" t="inlineStr">
        <is>
          <t>BOOK</t>
        </is>
      </c>
      <c r="BB334" t="inlineStr">
        <is>
          <t>9780399129926</t>
        </is>
      </c>
      <c r="BC334" t="inlineStr">
        <is>
          <t>32285001626935</t>
        </is>
      </c>
      <c r="BD334" t="inlineStr">
        <is>
          <t>893702104</t>
        </is>
      </c>
    </row>
    <row r="335">
      <c r="A335" t="inlineStr">
        <is>
          <t>No</t>
        </is>
      </c>
      <c r="B335" t="inlineStr">
        <is>
          <t>HQ1090 .S73 1979</t>
        </is>
      </c>
      <c r="C335" t="inlineStr">
        <is>
          <t>0                      HQ 1090000S  73          1979</t>
        </is>
      </c>
      <c r="D335" t="inlineStr">
        <is>
          <t>Be a man! : Males in modern society / Peter N. Stearns.</t>
        </is>
      </c>
      <c r="F335" t="inlineStr">
        <is>
          <t>No</t>
        </is>
      </c>
      <c r="G335" t="inlineStr">
        <is>
          <t>1</t>
        </is>
      </c>
      <c r="H335" t="inlineStr">
        <is>
          <t>No</t>
        </is>
      </c>
      <c r="I335" t="inlineStr">
        <is>
          <t>No</t>
        </is>
      </c>
      <c r="J335" t="inlineStr">
        <is>
          <t>0</t>
        </is>
      </c>
      <c r="K335" t="inlineStr">
        <is>
          <t>Stearns, Peter N.</t>
        </is>
      </c>
      <c r="L335" t="inlineStr">
        <is>
          <t>New York : Holmes &amp; Meier, 1979.</t>
        </is>
      </c>
      <c r="M335" t="inlineStr">
        <is>
          <t>1979</t>
        </is>
      </c>
      <c r="O335" t="inlineStr">
        <is>
          <t>eng</t>
        </is>
      </c>
      <c r="P335" t="inlineStr">
        <is>
          <t>nyu</t>
        </is>
      </c>
      <c r="R335" t="inlineStr">
        <is>
          <t xml:space="preserve">HQ </t>
        </is>
      </c>
      <c r="S335" t="n">
        <v>10</v>
      </c>
      <c r="T335" t="n">
        <v>10</v>
      </c>
      <c r="U335" t="inlineStr">
        <is>
          <t>2002-03-29</t>
        </is>
      </c>
      <c r="V335" t="inlineStr">
        <is>
          <t>2002-03-29</t>
        </is>
      </c>
      <c r="W335" t="inlineStr">
        <is>
          <t>1993-04-26</t>
        </is>
      </c>
      <c r="X335" t="inlineStr">
        <is>
          <t>1993-04-26</t>
        </is>
      </c>
      <c r="Y335" t="n">
        <v>706</v>
      </c>
      <c r="Z335" t="n">
        <v>625</v>
      </c>
      <c r="AA335" t="n">
        <v>762</v>
      </c>
      <c r="AB335" t="n">
        <v>5</v>
      </c>
      <c r="AC335" t="n">
        <v>6</v>
      </c>
      <c r="AD335" t="n">
        <v>20</v>
      </c>
      <c r="AE335" t="n">
        <v>25</v>
      </c>
      <c r="AF335" t="n">
        <v>6</v>
      </c>
      <c r="AG335" t="n">
        <v>8</v>
      </c>
      <c r="AH335" t="n">
        <v>5</v>
      </c>
      <c r="AI335" t="n">
        <v>7</v>
      </c>
      <c r="AJ335" t="n">
        <v>9</v>
      </c>
      <c r="AK335" t="n">
        <v>11</v>
      </c>
      <c r="AL335" t="n">
        <v>4</v>
      </c>
      <c r="AM335" t="n">
        <v>5</v>
      </c>
      <c r="AN335" t="n">
        <v>0</v>
      </c>
      <c r="AO335" t="n">
        <v>0</v>
      </c>
      <c r="AP335" t="inlineStr">
        <is>
          <t>No</t>
        </is>
      </c>
      <c r="AQ335" t="inlineStr">
        <is>
          <t>Yes</t>
        </is>
      </c>
      <c r="AR335">
        <f>HYPERLINK("http://catalog.hathitrust.org/Record/000715419","HathiTrust Record")</f>
        <v/>
      </c>
      <c r="AS335">
        <f>HYPERLINK("https://creighton-primo.hosted.exlibrisgroup.com/primo-explore/search?tab=default_tab&amp;search_scope=EVERYTHING&amp;vid=01CRU&amp;lang=en_US&amp;offset=0&amp;query=any,contains,991004728769702656","Catalog Record")</f>
        <v/>
      </c>
      <c r="AT335">
        <f>HYPERLINK("http://www.worldcat.org/oclc/4832224","WorldCat Record")</f>
        <v/>
      </c>
      <c r="AU335" t="inlineStr">
        <is>
          <t>15059933:eng</t>
        </is>
      </c>
      <c r="AV335" t="inlineStr">
        <is>
          <t>4832224</t>
        </is>
      </c>
      <c r="AW335" t="inlineStr">
        <is>
          <t>991004728769702656</t>
        </is>
      </c>
      <c r="AX335" t="inlineStr">
        <is>
          <t>991004728769702656</t>
        </is>
      </c>
      <c r="AY335" t="inlineStr">
        <is>
          <t>2268686470002656</t>
        </is>
      </c>
      <c r="AZ335" t="inlineStr">
        <is>
          <t>BOOK</t>
        </is>
      </c>
      <c r="BB335" t="inlineStr">
        <is>
          <t>9780841904354</t>
        </is>
      </c>
      <c r="BC335" t="inlineStr">
        <is>
          <t>32285001626943</t>
        </is>
      </c>
      <c r="BD335" t="inlineStr">
        <is>
          <t>893700578</t>
        </is>
      </c>
    </row>
    <row r="336">
      <c r="A336" t="inlineStr">
        <is>
          <t>No</t>
        </is>
      </c>
      <c r="B336" t="inlineStr">
        <is>
          <t>HQ1090 .S95 2009</t>
        </is>
      </c>
      <c r="C336" t="inlineStr">
        <is>
          <t>0                      HQ 1090000S  95          2009</t>
        </is>
      </c>
      <c r="D336" t="inlineStr">
        <is>
          <t>Re-thinking men : heroes, villains and victims / Anthony Synnott.</t>
        </is>
      </c>
      <c r="F336" t="inlineStr">
        <is>
          <t>No</t>
        </is>
      </c>
      <c r="G336" t="inlineStr">
        <is>
          <t>1</t>
        </is>
      </c>
      <c r="H336" t="inlineStr">
        <is>
          <t>No</t>
        </is>
      </c>
      <c r="I336" t="inlineStr">
        <is>
          <t>No</t>
        </is>
      </c>
      <c r="J336" t="inlineStr">
        <is>
          <t>0</t>
        </is>
      </c>
      <c r="K336" t="inlineStr">
        <is>
          <t>Synnott, Anthony, 1940-</t>
        </is>
      </c>
      <c r="L336" t="inlineStr">
        <is>
          <t>Farnham, England ; Burlington, VT : Ashgate, c2009.</t>
        </is>
      </c>
      <c r="M336" t="inlineStr">
        <is>
          <t>2009</t>
        </is>
      </c>
      <c r="O336" t="inlineStr">
        <is>
          <t>eng</t>
        </is>
      </c>
      <c r="P336" t="inlineStr">
        <is>
          <t>enk</t>
        </is>
      </c>
      <c r="R336" t="inlineStr">
        <is>
          <t xml:space="preserve">HQ </t>
        </is>
      </c>
      <c r="S336" t="n">
        <v>1</v>
      </c>
      <c r="T336" t="n">
        <v>1</v>
      </c>
      <c r="U336" t="inlineStr">
        <is>
          <t>2010-10-20</t>
        </is>
      </c>
      <c r="V336" t="inlineStr">
        <is>
          <t>2010-10-20</t>
        </is>
      </c>
      <c r="W336" t="inlineStr">
        <is>
          <t>2010-10-20</t>
        </is>
      </c>
      <c r="X336" t="inlineStr">
        <is>
          <t>2010-10-20</t>
        </is>
      </c>
      <c r="Y336" t="n">
        <v>421</v>
      </c>
      <c r="Z336" t="n">
        <v>331</v>
      </c>
      <c r="AA336" t="n">
        <v>704</v>
      </c>
      <c r="AB336" t="n">
        <v>6</v>
      </c>
      <c r="AC336" t="n">
        <v>8</v>
      </c>
      <c r="AD336" t="n">
        <v>23</v>
      </c>
      <c r="AE336" t="n">
        <v>28</v>
      </c>
      <c r="AF336" t="n">
        <v>10</v>
      </c>
      <c r="AG336" t="n">
        <v>12</v>
      </c>
      <c r="AH336" t="n">
        <v>4</v>
      </c>
      <c r="AI336" t="n">
        <v>5</v>
      </c>
      <c r="AJ336" t="n">
        <v>10</v>
      </c>
      <c r="AK336" t="n">
        <v>12</v>
      </c>
      <c r="AL336" t="n">
        <v>4</v>
      </c>
      <c r="AM336" t="n">
        <v>6</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HYPERLINK("https://creighton-primo.hosted.exlibrisgroup.com/primo-explore/search?tab=default_tab&amp;search_scope=EVERYTHING&amp;vid=01CRU&amp;lang=en_US&amp;offset=0&amp;query=any,contains,991000154489702656","Catalog Record")</f>
        <v/>
      </c>
      <c r="AT336">
        <f>HYPERLINK("http://www.worldcat.org/oclc/323161016","WorldCat Record")</f>
        <v/>
      </c>
      <c r="AU336" t="inlineStr">
        <is>
          <t>803535051:eng</t>
        </is>
      </c>
      <c r="AV336" t="inlineStr">
        <is>
          <t>323161016</t>
        </is>
      </c>
      <c r="AW336" t="inlineStr">
        <is>
          <t>991000154489702656</t>
        </is>
      </c>
      <c r="AX336" t="inlineStr">
        <is>
          <t>991000154489702656</t>
        </is>
      </c>
      <c r="AY336" t="inlineStr">
        <is>
          <t>2267915350002656</t>
        </is>
      </c>
      <c r="AZ336" t="inlineStr">
        <is>
          <t>BOOK</t>
        </is>
      </c>
      <c r="BB336" t="inlineStr">
        <is>
          <t>9780754677093</t>
        </is>
      </c>
      <c r="BC336" t="inlineStr">
        <is>
          <t>32285005602296</t>
        </is>
      </c>
      <c r="BD336" t="inlineStr">
        <is>
          <t>893237117</t>
        </is>
      </c>
    </row>
    <row r="337">
      <c r="A337" t="inlineStr">
        <is>
          <t>No</t>
        </is>
      </c>
      <c r="B337" t="inlineStr">
        <is>
          <t>HQ1090.3 .A45</t>
        </is>
      </c>
      <c r="C337" t="inlineStr">
        <is>
          <t>0                      HQ 1090300A  45</t>
        </is>
      </c>
      <c r="D337" t="inlineStr">
        <is>
          <t>The American man / [selected by] Elizabeth H. Pleck, Joseph H. Pleck.</t>
        </is>
      </c>
      <c r="F337" t="inlineStr">
        <is>
          <t>No</t>
        </is>
      </c>
      <c r="G337" t="inlineStr">
        <is>
          <t>1</t>
        </is>
      </c>
      <c r="H337" t="inlineStr">
        <is>
          <t>No</t>
        </is>
      </c>
      <c r="I337" t="inlineStr">
        <is>
          <t>No</t>
        </is>
      </c>
      <c r="J337" t="inlineStr">
        <is>
          <t>0</t>
        </is>
      </c>
      <c r="L337" t="inlineStr">
        <is>
          <t>Englewood Cliffs, N.J. : Prentice-Hall, c1980.</t>
        </is>
      </c>
      <c r="M337" t="inlineStr">
        <is>
          <t>1980</t>
        </is>
      </c>
      <c r="O337" t="inlineStr">
        <is>
          <t>eng</t>
        </is>
      </c>
      <c r="P337" t="inlineStr">
        <is>
          <t>nju</t>
        </is>
      </c>
      <c r="Q337" t="inlineStr">
        <is>
          <t>A Spectrum book</t>
        </is>
      </c>
      <c r="R337" t="inlineStr">
        <is>
          <t xml:space="preserve">HQ </t>
        </is>
      </c>
      <c r="S337" t="n">
        <v>8</v>
      </c>
      <c r="T337" t="n">
        <v>8</v>
      </c>
      <c r="U337" t="inlineStr">
        <is>
          <t>2001-12-09</t>
        </is>
      </c>
      <c r="V337" t="inlineStr">
        <is>
          <t>2001-12-09</t>
        </is>
      </c>
      <c r="W337" t="inlineStr">
        <is>
          <t>1993-04-26</t>
        </is>
      </c>
      <c r="X337" t="inlineStr">
        <is>
          <t>1993-04-26</t>
        </is>
      </c>
      <c r="Y337" t="n">
        <v>633</v>
      </c>
      <c r="Z337" t="n">
        <v>565</v>
      </c>
      <c r="AA337" t="n">
        <v>572</v>
      </c>
      <c r="AB337" t="n">
        <v>4</v>
      </c>
      <c r="AC337" t="n">
        <v>4</v>
      </c>
      <c r="AD337" t="n">
        <v>24</v>
      </c>
      <c r="AE337" t="n">
        <v>24</v>
      </c>
      <c r="AF337" t="n">
        <v>11</v>
      </c>
      <c r="AG337" t="n">
        <v>11</v>
      </c>
      <c r="AH337" t="n">
        <v>7</v>
      </c>
      <c r="AI337" t="n">
        <v>7</v>
      </c>
      <c r="AJ337" t="n">
        <v>9</v>
      </c>
      <c r="AK337" t="n">
        <v>9</v>
      </c>
      <c r="AL337" t="n">
        <v>2</v>
      </c>
      <c r="AM337" t="n">
        <v>2</v>
      </c>
      <c r="AN337" t="n">
        <v>0</v>
      </c>
      <c r="AO337" t="n">
        <v>0</v>
      </c>
      <c r="AP337" t="inlineStr">
        <is>
          <t>No</t>
        </is>
      </c>
      <c r="AQ337" t="inlineStr">
        <is>
          <t>Yes</t>
        </is>
      </c>
      <c r="AR337">
        <f>HYPERLINK("http://catalog.hathitrust.org/Record/000707871","HathiTrust Record")</f>
        <v/>
      </c>
      <c r="AS337">
        <f>HYPERLINK("https://creighton-primo.hosted.exlibrisgroup.com/primo-explore/search?tab=default_tab&amp;search_scope=EVERYTHING&amp;vid=01CRU&amp;lang=en_US&amp;offset=0&amp;query=any,contains,991004866399702656","Catalog Record")</f>
        <v/>
      </c>
      <c r="AT337">
        <f>HYPERLINK("http://www.worldcat.org/oclc/5727042","WorldCat Record")</f>
        <v/>
      </c>
      <c r="AU337" t="inlineStr">
        <is>
          <t>573909682:eng</t>
        </is>
      </c>
      <c r="AV337" t="inlineStr">
        <is>
          <t>5727042</t>
        </is>
      </c>
      <c r="AW337" t="inlineStr">
        <is>
          <t>991004866399702656</t>
        </is>
      </c>
      <c r="AX337" t="inlineStr">
        <is>
          <t>991004866399702656</t>
        </is>
      </c>
      <c r="AY337" t="inlineStr">
        <is>
          <t>2263411560002656</t>
        </is>
      </c>
      <c r="AZ337" t="inlineStr">
        <is>
          <t>BOOK</t>
        </is>
      </c>
      <c r="BB337" t="inlineStr">
        <is>
          <t>9780130281425</t>
        </is>
      </c>
      <c r="BC337" t="inlineStr">
        <is>
          <t>32285001626950</t>
        </is>
      </c>
      <c r="BD337" t="inlineStr">
        <is>
          <t>893722642</t>
        </is>
      </c>
    </row>
    <row r="338">
      <c r="A338" t="inlineStr">
        <is>
          <t>No</t>
        </is>
      </c>
      <c r="B338" t="inlineStr">
        <is>
          <t>HQ1090.3 .B355 1992</t>
        </is>
      </c>
      <c r="C338" t="inlineStr">
        <is>
          <t>0                      HQ 1090300B  355         1992</t>
        </is>
      </c>
      <c r="D338" t="inlineStr">
        <is>
          <t>Men at the crossroads : beyond traditional roles &amp; modern options / Jack Balswick.</t>
        </is>
      </c>
      <c r="F338" t="inlineStr">
        <is>
          <t>No</t>
        </is>
      </c>
      <c r="G338" t="inlineStr">
        <is>
          <t>1</t>
        </is>
      </c>
      <c r="H338" t="inlineStr">
        <is>
          <t>No</t>
        </is>
      </c>
      <c r="I338" t="inlineStr">
        <is>
          <t>No</t>
        </is>
      </c>
      <c r="J338" t="inlineStr">
        <is>
          <t>0</t>
        </is>
      </c>
      <c r="K338" t="inlineStr">
        <is>
          <t>Balswick, Jack O.</t>
        </is>
      </c>
      <c r="L338" t="inlineStr">
        <is>
          <t>Downers Grove, Ill. : InterVarsity Press, c1992.</t>
        </is>
      </c>
      <c r="M338" t="inlineStr">
        <is>
          <t>1992</t>
        </is>
      </c>
      <c r="O338" t="inlineStr">
        <is>
          <t>eng</t>
        </is>
      </c>
      <c r="P338" t="inlineStr">
        <is>
          <t>ilu</t>
        </is>
      </c>
      <c r="R338" t="inlineStr">
        <is>
          <t xml:space="preserve">HQ </t>
        </is>
      </c>
      <c r="S338" t="n">
        <v>2</v>
      </c>
      <c r="T338" t="n">
        <v>2</v>
      </c>
      <c r="U338" t="inlineStr">
        <is>
          <t>2006-06-07</t>
        </is>
      </c>
      <c r="V338" t="inlineStr">
        <is>
          <t>2006-06-07</t>
        </is>
      </c>
      <c r="W338" t="inlineStr">
        <is>
          <t>2006-04-11</t>
        </is>
      </c>
      <c r="X338" t="inlineStr">
        <is>
          <t>2006-04-11</t>
        </is>
      </c>
      <c r="Y338" t="n">
        <v>148</v>
      </c>
      <c r="Z338" t="n">
        <v>128</v>
      </c>
      <c r="AA338" t="n">
        <v>133</v>
      </c>
      <c r="AB338" t="n">
        <v>3</v>
      </c>
      <c r="AC338" t="n">
        <v>3</v>
      </c>
      <c r="AD338" t="n">
        <v>4</v>
      </c>
      <c r="AE338" t="n">
        <v>4</v>
      </c>
      <c r="AF338" t="n">
        <v>3</v>
      </c>
      <c r="AG338" t="n">
        <v>3</v>
      </c>
      <c r="AH338" t="n">
        <v>0</v>
      </c>
      <c r="AI338" t="n">
        <v>0</v>
      </c>
      <c r="AJ338" t="n">
        <v>0</v>
      </c>
      <c r="AK338" t="n">
        <v>0</v>
      </c>
      <c r="AL338" t="n">
        <v>1</v>
      </c>
      <c r="AM338" t="n">
        <v>1</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HYPERLINK("https://creighton-primo.hosted.exlibrisgroup.com/primo-explore/search?tab=default_tab&amp;search_scope=EVERYTHING&amp;vid=01CRU&amp;lang=en_US&amp;offset=0&amp;query=any,contains,991004794049702656","Catalog Record")</f>
        <v/>
      </c>
      <c r="AT338">
        <f>HYPERLINK("http://www.worldcat.org/oclc/26132367","WorldCat Record")</f>
        <v/>
      </c>
      <c r="AU338" t="inlineStr">
        <is>
          <t>476413496:eng</t>
        </is>
      </c>
      <c r="AV338" t="inlineStr">
        <is>
          <t>26132367</t>
        </is>
      </c>
      <c r="AW338" t="inlineStr">
        <is>
          <t>991004794049702656</t>
        </is>
      </c>
      <c r="AX338" t="inlineStr">
        <is>
          <t>991004794049702656</t>
        </is>
      </c>
      <c r="AY338" t="inlineStr">
        <is>
          <t>2261760190002656</t>
        </is>
      </c>
      <c r="AZ338" t="inlineStr">
        <is>
          <t>BOOK</t>
        </is>
      </c>
      <c r="BB338" t="inlineStr">
        <is>
          <t>9780830813858</t>
        </is>
      </c>
      <c r="BC338" t="inlineStr">
        <is>
          <t>32285005181259</t>
        </is>
      </c>
      <c r="BD338" t="inlineStr">
        <is>
          <t>893901767</t>
        </is>
      </c>
    </row>
    <row r="339">
      <c r="A339" t="inlineStr">
        <is>
          <t>No</t>
        </is>
      </c>
      <c r="B339" t="inlineStr">
        <is>
          <t>HQ1090.3 .B44 1982</t>
        </is>
      </c>
      <c r="C339" t="inlineStr">
        <is>
          <t>0                      HQ 1090300B  44          1982</t>
        </is>
      </c>
      <c r="D339" t="inlineStr">
        <is>
          <t>Being a man : the paradox of masculinity / Donald H. Bell.</t>
        </is>
      </c>
      <c r="F339" t="inlineStr">
        <is>
          <t>No</t>
        </is>
      </c>
      <c r="G339" t="inlineStr">
        <is>
          <t>1</t>
        </is>
      </c>
      <c r="H339" t="inlineStr">
        <is>
          <t>No</t>
        </is>
      </c>
      <c r="I339" t="inlineStr">
        <is>
          <t>No</t>
        </is>
      </c>
      <c r="J339" t="inlineStr">
        <is>
          <t>0</t>
        </is>
      </c>
      <c r="K339" t="inlineStr">
        <is>
          <t>Bell, Donald H., 1943-</t>
        </is>
      </c>
      <c r="L339" t="inlineStr">
        <is>
          <t>Lexington, Ma. : Lewis Pub. Co., c1982.</t>
        </is>
      </c>
      <c r="M339" t="inlineStr">
        <is>
          <t>1982</t>
        </is>
      </c>
      <c r="N339" t="inlineStr">
        <is>
          <t>1st ed.</t>
        </is>
      </c>
      <c r="O339" t="inlineStr">
        <is>
          <t>eng</t>
        </is>
      </c>
      <c r="P339" t="inlineStr">
        <is>
          <t>mau</t>
        </is>
      </c>
      <c r="R339" t="inlineStr">
        <is>
          <t xml:space="preserve">HQ </t>
        </is>
      </c>
      <c r="S339" t="n">
        <v>3</v>
      </c>
      <c r="T339" t="n">
        <v>3</v>
      </c>
      <c r="U339" t="inlineStr">
        <is>
          <t>1997-10-02</t>
        </is>
      </c>
      <c r="V339" t="inlineStr">
        <is>
          <t>1997-10-02</t>
        </is>
      </c>
      <c r="W339" t="inlineStr">
        <is>
          <t>1993-04-26</t>
        </is>
      </c>
      <c r="X339" t="inlineStr">
        <is>
          <t>1993-04-26</t>
        </is>
      </c>
      <c r="Y339" t="n">
        <v>386</v>
      </c>
      <c r="Z339" t="n">
        <v>370</v>
      </c>
      <c r="AA339" t="n">
        <v>405</v>
      </c>
      <c r="AB339" t="n">
        <v>1</v>
      </c>
      <c r="AC339" t="n">
        <v>1</v>
      </c>
      <c r="AD339" t="n">
        <v>8</v>
      </c>
      <c r="AE339" t="n">
        <v>9</v>
      </c>
      <c r="AF339" t="n">
        <v>3</v>
      </c>
      <c r="AG339" t="n">
        <v>3</v>
      </c>
      <c r="AH339" t="n">
        <v>4</v>
      </c>
      <c r="AI339" t="n">
        <v>4</v>
      </c>
      <c r="AJ339" t="n">
        <v>5</v>
      </c>
      <c r="AK339" t="n">
        <v>6</v>
      </c>
      <c r="AL339" t="n">
        <v>0</v>
      </c>
      <c r="AM339" t="n">
        <v>0</v>
      </c>
      <c r="AN339" t="n">
        <v>0</v>
      </c>
      <c r="AO339" t="n">
        <v>0</v>
      </c>
      <c r="AP339" t="inlineStr">
        <is>
          <t>No</t>
        </is>
      </c>
      <c r="AQ339" t="inlineStr">
        <is>
          <t>Yes</t>
        </is>
      </c>
      <c r="AR339">
        <f>HYPERLINK("http://catalog.hathitrust.org/Record/004399611","HathiTrust Record")</f>
        <v/>
      </c>
      <c r="AS339">
        <f>HYPERLINK("https://creighton-primo.hosted.exlibrisgroup.com/primo-explore/search?tab=default_tab&amp;search_scope=EVERYTHING&amp;vid=01CRU&amp;lang=en_US&amp;offset=0&amp;query=any,contains,991005236449702656","Catalog Record")</f>
        <v/>
      </c>
      <c r="AT339">
        <f>HYPERLINK("http://www.worldcat.org/oclc/8386797","WorldCat Record")</f>
        <v/>
      </c>
      <c r="AU339" t="inlineStr">
        <is>
          <t>512925:eng</t>
        </is>
      </c>
      <c r="AV339" t="inlineStr">
        <is>
          <t>8386797</t>
        </is>
      </c>
      <c r="AW339" t="inlineStr">
        <is>
          <t>991005236449702656</t>
        </is>
      </c>
      <c r="AX339" t="inlineStr">
        <is>
          <t>991005236449702656</t>
        </is>
      </c>
      <c r="AY339" t="inlineStr">
        <is>
          <t>2268383290002656</t>
        </is>
      </c>
      <c r="AZ339" t="inlineStr">
        <is>
          <t>BOOK</t>
        </is>
      </c>
      <c r="BB339" t="inlineStr">
        <is>
          <t>9780866160131</t>
        </is>
      </c>
      <c r="BC339" t="inlineStr">
        <is>
          <t>32285001626968</t>
        </is>
      </c>
      <c r="BD339" t="inlineStr">
        <is>
          <t>893520684</t>
        </is>
      </c>
    </row>
    <row r="340">
      <c r="A340" t="inlineStr">
        <is>
          <t>No</t>
        </is>
      </c>
      <c r="B340" t="inlineStr">
        <is>
          <t>HQ1090.3 .C54 1990</t>
        </is>
      </c>
      <c r="C340" t="inlineStr">
        <is>
          <t>0                      HQ 1090300C  54          1990</t>
        </is>
      </c>
      <c r="D340" t="inlineStr">
        <is>
          <t>Contemporary perspectives on masculinity : men, women, and politics in modern society / Kenneth Clatterbaugh.</t>
        </is>
      </c>
      <c r="F340" t="inlineStr">
        <is>
          <t>No</t>
        </is>
      </c>
      <c r="G340" t="inlineStr">
        <is>
          <t>1</t>
        </is>
      </c>
      <c r="H340" t="inlineStr">
        <is>
          <t>No</t>
        </is>
      </c>
      <c r="I340" t="inlineStr">
        <is>
          <t>No</t>
        </is>
      </c>
      <c r="J340" t="inlineStr">
        <is>
          <t>0</t>
        </is>
      </c>
      <c r="K340" t="inlineStr">
        <is>
          <t>Clatterbaugh, Kenneth C.</t>
        </is>
      </c>
      <c r="L340" t="inlineStr">
        <is>
          <t>Boulder ; Westview Press, 1990.</t>
        </is>
      </c>
      <c r="M340" t="inlineStr">
        <is>
          <t>1990</t>
        </is>
      </c>
      <c r="O340" t="inlineStr">
        <is>
          <t>eng</t>
        </is>
      </c>
      <c r="P340" t="inlineStr">
        <is>
          <t>ncu</t>
        </is>
      </c>
      <c r="R340" t="inlineStr">
        <is>
          <t xml:space="preserve">HQ </t>
        </is>
      </c>
      <c r="S340" t="n">
        <v>12</v>
      </c>
      <c r="T340" t="n">
        <v>12</v>
      </c>
      <c r="U340" t="inlineStr">
        <is>
          <t>2008-04-08</t>
        </is>
      </c>
      <c r="V340" t="inlineStr">
        <is>
          <t>2008-04-08</t>
        </is>
      </c>
      <c r="W340" t="inlineStr">
        <is>
          <t>1990-11-27</t>
        </is>
      </c>
      <c r="X340" t="inlineStr">
        <is>
          <t>1990-11-27</t>
        </is>
      </c>
      <c r="Y340" t="n">
        <v>673</v>
      </c>
      <c r="Z340" t="n">
        <v>538</v>
      </c>
      <c r="AA340" t="n">
        <v>675</v>
      </c>
      <c r="AB340" t="n">
        <v>5</v>
      </c>
      <c r="AC340" t="n">
        <v>5</v>
      </c>
      <c r="AD340" t="n">
        <v>29</v>
      </c>
      <c r="AE340" t="n">
        <v>34</v>
      </c>
      <c r="AF340" t="n">
        <v>12</v>
      </c>
      <c r="AG340" t="n">
        <v>13</v>
      </c>
      <c r="AH340" t="n">
        <v>6</v>
      </c>
      <c r="AI340" t="n">
        <v>9</v>
      </c>
      <c r="AJ340" t="n">
        <v>14</v>
      </c>
      <c r="AK340" t="n">
        <v>17</v>
      </c>
      <c r="AL340" t="n">
        <v>3</v>
      </c>
      <c r="AM340" t="n">
        <v>3</v>
      </c>
      <c r="AN340" t="n">
        <v>1</v>
      </c>
      <c r="AO340" t="n">
        <v>1</v>
      </c>
      <c r="AP340" t="inlineStr">
        <is>
          <t>No</t>
        </is>
      </c>
      <c r="AQ340" t="inlineStr">
        <is>
          <t>Yes</t>
        </is>
      </c>
      <c r="AR340">
        <f>HYPERLINK("http://catalog.hathitrust.org/Record/002215404","HathiTrust Record")</f>
        <v/>
      </c>
      <c r="AS340">
        <f>HYPERLINK("https://creighton-primo.hosted.exlibrisgroup.com/primo-explore/search?tab=default_tab&amp;search_scope=EVERYTHING&amp;vid=01CRU&amp;lang=en_US&amp;offset=0&amp;query=any,contains,991001694949702656","Catalog Record")</f>
        <v/>
      </c>
      <c r="AT340">
        <f>HYPERLINK("http://www.worldcat.org/oclc/21482340","WorldCat Record")</f>
        <v/>
      </c>
      <c r="AU340" t="inlineStr">
        <is>
          <t>14271752:eng</t>
        </is>
      </c>
      <c r="AV340" t="inlineStr">
        <is>
          <t>21482340</t>
        </is>
      </c>
      <c r="AW340" t="inlineStr">
        <is>
          <t>991001694949702656</t>
        </is>
      </c>
      <c r="AX340" t="inlineStr">
        <is>
          <t>991001694949702656</t>
        </is>
      </c>
      <c r="AY340" t="inlineStr">
        <is>
          <t>2259974620002656</t>
        </is>
      </c>
      <c r="AZ340" t="inlineStr">
        <is>
          <t>BOOK</t>
        </is>
      </c>
      <c r="BB340" t="inlineStr">
        <is>
          <t>9780813309927</t>
        </is>
      </c>
      <c r="BC340" t="inlineStr">
        <is>
          <t>32285000357243</t>
        </is>
      </c>
      <c r="BD340" t="inlineStr">
        <is>
          <t>893885481</t>
        </is>
      </c>
    </row>
    <row r="341">
      <c r="A341" t="inlineStr">
        <is>
          <t>No</t>
        </is>
      </c>
      <c r="B341" t="inlineStr">
        <is>
          <t>HQ1090.3 .D78 1985</t>
        </is>
      </c>
      <c r="C341" t="inlineStr">
        <is>
          <t>0                      HQ 1090300D  78          1985</t>
        </is>
      </c>
      <c r="D341" t="inlineStr">
        <is>
          <t>The secrets men keep / Ken Druck with James C. Simmons.</t>
        </is>
      </c>
      <c r="F341" t="inlineStr">
        <is>
          <t>No</t>
        </is>
      </c>
      <c r="G341" t="inlineStr">
        <is>
          <t>1</t>
        </is>
      </c>
      <c r="H341" t="inlineStr">
        <is>
          <t>No</t>
        </is>
      </c>
      <c r="I341" t="inlineStr">
        <is>
          <t>No</t>
        </is>
      </c>
      <c r="J341" t="inlineStr">
        <is>
          <t>0</t>
        </is>
      </c>
      <c r="K341" t="inlineStr">
        <is>
          <t>Druck, Ken.</t>
        </is>
      </c>
      <c r="L341" t="inlineStr">
        <is>
          <t>Garden City, N.Y. : Doubleday, 1985.</t>
        </is>
      </c>
      <c r="M341" t="inlineStr">
        <is>
          <t>1985</t>
        </is>
      </c>
      <c r="N341" t="inlineStr">
        <is>
          <t>1st ed.</t>
        </is>
      </c>
      <c r="O341" t="inlineStr">
        <is>
          <t>eng</t>
        </is>
      </c>
      <c r="P341" t="inlineStr">
        <is>
          <t>nyu</t>
        </is>
      </c>
      <c r="R341" t="inlineStr">
        <is>
          <t xml:space="preserve">HQ </t>
        </is>
      </c>
      <c r="S341" t="n">
        <v>6</v>
      </c>
      <c r="T341" t="n">
        <v>6</v>
      </c>
      <c r="U341" t="inlineStr">
        <is>
          <t>2001-12-09</t>
        </is>
      </c>
      <c r="V341" t="inlineStr">
        <is>
          <t>2001-12-09</t>
        </is>
      </c>
      <c r="W341" t="inlineStr">
        <is>
          <t>1992-05-06</t>
        </is>
      </c>
      <c r="X341" t="inlineStr">
        <is>
          <t>1992-05-06</t>
        </is>
      </c>
      <c r="Y341" t="n">
        <v>318</v>
      </c>
      <c r="Z341" t="n">
        <v>302</v>
      </c>
      <c r="AA341" t="n">
        <v>322</v>
      </c>
      <c r="AB341" t="n">
        <v>1</v>
      </c>
      <c r="AC341" t="n">
        <v>1</v>
      </c>
      <c r="AD341" t="n">
        <v>2</v>
      </c>
      <c r="AE341" t="n">
        <v>2</v>
      </c>
      <c r="AF341" t="n">
        <v>1</v>
      </c>
      <c r="AG341" t="n">
        <v>1</v>
      </c>
      <c r="AH341" t="n">
        <v>1</v>
      </c>
      <c r="AI341" t="n">
        <v>1</v>
      </c>
      <c r="AJ341" t="n">
        <v>0</v>
      </c>
      <c r="AK341" t="n">
        <v>0</v>
      </c>
      <c r="AL341" t="n">
        <v>0</v>
      </c>
      <c r="AM341" t="n">
        <v>0</v>
      </c>
      <c r="AN341" t="n">
        <v>0</v>
      </c>
      <c r="AO341" t="n">
        <v>0</v>
      </c>
      <c r="AP341" t="inlineStr">
        <is>
          <t>No</t>
        </is>
      </c>
      <c r="AQ341" t="inlineStr">
        <is>
          <t>Yes</t>
        </is>
      </c>
      <c r="AR341">
        <f>HYPERLINK("http://catalog.hathitrust.org/Record/007574765","HathiTrust Record")</f>
        <v/>
      </c>
      <c r="AS341">
        <f>HYPERLINK("https://creighton-primo.hosted.exlibrisgroup.com/primo-explore/search?tab=default_tab&amp;search_scope=EVERYTHING&amp;vid=01CRU&amp;lang=en_US&amp;offset=0&amp;query=any,contains,991000612589702656","Catalog Record")</f>
        <v/>
      </c>
      <c r="AT341">
        <f>HYPERLINK("http://www.worldcat.org/oclc/11917101","WorldCat Record")</f>
        <v/>
      </c>
      <c r="AU341" t="inlineStr">
        <is>
          <t>3943289267:eng</t>
        </is>
      </c>
      <c r="AV341" t="inlineStr">
        <is>
          <t>11917101</t>
        </is>
      </c>
      <c r="AW341" t="inlineStr">
        <is>
          <t>991000612589702656</t>
        </is>
      </c>
      <c r="AX341" t="inlineStr">
        <is>
          <t>991000612589702656</t>
        </is>
      </c>
      <c r="AY341" t="inlineStr">
        <is>
          <t>2267542980002656</t>
        </is>
      </c>
      <c r="AZ341" t="inlineStr">
        <is>
          <t>BOOK</t>
        </is>
      </c>
      <c r="BB341" t="inlineStr">
        <is>
          <t>9780385230926</t>
        </is>
      </c>
      <c r="BC341" t="inlineStr">
        <is>
          <t>32285001120541</t>
        </is>
      </c>
      <c r="BD341" t="inlineStr">
        <is>
          <t>893315095</t>
        </is>
      </c>
    </row>
    <row r="342">
      <c r="A342" t="inlineStr">
        <is>
          <t>No</t>
        </is>
      </c>
      <c r="B342" t="inlineStr">
        <is>
          <t>HQ1090.3 .F35 1999</t>
        </is>
      </c>
      <c r="C342" t="inlineStr">
        <is>
          <t>0                      HQ 1090300F  35          1999</t>
        </is>
      </c>
      <c r="D342" t="inlineStr">
        <is>
          <t>Stiffed : the betrayal of the American man / Susan Faludi.</t>
        </is>
      </c>
      <c r="F342" t="inlineStr">
        <is>
          <t>No</t>
        </is>
      </c>
      <c r="G342" t="inlineStr">
        <is>
          <t>1</t>
        </is>
      </c>
      <c r="H342" t="inlineStr">
        <is>
          <t>No</t>
        </is>
      </c>
      <c r="I342" t="inlineStr">
        <is>
          <t>No</t>
        </is>
      </c>
      <c r="J342" t="inlineStr">
        <is>
          <t>0</t>
        </is>
      </c>
      <c r="K342" t="inlineStr">
        <is>
          <t>Faludi, Susan.</t>
        </is>
      </c>
      <c r="L342" t="inlineStr">
        <is>
          <t>New York : W. Morrow and Co., c1999.</t>
        </is>
      </c>
      <c r="M342" t="inlineStr">
        <is>
          <t>1999</t>
        </is>
      </c>
      <c r="N342" t="inlineStr">
        <is>
          <t>1st ed.</t>
        </is>
      </c>
      <c r="O342" t="inlineStr">
        <is>
          <t>eng</t>
        </is>
      </c>
      <c r="P342" t="inlineStr">
        <is>
          <t>nyu</t>
        </is>
      </c>
      <c r="R342" t="inlineStr">
        <is>
          <t xml:space="preserve">HQ </t>
        </is>
      </c>
      <c r="S342" t="n">
        <v>13</v>
      </c>
      <c r="T342" t="n">
        <v>13</v>
      </c>
      <c r="U342" t="inlineStr">
        <is>
          <t>2005-09-19</t>
        </is>
      </c>
      <c r="V342" t="inlineStr">
        <is>
          <t>2005-09-19</t>
        </is>
      </c>
      <c r="W342" t="inlineStr">
        <is>
          <t>1999-10-26</t>
        </is>
      </c>
      <c r="X342" t="inlineStr">
        <is>
          <t>1999-10-26</t>
        </is>
      </c>
      <c r="Y342" t="n">
        <v>1922</v>
      </c>
      <c r="Z342" t="n">
        <v>1809</v>
      </c>
      <c r="AA342" t="n">
        <v>1989</v>
      </c>
      <c r="AB342" t="n">
        <v>17</v>
      </c>
      <c r="AC342" t="n">
        <v>17</v>
      </c>
      <c r="AD342" t="n">
        <v>52</v>
      </c>
      <c r="AE342" t="n">
        <v>55</v>
      </c>
      <c r="AF342" t="n">
        <v>20</v>
      </c>
      <c r="AG342" t="n">
        <v>23</v>
      </c>
      <c r="AH342" t="n">
        <v>9</v>
      </c>
      <c r="AI342" t="n">
        <v>10</v>
      </c>
      <c r="AJ342" t="n">
        <v>20</v>
      </c>
      <c r="AK342" t="n">
        <v>21</v>
      </c>
      <c r="AL342" t="n">
        <v>9</v>
      </c>
      <c r="AM342" t="n">
        <v>9</v>
      </c>
      <c r="AN342" t="n">
        <v>3</v>
      </c>
      <c r="AO342" t="n">
        <v>3</v>
      </c>
      <c r="AP342" t="inlineStr">
        <is>
          <t>No</t>
        </is>
      </c>
      <c r="AQ342" t="inlineStr">
        <is>
          <t>No</t>
        </is>
      </c>
      <c r="AS342">
        <f>HYPERLINK("https://creighton-primo.hosted.exlibrisgroup.com/primo-explore/search?tab=default_tab&amp;search_scope=EVERYTHING&amp;vid=01CRU&amp;lang=en_US&amp;offset=0&amp;query=any,contains,991005430509702656","Catalog Record")</f>
        <v/>
      </c>
      <c r="AT342">
        <f>HYPERLINK("http://www.worldcat.org/oclc/41548275","WorldCat Record")</f>
        <v/>
      </c>
      <c r="AU342" t="inlineStr">
        <is>
          <t>890769375:eng</t>
        </is>
      </c>
      <c r="AV342" t="inlineStr">
        <is>
          <t>41548275</t>
        </is>
      </c>
      <c r="AW342" t="inlineStr">
        <is>
          <t>991005430509702656</t>
        </is>
      </c>
      <c r="AX342" t="inlineStr">
        <is>
          <t>991005430509702656</t>
        </is>
      </c>
      <c r="AY342" t="inlineStr">
        <is>
          <t>2257518450002656</t>
        </is>
      </c>
      <c r="AZ342" t="inlineStr">
        <is>
          <t>BOOK</t>
        </is>
      </c>
      <c r="BB342" t="inlineStr">
        <is>
          <t>9780688122997</t>
        </is>
      </c>
      <c r="BC342" t="inlineStr">
        <is>
          <t>32285003613352</t>
        </is>
      </c>
      <c r="BD342" t="inlineStr">
        <is>
          <t>893619996</t>
        </is>
      </c>
    </row>
    <row r="343">
      <c r="A343" t="inlineStr">
        <is>
          <t>No</t>
        </is>
      </c>
      <c r="B343" t="inlineStr">
        <is>
          <t>HQ1090.3 .F37 1986</t>
        </is>
      </c>
      <c r="C343" t="inlineStr">
        <is>
          <t>0                      HQ 1090300F  37          1986</t>
        </is>
      </c>
      <c r="D343" t="inlineStr">
        <is>
          <t>Why men are the way they are : the male-female dynamic / Warren Farrell.</t>
        </is>
      </c>
      <c r="F343" t="inlineStr">
        <is>
          <t>No</t>
        </is>
      </c>
      <c r="G343" t="inlineStr">
        <is>
          <t>1</t>
        </is>
      </c>
      <c r="H343" t="inlineStr">
        <is>
          <t>No</t>
        </is>
      </c>
      <c r="I343" t="inlineStr">
        <is>
          <t>No</t>
        </is>
      </c>
      <c r="J343" t="inlineStr">
        <is>
          <t>0</t>
        </is>
      </c>
      <c r="K343" t="inlineStr">
        <is>
          <t>Farrell, Warren.</t>
        </is>
      </c>
      <c r="L343" t="inlineStr">
        <is>
          <t>New York : McGraw-Hill, c1986.</t>
        </is>
      </c>
      <c r="M343" t="inlineStr">
        <is>
          <t>1986</t>
        </is>
      </c>
      <c r="O343" t="inlineStr">
        <is>
          <t>eng</t>
        </is>
      </c>
      <c r="P343" t="inlineStr">
        <is>
          <t>nyu</t>
        </is>
      </c>
      <c r="R343" t="inlineStr">
        <is>
          <t xml:space="preserve">HQ </t>
        </is>
      </c>
      <c r="S343" t="n">
        <v>11</v>
      </c>
      <c r="T343" t="n">
        <v>11</v>
      </c>
      <c r="U343" t="inlineStr">
        <is>
          <t>2003-10-09</t>
        </is>
      </c>
      <c r="V343" t="inlineStr">
        <is>
          <t>2003-10-09</t>
        </is>
      </c>
      <c r="W343" t="inlineStr">
        <is>
          <t>1989-12-08</t>
        </is>
      </c>
      <c r="X343" t="inlineStr">
        <is>
          <t>1989-12-08</t>
        </is>
      </c>
      <c r="Y343" t="n">
        <v>1147</v>
      </c>
      <c r="Z343" t="n">
        <v>1069</v>
      </c>
      <c r="AA343" t="n">
        <v>1157</v>
      </c>
      <c r="AB343" t="n">
        <v>5</v>
      </c>
      <c r="AC343" t="n">
        <v>6</v>
      </c>
      <c r="AD343" t="n">
        <v>34</v>
      </c>
      <c r="AE343" t="n">
        <v>37</v>
      </c>
      <c r="AF343" t="n">
        <v>17</v>
      </c>
      <c r="AG343" t="n">
        <v>19</v>
      </c>
      <c r="AH343" t="n">
        <v>9</v>
      </c>
      <c r="AI343" t="n">
        <v>9</v>
      </c>
      <c r="AJ343" t="n">
        <v>16</v>
      </c>
      <c r="AK343" t="n">
        <v>17</v>
      </c>
      <c r="AL343" t="n">
        <v>3</v>
      </c>
      <c r="AM343" t="n">
        <v>4</v>
      </c>
      <c r="AN343" t="n">
        <v>0</v>
      </c>
      <c r="AO343" t="n">
        <v>0</v>
      </c>
      <c r="AP343" t="inlineStr">
        <is>
          <t>No</t>
        </is>
      </c>
      <c r="AQ343" t="inlineStr">
        <is>
          <t>Yes</t>
        </is>
      </c>
      <c r="AR343">
        <f>HYPERLINK("http://catalog.hathitrust.org/Record/000440493","HathiTrust Record")</f>
        <v/>
      </c>
      <c r="AS343">
        <f>HYPERLINK("https://creighton-primo.hosted.exlibrisgroup.com/primo-explore/search?tab=default_tab&amp;search_scope=EVERYTHING&amp;vid=01CRU&amp;lang=en_US&amp;offset=0&amp;query=any,contains,991000764469702656","Catalog Record")</f>
        <v/>
      </c>
      <c r="AT343">
        <f>HYPERLINK("http://www.worldcat.org/oclc/12978678","WorldCat Record")</f>
        <v/>
      </c>
      <c r="AU343" t="inlineStr">
        <is>
          <t>4924703656:eng</t>
        </is>
      </c>
      <c r="AV343" t="inlineStr">
        <is>
          <t>12978678</t>
        </is>
      </c>
      <c r="AW343" t="inlineStr">
        <is>
          <t>991000764469702656</t>
        </is>
      </c>
      <c r="AX343" t="inlineStr">
        <is>
          <t>991000764469702656</t>
        </is>
      </c>
      <c r="AY343" t="inlineStr">
        <is>
          <t>2258327970002656</t>
        </is>
      </c>
      <c r="AZ343" t="inlineStr">
        <is>
          <t>BOOK</t>
        </is>
      </c>
      <c r="BB343" t="inlineStr">
        <is>
          <t>9780070199743</t>
        </is>
      </c>
      <c r="BC343" t="inlineStr">
        <is>
          <t>32285000030279</t>
        </is>
      </c>
      <c r="BD343" t="inlineStr">
        <is>
          <t>893327565</t>
        </is>
      </c>
    </row>
    <row r="344">
      <c r="A344" t="inlineStr">
        <is>
          <t>No</t>
        </is>
      </c>
      <c r="B344" t="inlineStr">
        <is>
          <t>HQ1090.3 .G47 1993</t>
        </is>
      </c>
      <c r="C344" t="inlineStr">
        <is>
          <t>0                      HQ 1090300G  47          1993</t>
        </is>
      </c>
      <c r="D344" t="inlineStr">
        <is>
          <t>No man's land : men's changing commitments to family and work / Kathleen Gerson.</t>
        </is>
      </c>
      <c r="F344" t="inlineStr">
        <is>
          <t>No</t>
        </is>
      </c>
      <c r="G344" t="inlineStr">
        <is>
          <t>1</t>
        </is>
      </c>
      <c r="H344" t="inlineStr">
        <is>
          <t>No</t>
        </is>
      </c>
      <c r="I344" t="inlineStr">
        <is>
          <t>No</t>
        </is>
      </c>
      <c r="J344" t="inlineStr">
        <is>
          <t>0</t>
        </is>
      </c>
      <c r="K344" t="inlineStr">
        <is>
          <t>Gerson, Kathleen.</t>
        </is>
      </c>
      <c r="L344" t="inlineStr">
        <is>
          <t>New York, NY : BasicBooks, c1993.</t>
        </is>
      </c>
      <c r="M344" t="inlineStr">
        <is>
          <t>1993</t>
        </is>
      </c>
      <c r="O344" t="inlineStr">
        <is>
          <t>eng</t>
        </is>
      </c>
      <c r="P344" t="inlineStr">
        <is>
          <t>nyu</t>
        </is>
      </c>
      <c r="R344" t="inlineStr">
        <is>
          <t xml:space="preserve">HQ </t>
        </is>
      </c>
      <c r="S344" t="n">
        <v>3</v>
      </c>
      <c r="T344" t="n">
        <v>3</v>
      </c>
      <c r="U344" t="inlineStr">
        <is>
          <t>1996-03-13</t>
        </is>
      </c>
      <c r="V344" t="inlineStr">
        <is>
          <t>1996-03-13</t>
        </is>
      </c>
      <c r="W344" t="inlineStr">
        <is>
          <t>1993-09-08</t>
        </is>
      </c>
      <c r="X344" t="inlineStr">
        <is>
          <t>1993-09-08</t>
        </is>
      </c>
      <c r="Y344" t="n">
        <v>890</v>
      </c>
      <c r="Z344" t="n">
        <v>785</v>
      </c>
      <c r="AA344" t="n">
        <v>798</v>
      </c>
      <c r="AB344" t="n">
        <v>7</v>
      </c>
      <c r="AC344" t="n">
        <v>7</v>
      </c>
      <c r="AD344" t="n">
        <v>34</v>
      </c>
      <c r="AE344" t="n">
        <v>34</v>
      </c>
      <c r="AF344" t="n">
        <v>14</v>
      </c>
      <c r="AG344" t="n">
        <v>14</v>
      </c>
      <c r="AH344" t="n">
        <v>6</v>
      </c>
      <c r="AI344" t="n">
        <v>6</v>
      </c>
      <c r="AJ344" t="n">
        <v>16</v>
      </c>
      <c r="AK344" t="n">
        <v>16</v>
      </c>
      <c r="AL344" t="n">
        <v>6</v>
      </c>
      <c r="AM344" t="n">
        <v>6</v>
      </c>
      <c r="AN344" t="n">
        <v>0</v>
      </c>
      <c r="AO344" t="n">
        <v>0</v>
      </c>
      <c r="AP344" t="inlineStr">
        <is>
          <t>No</t>
        </is>
      </c>
      <c r="AQ344" t="inlineStr">
        <is>
          <t>Yes</t>
        </is>
      </c>
      <c r="AR344">
        <f>HYPERLINK("http://catalog.hathitrust.org/Record/002654943","HathiTrust Record")</f>
        <v/>
      </c>
      <c r="AS344">
        <f>HYPERLINK("https://creighton-primo.hosted.exlibrisgroup.com/primo-explore/search?tab=default_tab&amp;search_scope=EVERYTHING&amp;vid=01CRU&amp;lang=en_US&amp;offset=0&amp;query=any,contains,991002124379702656","Catalog Record")</f>
        <v/>
      </c>
      <c r="AT344">
        <f>HYPERLINK("http://www.worldcat.org/oclc/27216504","WorldCat Record")</f>
        <v/>
      </c>
      <c r="AU344" t="inlineStr">
        <is>
          <t>891230191:eng</t>
        </is>
      </c>
      <c r="AV344" t="inlineStr">
        <is>
          <t>27216504</t>
        </is>
      </c>
      <c r="AW344" t="inlineStr">
        <is>
          <t>991002124379702656</t>
        </is>
      </c>
      <c r="AX344" t="inlineStr">
        <is>
          <t>991002124379702656</t>
        </is>
      </c>
      <c r="AY344" t="inlineStr">
        <is>
          <t>2272228680002656</t>
        </is>
      </c>
      <c r="AZ344" t="inlineStr">
        <is>
          <t>BOOK</t>
        </is>
      </c>
      <c r="BB344" t="inlineStr">
        <is>
          <t>9780465063161</t>
        </is>
      </c>
      <c r="BC344" t="inlineStr">
        <is>
          <t>32285001765097</t>
        </is>
      </c>
      <c r="BD344" t="inlineStr">
        <is>
          <t>893352163</t>
        </is>
      </c>
    </row>
    <row r="345">
      <c r="A345" t="inlineStr">
        <is>
          <t>No</t>
        </is>
      </c>
      <c r="B345" t="inlineStr">
        <is>
          <t>HQ1090.3 .L48 1995</t>
        </is>
      </c>
      <c r="C345" t="inlineStr">
        <is>
          <t>0                      HQ 1090300L  48          1995</t>
        </is>
      </c>
      <c r="D345" t="inlineStr">
        <is>
          <t>Masculinity reconstructed : changing the rules of manhood : at work, in relationships and in family life / Ronald F. Levant with Gini Kopecky.</t>
        </is>
      </c>
      <c r="F345" t="inlineStr">
        <is>
          <t>No</t>
        </is>
      </c>
      <c r="G345" t="inlineStr">
        <is>
          <t>1</t>
        </is>
      </c>
      <c r="H345" t="inlineStr">
        <is>
          <t>No</t>
        </is>
      </c>
      <c r="I345" t="inlineStr">
        <is>
          <t>No</t>
        </is>
      </c>
      <c r="J345" t="inlineStr">
        <is>
          <t>0</t>
        </is>
      </c>
      <c r="K345" t="inlineStr">
        <is>
          <t>Levant, Ronald F.</t>
        </is>
      </c>
      <c r="L345" t="inlineStr">
        <is>
          <t>New York : Dutton, 1995.</t>
        </is>
      </c>
      <c r="M345" t="inlineStr">
        <is>
          <t>1995</t>
        </is>
      </c>
      <c r="O345" t="inlineStr">
        <is>
          <t>eng</t>
        </is>
      </c>
      <c r="P345" t="inlineStr">
        <is>
          <t>nyu</t>
        </is>
      </c>
      <c r="R345" t="inlineStr">
        <is>
          <t xml:space="preserve">HQ </t>
        </is>
      </c>
      <c r="S345" t="n">
        <v>1</v>
      </c>
      <c r="T345" t="n">
        <v>1</v>
      </c>
      <c r="U345" t="inlineStr">
        <is>
          <t>1998-06-21</t>
        </is>
      </c>
      <c r="V345" t="inlineStr">
        <is>
          <t>1998-06-21</t>
        </is>
      </c>
      <c r="W345" t="inlineStr">
        <is>
          <t>1995-04-17</t>
        </is>
      </c>
      <c r="X345" t="inlineStr">
        <is>
          <t>1995-04-17</t>
        </is>
      </c>
      <c r="Y345" t="n">
        <v>342</v>
      </c>
      <c r="Z345" t="n">
        <v>308</v>
      </c>
      <c r="AA345" t="n">
        <v>341</v>
      </c>
      <c r="AB345" t="n">
        <v>4</v>
      </c>
      <c r="AC345" t="n">
        <v>4</v>
      </c>
      <c r="AD345" t="n">
        <v>12</v>
      </c>
      <c r="AE345" t="n">
        <v>12</v>
      </c>
      <c r="AF345" t="n">
        <v>2</v>
      </c>
      <c r="AG345" t="n">
        <v>2</v>
      </c>
      <c r="AH345" t="n">
        <v>3</v>
      </c>
      <c r="AI345" t="n">
        <v>3</v>
      </c>
      <c r="AJ345" t="n">
        <v>4</v>
      </c>
      <c r="AK345" t="n">
        <v>4</v>
      </c>
      <c r="AL345" t="n">
        <v>3</v>
      </c>
      <c r="AM345" t="n">
        <v>3</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HYPERLINK("https://creighton-primo.hosted.exlibrisgroup.com/primo-explore/search?tab=default_tab&amp;search_scope=EVERYTHING&amp;vid=01CRU&amp;lang=en_US&amp;offset=0&amp;query=any,contains,991002389359702656","Catalog Record")</f>
        <v/>
      </c>
      <c r="AT345">
        <f>HYPERLINK("http://www.worldcat.org/oclc/31045065","WorldCat Record")</f>
        <v/>
      </c>
      <c r="AU345" t="inlineStr">
        <is>
          <t>33432880:eng</t>
        </is>
      </c>
      <c r="AV345" t="inlineStr">
        <is>
          <t>31045065</t>
        </is>
      </c>
      <c r="AW345" t="inlineStr">
        <is>
          <t>991002389359702656</t>
        </is>
      </c>
      <c r="AX345" t="inlineStr">
        <is>
          <t>991002389359702656</t>
        </is>
      </c>
      <c r="AY345" t="inlineStr">
        <is>
          <t>2262026680002656</t>
        </is>
      </c>
      <c r="AZ345" t="inlineStr">
        <is>
          <t>BOOK</t>
        </is>
      </c>
      <c r="BB345" t="inlineStr">
        <is>
          <t>9780525938460</t>
        </is>
      </c>
      <c r="BC345" t="inlineStr">
        <is>
          <t>32285002018710</t>
        </is>
      </c>
      <c r="BD345" t="inlineStr">
        <is>
          <t>893245114</t>
        </is>
      </c>
    </row>
    <row r="346">
      <c r="A346" t="inlineStr">
        <is>
          <t>No</t>
        </is>
      </c>
      <c r="B346" t="inlineStr">
        <is>
          <t>HQ1090.3 .M38 1985</t>
        </is>
      </c>
      <c r="C346" t="inlineStr">
        <is>
          <t>0                      HQ 1090300M  38          1985</t>
        </is>
      </c>
      <c r="D346" t="inlineStr">
        <is>
          <t>The McGill report on male intimacy / Michael E. McGill.</t>
        </is>
      </c>
      <c r="F346" t="inlineStr">
        <is>
          <t>No</t>
        </is>
      </c>
      <c r="G346" t="inlineStr">
        <is>
          <t>1</t>
        </is>
      </c>
      <c r="H346" t="inlineStr">
        <is>
          <t>No</t>
        </is>
      </c>
      <c r="I346" t="inlineStr">
        <is>
          <t>No</t>
        </is>
      </c>
      <c r="J346" t="inlineStr">
        <is>
          <t>0</t>
        </is>
      </c>
      <c r="K346" t="inlineStr">
        <is>
          <t>McGill, Michael E.</t>
        </is>
      </c>
      <c r="L346" t="inlineStr">
        <is>
          <t>New York : Holt, Rinehart and Winston, c1985.</t>
        </is>
      </c>
      <c r="M346" t="inlineStr">
        <is>
          <t>1985</t>
        </is>
      </c>
      <c r="N346" t="inlineStr">
        <is>
          <t>1st ed.</t>
        </is>
      </c>
      <c r="O346" t="inlineStr">
        <is>
          <t>eng</t>
        </is>
      </c>
      <c r="P346" t="inlineStr">
        <is>
          <t>nyu</t>
        </is>
      </c>
      <c r="R346" t="inlineStr">
        <is>
          <t xml:space="preserve">HQ </t>
        </is>
      </c>
      <c r="S346" t="n">
        <v>7</v>
      </c>
      <c r="T346" t="n">
        <v>7</v>
      </c>
      <c r="U346" t="inlineStr">
        <is>
          <t>2000-05-18</t>
        </is>
      </c>
      <c r="V346" t="inlineStr">
        <is>
          <t>2000-05-18</t>
        </is>
      </c>
      <c r="W346" t="inlineStr">
        <is>
          <t>1991-12-23</t>
        </is>
      </c>
      <c r="X346" t="inlineStr">
        <is>
          <t>1991-12-23</t>
        </is>
      </c>
      <c r="Y346" t="n">
        <v>741</v>
      </c>
      <c r="Z346" t="n">
        <v>694</v>
      </c>
      <c r="AA346" t="n">
        <v>823</v>
      </c>
      <c r="AB346" t="n">
        <v>4</v>
      </c>
      <c r="AC346" t="n">
        <v>5</v>
      </c>
      <c r="AD346" t="n">
        <v>17</v>
      </c>
      <c r="AE346" t="n">
        <v>23</v>
      </c>
      <c r="AF346" t="n">
        <v>8</v>
      </c>
      <c r="AG346" t="n">
        <v>11</v>
      </c>
      <c r="AH346" t="n">
        <v>3</v>
      </c>
      <c r="AI346" t="n">
        <v>4</v>
      </c>
      <c r="AJ346" t="n">
        <v>6</v>
      </c>
      <c r="AK346" t="n">
        <v>9</v>
      </c>
      <c r="AL346" t="n">
        <v>3</v>
      </c>
      <c r="AM346" t="n">
        <v>4</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HYPERLINK("https://creighton-primo.hosted.exlibrisgroup.com/primo-explore/search?tab=default_tab&amp;search_scope=EVERYTHING&amp;vid=01CRU&amp;lang=en_US&amp;offset=0&amp;query=any,contains,991005404099702656","Catalog Record")</f>
        <v/>
      </c>
      <c r="AT346">
        <f>HYPERLINK("http://www.worldcat.org/oclc/10754299","WorldCat Record")</f>
        <v/>
      </c>
      <c r="AU346" t="inlineStr">
        <is>
          <t>2993204:eng</t>
        </is>
      </c>
      <c r="AV346" t="inlineStr">
        <is>
          <t>10754299</t>
        </is>
      </c>
      <c r="AW346" t="inlineStr">
        <is>
          <t>991005404099702656</t>
        </is>
      </c>
      <c r="AX346" t="inlineStr">
        <is>
          <t>991005404099702656</t>
        </is>
      </c>
      <c r="AY346" t="inlineStr">
        <is>
          <t>2268127260002656</t>
        </is>
      </c>
      <c r="AZ346" t="inlineStr">
        <is>
          <t>BOOK</t>
        </is>
      </c>
      <c r="BB346" t="inlineStr">
        <is>
          <t>9780030632976</t>
        </is>
      </c>
      <c r="BC346" t="inlineStr">
        <is>
          <t>32285000880111</t>
        </is>
      </c>
      <c r="BD346" t="inlineStr">
        <is>
          <t>893443964</t>
        </is>
      </c>
    </row>
    <row r="347">
      <c r="A347" t="inlineStr">
        <is>
          <t>No</t>
        </is>
      </c>
      <c r="B347" t="inlineStr">
        <is>
          <t>HQ1090.3 .M44 1998</t>
        </is>
      </c>
      <c r="C347" t="inlineStr">
        <is>
          <t>0                      HQ 1090300M  44          1998</t>
        </is>
      </c>
      <c r="D347" t="inlineStr">
        <is>
          <t>Men doing feminism / edited by Tom Digby.</t>
        </is>
      </c>
      <c r="F347" t="inlineStr">
        <is>
          <t>No</t>
        </is>
      </c>
      <c r="G347" t="inlineStr">
        <is>
          <t>1</t>
        </is>
      </c>
      <c r="H347" t="inlineStr">
        <is>
          <t>No</t>
        </is>
      </c>
      <c r="I347" t="inlineStr">
        <is>
          <t>No</t>
        </is>
      </c>
      <c r="J347" t="inlineStr">
        <is>
          <t>0</t>
        </is>
      </c>
      <c r="L347" t="inlineStr">
        <is>
          <t>New York : Routledge, 1998.</t>
        </is>
      </c>
      <c r="M347" t="inlineStr">
        <is>
          <t>1998</t>
        </is>
      </c>
      <c r="O347" t="inlineStr">
        <is>
          <t>eng</t>
        </is>
      </c>
      <c r="P347" t="inlineStr">
        <is>
          <t>nyu</t>
        </is>
      </c>
      <c r="Q347" t="inlineStr">
        <is>
          <t>Thinking gender</t>
        </is>
      </c>
      <c r="R347" t="inlineStr">
        <is>
          <t xml:space="preserve">HQ </t>
        </is>
      </c>
      <c r="S347" t="n">
        <v>6</v>
      </c>
      <c r="T347" t="n">
        <v>6</v>
      </c>
      <c r="U347" t="inlineStr">
        <is>
          <t>2007-04-17</t>
        </is>
      </c>
      <c r="V347" t="inlineStr">
        <is>
          <t>2007-04-17</t>
        </is>
      </c>
      <c r="W347" t="inlineStr">
        <is>
          <t>1999-03-15</t>
        </is>
      </c>
      <c r="X347" t="inlineStr">
        <is>
          <t>1999-03-15</t>
        </is>
      </c>
      <c r="Y347" t="n">
        <v>450</v>
      </c>
      <c r="Z347" t="n">
        <v>306</v>
      </c>
      <c r="AA347" t="n">
        <v>334</v>
      </c>
      <c r="AB347" t="n">
        <v>3</v>
      </c>
      <c r="AC347" t="n">
        <v>3</v>
      </c>
      <c r="AD347" t="n">
        <v>20</v>
      </c>
      <c r="AE347" t="n">
        <v>20</v>
      </c>
      <c r="AF347" t="n">
        <v>5</v>
      </c>
      <c r="AG347" t="n">
        <v>5</v>
      </c>
      <c r="AH347" t="n">
        <v>8</v>
      </c>
      <c r="AI347" t="n">
        <v>8</v>
      </c>
      <c r="AJ347" t="n">
        <v>9</v>
      </c>
      <c r="AK347" t="n">
        <v>9</v>
      </c>
      <c r="AL347" t="n">
        <v>2</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HYPERLINK("https://creighton-primo.hosted.exlibrisgroup.com/primo-explore/search?tab=default_tab&amp;search_scope=EVERYTHING&amp;vid=01CRU&amp;lang=en_US&amp;offset=0&amp;query=any,contains,991005426779702656","Catalog Record")</f>
        <v/>
      </c>
      <c r="AT347">
        <f>HYPERLINK("http://www.worldcat.org/oclc/37281876","WorldCat Record")</f>
        <v/>
      </c>
      <c r="AU347" t="inlineStr">
        <is>
          <t>543233:eng</t>
        </is>
      </c>
      <c r="AV347" t="inlineStr">
        <is>
          <t>37281876</t>
        </is>
      </c>
      <c r="AW347" t="inlineStr">
        <is>
          <t>991005426779702656</t>
        </is>
      </c>
      <c r="AX347" t="inlineStr">
        <is>
          <t>991005426779702656</t>
        </is>
      </c>
      <c r="AY347" t="inlineStr">
        <is>
          <t>2257951880002656</t>
        </is>
      </c>
      <c r="AZ347" t="inlineStr">
        <is>
          <t>BOOK</t>
        </is>
      </c>
      <c r="BB347" t="inlineStr">
        <is>
          <t>9780415916257</t>
        </is>
      </c>
      <c r="BC347" t="inlineStr">
        <is>
          <t>32285003531794</t>
        </is>
      </c>
      <c r="BD347" t="inlineStr">
        <is>
          <t>893320615</t>
        </is>
      </c>
    </row>
    <row r="348">
      <c r="A348" t="inlineStr">
        <is>
          <t>No</t>
        </is>
      </c>
      <c r="B348" t="inlineStr">
        <is>
          <t>HQ1090.3 .M465 1989</t>
        </is>
      </c>
      <c r="C348" t="inlineStr">
        <is>
          <t>0                      HQ 1090300M  465         1989</t>
        </is>
      </c>
      <c r="D348" t="inlineStr">
        <is>
          <t>Men's lives / [compiled by] Michael S. Kimmel, Michael A. Messner.</t>
        </is>
      </c>
      <c r="F348" t="inlineStr">
        <is>
          <t>No</t>
        </is>
      </c>
      <c r="G348" t="inlineStr">
        <is>
          <t>1</t>
        </is>
      </c>
      <c r="H348" t="inlineStr">
        <is>
          <t>No</t>
        </is>
      </c>
      <c r="I348" t="inlineStr">
        <is>
          <t>No</t>
        </is>
      </c>
      <c r="J348" t="inlineStr">
        <is>
          <t>0</t>
        </is>
      </c>
      <c r="L348" t="inlineStr">
        <is>
          <t>New York : Macmillan Pub. Co., c1989.</t>
        </is>
      </c>
      <c r="M348" t="inlineStr">
        <is>
          <t>1989</t>
        </is>
      </c>
      <c r="O348" t="inlineStr">
        <is>
          <t>eng</t>
        </is>
      </c>
      <c r="P348" t="inlineStr">
        <is>
          <t>nyu</t>
        </is>
      </c>
      <c r="R348" t="inlineStr">
        <is>
          <t xml:space="preserve">HQ </t>
        </is>
      </c>
      <c r="S348" t="n">
        <v>18</v>
      </c>
      <c r="T348" t="n">
        <v>18</v>
      </c>
      <c r="U348" t="inlineStr">
        <is>
          <t>2006-12-10</t>
        </is>
      </c>
      <c r="V348" t="inlineStr">
        <is>
          <t>2006-12-10</t>
        </is>
      </c>
      <c r="W348" t="inlineStr">
        <is>
          <t>1989-12-05</t>
        </is>
      </c>
      <c r="X348" t="inlineStr">
        <is>
          <t>1989-12-05</t>
        </is>
      </c>
      <c r="Y348" t="n">
        <v>183</v>
      </c>
      <c r="Z348" t="n">
        <v>147</v>
      </c>
      <c r="AA348" t="n">
        <v>761</v>
      </c>
      <c r="AB348" t="n">
        <v>2</v>
      </c>
      <c r="AC348" t="n">
        <v>3</v>
      </c>
      <c r="AD348" t="n">
        <v>4</v>
      </c>
      <c r="AE348" t="n">
        <v>30</v>
      </c>
      <c r="AF348" t="n">
        <v>0</v>
      </c>
      <c r="AG348" t="n">
        <v>11</v>
      </c>
      <c r="AH348" t="n">
        <v>2</v>
      </c>
      <c r="AI348" t="n">
        <v>9</v>
      </c>
      <c r="AJ348" t="n">
        <v>2</v>
      </c>
      <c r="AK348" t="n">
        <v>18</v>
      </c>
      <c r="AL348" t="n">
        <v>1</v>
      </c>
      <c r="AM348" t="n">
        <v>2</v>
      </c>
      <c r="AN348" t="n">
        <v>0</v>
      </c>
      <c r="AO348" t="n">
        <v>1</v>
      </c>
      <c r="AP348" t="inlineStr">
        <is>
          <t>No</t>
        </is>
      </c>
      <c r="AQ348" t="inlineStr">
        <is>
          <t>Yes</t>
        </is>
      </c>
      <c r="AR348">
        <f>HYPERLINK("http://catalog.hathitrust.org/Record/002430779","HathiTrust Record")</f>
        <v/>
      </c>
      <c r="AS348">
        <f>HYPERLINK("https://creighton-primo.hosted.exlibrisgroup.com/primo-explore/search?tab=default_tab&amp;search_scope=EVERYTHING&amp;vid=01CRU&amp;lang=en_US&amp;offset=0&amp;query=any,contains,991001346249702656","Catalog Record")</f>
        <v/>
      </c>
      <c r="AT348">
        <f>HYPERLINK("http://www.worldcat.org/oclc/18414604","WorldCat Record")</f>
        <v/>
      </c>
      <c r="AU348" t="inlineStr">
        <is>
          <t>351689438:eng</t>
        </is>
      </c>
      <c r="AV348" t="inlineStr">
        <is>
          <t>18414604</t>
        </is>
      </c>
      <c r="AW348" t="inlineStr">
        <is>
          <t>991001346249702656</t>
        </is>
      </c>
      <c r="AX348" t="inlineStr">
        <is>
          <t>991001346249702656</t>
        </is>
      </c>
      <c r="AY348" t="inlineStr">
        <is>
          <t>2256070580002656</t>
        </is>
      </c>
      <c r="AZ348" t="inlineStr">
        <is>
          <t>BOOK</t>
        </is>
      </c>
      <c r="BB348" t="inlineStr">
        <is>
          <t>9780023640612</t>
        </is>
      </c>
      <c r="BC348" t="inlineStr">
        <is>
          <t>32285000018506</t>
        </is>
      </c>
      <c r="BD348" t="inlineStr">
        <is>
          <t>893238055</t>
        </is>
      </c>
    </row>
    <row r="349">
      <c r="A349" t="inlineStr">
        <is>
          <t>No</t>
        </is>
      </c>
      <c r="B349" t="inlineStr">
        <is>
          <t>HQ1090.3 .M475 1997</t>
        </is>
      </c>
      <c r="C349" t="inlineStr">
        <is>
          <t>0                      HQ 1090300M  475         1997</t>
        </is>
      </c>
      <c r="D349" t="inlineStr">
        <is>
          <t>Politics of masculinities : men in movements / Michael A. Messner.</t>
        </is>
      </c>
      <c r="F349" t="inlineStr">
        <is>
          <t>No</t>
        </is>
      </c>
      <c r="G349" t="inlineStr">
        <is>
          <t>1</t>
        </is>
      </c>
      <c r="H349" t="inlineStr">
        <is>
          <t>No</t>
        </is>
      </c>
      <c r="I349" t="inlineStr">
        <is>
          <t>No</t>
        </is>
      </c>
      <c r="J349" t="inlineStr">
        <is>
          <t>0</t>
        </is>
      </c>
      <c r="K349" t="inlineStr">
        <is>
          <t>Messner, Michael A.</t>
        </is>
      </c>
      <c r="L349" t="inlineStr">
        <is>
          <t>Thousand Oaks, Calif. : Sage Publications, c1997.</t>
        </is>
      </c>
      <c r="M349" t="inlineStr">
        <is>
          <t>1997</t>
        </is>
      </c>
      <c r="O349" t="inlineStr">
        <is>
          <t>eng</t>
        </is>
      </c>
      <c r="P349" t="inlineStr">
        <is>
          <t>cau</t>
        </is>
      </c>
      <c r="Q349" t="inlineStr">
        <is>
          <t>Gender lens series in sociology ; v. 3</t>
        </is>
      </c>
      <c r="R349" t="inlineStr">
        <is>
          <t xml:space="preserve">HQ </t>
        </is>
      </c>
      <c r="S349" t="n">
        <v>9</v>
      </c>
      <c r="T349" t="n">
        <v>9</v>
      </c>
      <c r="U349" t="inlineStr">
        <is>
          <t>1998-11-24</t>
        </is>
      </c>
      <c r="V349" t="inlineStr">
        <is>
          <t>1998-11-24</t>
        </is>
      </c>
      <c r="W349" t="inlineStr">
        <is>
          <t>1997-05-21</t>
        </is>
      </c>
      <c r="X349" t="inlineStr">
        <is>
          <t>1997-05-21</t>
        </is>
      </c>
      <c r="Y349" t="n">
        <v>728</v>
      </c>
      <c r="Z349" t="n">
        <v>585</v>
      </c>
      <c r="AA349" t="n">
        <v>634</v>
      </c>
      <c r="AB349" t="n">
        <v>6</v>
      </c>
      <c r="AC349" t="n">
        <v>6</v>
      </c>
      <c r="AD349" t="n">
        <v>34</v>
      </c>
      <c r="AE349" t="n">
        <v>37</v>
      </c>
      <c r="AF349" t="n">
        <v>12</v>
      </c>
      <c r="AG349" t="n">
        <v>13</v>
      </c>
      <c r="AH349" t="n">
        <v>7</v>
      </c>
      <c r="AI349" t="n">
        <v>9</v>
      </c>
      <c r="AJ349" t="n">
        <v>19</v>
      </c>
      <c r="AK349" t="n">
        <v>19</v>
      </c>
      <c r="AL349" t="n">
        <v>5</v>
      </c>
      <c r="AM349" t="n">
        <v>5</v>
      </c>
      <c r="AN349" t="n">
        <v>0</v>
      </c>
      <c r="AO349" t="n">
        <v>1</v>
      </c>
      <c r="AP349" t="inlineStr">
        <is>
          <t>No</t>
        </is>
      </c>
      <c r="AQ349" t="inlineStr">
        <is>
          <t>Yes</t>
        </is>
      </c>
      <c r="AR349">
        <f>HYPERLINK("http://catalog.hathitrust.org/Record/003148529","HathiTrust Record")</f>
        <v/>
      </c>
      <c r="AS349">
        <f>HYPERLINK("https://creighton-primo.hosted.exlibrisgroup.com/primo-explore/search?tab=default_tab&amp;search_scope=EVERYTHING&amp;vid=01CRU&amp;lang=en_US&amp;offset=0&amp;query=any,contains,991002710699702656","Catalog Record")</f>
        <v/>
      </c>
      <c r="AT349">
        <f>HYPERLINK("http://www.worldcat.org/oclc/35548810","WorldCat Record")</f>
        <v/>
      </c>
      <c r="AU349" t="inlineStr">
        <is>
          <t>837012445:eng</t>
        </is>
      </c>
      <c r="AV349" t="inlineStr">
        <is>
          <t>35548810</t>
        </is>
      </c>
      <c r="AW349" t="inlineStr">
        <is>
          <t>991002710699702656</t>
        </is>
      </c>
      <c r="AX349" t="inlineStr">
        <is>
          <t>991002710699702656</t>
        </is>
      </c>
      <c r="AY349" t="inlineStr">
        <is>
          <t>2271716300002656</t>
        </is>
      </c>
      <c r="AZ349" t="inlineStr">
        <is>
          <t>BOOK</t>
        </is>
      </c>
      <c r="BB349" t="inlineStr">
        <is>
          <t>9780803955769</t>
        </is>
      </c>
      <c r="BC349" t="inlineStr">
        <is>
          <t>32285002610862</t>
        </is>
      </c>
      <c r="BD349" t="inlineStr">
        <is>
          <t>893251551</t>
        </is>
      </c>
    </row>
    <row r="350">
      <c r="A350" t="inlineStr">
        <is>
          <t>No</t>
        </is>
      </c>
      <c r="B350" t="inlineStr">
        <is>
          <t>HQ1090.3 .N44 1988</t>
        </is>
      </c>
      <c r="C350" t="inlineStr">
        <is>
          <t>0                      HQ 1090300N  44          1988</t>
        </is>
      </c>
      <c r="D350" t="inlineStr">
        <is>
          <t>The intimate connection : male sexuality, masculine spirituality / James B. Nelson.</t>
        </is>
      </c>
      <c r="F350" t="inlineStr">
        <is>
          <t>No</t>
        </is>
      </c>
      <c r="G350" t="inlineStr">
        <is>
          <t>1</t>
        </is>
      </c>
      <c r="H350" t="inlineStr">
        <is>
          <t>Yes</t>
        </is>
      </c>
      <c r="I350" t="inlineStr">
        <is>
          <t>No</t>
        </is>
      </c>
      <c r="J350" t="inlineStr">
        <is>
          <t>0</t>
        </is>
      </c>
      <c r="K350" t="inlineStr">
        <is>
          <t>Nelson, James B.</t>
        </is>
      </c>
      <c r="L350" t="inlineStr">
        <is>
          <t>Philadelphia : Westminster Press, c1988.</t>
        </is>
      </c>
      <c r="M350" t="inlineStr">
        <is>
          <t>1988</t>
        </is>
      </c>
      <c r="N350" t="inlineStr">
        <is>
          <t>1st ed.</t>
        </is>
      </c>
      <c r="O350" t="inlineStr">
        <is>
          <t>eng</t>
        </is>
      </c>
      <c r="P350" t="inlineStr">
        <is>
          <t>pau</t>
        </is>
      </c>
      <c r="R350" t="inlineStr">
        <is>
          <t xml:space="preserve">HQ </t>
        </is>
      </c>
      <c r="S350" t="n">
        <v>23</v>
      </c>
      <c r="T350" t="n">
        <v>23</v>
      </c>
      <c r="U350" t="inlineStr">
        <is>
          <t>2008-04-08</t>
        </is>
      </c>
      <c r="V350" t="inlineStr">
        <is>
          <t>2008-04-08</t>
        </is>
      </c>
      <c r="W350" t="inlineStr">
        <is>
          <t>1991-08-26</t>
        </is>
      </c>
      <c r="X350" t="inlineStr">
        <is>
          <t>1995-07-31</t>
        </is>
      </c>
      <c r="Y350" t="n">
        <v>483</v>
      </c>
      <c r="Z350" t="n">
        <v>402</v>
      </c>
      <c r="AA350" t="n">
        <v>521</v>
      </c>
      <c r="AB350" t="n">
        <v>6</v>
      </c>
      <c r="AC350" t="n">
        <v>6</v>
      </c>
      <c r="AD350" t="n">
        <v>26</v>
      </c>
      <c r="AE350" t="n">
        <v>30</v>
      </c>
      <c r="AF350" t="n">
        <v>11</v>
      </c>
      <c r="AG350" t="n">
        <v>14</v>
      </c>
      <c r="AH350" t="n">
        <v>3</v>
      </c>
      <c r="AI350" t="n">
        <v>5</v>
      </c>
      <c r="AJ350" t="n">
        <v>16</v>
      </c>
      <c r="AK350" t="n">
        <v>17</v>
      </c>
      <c r="AL350" t="n">
        <v>4</v>
      </c>
      <c r="AM350" t="n">
        <v>4</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HYPERLINK("https://creighton-primo.hosted.exlibrisgroup.com/primo-explore/search?tab=default_tab&amp;search_scope=EVERYTHING&amp;vid=01CRU&amp;lang=en_US&amp;offset=0&amp;query=any,contains,991001637929702656","Catalog Record")</f>
        <v/>
      </c>
      <c r="AT350">
        <f>HYPERLINK("http://www.worldcat.org/oclc/16925300","WorldCat Record")</f>
        <v/>
      </c>
      <c r="AU350" t="inlineStr">
        <is>
          <t>1032813:eng</t>
        </is>
      </c>
      <c r="AV350" t="inlineStr">
        <is>
          <t>16925300</t>
        </is>
      </c>
      <c r="AW350" t="inlineStr">
        <is>
          <t>991001637929702656</t>
        </is>
      </c>
      <c r="AX350" t="inlineStr">
        <is>
          <t>991001637929702656</t>
        </is>
      </c>
      <c r="AY350" t="inlineStr">
        <is>
          <t>2272423270002656</t>
        </is>
      </c>
      <c r="AZ350" t="inlineStr">
        <is>
          <t>BOOK</t>
        </is>
      </c>
      <c r="BB350" t="inlineStr">
        <is>
          <t>9780664240653</t>
        </is>
      </c>
      <c r="BC350" t="inlineStr">
        <is>
          <t>32285000699347</t>
        </is>
      </c>
      <c r="BD350" t="inlineStr">
        <is>
          <t>893225971</t>
        </is>
      </c>
    </row>
    <row r="351">
      <c r="A351" t="inlineStr">
        <is>
          <t>No</t>
        </is>
      </c>
      <c r="B351" t="inlineStr">
        <is>
          <t>HQ1090.3 .R48 1996</t>
        </is>
      </c>
      <c r="C351" t="inlineStr">
        <is>
          <t>0                      HQ 1090300R  48          1996</t>
        </is>
      </c>
      <c r="D351" t="inlineStr">
        <is>
          <t>Rethinking masculinity : philosophical explorations in light of feminism / edited by Larry May, Robert Strikwerda, and Patrick D. Hopkins.</t>
        </is>
      </c>
      <c r="F351" t="inlineStr">
        <is>
          <t>No</t>
        </is>
      </c>
      <c r="G351" t="inlineStr">
        <is>
          <t>1</t>
        </is>
      </c>
      <c r="H351" t="inlineStr">
        <is>
          <t>No</t>
        </is>
      </c>
      <c r="I351" t="inlineStr">
        <is>
          <t>No</t>
        </is>
      </c>
      <c r="J351" t="inlineStr">
        <is>
          <t>0</t>
        </is>
      </c>
      <c r="L351" t="inlineStr">
        <is>
          <t>Lanham, Md. : Rowman &amp; Littlefield, c1996.</t>
        </is>
      </c>
      <c r="M351" t="inlineStr">
        <is>
          <t>1996</t>
        </is>
      </c>
      <c r="N351" t="inlineStr">
        <is>
          <t>2nd ed.</t>
        </is>
      </c>
      <c r="O351" t="inlineStr">
        <is>
          <t>eng</t>
        </is>
      </c>
      <c r="P351" t="inlineStr">
        <is>
          <t>mdu</t>
        </is>
      </c>
      <c r="Q351" t="inlineStr">
        <is>
          <t>New feminist perspectives series</t>
        </is>
      </c>
      <c r="R351" t="inlineStr">
        <is>
          <t xml:space="preserve">HQ </t>
        </is>
      </c>
      <c r="S351" t="n">
        <v>12</v>
      </c>
      <c r="T351" t="n">
        <v>12</v>
      </c>
      <c r="U351" t="inlineStr">
        <is>
          <t>2003-05-02</t>
        </is>
      </c>
      <c r="V351" t="inlineStr">
        <is>
          <t>2003-05-02</t>
        </is>
      </c>
      <c r="W351" t="inlineStr">
        <is>
          <t>1997-03-12</t>
        </is>
      </c>
      <c r="X351" t="inlineStr">
        <is>
          <t>1997-03-12</t>
        </is>
      </c>
      <c r="Y351" t="n">
        <v>374</v>
      </c>
      <c r="Z351" t="n">
        <v>307</v>
      </c>
      <c r="AA351" t="n">
        <v>496</v>
      </c>
      <c r="AB351" t="n">
        <v>3</v>
      </c>
      <c r="AC351" t="n">
        <v>4</v>
      </c>
      <c r="AD351" t="n">
        <v>22</v>
      </c>
      <c r="AE351" t="n">
        <v>34</v>
      </c>
      <c r="AF351" t="n">
        <v>8</v>
      </c>
      <c r="AG351" t="n">
        <v>11</v>
      </c>
      <c r="AH351" t="n">
        <v>7</v>
      </c>
      <c r="AI351" t="n">
        <v>10</v>
      </c>
      <c r="AJ351" t="n">
        <v>9</v>
      </c>
      <c r="AK351" t="n">
        <v>18</v>
      </c>
      <c r="AL351" t="n">
        <v>2</v>
      </c>
      <c r="AM351" t="n">
        <v>3</v>
      </c>
      <c r="AN351" t="n">
        <v>0</v>
      </c>
      <c r="AO351" t="n">
        <v>0</v>
      </c>
      <c r="AP351" t="inlineStr">
        <is>
          <t>No</t>
        </is>
      </c>
      <c r="AQ351" t="inlineStr">
        <is>
          <t>Yes</t>
        </is>
      </c>
      <c r="AR351">
        <f>HYPERLINK("http://catalog.hathitrust.org/Record/101980384","HathiTrust Record")</f>
        <v/>
      </c>
      <c r="AS351">
        <f>HYPERLINK("https://creighton-primo.hosted.exlibrisgroup.com/primo-explore/search?tab=default_tab&amp;search_scope=EVERYTHING&amp;vid=01CRU&amp;lang=en_US&amp;offset=0&amp;query=any,contains,991005423819702656","Catalog Record")</f>
        <v/>
      </c>
      <c r="AT351">
        <f>HYPERLINK("http://www.worldcat.org/oclc/34675247","WorldCat Record")</f>
        <v/>
      </c>
      <c r="AU351" t="inlineStr">
        <is>
          <t>795014770:eng</t>
        </is>
      </c>
      <c r="AV351" t="inlineStr">
        <is>
          <t>34675247</t>
        </is>
      </c>
      <c r="AW351" t="inlineStr">
        <is>
          <t>991005423819702656</t>
        </is>
      </c>
      <c r="AX351" t="inlineStr">
        <is>
          <t>991005423819702656</t>
        </is>
      </c>
      <c r="AY351" t="inlineStr">
        <is>
          <t>2265196410002656</t>
        </is>
      </c>
      <c r="AZ351" t="inlineStr">
        <is>
          <t>BOOK</t>
        </is>
      </c>
      <c r="BB351" t="inlineStr">
        <is>
          <t>9780847682560</t>
        </is>
      </c>
      <c r="BC351" t="inlineStr">
        <is>
          <t>32285002442019</t>
        </is>
      </c>
      <c r="BD351" t="inlineStr">
        <is>
          <t>893777456</t>
        </is>
      </c>
    </row>
    <row r="352">
      <c r="A352" t="inlineStr">
        <is>
          <t>No</t>
        </is>
      </c>
      <c r="B352" t="inlineStr">
        <is>
          <t>HQ1090.3 .S495 1998</t>
        </is>
      </c>
      <c r="C352" t="inlineStr">
        <is>
          <t>0                      HQ 1090300S  495         1998</t>
        </is>
      </c>
      <c r="D352" t="inlineStr">
        <is>
          <t>Understanding men's passages : discovering the new map of men's lives / Gail Sheehy.</t>
        </is>
      </c>
      <c r="F352" t="inlineStr">
        <is>
          <t>No</t>
        </is>
      </c>
      <c r="G352" t="inlineStr">
        <is>
          <t>1</t>
        </is>
      </c>
      <c r="H352" t="inlineStr">
        <is>
          <t>No</t>
        </is>
      </c>
      <c r="I352" t="inlineStr">
        <is>
          <t>No</t>
        </is>
      </c>
      <c r="J352" t="inlineStr">
        <is>
          <t>0</t>
        </is>
      </c>
      <c r="K352" t="inlineStr">
        <is>
          <t>Sheehy, Gail.</t>
        </is>
      </c>
      <c r="L352" t="inlineStr">
        <is>
          <t>New York : Random House, c1998.</t>
        </is>
      </c>
      <c r="M352" t="inlineStr">
        <is>
          <t>1998</t>
        </is>
      </c>
      <c r="N352" t="inlineStr">
        <is>
          <t>1st ed.</t>
        </is>
      </c>
      <c r="O352" t="inlineStr">
        <is>
          <t>eng</t>
        </is>
      </c>
      <c r="P352" t="inlineStr">
        <is>
          <t>nyu</t>
        </is>
      </c>
      <c r="R352" t="inlineStr">
        <is>
          <t xml:space="preserve">HQ </t>
        </is>
      </c>
      <c r="S352" t="n">
        <v>2</v>
      </c>
      <c r="T352" t="n">
        <v>2</v>
      </c>
      <c r="U352" t="inlineStr">
        <is>
          <t>1998-10-28</t>
        </is>
      </c>
      <c r="V352" t="inlineStr">
        <is>
          <t>1998-10-28</t>
        </is>
      </c>
      <c r="W352" t="inlineStr">
        <is>
          <t>1998-06-08</t>
        </is>
      </c>
      <c r="X352" t="inlineStr">
        <is>
          <t>1998-06-08</t>
        </is>
      </c>
      <c r="Y352" t="n">
        <v>1554</v>
      </c>
      <c r="Z352" t="n">
        <v>1498</v>
      </c>
      <c r="AA352" t="n">
        <v>1705</v>
      </c>
      <c r="AB352" t="n">
        <v>10</v>
      </c>
      <c r="AC352" t="n">
        <v>12</v>
      </c>
      <c r="AD352" t="n">
        <v>27</v>
      </c>
      <c r="AE352" t="n">
        <v>27</v>
      </c>
      <c r="AF352" t="n">
        <v>9</v>
      </c>
      <c r="AG352" t="n">
        <v>9</v>
      </c>
      <c r="AH352" t="n">
        <v>6</v>
      </c>
      <c r="AI352" t="n">
        <v>6</v>
      </c>
      <c r="AJ352" t="n">
        <v>10</v>
      </c>
      <c r="AK352" t="n">
        <v>10</v>
      </c>
      <c r="AL352" t="n">
        <v>5</v>
      </c>
      <c r="AM352" t="n">
        <v>5</v>
      </c>
      <c r="AN352" t="n">
        <v>1</v>
      </c>
      <c r="AO352" t="n">
        <v>1</v>
      </c>
      <c r="AP352" t="inlineStr">
        <is>
          <t>No</t>
        </is>
      </c>
      <c r="AQ352" t="inlineStr">
        <is>
          <t>Yes</t>
        </is>
      </c>
      <c r="AR352">
        <f>HYPERLINK("http://catalog.hathitrust.org/Record/003974457","HathiTrust Record")</f>
        <v/>
      </c>
      <c r="AS352">
        <f>HYPERLINK("https://creighton-primo.hosted.exlibrisgroup.com/primo-explore/search?tab=default_tab&amp;search_scope=EVERYTHING&amp;vid=01CRU&amp;lang=en_US&amp;offset=0&amp;query=any,contains,991002898329702656","Catalog Record")</f>
        <v/>
      </c>
      <c r="AT352">
        <f>HYPERLINK("http://www.worldcat.org/oclc/38206628","WorldCat Record")</f>
        <v/>
      </c>
      <c r="AU352" t="inlineStr">
        <is>
          <t>570356:eng</t>
        </is>
      </c>
      <c r="AV352" t="inlineStr">
        <is>
          <t>38206628</t>
        </is>
      </c>
      <c r="AW352" t="inlineStr">
        <is>
          <t>991002898329702656</t>
        </is>
      </c>
      <c r="AX352" t="inlineStr">
        <is>
          <t>991002898329702656</t>
        </is>
      </c>
      <c r="AY352" t="inlineStr">
        <is>
          <t>2272367070002656</t>
        </is>
      </c>
      <c r="AZ352" t="inlineStr">
        <is>
          <t>BOOK</t>
        </is>
      </c>
      <c r="BB352" t="inlineStr">
        <is>
          <t>9780679452737</t>
        </is>
      </c>
      <c r="BC352" t="inlineStr">
        <is>
          <t>32285003413126</t>
        </is>
      </c>
      <c r="BD352" t="inlineStr">
        <is>
          <t>893524175</t>
        </is>
      </c>
    </row>
    <row r="353">
      <c r="A353" t="inlineStr">
        <is>
          <t>No</t>
        </is>
      </c>
      <c r="B353" t="inlineStr">
        <is>
          <t>HQ1090.3 .T35</t>
        </is>
      </c>
      <c r="C353" t="inlineStr">
        <is>
          <t>0                      HQ 1090300T  35</t>
        </is>
      </c>
      <c r="D353" t="inlineStr">
        <is>
          <t>Men in their forties : the transition to middle age / Lois M. Tamir.</t>
        </is>
      </c>
      <c r="F353" t="inlineStr">
        <is>
          <t>No</t>
        </is>
      </c>
      <c r="G353" t="inlineStr">
        <is>
          <t>1</t>
        </is>
      </c>
      <c r="H353" t="inlineStr">
        <is>
          <t>No</t>
        </is>
      </c>
      <c r="I353" t="inlineStr">
        <is>
          <t>No</t>
        </is>
      </c>
      <c r="J353" t="inlineStr">
        <is>
          <t>0</t>
        </is>
      </c>
      <c r="K353" t="inlineStr">
        <is>
          <t>Tamir, Lois M., 1954-</t>
        </is>
      </c>
      <c r="L353" t="inlineStr">
        <is>
          <t>New York : Springer Pub. Co., c1982.</t>
        </is>
      </c>
      <c r="M353" t="inlineStr">
        <is>
          <t>1982</t>
        </is>
      </c>
      <c r="O353" t="inlineStr">
        <is>
          <t>eng</t>
        </is>
      </c>
      <c r="P353" t="inlineStr">
        <is>
          <t>nyu</t>
        </is>
      </c>
      <c r="Q353" t="inlineStr">
        <is>
          <t>Springer series, focus on men, 0277-3422 ; v. 2</t>
        </is>
      </c>
      <c r="R353" t="inlineStr">
        <is>
          <t xml:space="preserve">HQ </t>
        </is>
      </c>
      <c r="S353" t="n">
        <v>4</v>
      </c>
      <c r="T353" t="n">
        <v>4</v>
      </c>
      <c r="U353" t="inlineStr">
        <is>
          <t>1998-11-13</t>
        </is>
      </c>
      <c r="V353" t="inlineStr">
        <is>
          <t>1998-11-13</t>
        </is>
      </c>
      <c r="W353" t="inlineStr">
        <is>
          <t>1993-04-26</t>
        </is>
      </c>
      <c r="X353" t="inlineStr">
        <is>
          <t>1993-04-26</t>
        </is>
      </c>
      <c r="Y353" t="n">
        <v>584</v>
      </c>
      <c r="Z353" t="n">
        <v>510</v>
      </c>
      <c r="AA353" t="n">
        <v>517</v>
      </c>
      <c r="AB353" t="n">
        <v>5</v>
      </c>
      <c r="AC353" t="n">
        <v>5</v>
      </c>
      <c r="AD353" t="n">
        <v>27</v>
      </c>
      <c r="AE353" t="n">
        <v>27</v>
      </c>
      <c r="AF353" t="n">
        <v>11</v>
      </c>
      <c r="AG353" t="n">
        <v>11</v>
      </c>
      <c r="AH353" t="n">
        <v>8</v>
      </c>
      <c r="AI353" t="n">
        <v>8</v>
      </c>
      <c r="AJ353" t="n">
        <v>14</v>
      </c>
      <c r="AK353" t="n">
        <v>14</v>
      </c>
      <c r="AL353" t="n">
        <v>4</v>
      </c>
      <c r="AM353" t="n">
        <v>4</v>
      </c>
      <c r="AN353" t="n">
        <v>0</v>
      </c>
      <c r="AO353" t="n">
        <v>0</v>
      </c>
      <c r="AP353" t="inlineStr">
        <is>
          <t>No</t>
        </is>
      </c>
      <c r="AQ353" t="inlineStr">
        <is>
          <t>Yes</t>
        </is>
      </c>
      <c r="AR353">
        <f>HYPERLINK("http://catalog.hathitrust.org/Record/000760470","HathiTrust Record")</f>
        <v/>
      </c>
      <c r="AS353">
        <f>HYPERLINK("https://creighton-primo.hosted.exlibrisgroup.com/primo-explore/search?tab=default_tab&amp;search_scope=EVERYTHING&amp;vid=01CRU&amp;lang=en_US&amp;offset=0&amp;query=any,contains,991005159859702656","Catalog Record")</f>
        <v/>
      </c>
      <c r="AT353">
        <f>HYPERLINK("http://www.worldcat.org/oclc/7774219","WorldCat Record")</f>
        <v/>
      </c>
      <c r="AU353" t="inlineStr">
        <is>
          <t>308950553:eng</t>
        </is>
      </c>
      <c r="AV353" t="inlineStr">
        <is>
          <t>7774219</t>
        </is>
      </c>
      <c r="AW353" t="inlineStr">
        <is>
          <t>991005159859702656</t>
        </is>
      </c>
      <c r="AX353" t="inlineStr">
        <is>
          <t>991005159859702656</t>
        </is>
      </c>
      <c r="AY353" t="inlineStr">
        <is>
          <t>2266993120002656</t>
        </is>
      </c>
      <c r="AZ353" t="inlineStr">
        <is>
          <t>BOOK</t>
        </is>
      </c>
      <c r="BB353" t="inlineStr">
        <is>
          <t>9780826136305</t>
        </is>
      </c>
      <c r="BC353" t="inlineStr">
        <is>
          <t>32285001627016</t>
        </is>
      </c>
      <c r="BD353" t="inlineStr">
        <is>
          <t>893533281</t>
        </is>
      </c>
    </row>
    <row r="354">
      <c r="A354" t="inlineStr">
        <is>
          <t>No</t>
        </is>
      </c>
      <c r="B354" t="inlineStr">
        <is>
          <t>HQ1090.5.W4 A37 2001</t>
        </is>
      </c>
      <c r="C354" t="inlineStr">
        <is>
          <t>0                      HQ 1090500W  4                  A  37          2001</t>
        </is>
      </c>
      <c r="D354" t="inlineStr">
        <is>
          <t>Across the Great Divide : cultures of manhood in the American West / edited by Matthew Basso, Laura McCall, and Dee Garceau.</t>
        </is>
      </c>
      <c r="F354" t="inlineStr">
        <is>
          <t>No</t>
        </is>
      </c>
      <c r="G354" t="inlineStr">
        <is>
          <t>1</t>
        </is>
      </c>
      <c r="H354" t="inlineStr">
        <is>
          <t>No</t>
        </is>
      </c>
      <c r="I354" t="inlineStr">
        <is>
          <t>No</t>
        </is>
      </c>
      <c r="J354" t="inlineStr">
        <is>
          <t>0</t>
        </is>
      </c>
      <c r="L354" t="inlineStr">
        <is>
          <t>New York : Routledge, 2001.</t>
        </is>
      </c>
      <c r="M354" t="inlineStr">
        <is>
          <t>2001</t>
        </is>
      </c>
      <c r="O354" t="inlineStr">
        <is>
          <t>eng</t>
        </is>
      </c>
      <c r="P354" t="inlineStr">
        <is>
          <t>nyu</t>
        </is>
      </c>
      <c r="R354" t="inlineStr">
        <is>
          <t xml:space="preserve">HQ </t>
        </is>
      </c>
      <c r="S354" t="n">
        <v>1</v>
      </c>
      <c r="T354" t="n">
        <v>1</v>
      </c>
      <c r="U354" t="inlineStr">
        <is>
          <t>2007-07-17</t>
        </is>
      </c>
      <c r="V354" t="inlineStr">
        <is>
          <t>2007-07-17</t>
        </is>
      </c>
      <c r="W354" t="inlineStr">
        <is>
          <t>2001-09-05</t>
        </is>
      </c>
      <c r="X354" t="inlineStr">
        <is>
          <t>2001-09-05</t>
        </is>
      </c>
      <c r="Y354" t="n">
        <v>402</v>
      </c>
      <c r="Z354" t="n">
        <v>325</v>
      </c>
      <c r="AA354" t="n">
        <v>351</v>
      </c>
      <c r="AB354" t="n">
        <v>4</v>
      </c>
      <c r="AC354" t="n">
        <v>4</v>
      </c>
      <c r="AD354" t="n">
        <v>18</v>
      </c>
      <c r="AE354" t="n">
        <v>18</v>
      </c>
      <c r="AF354" t="n">
        <v>4</v>
      </c>
      <c r="AG354" t="n">
        <v>4</v>
      </c>
      <c r="AH354" t="n">
        <v>6</v>
      </c>
      <c r="AI354" t="n">
        <v>6</v>
      </c>
      <c r="AJ354" t="n">
        <v>10</v>
      </c>
      <c r="AK354" t="n">
        <v>10</v>
      </c>
      <c r="AL354" t="n">
        <v>3</v>
      </c>
      <c r="AM354" t="n">
        <v>3</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HYPERLINK("https://creighton-primo.hosted.exlibrisgroup.com/primo-explore/search?tab=default_tab&amp;search_scope=EVERYTHING&amp;vid=01CRU&amp;lang=en_US&amp;offset=0&amp;query=any,contains,991003596369702656","Catalog Record")</f>
        <v/>
      </c>
      <c r="AT354">
        <f>HYPERLINK("http://www.worldcat.org/oclc/44270538","WorldCat Record")</f>
        <v/>
      </c>
      <c r="AU354" t="inlineStr">
        <is>
          <t>837018214:eng</t>
        </is>
      </c>
      <c r="AV354" t="inlineStr">
        <is>
          <t>44270538</t>
        </is>
      </c>
      <c r="AW354" t="inlineStr">
        <is>
          <t>991003596369702656</t>
        </is>
      </c>
      <c r="AX354" t="inlineStr">
        <is>
          <t>991003596369702656</t>
        </is>
      </c>
      <c r="AY354" t="inlineStr">
        <is>
          <t>2263331490002656</t>
        </is>
      </c>
      <c r="AZ354" t="inlineStr">
        <is>
          <t>BOOK</t>
        </is>
      </c>
      <c r="BB354" t="inlineStr">
        <is>
          <t>9780415924702</t>
        </is>
      </c>
      <c r="BC354" t="inlineStr">
        <is>
          <t>32285004384664</t>
        </is>
      </c>
      <c r="BD354" t="inlineStr">
        <is>
          <t>893887649</t>
        </is>
      </c>
    </row>
    <row r="355">
      <c r="A355" t="inlineStr">
        <is>
          <t>No</t>
        </is>
      </c>
      <c r="B355" t="inlineStr">
        <is>
          <t>HQ1090.7.C2 G75 1995</t>
        </is>
      </c>
      <c r="C355" t="inlineStr">
        <is>
          <t>0                      HQ 1090700C  2                  G  75          1995</t>
        </is>
      </c>
      <c r="D355" t="inlineStr">
        <is>
          <t>Marrying &amp; burying : rites of passage in a man's life / Ronald L. Grimes.</t>
        </is>
      </c>
      <c r="F355" t="inlineStr">
        <is>
          <t>No</t>
        </is>
      </c>
      <c r="G355" t="inlineStr">
        <is>
          <t>1</t>
        </is>
      </c>
      <c r="H355" t="inlineStr">
        <is>
          <t>No</t>
        </is>
      </c>
      <c r="I355" t="inlineStr">
        <is>
          <t>No</t>
        </is>
      </c>
      <c r="J355" t="inlineStr">
        <is>
          <t>0</t>
        </is>
      </c>
      <c r="K355" t="inlineStr">
        <is>
          <t>Grimes, Ronald L., 1943-</t>
        </is>
      </c>
      <c r="L355" t="inlineStr">
        <is>
          <t>Boulder : Westview Press, 1995.</t>
        </is>
      </c>
      <c r="M355" t="inlineStr">
        <is>
          <t>1995</t>
        </is>
      </c>
      <c r="O355" t="inlineStr">
        <is>
          <t>eng</t>
        </is>
      </c>
      <c r="P355" t="inlineStr">
        <is>
          <t>cou</t>
        </is>
      </c>
      <c r="R355" t="inlineStr">
        <is>
          <t xml:space="preserve">HQ </t>
        </is>
      </c>
      <c r="S355" t="n">
        <v>6</v>
      </c>
      <c r="T355" t="n">
        <v>6</v>
      </c>
      <c r="U355" t="inlineStr">
        <is>
          <t>2004-11-30</t>
        </is>
      </c>
      <c r="V355" t="inlineStr">
        <is>
          <t>2004-11-30</t>
        </is>
      </c>
      <c r="W355" t="inlineStr">
        <is>
          <t>1996-05-28</t>
        </is>
      </c>
      <c r="X355" t="inlineStr">
        <is>
          <t>1996-05-28</t>
        </is>
      </c>
      <c r="Y355" t="n">
        <v>338</v>
      </c>
      <c r="Z355" t="n">
        <v>274</v>
      </c>
      <c r="AA355" t="n">
        <v>298</v>
      </c>
      <c r="AB355" t="n">
        <v>2</v>
      </c>
      <c r="AC355" t="n">
        <v>2</v>
      </c>
      <c r="AD355" t="n">
        <v>12</v>
      </c>
      <c r="AE355" t="n">
        <v>12</v>
      </c>
      <c r="AF355" t="n">
        <v>4</v>
      </c>
      <c r="AG355" t="n">
        <v>4</v>
      </c>
      <c r="AH355" t="n">
        <v>4</v>
      </c>
      <c r="AI355" t="n">
        <v>4</v>
      </c>
      <c r="AJ355" t="n">
        <v>7</v>
      </c>
      <c r="AK355" t="n">
        <v>7</v>
      </c>
      <c r="AL355" t="n">
        <v>1</v>
      </c>
      <c r="AM355" t="n">
        <v>1</v>
      </c>
      <c r="AN355" t="n">
        <v>0</v>
      </c>
      <c r="AO355" t="n">
        <v>0</v>
      </c>
      <c r="AP355" t="inlineStr">
        <is>
          <t>No</t>
        </is>
      </c>
      <c r="AQ355" t="inlineStr">
        <is>
          <t>Yes</t>
        </is>
      </c>
      <c r="AR355">
        <f>HYPERLINK("http://catalog.hathitrust.org/Record/002938479","HathiTrust Record")</f>
        <v/>
      </c>
      <c r="AS355">
        <f>HYPERLINK("https://creighton-primo.hosted.exlibrisgroup.com/primo-explore/search?tab=default_tab&amp;search_scope=EVERYTHING&amp;vid=01CRU&amp;lang=en_US&amp;offset=0&amp;query=any,contains,991002378239702656","Catalog Record")</f>
        <v/>
      </c>
      <c r="AT355">
        <f>HYPERLINK("http://www.worldcat.org/oclc/30913161","WorldCat Record")</f>
        <v/>
      </c>
      <c r="AU355" t="inlineStr">
        <is>
          <t>836921093:eng</t>
        </is>
      </c>
      <c r="AV355" t="inlineStr">
        <is>
          <t>30913161</t>
        </is>
      </c>
      <c r="AW355" t="inlineStr">
        <is>
          <t>991002378239702656</t>
        </is>
      </c>
      <c r="AX355" t="inlineStr">
        <is>
          <t>991002378239702656</t>
        </is>
      </c>
      <c r="AY355" t="inlineStr">
        <is>
          <t>2270138150002656</t>
        </is>
      </c>
      <c r="AZ355" t="inlineStr">
        <is>
          <t>BOOK</t>
        </is>
      </c>
      <c r="BB355" t="inlineStr">
        <is>
          <t>9780813324593</t>
        </is>
      </c>
      <c r="BC355" t="inlineStr">
        <is>
          <t>32285002178076</t>
        </is>
      </c>
      <c r="BD355" t="inlineStr">
        <is>
          <t>893716376</t>
        </is>
      </c>
    </row>
    <row r="356">
      <c r="A356" t="inlineStr">
        <is>
          <t>No</t>
        </is>
      </c>
      <c r="B356" t="inlineStr">
        <is>
          <t>HQ1090.7.E85 H43 2006</t>
        </is>
      </c>
      <c r="C356" t="inlineStr">
        <is>
          <t>0                      HQ 1090700E  85                 H  43          2006</t>
        </is>
      </c>
      <c r="D356" t="inlineStr">
        <is>
          <t>European perspectives on men and masculinities : national and transnational approaches / Jeff Hearn and Keith Pringle, with members of Critical Research on Men in Europe (CROME).</t>
        </is>
      </c>
      <c r="F356" t="inlineStr">
        <is>
          <t>No</t>
        </is>
      </c>
      <c r="G356" t="inlineStr">
        <is>
          <t>1</t>
        </is>
      </c>
      <c r="H356" t="inlineStr">
        <is>
          <t>No</t>
        </is>
      </c>
      <c r="I356" t="inlineStr">
        <is>
          <t>No</t>
        </is>
      </c>
      <c r="J356" t="inlineStr">
        <is>
          <t>0</t>
        </is>
      </c>
      <c r="K356" t="inlineStr">
        <is>
          <t>Hearn, Jeff, 1947-</t>
        </is>
      </c>
      <c r="L356" t="inlineStr">
        <is>
          <t>Basingstoke [England] ; New York : Palgrave Macmillan, 2006.</t>
        </is>
      </c>
      <c r="M356" t="inlineStr">
        <is>
          <t>2006</t>
        </is>
      </c>
      <c r="O356" t="inlineStr">
        <is>
          <t>eng</t>
        </is>
      </c>
      <c r="P356" t="inlineStr">
        <is>
          <t>enk</t>
        </is>
      </c>
      <c r="R356" t="inlineStr">
        <is>
          <t xml:space="preserve">HQ </t>
        </is>
      </c>
      <c r="S356" t="n">
        <v>1</v>
      </c>
      <c r="T356" t="n">
        <v>1</v>
      </c>
      <c r="U356" t="inlineStr">
        <is>
          <t>2008-02-25</t>
        </is>
      </c>
      <c r="V356" t="inlineStr">
        <is>
          <t>2008-02-25</t>
        </is>
      </c>
      <c r="W356" t="inlineStr">
        <is>
          <t>2008-02-25</t>
        </is>
      </c>
      <c r="X356" t="inlineStr">
        <is>
          <t>2008-02-25</t>
        </is>
      </c>
      <c r="Y356" t="n">
        <v>245</v>
      </c>
      <c r="Z356" t="n">
        <v>162</v>
      </c>
      <c r="AA356" t="n">
        <v>200</v>
      </c>
      <c r="AB356" t="n">
        <v>2</v>
      </c>
      <c r="AC356" t="n">
        <v>2</v>
      </c>
      <c r="AD356" t="n">
        <v>6</v>
      </c>
      <c r="AE356" t="n">
        <v>9</v>
      </c>
      <c r="AF356" t="n">
        <v>2</v>
      </c>
      <c r="AG356" t="n">
        <v>5</v>
      </c>
      <c r="AH356" t="n">
        <v>2</v>
      </c>
      <c r="AI356" t="n">
        <v>3</v>
      </c>
      <c r="AJ356" t="n">
        <v>2</v>
      </c>
      <c r="AK356" t="n">
        <v>4</v>
      </c>
      <c r="AL356" t="n">
        <v>1</v>
      </c>
      <c r="AM356" t="n">
        <v>1</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HYPERLINK("https://creighton-primo.hosted.exlibrisgroup.com/primo-explore/search?tab=default_tab&amp;search_scope=EVERYTHING&amp;vid=01CRU&amp;lang=en_US&amp;offset=0&amp;query=any,contains,991005173129702656","Catalog Record")</f>
        <v/>
      </c>
      <c r="AT356">
        <f>HYPERLINK("http://www.worldcat.org/oclc/64487136","WorldCat Record")</f>
        <v/>
      </c>
      <c r="AU356" t="inlineStr">
        <is>
          <t>800908244:eng</t>
        </is>
      </c>
      <c r="AV356" t="inlineStr">
        <is>
          <t>64487136</t>
        </is>
      </c>
      <c r="AW356" t="inlineStr">
        <is>
          <t>991005173129702656</t>
        </is>
      </c>
      <c r="AX356" t="inlineStr">
        <is>
          <t>991005173129702656</t>
        </is>
      </c>
      <c r="AY356" t="inlineStr">
        <is>
          <t>2262525600002656</t>
        </is>
      </c>
      <c r="AZ356" t="inlineStr">
        <is>
          <t>BOOK</t>
        </is>
      </c>
      <c r="BB356" t="inlineStr">
        <is>
          <t>9781403918130</t>
        </is>
      </c>
      <c r="BC356" t="inlineStr">
        <is>
          <t>32285005394076</t>
        </is>
      </c>
      <c r="BD356" t="inlineStr">
        <is>
          <t>893254584</t>
        </is>
      </c>
    </row>
    <row r="357">
      <c r="A357" t="inlineStr">
        <is>
          <t>No</t>
        </is>
      </c>
      <c r="B357" t="inlineStr">
        <is>
          <t>HQ1090.7.G8 H46 1985</t>
        </is>
      </c>
      <c r="C357" t="inlineStr">
        <is>
          <t>0                      HQ 1090700G  8                  H  46          1985</t>
        </is>
      </c>
      <c r="D357" t="inlineStr">
        <is>
          <t>The poetics of manhood : contest and identity in a Cretan mountain village / Michael Herzfeld.</t>
        </is>
      </c>
      <c r="F357" t="inlineStr">
        <is>
          <t>No</t>
        </is>
      </c>
      <c r="G357" t="inlineStr">
        <is>
          <t>1</t>
        </is>
      </c>
      <c r="H357" t="inlineStr">
        <is>
          <t>No</t>
        </is>
      </c>
      <c r="I357" t="inlineStr">
        <is>
          <t>No</t>
        </is>
      </c>
      <c r="J357" t="inlineStr">
        <is>
          <t>0</t>
        </is>
      </c>
      <c r="K357" t="inlineStr">
        <is>
          <t>Herzfeld, Michael, 1947-</t>
        </is>
      </c>
      <c r="L357" t="inlineStr">
        <is>
          <t>Princeton, N.J. : Princeton University Press, c1985.</t>
        </is>
      </c>
      <c r="M357" t="inlineStr">
        <is>
          <t>1985</t>
        </is>
      </c>
      <c r="O357" t="inlineStr">
        <is>
          <t>eng</t>
        </is>
      </c>
      <c r="P357" t="inlineStr">
        <is>
          <t>nju</t>
        </is>
      </c>
      <c r="R357" t="inlineStr">
        <is>
          <t xml:space="preserve">HQ </t>
        </is>
      </c>
      <c r="S357" t="n">
        <v>10</v>
      </c>
      <c r="T357" t="n">
        <v>10</v>
      </c>
      <c r="U357" t="inlineStr">
        <is>
          <t>2003-03-03</t>
        </is>
      </c>
      <c r="V357" t="inlineStr">
        <is>
          <t>2003-03-03</t>
        </is>
      </c>
      <c r="W357" t="inlineStr">
        <is>
          <t>1993-04-26</t>
        </is>
      </c>
      <c r="X357" t="inlineStr">
        <is>
          <t>1993-04-26</t>
        </is>
      </c>
      <c r="Y357" t="n">
        <v>476</v>
      </c>
      <c r="Z357" t="n">
        <v>364</v>
      </c>
      <c r="AA357" t="n">
        <v>540</v>
      </c>
      <c r="AB357" t="n">
        <v>3</v>
      </c>
      <c r="AC357" t="n">
        <v>3</v>
      </c>
      <c r="AD357" t="n">
        <v>15</v>
      </c>
      <c r="AE357" t="n">
        <v>23</v>
      </c>
      <c r="AF357" t="n">
        <v>4</v>
      </c>
      <c r="AG357" t="n">
        <v>10</v>
      </c>
      <c r="AH357" t="n">
        <v>4</v>
      </c>
      <c r="AI357" t="n">
        <v>6</v>
      </c>
      <c r="AJ357" t="n">
        <v>9</v>
      </c>
      <c r="AK357" t="n">
        <v>12</v>
      </c>
      <c r="AL357" t="n">
        <v>2</v>
      </c>
      <c r="AM357" t="n">
        <v>2</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HYPERLINK("https://creighton-primo.hosted.exlibrisgroup.com/primo-explore/search?tab=default_tab&amp;search_scope=EVERYTHING&amp;vid=01CRU&amp;lang=en_US&amp;offset=0&amp;query=any,contains,991000558119702656","Catalog Record")</f>
        <v/>
      </c>
      <c r="AT357">
        <f>HYPERLINK("http://www.worldcat.org/oclc/11573646","WorldCat Record")</f>
        <v/>
      </c>
      <c r="AU357" t="inlineStr">
        <is>
          <t>893413:eng</t>
        </is>
      </c>
      <c r="AV357" t="inlineStr">
        <is>
          <t>11573646</t>
        </is>
      </c>
      <c r="AW357" t="inlineStr">
        <is>
          <t>991000558119702656</t>
        </is>
      </c>
      <c r="AX357" t="inlineStr">
        <is>
          <t>991000558119702656</t>
        </is>
      </c>
      <c r="AY357" t="inlineStr">
        <is>
          <t>2265555810002656</t>
        </is>
      </c>
      <c r="AZ357" t="inlineStr">
        <is>
          <t>BOOK</t>
        </is>
      </c>
      <c r="BB357" t="inlineStr">
        <is>
          <t>9780691094106</t>
        </is>
      </c>
      <c r="BC357" t="inlineStr">
        <is>
          <t>32285001627040</t>
        </is>
      </c>
      <c r="BD357" t="inlineStr">
        <is>
          <t>893589558</t>
        </is>
      </c>
    </row>
    <row r="358">
      <c r="A358" t="inlineStr">
        <is>
          <t>No</t>
        </is>
      </c>
      <c r="B358" t="inlineStr">
        <is>
          <t>HQ1090.7.J3 K56 1981</t>
        </is>
      </c>
      <c r="C358" t="inlineStr">
        <is>
          <t>0                      HQ 1090700J  3                  K  56          1981</t>
        </is>
      </c>
      <c r="D358" t="inlineStr">
        <is>
          <t>The self-made man in Meiji Japanese thought : from samurai to salary man / Earl H. Kinmonth.</t>
        </is>
      </c>
      <c r="F358" t="inlineStr">
        <is>
          <t>No</t>
        </is>
      </c>
      <c r="G358" t="inlineStr">
        <is>
          <t>1</t>
        </is>
      </c>
      <c r="H358" t="inlineStr">
        <is>
          <t>No</t>
        </is>
      </c>
      <c r="I358" t="inlineStr">
        <is>
          <t>No</t>
        </is>
      </c>
      <c r="J358" t="inlineStr">
        <is>
          <t>0</t>
        </is>
      </c>
      <c r="K358" t="inlineStr">
        <is>
          <t>Kinmonth, Earl H., 1946-</t>
        </is>
      </c>
      <c r="L358" t="inlineStr">
        <is>
          <t>Berkeley : University of California Press, c1981.</t>
        </is>
      </c>
      <c r="M358" t="inlineStr">
        <is>
          <t>1981</t>
        </is>
      </c>
      <c r="O358" t="inlineStr">
        <is>
          <t>eng</t>
        </is>
      </c>
      <c r="P358" t="inlineStr">
        <is>
          <t>cau</t>
        </is>
      </c>
      <c r="R358" t="inlineStr">
        <is>
          <t xml:space="preserve">HQ </t>
        </is>
      </c>
      <c r="S358" t="n">
        <v>6</v>
      </c>
      <c r="T358" t="n">
        <v>6</v>
      </c>
      <c r="U358" t="inlineStr">
        <is>
          <t>2003-04-15</t>
        </is>
      </c>
      <c r="V358" t="inlineStr">
        <is>
          <t>2003-04-15</t>
        </is>
      </c>
      <c r="W358" t="inlineStr">
        <is>
          <t>1992-04-08</t>
        </is>
      </c>
      <c r="X358" t="inlineStr">
        <is>
          <t>1992-04-08</t>
        </is>
      </c>
      <c r="Y358" t="n">
        <v>448</v>
      </c>
      <c r="Z358" t="n">
        <v>352</v>
      </c>
      <c r="AA358" t="n">
        <v>355</v>
      </c>
      <c r="AB358" t="n">
        <v>3</v>
      </c>
      <c r="AC358" t="n">
        <v>3</v>
      </c>
      <c r="AD358" t="n">
        <v>17</v>
      </c>
      <c r="AE358" t="n">
        <v>17</v>
      </c>
      <c r="AF358" t="n">
        <v>5</v>
      </c>
      <c r="AG358" t="n">
        <v>5</v>
      </c>
      <c r="AH358" t="n">
        <v>6</v>
      </c>
      <c r="AI358" t="n">
        <v>6</v>
      </c>
      <c r="AJ358" t="n">
        <v>8</v>
      </c>
      <c r="AK358" t="n">
        <v>8</v>
      </c>
      <c r="AL358" t="n">
        <v>2</v>
      </c>
      <c r="AM358" t="n">
        <v>2</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HYPERLINK("https://creighton-primo.hosted.exlibrisgroup.com/primo-explore/search?tab=default_tab&amp;search_scope=EVERYTHING&amp;vid=01CRU&amp;lang=en_US&amp;offset=0&amp;query=any,contains,991004984799702656","Catalog Record")</f>
        <v/>
      </c>
      <c r="AT358">
        <f>HYPERLINK("http://www.worldcat.org/oclc/6447032","WorldCat Record")</f>
        <v/>
      </c>
      <c r="AU358" t="inlineStr">
        <is>
          <t>2598618:eng</t>
        </is>
      </c>
      <c r="AV358" t="inlineStr">
        <is>
          <t>6447032</t>
        </is>
      </c>
      <c r="AW358" t="inlineStr">
        <is>
          <t>991004984799702656</t>
        </is>
      </c>
      <c r="AX358" t="inlineStr">
        <is>
          <t>991004984799702656</t>
        </is>
      </c>
      <c r="AY358" t="inlineStr">
        <is>
          <t>2255560170002656</t>
        </is>
      </c>
      <c r="AZ358" t="inlineStr">
        <is>
          <t>BOOK</t>
        </is>
      </c>
      <c r="BB358" t="inlineStr">
        <is>
          <t>9780520041592</t>
        </is>
      </c>
      <c r="BC358" t="inlineStr">
        <is>
          <t>32285001056448</t>
        </is>
      </c>
      <c r="BD358" t="inlineStr">
        <is>
          <t>893789288</t>
        </is>
      </c>
    </row>
    <row r="359">
      <c r="A359" t="inlineStr">
        <is>
          <t>No</t>
        </is>
      </c>
      <c r="B359" t="inlineStr">
        <is>
          <t>HQ1090.7.M628 I53 2000</t>
        </is>
      </c>
      <c r="C359" t="inlineStr">
        <is>
          <t>0                      HQ 1090700M  628                I  53          2000</t>
        </is>
      </c>
      <c r="D359" t="inlineStr">
        <is>
          <t>Imagined masculinities : male identity and culture in the modern Middle East / edited by Mai Ghoussoub and Emma Sinclair-Webb.</t>
        </is>
      </c>
      <c r="F359" t="inlineStr">
        <is>
          <t>No</t>
        </is>
      </c>
      <c r="G359" t="inlineStr">
        <is>
          <t>1</t>
        </is>
      </c>
      <c r="H359" t="inlineStr">
        <is>
          <t>No</t>
        </is>
      </c>
      <c r="I359" t="inlineStr">
        <is>
          <t>No</t>
        </is>
      </c>
      <c r="J359" t="inlineStr">
        <is>
          <t>0</t>
        </is>
      </c>
      <c r="L359" t="inlineStr">
        <is>
          <t>London : Saqi, 2000.</t>
        </is>
      </c>
      <c r="M359" t="inlineStr">
        <is>
          <t>2000</t>
        </is>
      </c>
      <c r="O359" t="inlineStr">
        <is>
          <t>eng</t>
        </is>
      </c>
      <c r="P359" t="inlineStr">
        <is>
          <t>enk</t>
        </is>
      </c>
      <c r="R359" t="inlineStr">
        <is>
          <t xml:space="preserve">HQ </t>
        </is>
      </c>
      <c r="S359" t="n">
        <v>4</v>
      </c>
      <c r="T359" t="n">
        <v>4</v>
      </c>
      <c r="U359" t="inlineStr">
        <is>
          <t>2007-04-17</t>
        </is>
      </c>
      <c r="V359" t="inlineStr">
        <is>
          <t>2007-04-17</t>
        </is>
      </c>
      <c r="W359" t="inlineStr">
        <is>
          <t>2001-08-22</t>
        </is>
      </c>
      <c r="X359" t="inlineStr">
        <is>
          <t>2001-08-22</t>
        </is>
      </c>
      <c r="Y359" t="n">
        <v>449</v>
      </c>
      <c r="Z359" t="n">
        <v>341</v>
      </c>
      <c r="AA359" t="n">
        <v>351</v>
      </c>
      <c r="AB359" t="n">
        <v>3</v>
      </c>
      <c r="AC359" t="n">
        <v>3</v>
      </c>
      <c r="AD359" t="n">
        <v>21</v>
      </c>
      <c r="AE359" t="n">
        <v>21</v>
      </c>
      <c r="AF359" t="n">
        <v>5</v>
      </c>
      <c r="AG359" t="n">
        <v>5</v>
      </c>
      <c r="AH359" t="n">
        <v>6</v>
      </c>
      <c r="AI359" t="n">
        <v>6</v>
      </c>
      <c r="AJ359" t="n">
        <v>13</v>
      </c>
      <c r="AK359" t="n">
        <v>13</v>
      </c>
      <c r="AL359" t="n">
        <v>2</v>
      </c>
      <c r="AM359" t="n">
        <v>2</v>
      </c>
      <c r="AN359" t="n">
        <v>0</v>
      </c>
      <c r="AO359" t="n">
        <v>0</v>
      </c>
      <c r="AP359" t="inlineStr">
        <is>
          <t>No</t>
        </is>
      </c>
      <c r="AQ359" t="inlineStr">
        <is>
          <t>Yes</t>
        </is>
      </c>
      <c r="AR359">
        <f>HYPERLINK("http://catalog.hathitrust.org/Record/004121512","HathiTrust Record")</f>
        <v/>
      </c>
      <c r="AS359">
        <f>HYPERLINK("https://creighton-primo.hosted.exlibrisgroup.com/primo-explore/search?tab=default_tab&amp;search_scope=EVERYTHING&amp;vid=01CRU&amp;lang=en_US&amp;offset=0&amp;query=any,contains,991003572109702656","Catalog Record")</f>
        <v/>
      </c>
      <c r="AT359">
        <f>HYPERLINK("http://www.worldcat.org/oclc/41338502","WorldCat Record")</f>
        <v/>
      </c>
      <c r="AU359" t="inlineStr">
        <is>
          <t>836992147:eng</t>
        </is>
      </c>
      <c r="AV359" t="inlineStr">
        <is>
          <t>41338502</t>
        </is>
      </c>
      <c r="AW359" t="inlineStr">
        <is>
          <t>991003572109702656</t>
        </is>
      </c>
      <c r="AX359" t="inlineStr">
        <is>
          <t>991003572109702656</t>
        </is>
      </c>
      <c r="AY359" t="inlineStr">
        <is>
          <t>2266774970002656</t>
        </is>
      </c>
      <c r="AZ359" t="inlineStr">
        <is>
          <t>BOOK</t>
        </is>
      </c>
      <c r="BB359" t="inlineStr">
        <is>
          <t>9780863560422</t>
        </is>
      </c>
      <c r="BC359" t="inlineStr">
        <is>
          <t>32285004380001</t>
        </is>
      </c>
      <c r="BD359" t="inlineStr">
        <is>
          <t>893410419</t>
        </is>
      </c>
    </row>
    <row r="360">
      <c r="A360" t="inlineStr">
        <is>
          <t>No</t>
        </is>
      </c>
      <c r="B360" t="inlineStr">
        <is>
          <t>HQ1101 .B6 1991</t>
        </is>
      </c>
      <c r="C360" t="inlineStr">
        <is>
          <t>0                      HQ 1101000B  6           1991</t>
        </is>
      </c>
      <c r="D360" t="inlineStr">
        <is>
          <t>American feminism : new issues for a mature movement / special editor, Janet K. Boles.</t>
        </is>
      </c>
      <c r="F360" t="inlineStr">
        <is>
          <t>No</t>
        </is>
      </c>
      <c r="G360" t="inlineStr">
        <is>
          <t>1</t>
        </is>
      </c>
      <c r="H360" t="inlineStr">
        <is>
          <t>No</t>
        </is>
      </c>
      <c r="I360" t="inlineStr">
        <is>
          <t>No</t>
        </is>
      </c>
      <c r="J360" t="inlineStr">
        <is>
          <t>0</t>
        </is>
      </c>
      <c r="L360" t="inlineStr">
        <is>
          <t>Newbury Parks, CA : Sage Publications, c1991.</t>
        </is>
      </c>
      <c r="M360" t="inlineStr">
        <is>
          <t>1991</t>
        </is>
      </c>
      <c r="O360" t="inlineStr">
        <is>
          <t>eng</t>
        </is>
      </c>
      <c r="P360" t="inlineStr">
        <is>
          <t>cau</t>
        </is>
      </c>
      <c r="Q360" t="inlineStr">
        <is>
          <t>The annals of the American Academy of Political and Social Science, 0002-7162 ; v. 515, May 1991</t>
        </is>
      </c>
      <c r="R360" t="inlineStr">
        <is>
          <t xml:space="preserve">HQ </t>
        </is>
      </c>
      <c r="S360" t="n">
        <v>19</v>
      </c>
      <c r="T360" t="n">
        <v>19</v>
      </c>
      <c r="U360" t="inlineStr">
        <is>
          <t>2002-04-29</t>
        </is>
      </c>
      <c r="V360" t="inlineStr">
        <is>
          <t>2002-04-29</t>
        </is>
      </c>
      <c r="W360" t="inlineStr">
        <is>
          <t>1992-01-02</t>
        </is>
      </c>
      <c r="X360" t="inlineStr">
        <is>
          <t>1992-01-02</t>
        </is>
      </c>
      <c r="Y360" t="n">
        <v>425</v>
      </c>
      <c r="Z360" t="n">
        <v>350</v>
      </c>
      <c r="AA360" t="n">
        <v>354</v>
      </c>
      <c r="AB360" t="n">
        <v>2</v>
      </c>
      <c r="AC360" t="n">
        <v>2</v>
      </c>
      <c r="AD360" t="n">
        <v>14</v>
      </c>
      <c r="AE360" t="n">
        <v>14</v>
      </c>
      <c r="AF360" t="n">
        <v>6</v>
      </c>
      <c r="AG360" t="n">
        <v>6</v>
      </c>
      <c r="AH360" t="n">
        <v>2</v>
      </c>
      <c r="AI360" t="n">
        <v>2</v>
      </c>
      <c r="AJ360" t="n">
        <v>8</v>
      </c>
      <c r="AK360" t="n">
        <v>8</v>
      </c>
      <c r="AL360" t="n">
        <v>1</v>
      </c>
      <c r="AM360" t="n">
        <v>1</v>
      </c>
      <c r="AN360" t="n">
        <v>2</v>
      </c>
      <c r="AO360" t="n">
        <v>2</v>
      </c>
      <c r="AP360" t="inlineStr">
        <is>
          <t>No</t>
        </is>
      </c>
      <c r="AQ360" t="inlineStr">
        <is>
          <t>No</t>
        </is>
      </c>
      <c r="AS360">
        <f>HYPERLINK("https://creighton-primo.hosted.exlibrisgroup.com/primo-explore/search?tab=default_tab&amp;search_scope=EVERYTHING&amp;vid=01CRU&amp;lang=en_US&amp;offset=0&amp;query=any,contains,991001880009702656","Catalog Record")</f>
        <v/>
      </c>
      <c r="AT360">
        <f>HYPERLINK("http://www.worldcat.org/oclc/23727727","WorldCat Record")</f>
        <v/>
      </c>
      <c r="AU360" t="inlineStr">
        <is>
          <t>143956572:eng</t>
        </is>
      </c>
      <c r="AV360" t="inlineStr">
        <is>
          <t>23727727</t>
        </is>
      </c>
      <c r="AW360" t="inlineStr">
        <is>
          <t>991001880009702656</t>
        </is>
      </c>
      <c r="AX360" t="inlineStr">
        <is>
          <t>991001880009702656</t>
        </is>
      </c>
      <c r="AY360" t="inlineStr">
        <is>
          <t>2255956400002656</t>
        </is>
      </c>
      <c r="AZ360" t="inlineStr">
        <is>
          <t>BOOK</t>
        </is>
      </c>
      <c r="BB360" t="inlineStr">
        <is>
          <t>9780803940581</t>
        </is>
      </c>
      <c r="BC360" t="inlineStr">
        <is>
          <t>32285000863000</t>
        </is>
      </c>
      <c r="BD360" t="inlineStr">
        <is>
          <t>893522930</t>
        </is>
      </c>
    </row>
    <row r="361">
      <c r="A361" t="inlineStr">
        <is>
          <t>No</t>
        </is>
      </c>
      <c r="B361" t="inlineStr">
        <is>
          <t>HQ1106 .B47 1982</t>
        </is>
      </c>
      <c r="C361" t="inlineStr">
        <is>
          <t>0                      HQ 1106000B  47          1982</t>
        </is>
      </c>
      <c r="D361" t="inlineStr">
        <is>
          <t>Women and the structure of society : selected research from the Fifth Berkshire Conference on the History of Women / edited by Barbara J. Harris and JoAnn K. McNamara.</t>
        </is>
      </c>
      <c r="F361" t="inlineStr">
        <is>
          <t>No</t>
        </is>
      </c>
      <c r="G361" t="inlineStr">
        <is>
          <t>1</t>
        </is>
      </c>
      <c r="H361" t="inlineStr">
        <is>
          <t>No</t>
        </is>
      </c>
      <c r="I361" t="inlineStr">
        <is>
          <t>No</t>
        </is>
      </c>
      <c r="J361" t="inlineStr">
        <is>
          <t>0</t>
        </is>
      </c>
      <c r="K361" t="inlineStr">
        <is>
          <t>Berkshire Conference on the History of Women (5th : 1982 : Vassar College)</t>
        </is>
      </c>
      <c r="L361" t="inlineStr">
        <is>
          <t>Durham, N.C. : Duke University Press, 1984.</t>
        </is>
      </c>
      <c r="M361" t="inlineStr">
        <is>
          <t>1984</t>
        </is>
      </c>
      <c r="O361" t="inlineStr">
        <is>
          <t>eng</t>
        </is>
      </c>
      <c r="P361" t="inlineStr">
        <is>
          <t>ncu</t>
        </is>
      </c>
      <c r="Q361" t="inlineStr">
        <is>
          <t>Duke Press policy studies</t>
        </is>
      </c>
      <c r="R361" t="inlineStr">
        <is>
          <t xml:space="preserve">HQ </t>
        </is>
      </c>
      <c r="S361" t="n">
        <v>4</v>
      </c>
      <c r="T361" t="n">
        <v>4</v>
      </c>
      <c r="U361" t="inlineStr">
        <is>
          <t>1997-10-30</t>
        </is>
      </c>
      <c r="V361" t="inlineStr">
        <is>
          <t>1997-10-30</t>
        </is>
      </c>
      <c r="W361" t="inlineStr">
        <is>
          <t>1993-04-26</t>
        </is>
      </c>
      <c r="X361" t="inlineStr">
        <is>
          <t>1993-04-26</t>
        </is>
      </c>
      <c r="Y361" t="n">
        <v>628</v>
      </c>
      <c r="Z361" t="n">
        <v>538</v>
      </c>
      <c r="AA361" t="n">
        <v>547</v>
      </c>
      <c r="AB361" t="n">
        <v>7</v>
      </c>
      <c r="AC361" t="n">
        <v>7</v>
      </c>
      <c r="AD361" t="n">
        <v>33</v>
      </c>
      <c r="AE361" t="n">
        <v>33</v>
      </c>
      <c r="AF361" t="n">
        <v>13</v>
      </c>
      <c r="AG361" t="n">
        <v>13</v>
      </c>
      <c r="AH361" t="n">
        <v>6</v>
      </c>
      <c r="AI361" t="n">
        <v>6</v>
      </c>
      <c r="AJ361" t="n">
        <v>14</v>
      </c>
      <c r="AK361" t="n">
        <v>14</v>
      </c>
      <c r="AL361" t="n">
        <v>6</v>
      </c>
      <c r="AM361" t="n">
        <v>6</v>
      </c>
      <c r="AN361" t="n">
        <v>0</v>
      </c>
      <c r="AO361" t="n">
        <v>0</v>
      </c>
      <c r="AP361" t="inlineStr">
        <is>
          <t>No</t>
        </is>
      </c>
      <c r="AQ361" t="inlineStr">
        <is>
          <t>Yes</t>
        </is>
      </c>
      <c r="AR361">
        <f>HYPERLINK("http://catalog.hathitrust.org/Record/000123623","HathiTrust Record")</f>
        <v/>
      </c>
      <c r="AS361">
        <f>HYPERLINK("https://creighton-primo.hosted.exlibrisgroup.com/primo-explore/search?tab=default_tab&amp;search_scope=EVERYTHING&amp;vid=01CRU&amp;lang=en_US&amp;offset=0&amp;query=any,contains,991000366709702656","Catalog Record")</f>
        <v/>
      </c>
      <c r="AT361">
        <f>HYPERLINK("http://www.worldcat.org/oclc/10403702","WorldCat Record")</f>
        <v/>
      </c>
      <c r="AU361" t="inlineStr">
        <is>
          <t>365310020:eng</t>
        </is>
      </c>
      <c r="AV361" t="inlineStr">
        <is>
          <t>10403702</t>
        </is>
      </c>
      <c r="AW361" t="inlineStr">
        <is>
          <t>991000366709702656</t>
        </is>
      </c>
      <c r="AX361" t="inlineStr">
        <is>
          <t>991000366709702656</t>
        </is>
      </c>
      <c r="AY361" t="inlineStr">
        <is>
          <t>2267444420002656</t>
        </is>
      </c>
      <c r="AZ361" t="inlineStr">
        <is>
          <t>BOOK</t>
        </is>
      </c>
      <c r="BB361" t="inlineStr">
        <is>
          <t>9780822306030</t>
        </is>
      </c>
      <c r="BC361" t="inlineStr">
        <is>
          <t>32285001627057</t>
        </is>
      </c>
      <c r="BD361" t="inlineStr">
        <is>
          <t>893683334</t>
        </is>
      </c>
    </row>
    <row r="362">
      <c r="A362" t="inlineStr">
        <is>
          <t>No</t>
        </is>
      </c>
      <c r="B362" t="inlineStr">
        <is>
          <t>HQ1106 .B49 1984</t>
        </is>
      </c>
      <c r="C362" t="inlineStr">
        <is>
          <t>0                      HQ 1106000B  49          1984</t>
        </is>
      </c>
      <c r="D362" t="inlineStr">
        <is>
          <t>Beyond domination : new perspectives on women and philosophy / edited by Carol C. Gould.</t>
        </is>
      </c>
      <c r="F362" t="inlineStr">
        <is>
          <t>No</t>
        </is>
      </c>
      <c r="G362" t="inlineStr">
        <is>
          <t>1</t>
        </is>
      </c>
      <c r="H362" t="inlineStr">
        <is>
          <t>No</t>
        </is>
      </c>
      <c r="I362" t="inlineStr">
        <is>
          <t>No</t>
        </is>
      </c>
      <c r="J362" t="inlineStr">
        <is>
          <t>0</t>
        </is>
      </c>
      <c r="L362" t="inlineStr">
        <is>
          <t>Totowa, N.J. : Rowman &amp; Allanheld, 1984, c1983.</t>
        </is>
      </c>
      <c r="M362" t="inlineStr">
        <is>
          <t>1983</t>
        </is>
      </c>
      <c r="O362" t="inlineStr">
        <is>
          <t>eng</t>
        </is>
      </c>
      <c r="P362" t="inlineStr">
        <is>
          <t>nju</t>
        </is>
      </c>
      <c r="Q362" t="inlineStr">
        <is>
          <t>New feminist perspectives series</t>
        </is>
      </c>
      <c r="R362" t="inlineStr">
        <is>
          <t xml:space="preserve">HQ </t>
        </is>
      </c>
      <c r="S362" t="n">
        <v>4</v>
      </c>
      <c r="T362" t="n">
        <v>4</v>
      </c>
      <c r="U362" t="inlineStr">
        <is>
          <t>1994-03-28</t>
        </is>
      </c>
      <c r="V362" t="inlineStr">
        <is>
          <t>1994-03-28</t>
        </is>
      </c>
      <c r="W362" t="inlineStr">
        <is>
          <t>1992-01-21</t>
        </is>
      </c>
      <c r="X362" t="inlineStr">
        <is>
          <t>1992-01-21</t>
        </is>
      </c>
      <c r="Y362" t="n">
        <v>798</v>
      </c>
      <c r="Z362" t="n">
        <v>707</v>
      </c>
      <c r="AA362" t="n">
        <v>728</v>
      </c>
      <c r="AB362" t="n">
        <v>7</v>
      </c>
      <c r="AC362" t="n">
        <v>7</v>
      </c>
      <c r="AD362" t="n">
        <v>36</v>
      </c>
      <c r="AE362" t="n">
        <v>37</v>
      </c>
      <c r="AF362" t="n">
        <v>12</v>
      </c>
      <c r="AG362" t="n">
        <v>13</v>
      </c>
      <c r="AH362" t="n">
        <v>9</v>
      </c>
      <c r="AI362" t="n">
        <v>9</v>
      </c>
      <c r="AJ362" t="n">
        <v>21</v>
      </c>
      <c r="AK362" t="n">
        <v>21</v>
      </c>
      <c r="AL362" t="n">
        <v>6</v>
      </c>
      <c r="AM362" t="n">
        <v>6</v>
      </c>
      <c r="AN362" t="n">
        <v>0</v>
      </c>
      <c r="AO362" t="n">
        <v>0</v>
      </c>
      <c r="AP362" t="inlineStr">
        <is>
          <t>No</t>
        </is>
      </c>
      <c r="AQ362" t="inlineStr">
        <is>
          <t>Yes</t>
        </is>
      </c>
      <c r="AR362">
        <f>HYPERLINK("http://catalog.hathitrust.org/Record/000291027","HathiTrust Record")</f>
        <v/>
      </c>
      <c r="AS362">
        <f>HYPERLINK("https://creighton-primo.hosted.exlibrisgroup.com/primo-explore/search?tab=default_tab&amp;search_scope=EVERYTHING&amp;vid=01CRU&amp;lang=en_US&amp;offset=0&amp;query=any,contains,991000218789702656","Catalog Record")</f>
        <v/>
      </c>
      <c r="AT362">
        <f>HYPERLINK("http://www.worldcat.org/oclc/9575384","WorldCat Record")</f>
        <v/>
      </c>
      <c r="AU362" t="inlineStr">
        <is>
          <t>815143555:eng</t>
        </is>
      </c>
      <c r="AV362" t="inlineStr">
        <is>
          <t>9575384</t>
        </is>
      </c>
      <c r="AW362" t="inlineStr">
        <is>
          <t>991000218789702656</t>
        </is>
      </c>
      <c r="AX362" t="inlineStr">
        <is>
          <t>991000218789702656</t>
        </is>
      </c>
      <c r="AY362" t="inlineStr">
        <is>
          <t>2267028410002656</t>
        </is>
      </c>
      <c r="AZ362" t="inlineStr">
        <is>
          <t>BOOK</t>
        </is>
      </c>
      <c r="BB362" t="inlineStr">
        <is>
          <t>9780847672363</t>
        </is>
      </c>
      <c r="BC362" t="inlineStr">
        <is>
          <t>32285000916386</t>
        </is>
      </c>
      <c r="BD362" t="inlineStr">
        <is>
          <t>893230975</t>
        </is>
      </c>
    </row>
    <row r="363">
      <c r="A363" t="inlineStr">
        <is>
          <t>No</t>
        </is>
      </c>
      <c r="B363" t="inlineStr">
        <is>
          <t>HQ1106 .B75 1990</t>
        </is>
      </c>
      <c r="C363" t="inlineStr">
        <is>
          <t>0                      HQ 1106000B  75          1990</t>
        </is>
      </c>
      <c r="D363" t="inlineStr">
        <is>
          <t>Bridges of power : women's multicultural alliances / edited by Lisa Albrecht &amp; Rose M. Brewer ; foreword by Caryn McTighe Musil.</t>
        </is>
      </c>
      <c r="F363" t="inlineStr">
        <is>
          <t>No</t>
        </is>
      </c>
      <c r="G363" t="inlineStr">
        <is>
          <t>1</t>
        </is>
      </c>
      <c r="H363" t="inlineStr">
        <is>
          <t>No</t>
        </is>
      </c>
      <c r="I363" t="inlineStr">
        <is>
          <t>No</t>
        </is>
      </c>
      <c r="J363" t="inlineStr">
        <is>
          <t>0</t>
        </is>
      </c>
      <c r="L363" t="inlineStr">
        <is>
          <t>Philadelphia, PA : New Society Publishers, c1990.</t>
        </is>
      </c>
      <c r="M363" t="inlineStr">
        <is>
          <t>1990</t>
        </is>
      </c>
      <c r="O363" t="inlineStr">
        <is>
          <t>eng</t>
        </is>
      </c>
      <c r="P363" t="inlineStr">
        <is>
          <t>pau</t>
        </is>
      </c>
      <c r="R363" t="inlineStr">
        <is>
          <t xml:space="preserve">HQ </t>
        </is>
      </c>
      <c r="S363" t="n">
        <v>8</v>
      </c>
      <c r="T363" t="n">
        <v>8</v>
      </c>
      <c r="U363" t="inlineStr">
        <is>
          <t>2005-05-03</t>
        </is>
      </c>
      <c r="V363" t="inlineStr">
        <is>
          <t>2005-05-03</t>
        </is>
      </c>
      <c r="W363" t="inlineStr">
        <is>
          <t>1991-03-14</t>
        </is>
      </c>
      <c r="X363" t="inlineStr">
        <is>
          <t>1991-03-14</t>
        </is>
      </c>
      <c r="Y363" t="n">
        <v>480</v>
      </c>
      <c r="Z363" t="n">
        <v>390</v>
      </c>
      <c r="AA363" t="n">
        <v>397</v>
      </c>
      <c r="AB363" t="n">
        <v>4</v>
      </c>
      <c r="AC363" t="n">
        <v>4</v>
      </c>
      <c r="AD363" t="n">
        <v>15</v>
      </c>
      <c r="AE363" t="n">
        <v>15</v>
      </c>
      <c r="AF363" t="n">
        <v>4</v>
      </c>
      <c r="AG363" t="n">
        <v>4</v>
      </c>
      <c r="AH363" t="n">
        <v>4</v>
      </c>
      <c r="AI363" t="n">
        <v>4</v>
      </c>
      <c r="AJ363" t="n">
        <v>8</v>
      </c>
      <c r="AK363" t="n">
        <v>8</v>
      </c>
      <c r="AL363" t="n">
        <v>3</v>
      </c>
      <c r="AM363" t="n">
        <v>3</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HYPERLINK("https://creighton-primo.hosted.exlibrisgroup.com/primo-explore/search?tab=default_tab&amp;search_scope=EVERYTHING&amp;vid=01CRU&amp;lang=en_US&amp;offset=0&amp;query=any,contains,991001794699702656","Catalog Record")</f>
        <v/>
      </c>
      <c r="AT363">
        <f>HYPERLINK("http://www.worldcat.org/oclc/22595239","WorldCat Record")</f>
        <v/>
      </c>
      <c r="AU363" t="inlineStr">
        <is>
          <t>365991831:eng</t>
        </is>
      </c>
      <c r="AV363" t="inlineStr">
        <is>
          <t>22595239</t>
        </is>
      </c>
      <c r="AW363" t="inlineStr">
        <is>
          <t>991001794699702656</t>
        </is>
      </c>
      <c r="AX363" t="inlineStr">
        <is>
          <t>991001794699702656</t>
        </is>
      </c>
      <c r="AY363" t="inlineStr">
        <is>
          <t>2261911040002656</t>
        </is>
      </c>
      <c r="AZ363" t="inlineStr">
        <is>
          <t>BOOK</t>
        </is>
      </c>
      <c r="BB363" t="inlineStr">
        <is>
          <t>9781550920031</t>
        </is>
      </c>
      <c r="BC363" t="inlineStr">
        <is>
          <t>32285000512078</t>
        </is>
      </c>
      <c r="BD363" t="inlineStr">
        <is>
          <t>893420633</t>
        </is>
      </c>
    </row>
    <row r="364">
      <c r="A364" t="inlineStr">
        <is>
          <t>No</t>
        </is>
      </c>
      <c r="B364" t="inlineStr">
        <is>
          <t>HQ1106 .T68 2009</t>
        </is>
      </c>
      <c r="C364" t="inlineStr">
        <is>
          <t>0                      HQ 1106000T  68          2009</t>
        </is>
      </c>
      <c r="D364" t="inlineStr">
        <is>
          <t>Toward a humanist justice : the political philosophy of Susan Moller Okin / edited by Debra Satz, Rob Reich.</t>
        </is>
      </c>
      <c r="F364" t="inlineStr">
        <is>
          <t>No</t>
        </is>
      </c>
      <c r="G364" t="inlineStr">
        <is>
          <t>1</t>
        </is>
      </c>
      <c r="H364" t="inlineStr">
        <is>
          <t>No</t>
        </is>
      </c>
      <c r="I364" t="inlineStr">
        <is>
          <t>No</t>
        </is>
      </c>
      <c r="J364" t="inlineStr">
        <is>
          <t>0</t>
        </is>
      </c>
      <c r="L364" t="inlineStr">
        <is>
          <t>Oxford ; New York : Oxford University Press, 2009.</t>
        </is>
      </c>
      <c r="M364" t="inlineStr">
        <is>
          <t>2009</t>
        </is>
      </c>
      <c r="O364" t="inlineStr">
        <is>
          <t>eng</t>
        </is>
      </c>
      <c r="P364" t="inlineStr">
        <is>
          <t>enk</t>
        </is>
      </c>
      <c r="R364" t="inlineStr">
        <is>
          <t xml:space="preserve">HQ </t>
        </is>
      </c>
      <c r="S364" t="n">
        <v>1</v>
      </c>
      <c r="T364" t="n">
        <v>1</v>
      </c>
      <c r="U364" t="inlineStr">
        <is>
          <t>2010-01-13</t>
        </is>
      </c>
      <c r="V364" t="inlineStr">
        <is>
          <t>2010-01-13</t>
        </is>
      </c>
      <c r="W364" t="inlineStr">
        <is>
          <t>2010-01-13</t>
        </is>
      </c>
      <c r="X364" t="inlineStr">
        <is>
          <t>2010-01-13</t>
        </is>
      </c>
      <c r="Y364" t="n">
        <v>199</v>
      </c>
      <c r="Z364" t="n">
        <v>138</v>
      </c>
      <c r="AA364" t="n">
        <v>211</v>
      </c>
      <c r="AB364" t="n">
        <v>1</v>
      </c>
      <c r="AC364" t="n">
        <v>1</v>
      </c>
      <c r="AD364" t="n">
        <v>6</v>
      </c>
      <c r="AE364" t="n">
        <v>10</v>
      </c>
      <c r="AF364" t="n">
        <v>3</v>
      </c>
      <c r="AG364" t="n">
        <v>3</v>
      </c>
      <c r="AH364" t="n">
        <v>2</v>
      </c>
      <c r="AI364" t="n">
        <v>6</v>
      </c>
      <c r="AJ364" t="n">
        <v>3</v>
      </c>
      <c r="AK364" t="n">
        <v>4</v>
      </c>
      <c r="AL364" t="n">
        <v>0</v>
      </c>
      <c r="AM364" t="n">
        <v>0</v>
      </c>
      <c r="AN364" t="n">
        <v>0</v>
      </c>
      <c r="AO364" t="n">
        <v>0</v>
      </c>
      <c r="AP364" t="inlineStr">
        <is>
          <t>No</t>
        </is>
      </c>
      <c r="AQ364" t="inlineStr">
        <is>
          <t>Yes</t>
        </is>
      </c>
      <c r="AR364">
        <f>HYPERLINK("http://catalog.hathitrust.org/Record/006820273","HathiTrust Record")</f>
        <v/>
      </c>
      <c r="AS364">
        <f>HYPERLINK("https://creighton-primo.hosted.exlibrisgroup.com/primo-explore/search?tab=default_tab&amp;search_scope=EVERYTHING&amp;vid=01CRU&amp;lang=en_US&amp;offset=0&amp;query=any,contains,991005343479702656","Catalog Record")</f>
        <v/>
      </c>
      <c r="AT364">
        <f>HYPERLINK("http://www.worldcat.org/oclc/220096943","WorldCat Record")</f>
        <v/>
      </c>
      <c r="AU364" t="inlineStr">
        <is>
          <t>793952241:eng</t>
        </is>
      </c>
      <c r="AV364" t="inlineStr">
        <is>
          <t>220096943</t>
        </is>
      </c>
      <c r="AW364" t="inlineStr">
        <is>
          <t>991005343479702656</t>
        </is>
      </c>
      <c r="AX364" t="inlineStr">
        <is>
          <t>991005343479702656</t>
        </is>
      </c>
      <c r="AY364" t="inlineStr">
        <is>
          <t>2266238960002656</t>
        </is>
      </c>
      <c r="AZ364" t="inlineStr">
        <is>
          <t>BOOK</t>
        </is>
      </c>
      <c r="BB364" t="inlineStr">
        <is>
          <t>9780195337396</t>
        </is>
      </c>
      <c r="BC364" t="inlineStr">
        <is>
          <t>32285005556534</t>
        </is>
      </c>
      <c r="BD364" t="inlineStr">
        <is>
          <t>893338939</t>
        </is>
      </c>
    </row>
    <row r="365">
      <c r="A365" t="inlineStr">
        <is>
          <t>No</t>
        </is>
      </c>
      <c r="B365" t="inlineStr">
        <is>
          <t>HQ1106 .W65 1986</t>
        </is>
      </c>
      <c r="C365" t="inlineStr">
        <is>
          <t>0                      HQ 1106000W  65          1986</t>
        </is>
      </c>
      <c r="D365" t="inlineStr">
        <is>
          <t>Womenspeak : selected proceedings of the University of South Dakota's Second Annual Women's Research Conference / edited by Cindy Struckman-Johnson and Susan Wolfe.</t>
        </is>
      </c>
      <c r="F365" t="inlineStr">
        <is>
          <t>No</t>
        </is>
      </c>
      <c r="G365" t="inlineStr">
        <is>
          <t>1</t>
        </is>
      </c>
      <c r="H365" t="inlineStr">
        <is>
          <t>No</t>
        </is>
      </c>
      <c r="I365" t="inlineStr">
        <is>
          <t>No</t>
        </is>
      </c>
      <c r="J365" t="inlineStr">
        <is>
          <t>0</t>
        </is>
      </c>
      <c r="K365" t="inlineStr">
        <is>
          <t>Women's Research Conference (2nd : 1985 : University of South Dakota)</t>
        </is>
      </c>
      <c r="L365" t="inlineStr">
        <is>
          <t>Vermillion, S.D. : The Conference, c1986.</t>
        </is>
      </c>
      <c r="M365" t="inlineStr">
        <is>
          <t>1986</t>
        </is>
      </c>
      <c r="O365" t="inlineStr">
        <is>
          <t>eng</t>
        </is>
      </c>
      <c r="P365" t="inlineStr">
        <is>
          <t>sdu</t>
        </is>
      </c>
      <c r="R365" t="inlineStr">
        <is>
          <t xml:space="preserve">HQ </t>
        </is>
      </c>
      <c r="S365" t="n">
        <v>3</v>
      </c>
      <c r="T365" t="n">
        <v>3</v>
      </c>
      <c r="U365" t="inlineStr">
        <is>
          <t>1994-03-06</t>
        </is>
      </c>
      <c r="V365" t="inlineStr">
        <is>
          <t>1994-03-06</t>
        </is>
      </c>
      <c r="W365" t="inlineStr">
        <is>
          <t>1993-04-15</t>
        </is>
      </c>
      <c r="X365" t="inlineStr">
        <is>
          <t>1993-04-15</t>
        </is>
      </c>
      <c r="Y365" t="n">
        <v>22</v>
      </c>
      <c r="Z365" t="n">
        <v>22</v>
      </c>
      <c r="AA365" t="n">
        <v>22</v>
      </c>
      <c r="AB365" t="n">
        <v>3</v>
      </c>
      <c r="AC365" t="n">
        <v>3</v>
      </c>
      <c r="AD365" t="n">
        <v>2</v>
      </c>
      <c r="AE365" t="n">
        <v>2</v>
      </c>
      <c r="AF365" t="n">
        <v>0</v>
      </c>
      <c r="AG365" t="n">
        <v>0</v>
      </c>
      <c r="AH365" t="n">
        <v>0</v>
      </c>
      <c r="AI365" t="n">
        <v>0</v>
      </c>
      <c r="AJ365" t="n">
        <v>0</v>
      </c>
      <c r="AK365" t="n">
        <v>0</v>
      </c>
      <c r="AL365" t="n">
        <v>2</v>
      </c>
      <c r="AM365" t="n">
        <v>2</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HYPERLINK("https://creighton-primo.hosted.exlibrisgroup.com/primo-explore/search?tab=default_tab&amp;search_scope=EVERYTHING&amp;vid=01CRU&amp;lang=en_US&amp;offset=0&amp;query=any,contains,991000801959702656","Catalog Record")</f>
        <v/>
      </c>
      <c r="AT365">
        <f>HYPERLINK("http://www.worldcat.org/oclc/13260969","WorldCat Record")</f>
        <v/>
      </c>
      <c r="AU365" t="inlineStr">
        <is>
          <t>6851586:eng</t>
        </is>
      </c>
      <c r="AV365" t="inlineStr">
        <is>
          <t>13260969</t>
        </is>
      </c>
      <c r="AW365" t="inlineStr">
        <is>
          <t>991000801959702656</t>
        </is>
      </c>
      <c r="AX365" t="inlineStr">
        <is>
          <t>991000801959702656</t>
        </is>
      </c>
      <c r="AY365" t="inlineStr">
        <is>
          <t>2264926910002656</t>
        </is>
      </c>
      <c r="AZ365" t="inlineStr">
        <is>
          <t>BOOK</t>
        </is>
      </c>
      <c r="BC365" t="inlineStr">
        <is>
          <t>32285001620342</t>
        </is>
      </c>
      <c r="BD365" t="inlineStr">
        <is>
          <t>893872020</t>
        </is>
      </c>
    </row>
    <row r="366">
      <c r="A366" t="inlineStr">
        <is>
          <t>No</t>
        </is>
      </c>
      <c r="B366" t="inlineStr">
        <is>
          <t>HQ1106 .W6544 1996</t>
        </is>
      </c>
      <c r="C366" t="inlineStr">
        <is>
          <t>0                      HQ 1106000W  6544        1996</t>
        </is>
      </c>
      <c r="D366" t="inlineStr">
        <is>
          <t>Women resisting violence : spirituality for life / edited by Mary John Mananzan ... [et al.].</t>
        </is>
      </c>
      <c r="F366" t="inlineStr">
        <is>
          <t>No</t>
        </is>
      </c>
      <c r="G366" t="inlineStr">
        <is>
          <t>1</t>
        </is>
      </c>
      <c r="H366" t="inlineStr">
        <is>
          <t>No</t>
        </is>
      </c>
      <c r="I366" t="inlineStr">
        <is>
          <t>No</t>
        </is>
      </c>
      <c r="J366" t="inlineStr">
        <is>
          <t>0</t>
        </is>
      </c>
      <c r="L366" t="inlineStr">
        <is>
          <t>Maryknoll, N.Y. : Orbis Books, c1996.</t>
        </is>
      </c>
      <c r="M366" t="inlineStr">
        <is>
          <t>1996</t>
        </is>
      </c>
      <c r="O366" t="inlineStr">
        <is>
          <t>eng</t>
        </is>
      </c>
      <c r="P366" t="inlineStr">
        <is>
          <t>nyu</t>
        </is>
      </c>
      <c r="R366" t="inlineStr">
        <is>
          <t xml:space="preserve">HQ </t>
        </is>
      </c>
      <c r="S366" t="n">
        <v>7</v>
      </c>
      <c r="T366" t="n">
        <v>7</v>
      </c>
      <c r="U366" t="inlineStr">
        <is>
          <t>2004-04-26</t>
        </is>
      </c>
      <c r="V366" t="inlineStr">
        <is>
          <t>2004-04-26</t>
        </is>
      </c>
      <c r="W366" t="inlineStr">
        <is>
          <t>1998-08-20</t>
        </is>
      </c>
      <c r="X366" t="inlineStr">
        <is>
          <t>1998-08-20</t>
        </is>
      </c>
      <c r="Y366" t="n">
        <v>310</v>
      </c>
      <c r="Z366" t="n">
        <v>245</v>
      </c>
      <c r="AA366" t="n">
        <v>266</v>
      </c>
      <c r="AB366" t="n">
        <v>2</v>
      </c>
      <c r="AC366" t="n">
        <v>2</v>
      </c>
      <c r="AD366" t="n">
        <v>18</v>
      </c>
      <c r="AE366" t="n">
        <v>18</v>
      </c>
      <c r="AF366" t="n">
        <v>5</v>
      </c>
      <c r="AG366" t="n">
        <v>5</v>
      </c>
      <c r="AH366" t="n">
        <v>6</v>
      </c>
      <c r="AI366" t="n">
        <v>6</v>
      </c>
      <c r="AJ366" t="n">
        <v>11</v>
      </c>
      <c r="AK366" t="n">
        <v>11</v>
      </c>
      <c r="AL366" t="n">
        <v>1</v>
      </c>
      <c r="AM366" t="n">
        <v>1</v>
      </c>
      <c r="AN366" t="n">
        <v>0</v>
      </c>
      <c r="AO366" t="n">
        <v>0</v>
      </c>
      <c r="AP366" t="inlineStr">
        <is>
          <t>No</t>
        </is>
      </c>
      <c r="AQ366" t="inlineStr">
        <is>
          <t>Yes</t>
        </is>
      </c>
      <c r="AR366">
        <f>HYPERLINK("http://catalog.hathitrust.org/Record/003104210","HathiTrust Record")</f>
        <v/>
      </c>
      <c r="AS366">
        <f>HYPERLINK("https://creighton-primo.hosted.exlibrisgroup.com/primo-explore/search?tab=default_tab&amp;search_scope=EVERYTHING&amp;vid=01CRU&amp;lang=en_US&amp;offset=0&amp;query=any,contains,991002662749702656","Catalog Record")</f>
        <v/>
      </c>
      <c r="AT366">
        <f>HYPERLINK("http://www.worldcat.org/oclc/34798145","WorldCat Record")</f>
        <v/>
      </c>
      <c r="AU366" t="inlineStr">
        <is>
          <t>836972582:eng</t>
        </is>
      </c>
      <c r="AV366" t="inlineStr">
        <is>
          <t>34798145</t>
        </is>
      </c>
      <c r="AW366" t="inlineStr">
        <is>
          <t>991002662749702656</t>
        </is>
      </c>
      <c r="AX366" t="inlineStr">
        <is>
          <t>991002662749702656</t>
        </is>
      </c>
      <c r="AY366" t="inlineStr">
        <is>
          <t>2259859730002656</t>
        </is>
      </c>
      <c r="AZ366" t="inlineStr">
        <is>
          <t>BOOK</t>
        </is>
      </c>
      <c r="BB366" t="inlineStr">
        <is>
          <t>9781570750809</t>
        </is>
      </c>
      <c r="BC366" t="inlineStr">
        <is>
          <t>32285003460747</t>
        </is>
      </c>
      <c r="BD366" t="inlineStr">
        <is>
          <t>893804864</t>
        </is>
      </c>
    </row>
    <row r="367">
      <c r="A367" t="inlineStr">
        <is>
          <t>No</t>
        </is>
      </c>
      <c r="B367" t="inlineStr">
        <is>
          <t>HQ1106 1978 .P78</t>
        </is>
      </c>
      <c r="C367" t="inlineStr">
        <is>
          <t>0                      HQ 1106000               1978   P  78</t>
        </is>
      </c>
      <c r="D367" t="inlineStr">
        <is>
          <t>The Psychology of women : future directions in research / edited by Julia A. Sherman, Florence L. Denmark.</t>
        </is>
      </c>
      <c r="F367" t="inlineStr">
        <is>
          <t>No</t>
        </is>
      </c>
      <c r="G367" t="inlineStr">
        <is>
          <t>1</t>
        </is>
      </c>
      <c r="H367" t="inlineStr">
        <is>
          <t>No</t>
        </is>
      </c>
      <c r="I367" t="inlineStr">
        <is>
          <t>No</t>
        </is>
      </c>
      <c r="J367" t="inlineStr">
        <is>
          <t>0</t>
        </is>
      </c>
      <c r="L367" t="inlineStr">
        <is>
          <t>New York : Psychological Dimensions, inc., [1978]</t>
        </is>
      </c>
      <c r="M367" t="inlineStr">
        <is>
          <t>1978</t>
        </is>
      </c>
      <c r="O367" t="inlineStr">
        <is>
          <t>eng</t>
        </is>
      </c>
      <c r="P367" t="inlineStr">
        <is>
          <t>nyu</t>
        </is>
      </c>
      <c r="R367" t="inlineStr">
        <is>
          <t xml:space="preserve">HQ </t>
        </is>
      </c>
      <c r="S367" t="n">
        <v>2</v>
      </c>
      <c r="T367" t="n">
        <v>2</v>
      </c>
      <c r="U367" t="inlineStr">
        <is>
          <t>1996-02-05</t>
        </is>
      </c>
      <c r="V367" t="inlineStr">
        <is>
          <t>1996-02-05</t>
        </is>
      </c>
      <c r="W367" t="inlineStr">
        <is>
          <t>1993-04-26</t>
        </is>
      </c>
      <c r="X367" t="inlineStr">
        <is>
          <t>1993-04-26</t>
        </is>
      </c>
      <c r="Y367" t="n">
        <v>329</v>
      </c>
      <c r="Z367" t="n">
        <v>285</v>
      </c>
      <c r="AA367" t="n">
        <v>292</v>
      </c>
      <c r="AB367" t="n">
        <v>3</v>
      </c>
      <c r="AC367" t="n">
        <v>3</v>
      </c>
      <c r="AD367" t="n">
        <v>16</v>
      </c>
      <c r="AE367" t="n">
        <v>16</v>
      </c>
      <c r="AF367" t="n">
        <v>5</v>
      </c>
      <c r="AG367" t="n">
        <v>5</v>
      </c>
      <c r="AH367" t="n">
        <v>4</v>
      </c>
      <c r="AI367" t="n">
        <v>4</v>
      </c>
      <c r="AJ367" t="n">
        <v>10</v>
      </c>
      <c r="AK367" t="n">
        <v>10</v>
      </c>
      <c r="AL367" t="n">
        <v>2</v>
      </c>
      <c r="AM367" t="n">
        <v>2</v>
      </c>
      <c r="AN367" t="n">
        <v>0</v>
      </c>
      <c r="AO367" t="n">
        <v>0</v>
      </c>
      <c r="AP367" t="inlineStr">
        <is>
          <t>No</t>
        </is>
      </c>
      <c r="AQ367" t="inlineStr">
        <is>
          <t>Yes</t>
        </is>
      </c>
      <c r="AR367">
        <f>HYPERLINK("http://catalog.hathitrust.org/Record/000725047","HathiTrust Record")</f>
        <v/>
      </c>
      <c r="AS367">
        <f>HYPERLINK("https://creighton-primo.hosted.exlibrisgroup.com/primo-explore/search?tab=default_tab&amp;search_scope=EVERYTHING&amp;vid=01CRU&amp;lang=en_US&amp;offset=0&amp;query=any,contains,991004681279702656","Catalog Record")</f>
        <v/>
      </c>
      <c r="AT367">
        <f>HYPERLINK("http://www.worldcat.org/oclc/4569933","WorldCat Record")</f>
        <v/>
      </c>
      <c r="AU367" t="inlineStr">
        <is>
          <t>375855948:eng</t>
        </is>
      </c>
      <c r="AV367" t="inlineStr">
        <is>
          <t>4569933</t>
        </is>
      </c>
      <c r="AW367" t="inlineStr">
        <is>
          <t>991004681279702656</t>
        </is>
      </c>
      <c r="AX367" t="inlineStr">
        <is>
          <t>991004681279702656</t>
        </is>
      </c>
      <c r="AY367" t="inlineStr">
        <is>
          <t>2256890980002656</t>
        </is>
      </c>
      <c r="AZ367" t="inlineStr">
        <is>
          <t>BOOK</t>
        </is>
      </c>
      <c r="BB367" t="inlineStr">
        <is>
          <t>9780884370093</t>
        </is>
      </c>
      <c r="BC367" t="inlineStr">
        <is>
          <t>32285001627073</t>
        </is>
      </c>
      <c r="BD367" t="inlineStr">
        <is>
          <t>893782528</t>
        </is>
      </c>
    </row>
    <row r="368">
      <c r="A368" t="inlineStr">
        <is>
          <t>No</t>
        </is>
      </c>
      <c r="B368" t="inlineStr">
        <is>
          <t>HQ111 .H45 v.3</t>
        </is>
      </c>
      <c r="C368" t="inlineStr">
        <is>
          <t>0                      HQ 0111000H  45                                                      v.3</t>
        </is>
      </c>
      <c r="D368" t="inlineStr">
        <is>
          <t>Modern sexuality / Fernando Henriques ; chapter head designs by Rosamund Seymour.</t>
        </is>
      </c>
      <c r="E368" t="inlineStr">
        <is>
          <t>V.3</t>
        </is>
      </c>
      <c r="F368" t="inlineStr">
        <is>
          <t>No</t>
        </is>
      </c>
      <c r="G368" t="inlineStr">
        <is>
          <t>1</t>
        </is>
      </c>
      <c r="H368" t="inlineStr">
        <is>
          <t>No</t>
        </is>
      </c>
      <c r="I368" t="inlineStr">
        <is>
          <t>No</t>
        </is>
      </c>
      <c r="J368" t="inlineStr">
        <is>
          <t>0</t>
        </is>
      </c>
      <c r="K368" t="inlineStr">
        <is>
          <t>Henriques, Fernando.</t>
        </is>
      </c>
      <c r="L368" t="inlineStr">
        <is>
          <t>London : MacGibbon &amp; Kee, 1968.</t>
        </is>
      </c>
      <c r="M368" t="inlineStr">
        <is>
          <t>1968</t>
        </is>
      </c>
      <c r="O368" t="inlineStr">
        <is>
          <t>eng</t>
        </is>
      </c>
      <c r="P368" t="inlineStr">
        <is>
          <t>enk</t>
        </is>
      </c>
      <c r="Q368" t="inlineStr">
        <is>
          <t>Prostitution and society ; v. 3</t>
        </is>
      </c>
      <c r="R368" t="inlineStr">
        <is>
          <t xml:space="preserve">HQ </t>
        </is>
      </c>
      <c r="S368" t="n">
        <v>12</v>
      </c>
      <c r="T368" t="n">
        <v>12</v>
      </c>
      <c r="U368" t="inlineStr">
        <is>
          <t>1998-09-12</t>
        </is>
      </c>
      <c r="V368" t="inlineStr">
        <is>
          <t>1998-09-12</t>
        </is>
      </c>
      <c r="W368" t="inlineStr">
        <is>
          <t>1992-12-04</t>
        </is>
      </c>
      <c r="X368" t="inlineStr">
        <is>
          <t>1992-12-04</t>
        </is>
      </c>
      <c r="Y368" t="n">
        <v>38</v>
      </c>
      <c r="Z368" t="n">
        <v>18</v>
      </c>
      <c r="AA368" t="n">
        <v>20</v>
      </c>
      <c r="AB368" t="n">
        <v>1</v>
      </c>
      <c r="AC368" t="n">
        <v>1</v>
      </c>
      <c r="AD368" t="n">
        <v>1</v>
      </c>
      <c r="AE368" t="n">
        <v>1</v>
      </c>
      <c r="AF368" t="n">
        <v>0</v>
      </c>
      <c r="AG368" t="n">
        <v>0</v>
      </c>
      <c r="AH368" t="n">
        <v>0</v>
      </c>
      <c r="AI368" t="n">
        <v>0</v>
      </c>
      <c r="AJ368" t="n">
        <v>1</v>
      </c>
      <c r="AK368" t="n">
        <v>1</v>
      </c>
      <c r="AL368" t="n">
        <v>0</v>
      </c>
      <c r="AM368" t="n">
        <v>0</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HYPERLINK("https://creighton-primo.hosted.exlibrisgroup.com/primo-explore/search?tab=default_tab&amp;search_scope=EVERYTHING&amp;vid=01CRU&amp;lang=en_US&amp;offset=0&amp;query=any,contains,991004643419702656","Catalog Record")</f>
        <v/>
      </c>
      <c r="AT368">
        <f>HYPERLINK("http://www.worldcat.org/oclc/4477128","WorldCat Record")</f>
        <v/>
      </c>
      <c r="AU368" t="inlineStr">
        <is>
          <t>5406775:eng</t>
        </is>
      </c>
      <c r="AV368" t="inlineStr">
        <is>
          <t>4477128</t>
        </is>
      </c>
      <c r="AW368" t="inlineStr">
        <is>
          <t>991004643419702656</t>
        </is>
      </c>
      <c r="AX368" t="inlineStr">
        <is>
          <t>991004643419702656</t>
        </is>
      </c>
      <c r="AY368" t="inlineStr">
        <is>
          <t>2270643640002656</t>
        </is>
      </c>
      <c r="AZ368" t="inlineStr">
        <is>
          <t>BOOK</t>
        </is>
      </c>
      <c r="BC368" t="inlineStr">
        <is>
          <t>32285001412567</t>
        </is>
      </c>
      <c r="BD368" t="inlineStr">
        <is>
          <t>893801176</t>
        </is>
      </c>
    </row>
    <row r="369">
      <c r="A369" t="inlineStr">
        <is>
          <t>No</t>
        </is>
      </c>
      <c r="B369" t="inlineStr">
        <is>
          <t>HQ111 .S25 1974</t>
        </is>
      </c>
      <c r="C369" t="inlineStr">
        <is>
          <t>0                      HQ 0111000S  25          1974</t>
        </is>
      </c>
      <c r="D369" t="inlineStr">
        <is>
          <t>The history of prostitution : its extent, causes, and effects throughout the world / by William W. Sanger ; with numerous editorial notes and an appendix.</t>
        </is>
      </c>
      <c r="F369" t="inlineStr">
        <is>
          <t>No</t>
        </is>
      </c>
      <c r="G369" t="inlineStr">
        <is>
          <t>1</t>
        </is>
      </c>
      <c r="H369" t="inlineStr">
        <is>
          <t>No</t>
        </is>
      </c>
      <c r="I369" t="inlineStr">
        <is>
          <t>No</t>
        </is>
      </c>
      <c r="J369" t="inlineStr">
        <is>
          <t>0</t>
        </is>
      </c>
      <c r="K369" t="inlineStr">
        <is>
          <t>Sanger, William W.</t>
        </is>
      </c>
      <c r="L369" t="inlineStr">
        <is>
          <t>[New York : AMS Press, 1974]</t>
        </is>
      </c>
      <c r="M369" t="inlineStr">
        <is>
          <t>1974</t>
        </is>
      </c>
      <c r="N369" t="inlineStr">
        <is>
          <t>New ed. New York, Eugenics Pub. Co., 1939.</t>
        </is>
      </c>
      <c r="O369" t="inlineStr">
        <is>
          <t>eng</t>
        </is>
      </c>
      <c r="P369" t="inlineStr">
        <is>
          <t>nyu</t>
        </is>
      </c>
      <c r="R369" t="inlineStr">
        <is>
          <t xml:space="preserve">HQ </t>
        </is>
      </c>
      <c r="S369" t="n">
        <v>33</v>
      </c>
      <c r="T369" t="n">
        <v>33</v>
      </c>
      <c r="U369" t="inlineStr">
        <is>
          <t>2002-02-13</t>
        </is>
      </c>
      <c r="V369" t="inlineStr">
        <is>
          <t>2002-02-13</t>
        </is>
      </c>
      <c r="W369" t="inlineStr">
        <is>
          <t>1992-12-22</t>
        </is>
      </c>
      <c r="X369" t="inlineStr">
        <is>
          <t>1992-12-22</t>
        </is>
      </c>
      <c r="Y369" t="n">
        <v>112</v>
      </c>
      <c r="Z369" t="n">
        <v>95</v>
      </c>
      <c r="AA369" t="n">
        <v>96</v>
      </c>
      <c r="AB369" t="n">
        <v>1</v>
      </c>
      <c r="AC369" t="n">
        <v>1</v>
      </c>
      <c r="AD369" t="n">
        <v>1</v>
      </c>
      <c r="AE369" t="n">
        <v>1</v>
      </c>
      <c r="AF369" t="n">
        <v>1</v>
      </c>
      <c r="AG369" t="n">
        <v>1</v>
      </c>
      <c r="AH369" t="n">
        <v>0</v>
      </c>
      <c r="AI369" t="n">
        <v>0</v>
      </c>
      <c r="AJ369" t="n">
        <v>0</v>
      </c>
      <c r="AK369" t="n">
        <v>0</v>
      </c>
      <c r="AL369" t="n">
        <v>0</v>
      </c>
      <c r="AM369" t="n">
        <v>0</v>
      </c>
      <c r="AN369" t="n">
        <v>0</v>
      </c>
      <c r="AO369" t="n">
        <v>0</v>
      </c>
      <c r="AP369" t="inlineStr">
        <is>
          <t>No</t>
        </is>
      </c>
      <c r="AQ369" t="inlineStr">
        <is>
          <t>Yes</t>
        </is>
      </c>
      <c r="AR369">
        <f>HYPERLINK("http://catalog.hathitrust.org/Record/007572089","HathiTrust Record")</f>
        <v/>
      </c>
      <c r="AS369">
        <f>HYPERLINK("https://creighton-primo.hosted.exlibrisgroup.com/primo-explore/search?tab=default_tab&amp;search_scope=EVERYTHING&amp;vid=01CRU&amp;lang=en_US&amp;offset=0&amp;query=any,contains,991004134599702656","Catalog Record")</f>
        <v/>
      </c>
      <c r="AT369">
        <f>HYPERLINK("http://www.worldcat.org/oclc/2481583","WorldCat Record")</f>
        <v/>
      </c>
      <c r="AU369" t="inlineStr">
        <is>
          <t>10792237053:eng</t>
        </is>
      </c>
      <c r="AV369" t="inlineStr">
        <is>
          <t>2481583</t>
        </is>
      </c>
      <c r="AW369" t="inlineStr">
        <is>
          <t>991004134599702656</t>
        </is>
      </c>
      <c r="AX369" t="inlineStr">
        <is>
          <t>991004134599702656</t>
        </is>
      </c>
      <c r="AY369" t="inlineStr">
        <is>
          <t>2263600130002656</t>
        </is>
      </c>
      <c r="AZ369" t="inlineStr">
        <is>
          <t>BOOK</t>
        </is>
      </c>
      <c r="BB369" t="inlineStr">
        <is>
          <t>9780404574949</t>
        </is>
      </c>
      <c r="BC369" t="inlineStr">
        <is>
          <t>32285001470607</t>
        </is>
      </c>
      <c r="BD369" t="inlineStr">
        <is>
          <t>893788325</t>
        </is>
      </c>
    </row>
    <row r="370">
      <c r="A370" t="inlineStr">
        <is>
          <t>No</t>
        </is>
      </c>
      <c r="B370" t="inlineStr">
        <is>
          <t>HQ1111 .F46 1989</t>
        </is>
      </c>
      <c r="C370" t="inlineStr">
        <is>
          <t>0                      HQ 1111000F  46          1989</t>
        </is>
      </c>
      <c r="D370" t="inlineStr">
        <is>
          <t>Feminism : from pressure to politics / edited by Angela R. Miles and Geraldine Finn.</t>
        </is>
      </c>
      <c r="F370" t="inlineStr">
        <is>
          <t>No</t>
        </is>
      </c>
      <c r="G370" t="inlineStr">
        <is>
          <t>1</t>
        </is>
      </c>
      <c r="H370" t="inlineStr">
        <is>
          <t>No</t>
        </is>
      </c>
      <c r="I370" t="inlineStr">
        <is>
          <t>No</t>
        </is>
      </c>
      <c r="J370" t="inlineStr">
        <is>
          <t>0</t>
        </is>
      </c>
      <c r="L370" t="inlineStr">
        <is>
          <t>Montréal ; New York : Black Rose Books, c1989.</t>
        </is>
      </c>
      <c r="M370" t="inlineStr">
        <is>
          <t>1989</t>
        </is>
      </c>
      <c r="N370" t="inlineStr">
        <is>
          <t>2nd ed.</t>
        </is>
      </c>
      <c r="O370" t="inlineStr">
        <is>
          <t>eng</t>
        </is>
      </c>
      <c r="P370" t="inlineStr">
        <is>
          <t>quc</t>
        </is>
      </c>
      <c r="R370" t="inlineStr">
        <is>
          <t xml:space="preserve">HQ </t>
        </is>
      </c>
      <c r="S370" t="n">
        <v>10</v>
      </c>
      <c r="T370" t="n">
        <v>10</v>
      </c>
      <c r="U370" t="inlineStr">
        <is>
          <t>2003-04-26</t>
        </is>
      </c>
      <c r="V370" t="inlineStr">
        <is>
          <t>2003-04-26</t>
        </is>
      </c>
      <c r="W370" t="inlineStr">
        <is>
          <t>1990-08-17</t>
        </is>
      </c>
      <c r="X370" t="inlineStr">
        <is>
          <t>1990-08-17</t>
        </is>
      </c>
      <c r="Y370" t="n">
        <v>218</v>
      </c>
      <c r="Z370" t="n">
        <v>133</v>
      </c>
      <c r="AA370" t="n">
        <v>143</v>
      </c>
      <c r="AB370" t="n">
        <v>1</v>
      </c>
      <c r="AC370" t="n">
        <v>1</v>
      </c>
      <c r="AD370" t="n">
        <v>5</v>
      </c>
      <c r="AE370" t="n">
        <v>5</v>
      </c>
      <c r="AF370" t="n">
        <v>2</v>
      </c>
      <c r="AG370" t="n">
        <v>2</v>
      </c>
      <c r="AH370" t="n">
        <v>3</v>
      </c>
      <c r="AI370" t="n">
        <v>3</v>
      </c>
      <c r="AJ370" t="n">
        <v>1</v>
      </c>
      <c r="AK370" t="n">
        <v>1</v>
      </c>
      <c r="AL370" t="n">
        <v>0</v>
      </c>
      <c r="AM370" t="n">
        <v>0</v>
      </c>
      <c r="AN370" t="n">
        <v>0</v>
      </c>
      <c r="AO370" t="n">
        <v>0</v>
      </c>
      <c r="AP370" t="inlineStr">
        <is>
          <t>No</t>
        </is>
      </c>
      <c r="AQ370" t="inlineStr">
        <is>
          <t>Yes</t>
        </is>
      </c>
      <c r="AR370">
        <f>HYPERLINK("http://catalog.hathitrust.org/Record/001548293","HathiTrust Record")</f>
        <v/>
      </c>
      <c r="AS370">
        <f>HYPERLINK("https://creighton-primo.hosted.exlibrisgroup.com/primo-explore/search?tab=default_tab&amp;search_scope=EVERYTHING&amp;vid=01CRU&amp;lang=en_US&amp;offset=0&amp;query=any,contains,991001575889702656","Catalog Record")</f>
        <v/>
      </c>
      <c r="AT370">
        <f>HYPERLINK("http://www.worldcat.org/oclc/20429132","WorldCat Record")</f>
        <v/>
      </c>
      <c r="AU370" t="inlineStr">
        <is>
          <t>57578314:eng</t>
        </is>
      </c>
      <c r="AV370" t="inlineStr">
        <is>
          <t>20429132</t>
        </is>
      </c>
      <c r="AW370" t="inlineStr">
        <is>
          <t>991001575889702656</t>
        </is>
      </c>
      <c r="AX370" t="inlineStr">
        <is>
          <t>991001575889702656</t>
        </is>
      </c>
      <c r="AY370" t="inlineStr">
        <is>
          <t>2263205620002656</t>
        </is>
      </c>
      <c r="AZ370" t="inlineStr">
        <is>
          <t>BOOK</t>
        </is>
      </c>
      <c r="BB370" t="inlineStr">
        <is>
          <t>9780921689232</t>
        </is>
      </c>
      <c r="BC370" t="inlineStr">
        <is>
          <t>32285000244466</t>
        </is>
      </c>
      <c r="BD370" t="inlineStr">
        <is>
          <t>893897878</t>
        </is>
      </c>
    </row>
    <row r="371">
      <c r="A371" t="inlineStr">
        <is>
          <t>No</t>
        </is>
      </c>
      <c r="B371" t="inlineStr">
        <is>
          <t>HQ1121 .B36</t>
        </is>
      </c>
      <c r="C371" t="inlineStr">
        <is>
          <t>0                      HQ 1121000B  36</t>
        </is>
      </c>
      <c r="D371" t="inlineStr">
        <is>
          <t>Woman as force in history : a study in traditions and realities / by Mary R. Beard.</t>
        </is>
      </c>
      <c r="F371" t="inlineStr">
        <is>
          <t>No</t>
        </is>
      </c>
      <c r="G371" t="inlineStr">
        <is>
          <t>1</t>
        </is>
      </c>
      <c r="H371" t="inlineStr">
        <is>
          <t>No</t>
        </is>
      </c>
      <c r="I371" t="inlineStr">
        <is>
          <t>No</t>
        </is>
      </c>
      <c r="J371" t="inlineStr">
        <is>
          <t>0</t>
        </is>
      </c>
      <c r="K371" t="inlineStr">
        <is>
          <t>Beard, Mary Ritter, 1876-1958.</t>
        </is>
      </c>
      <c r="L371" t="inlineStr">
        <is>
          <t>New York : The Macmillan Company, 1946.</t>
        </is>
      </c>
      <c r="M371" t="inlineStr">
        <is>
          <t>1946</t>
        </is>
      </c>
      <c r="O371" t="inlineStr">
        <is>
          <t>eng</t>
        </is>
      </c>
      <c r="P371" t="inlineStr">
        <is>
          <t>nyu</t>
        </is>
      </c>
      <c r="R371" t="inlineStr">
        <is>
          <t xml:space="preserve">HQ </t>
        </is>
      </c>
      <c r="S371" t="n">
        <v>2</v>
      </c>
      <c r="T371" t="n">
        <v>2</v>
      </c>
      <c r="U371" t="inlineStr">
        <is>
          <t>1995-03-06</t>
        </is>
      </c>
      <c r="V371" t="inlineStr">
        <is>
          <t>1995-03-06</t>
        </is>
      </c>
      <c r="W371" t="inlineStr">
        <is>
          <t>1993-03-04</t>
        </is>
      </c>
      <c r="X371" t="inlineStr">
        <is>
          <t>1993-03-04</t>
        </is>
      </c>
      <c r="Y371" t="n">
        <v>939</v>
      </c>
      <c r="Z371" t="n">
        <v>841</v>
      </c>
      <c r="AA371" t="n">
        <v>1227</v>
      </c>
      <c r="AB371" t="n">
        <v>5</v>
      </c>
      <c r="AC371" t="n">
        <v>9</v>
      </c>
      <c r="AD371" t="n">
        <v>33</v>
      </c>
      <c r="AE371" t="n">
        <v>50</v>
      </c>
      <c r="AF371" t="n">
        <v>15</v>
      </c>
      <c r="AG371" t="n">
        <v>21</v>
      </c>
      <c r="AH371" t="n">
        <v>4</v>
      </c>
      <c r="AI371" t="n">
        <v>10</v>
      </c>
      <c r="AJ371" t="n">
        <v>16</v>
      </c>
      <c r="AK371" t="n">
        <v>23</v>
      </c>
      <c r="AL371" t="n">
        <v>4</v>
      </c>
      <c r="AM371" t="n">
        <v>8</v>
      </c>
      <c r="AN371" t="n">
        <v>1</v>
      </c>
      <c r="AO371" t="n">
        <v>1</v>
      </c>
      <c r="AP371" t="inlineStr">
        <is>
          <t>No</t>
        </is>
      </c>
      <c r="AQ371" t="inlineStr">
        <is>
          <t>Yes</t>
        </is>
      </c>
      <c r="AR371">
        <f>HYPERLINK("http://catalog.hathitrust.org/Record/007123890","HathiTrust Record")</f>
        <v/>
      </c>
      <c r="AS371">
        <f>HYPERLINK("https://creighton-primo.hosted.exlibrisgroup.com/primo-explore/search?tab=default_tab&amp;search_scope=EVERYTHING&amp;vid=01CRU&amp;lang=en_US&amp;offset=0&amp;query=any,contains,991002905009702656","Catalog Record")</f>
        <v/>
      </c>
      <c r="AT371">
        <f>HYPERLINK("http://www.worldcat.org/oclc/519036","WorldCat Record")</f>
        <v/>
      </c>
      <c r="AU371" t="inlineStr">
        <is>
          <t>451049:eng</t>
        </is>
      </c>
      <c r="AV371" t="inlineStr">
        <is>
          <t>519036</t>
        </is>
      </c>
      <c r="AW371" t="inlineStr">
        <is>
          <t>991002905009702656</t>
        </is>
      </c>
      <c r="AX371" t="inlineStr">
        <is>
          <t>991002905009702656</t>
        </is>
      </c>
      <c r="AY371" t="inlineStr">
        <is>
          <t>2256969430002656</t>
        </is>
      </c>
      <c r="AZ371" t="inlineStr">
        <is>
          <t>BOOK</t>
        </is>
      </c>
      <c r="BC371" t="inlineStr">
        <is>
          <t>32285001497733</t>
        </is>
      </c>
      <c r="BD371" t="inlineStr">
        <is>
          <t>893616742</t>
        </is>
      </c>
    </row>
    <row r="372">
      <c r="A372" t="inlineStr">
        <is>
          <t>No</t>
        </is>
      </c>
      <c r="B372" t="inlineStr">
        <is>
          <t>HQ1121 .B43 1987</t>
        </is>
      </c>
      <c r="C372" t="inlineStr">
        <is>
          <t>0                      HQ 1121000B  43          1987</t>
        </is>
      </c>
      <c r="D372" t="inlineStr">
        <is>
          <t>Gendered domains : rethinking public and private in women's history : essays from the Seventh Berkshire Conference on the History of Women / edited by Dorothy O. Helly, Susan M. Reverby.</t>
        </is>
      </c>
      <c r="F372" t="inlineStr">
        <is>
          <t>No</t>
        </is>
      </c>
      <c r="G372" t="inlineStr">
        <is>
          <t>1</t>
        </is>
      </c>
      <c r="H372" t="inlineStr">
        <is>
          <t>No</t>
        </is>
      </c>
      <c r="I372" t="inlineStr">
        <is>
          <t>No</t>
        </is>
      </c>
      <c r="J372" t="inlineStr">
        <is>
          <t>0</t>
        </is>
      </c>
      <c r="K372" t="inlineStr">
        <is>
          <t>Berkshire Conference on the History of Women (7th : 1987 : Wellesley College)</t>
        </is>
      </c>
      <c r="L372" t="inlineStr">
        <is>
          <t>Ithaca, N.Y. : Cornell University Press, 1992.</t>
        </is>
      </c>
      <c r="M372" t="inlineStr">
        <is>
          <t>1992</t>
        </is>
      </c>
      <c r="O372" t="inlineStr">
        <is>
          <t>eng</t>
        </is>
      </c>
      <c r="P372" t="inlineStr">
        <is>
          <t>nyu</t>
        </is>
      </c>
      <c r="R372" t="inlineStr">
        <is>
          <t xml:space="preserve">HQ </t>
        </is>
      </c>
      <c r="S372" t="n">
        <v>5</v>
      </c>
      <c r="T372" t="n">
        <v>5</v>
      </c>
      <c r="U372" t="inlineStr">
        <is>
          <t>2004-02-19</t>
        </is>
      </c>
      <c r="V372" t="inlineStr">
        <is>
          <t>2004-02-19</t>
        </is>
      </c>
      <c r="W372" t="inlineStr">
        <is>
          <t>1992-08-12</t>
        </is>
      </c>
      <c r="X372" t="inlineStr">
        <is>
          <t>1992-08-12</t>
        </is>
      </c>
      <c r="Y372" t="n">
        <v>452</v>
      </c>
      <c r="Z372" t="n">
        <v>330</v>
      </c>
      <c r="AA372" t="n">
        <v>507</v>
      </c>
      <c r="AB372" t="n">
        <v>3</v>
      </c>
      <c r="AC372" t="n">
        <v>3</v>
      </c>
      <c r="AD372" t="n">
        <v>19</v>
      </c>
      <c r="AE372" t="n">
        <v>26</v>
      </c>
      <c r="AF372" t="n">
        <v>5</v>
      </c>
      <c r="AG372" t="n">
        <v>10</v>
      </c>
      <c r="AH372" t="n">
        <v>5</v>
      </c>
      <c r="AI372" t="n">
        <v>7</v>
      </c>
      <c r="AJ372" t="n">
        <v>13</v>
      </c>
      <c r="AK372" t="n">
        <v>16</v>
      </c>
      <c r="AL372" t="n">
        <v>2</v>
      </c>
      <c r="AM372" t="n">
        <v>2</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HYPERLINK("https://creighton-primo.hosted.exlibrisgroup.com/primo-explore/search?tab=default_tab&amp;search_scope=EVERYTHING&amp;vid=01CRU&amp;lang=en_US&amp;offset=0&amp;query=any,contains,991001966069702656","Catalog Record")</f>
        <v/>
      </c>
      <c r="AT372">
        <f>HYPERLINK("http://www.worldcat.org/oclc/24911054","WorldCat Record")</f>
        <v/>
      </c>
      <c r="AU372" t="inlineStr">
        <is>
          <t>26547409:eng</t>
        </is>
      </c>
      <c r="AV372" t="inlineStr">
        <is>
          <t>24911054</t>
        </is>
      </c>
      <c r="AW372" t="inlineStr">
        <is>
          <t>991001966069702656</t>
        </is>
      </c>
      <c r="AX372" t="inlineStr">
        <is>
          <t>991001966069702656</t>
        </is>
      </c>
      <c r="AY372" t="inlineStr">
        <is>
          <t>2262753240002656</t>
        </is>
      </c>
      <c r="AZ372" t="inlineStr">
        <is>
          <t>BOOK</t>
        </is>
      </c>
      <c r="BB372" t="inlineStr">
        <is>
          <t>9780801424441</t>
        </is>
      </c>
      <c r="BC372" t="inlineStr">
        <is>
          <t>32285001197739</t>
        </is>
      </c>
      <c r="BD372" t="inlineStr">
        <is>
          <t>893715898</t>
        </is>
      </c>
    </row>
    <row r="373">
      <c r="A373" t="inlineStr">
        <is>
          <t>No</t>
        </is>
      </c>
      <c r="B373" t="inlineStr">
        <is>
          <t>HQ1121 .B63</t>
        </is>
      </c>
      <c r="C373" t="inlineStr">
        <is>
          <t>0                      HQ 1121000B  63</t>
        </is>
      </c>
      <c r="D373" t="inlineStr">
        <is>
          <t>The image of woman / Thomas Boslooper.</t>
        </is>
      </c>
      <c r="F373" t="inlineStr">
        <is>
          <t>No</t>
        </is>
      </c>
      <c r="G373" t="inlineStr">
        <is>
          <t>1</t>
        </is>
      </c>
      <c r="H373" t="inlineStr">
        <is>
          <t>No</t>
        </is>
      </c>
      <c r="I373" t="inlineStr">
        <is>
          <t>No</t>
        </is>
      </c>
      <c r="J373" t="inlineStr">
        <is>
          <t>0</t>
        </is>
      </c>
      <c r="K373" t="inlineStr">
        <is>
          <t>Boslooper, Thomas David, 1923-</t>
        </is>
      </c>
      <c r="L373" t="inlineStr">
        <is>
          <t>New York : Distributed by the Rose of Sharon Press, c1980.</t>
        </is>
      </c>
      <c r="M373" t="inlineStr">
        <is>
          <t>1980</t>
        </is>
      </c>
      <c r="N373" t="inlineStr">
        <is>
          <t>1st ed.</t>
        </is>
      </c>
      <c r="O373" t="inlineStr">
        <is>
          <t>eng</t>
        </is>
      </c>
      <c r="P373" t="inlineStr">
        <is>
          <t>nyu</t>
        </is>
      </c>
      <c r="R373" t="inlineStr">
        <is>
          <t xml:space="preserve">HQ </t>
        </is>
      </c>
      <c r="S373" t="n">
        <v>16</v>
      </c>
      <c r="T373" t="n">
        <v>16</v>
      </c>
      <c r="U373" t="inlineStr">
        <is>
          <t>1997-11-14</t>
        </is>
      </c>
      <c r="V373" t="inlineStr">
        <is>
          <t>1997-11-14</t>
        </is>
      </c>
      <c r="W373" t="inlineStr">
        <is>
          <t>1992-03-17</t>
        </is>
      </c>
      <c r="X373" t="inlineStr">
        <is>
          <t>1992-03-17</t>
        </is>
      </c>
      <c r="Y373" t="n">
        <v>104</v>
      </c>
      <c r="Z373" t="n">
        <v>94</v>
      </c>
      <c r="AA373" t="n">
        <v>95</v>
      </c>
      <c r="AB373" t="n">
        <v>1</v>
      </c>
      <c r="AC373" t="n">
        <v>1</v>
      </c>
      <c r="AD373" t="n">
        <v>3</v>
      </c>
      <c r="AE373" t="n">
        <v>3</v>
      </c>
      <c r="AF373" t="n">
        <v>0</v>
      </c>
      <c r="AG373" t="n">
        <v>0</v>
      </c>
      <c r="AH373" t="n">
        <v>2</v>
      </c>
      <c r="AI373" t="n">
        <v>2</v>
      </c>
      <c r="AJ373" t="n">
        <v>1</v>
      </c>
      <c r="AK373" t="n">
        <v>1</v>
      </c>
      <c r="AL373" t="n">
        <v>0</v>
      </c>
      <c r="AM373" t="n">
        <v>0</v>
      </c>
      <c r="AN373" t="n">
        <v>0</v>
      </c>
      <c r="AO373" t="n">
        <v>0</v>
      </c>
      <c r="AP373" t="inlineStr">
        <is>
          <t>No</t>
        </is>
      </c>
      <c r="AQ373" t="inlineStr">
        <is>
          <t>Yes</t>
        </is>
      </c>
      <c r="AR373">
        <f>HYPERLINK("http://catalog.hathitrust.org/Record/007116255","HathiTrust Record")</f>
        <v/>
      </c>
      <c r="AS373">
        <f>HYPERLINK("https://creighton-primo.hosted.exlibrisgroup.com/primo-explore/search?tab=default_tab&amp;search_scope=EVERYTHING&amp;vid=01CRU&amp;lang=en_US&amp;offset=0&amp;query=any,contains,991004984859702656","Catalog Record")</f>
        <v/>
      </c>
      <c r="AT373">
        <f>HYPERLINK("http://www.worldcat.org/oclc/6447055","WorldCat Record")</f>
        <v/>
      </c>
      <c r="AU373" t="inlineStr">
        <is>
          <t>21066165:eng</t>
        </is>
      </c>
      <c r="AV373" t="inlineStr">
        <is>
          <t>6447055</t>
        </is>
      </c>
      <c r="AW373" t="inlineStr">
        <is>
          <t>991004984859702656</t>
        </is>
      </c>
      <c r="AX373" t="inlineStr">
        <is>
          <t>991004984859702656</t>
        </is>
      </c>
      <c r="AY373" t="inlineStr">
        <is>
          <t>2255588590002656</t>
        </is>
      </c>
      <c r="AZ373" t="inlineStr">
        <is>
          <t>BOOK</t>
        </is>
      </c>
      <c r="BB373" t="inlineStr">
        <is>
          <t>9780932894045</t>
        </is>
      </c>
      <c r="BC373" t="inlineStr">
        <is>
          <t>32285001012409</t>
        </is>
      </c>
      <c r="BD373" t="inlineStr">
        <is>
          <t>893789289</t>
        </is>
      </c>
    </row>
    <row r="374">
      <c r="A374" t="inlineStr">
        <is>
          <t>No</t>
        </is>
      </c>
      <c r="B374" t="inlineStr">
        <is>
          <t>HQ1121 .C45 1986</t>
        </is>
      </c>
      <c r="C374" t="inlineStr">
        <is>
          <t>0                      HQ 1121000C  45          1986</t>
        </is>
      </c>
      <c r="D374" t="inlineStr">
        <is>
          <t>Female revolt : women's movements in world and historical perspective / Janet Saltzman Chafetz, Anthony Gary Dworkin with the assistance of Stephanie Swanson.</t>
        </is>
      </c>
      <c r="F374" t="inlineStr">
        <is>
          <t>No</t>
        </is>
      </c>
      <c r="G374" t="inlineStr">
        <is>
          <t>1</t>
        </is>
      </c>
      <c r="H374" t="inlineStr">
        <is>
          <t>No</t>
        </is>
      </c>
      <c r="I374" t="inlineStr">
        <is>
          <t>No</t>
        </is>
      </c>
      <c r="J374" t="inlineStr">
        <is>
          <t>0</t>
        </is>
      </c>
      <c r="K374" t="inlineStr">
        <is>
          <t>Chafetz, Janet Saltzman.</t>
        </is>
      </c>
      <c r="L374" t="inlineStr">
        <is>
          <t>Totowa, N.J. : Rowman &amp; Allanheld, 1986.</t>
        </is>
      </c>
      <c r="M374" t="inlineStr">
        <is>
          <t>1986</t>
        </is>
      </c>
      <c r="O374" t="inlineStr">
        <is>
          <t>eng</t>
        </is>
      </c>
      <c r="P374" t="inlineStr">
        <is>
          <t>nju</t>
        </is>
      </c>
      <c r="R374" t="inlineStr">
        <is>
          <t xml:space="preserve">HQ </t>
        </is>
      </c>
      <c r="S374" t="n">
        <v>6</v>
      </c>
      <c r="T374" t="n">
        <v>6</v>
      </c>
      <c r="U374" t="inlineStr">
        <is>
          <t>2005-11-10</t>
        </is>
      </c>
      <c r="V374" t="inlineStr">
        <is>
          <t>2005-11-10</t>
        </is>
      </c>
      <c r="W374" t="inlineStr">
        <is>
          <t>1992-04-03</t>
        </is>
      </c>
      <c r="X374" t="inlineStr">
        <is>
          <t>1992-04-03</t>
        </is>
      </c>
      <c r="Y374" t="n">
        <v>623</v>
      </c>
      <c r="Z374" t="n">
        <v>536</v>
      </c>
      <c r="AA374" t="n">
        <v>543</v>
      </c>
      <c r="AB374" t="n">
        <v>3</v>
      </c>
      <c r="AC374" t="n">
        <v>3</v>
      </c>
      <c r="AD374" t="n">
        <v>26</v>
      </c>
      <c r="AE374" t="n">
        <v>26</v>
      </c>
      <c r="AF374" t="n">
        <v>7</v>
      </c>
      <c r="AG374" t="n">
        <v>7</v>
      </c>
      <c r="AH374" t="n">
        <v>6</v>
      </c>
      <c r="AI374" t="n">
        <v>6</v>
      </c>
      <c r="AJ374" t="n">
        <v>16</v>
      </c>
      <c r="AK374" t="n">
        <v>16</v>
      </c>
      <c r="AL374" t="n">
        <v>2</v>
      </c>
      <c r="AM374" t="n">
        <v>2</v>
      </c>
      <c r="AN374" t="n">
        <v>2</v>
      </c>
      <c r="AO374" t="n">
        <v>2</v>
      </c>
      <c r="AP374" t="inlineStr">
        <is>
          <t>No</t>
        </is>
      </c>
      <c r="AQ374" t="inlineStr">
        <is>
          <t>Yes</t>
        </is>
      </c>
      <c r="AR374">
        <f>HYPERLINK("http://catalog.hathitrust.org/Record/000823665","HathiTrust Record")</f>
        <v/>
      </c>
      <c r="AS374">
        <f>HYPERLINK("https://creighton-primo.hosted.exlibrisgroup.com/primo-explore/search?tab=default_tab&amp;search_scope=EVERYTHING&amp;vid=01CRU&amp;lang=en_US&amp;offset=0&amp;query=any,contains,991000700399702656","Catalog Record")</f>
        <v/>
      </c>
      <c r="AT374">
        <f>HYPERLINK("http://www.worldcat.org/oclc/12549132","WorldCat Record")</f>
        <v/>
      </c>
      <c r="AU374" t="inlineStr">
        <is>
          <t>375067775:eng</t>
        </is>
      </c>
      <c r="AV374" t="inlineStr">
        <is>
          <t>12549132</t>
        </is>
      </c>
      <c r="AW374" t="inlineStr">
        <is>
          <t>991000700399702656</t>
        </is>
      </c>
      <c r="AX374" t="inlineStr">
        <is>
          <t>991000700399702656</t>
        </is>
      </c>
      <c r="AY374" t="inlineStr">
        <is>
          <t>2263608620002656</t>
        </is>
      </c>
      <c r="AZ374" t="inlineStr">
        <is>
          <t>BOOK</t>
        </is>
      </c>
      <c r="BB374" t="inlineStr">
        <is>
          <t>9780847673926</t>
        </is>
      </c>
      <c r="BC374" t="inlineStr">
        <is>
          <t>32285001033793</t>
        </is>
      </c>
      <c r="BD374" t="inlineStr">
        <is>
          <t>893890954</t>
        </is>
      </c>
    </row>
    <row r="375">
      <c r="A375" t="inlineStr">
        <is>
          <t>No</t>
        </is>
      </c>
      <c r="B375" t="inlineStr">
        <is>
          <t>HQ1121 .E24 2008</t>
        </is>
      </c>
      <c r="C375" t="inlineStr">
        <is>
          <t>0                      HQ 1121000E  24          2008</t>
        </is>
      </c>
      <c r="D375" t="inlineStr">
        <is>
          <t>From freedom fighters to terrorists : women and political violence / Paige Whaley Eager.</t>
        </is>
      </c>
      <c r="F375" t="inlineStr">
        <is>
          <t>No</t>
        </is>
      </c>
      <c r="G375" t="inlineStr">
        <is>
          <t>1</t>
        </is>
      </c>
      <c r="H375" t="inlineStr">
        <is>
          <t>No</t>
        </is>
      </c>
      <c r="I375" t="inlineStr">
        <is>
          <t>No</t>
        </is>
      </c>
      <c r="J375" t="inlineStr">
        <is>
          <t>0</t>
        </is>
      </c>
      <c r="K375" t="inlineStr">
        <is>
          <t>Eager, Paige Whaley, 1973-</t>
        </is>
      </c>
      <c r="L375" t="inlineStr">
        <is>
          <t>Aldershot, England ; Burlington, VT : Ashgate, c2008.</t>
        </is>
      </c>
      <c r="M375" t="inlineStr">
        <is>
          <t>2008</t>
        </is>
      </c>
      <c r="O375" t="inlineStr">
        <is>
          <t>eng</t>
        </is>
      </c>
      <c r="P375" t="inlineStr">
        <is>
          <t>enk</t>
        </is>
      </c>
      <c r="R375" t="inlineStr">
        <is>
          <t xml:space="preserve">HQ </t>
        </is>
      </c>
      <c r="S375" t="n">
        <v>1</v>
      </c>
      <c r="T375" t="n">
        <v>1</v>
      </c>
      <c r="U375" t="inlineStr">
        <is>
          <t>2009-03-09</t>
        </is>
      </c>
      <c r="V375" t="inlineStr">
        <is>
          <t>2009-03-09</t>
        </is>
      </c>
      <c r="W375" t="inlineStr">
        <is>
          <t>2009-03-09</t>
        </is>
      </c>
      <c r="X375" t="inlineStr">
        <is>
          <t>2009-03-09</t>
        </is>
      </c>
      <c r="Y375" t="n">
        <v>372</v>
      </c>
      <c r="Z375" t="n">
        <v>266</v>
      </c>
      <c r="AA375" t="n">
        <v>618</v>
      </c>
      <c r="AB375" t="n">
        <v>1</v>
      </c>
      <c r="AC375" t="n">
        <v>3</v>
      </c>
      <c r="AD375" t="n">
        <v>17</v>
      </c>
      <c r="AE375" t="n">
        <v>19</v>
      </c>
      <c r="AF375" t="n">
        <v>9</v>
      </c>
      <c r="AG375" t="n">
        <v>9</v>
      </c>
      <c r="AH375" t="n">
        <v>4</v>
      </c>
      <c r="AI375" t="n">
        <v>4</v>
      </c>
      <c r="AJ375" t="n">
        <v>12</v>
      </c>
      <c r="AK375" t="n">
        <v>12</v>
      </c>
      <c r="AL375" t="n">
        <v>0</v>
      </c>
      <c r="AM375" t="n">
        <v>2</v>
      </c>
      <c r="AN375" t="n">
        <v>0</v>
      </c>
      <c r="AO375" t="n">
        <v>0</v>
      </c>
      <c r="AP375" t="inlineStr">
        <is>
          <t>No</t>
        </is>
      </c>
      <c r="AQ375" t="inlineStr">
        <is>
          <t>Yes</t>
        </is>
      </c>
      <c r="AR375">
        <f>HYPERLINK("http://catalog.hathitrust.org/Record/005700446","HathiTrust Record")</f>
        <v/>
      </c>
      <c r="AS375">
        <f>HYPERLINK("https://creighton-primo.hosted.exlibrisgroup.com/primo-explore/search?tab=default_tab&amp;search_scope=EVERYTHING&amp;vid=01CRU&amp;lang=en_US&amp;offset=0&amp;query=any,contains,991005298029702656","Catalog Record")</f>
        <v/>
      </c>
      <c r="AT375">
        <f>HYPERLINK("http://www.worldcat.org/oclc/167499065","WorldCat Record")</f>
        <v/>
      </c>
      <c r="AU375" t="inlineStr">
        <is>
          <t>800524152:eng</t>
        </is>
      </c>
      <c r="AV375" t="inlineStr">
        <is>
          <t>167499065</t>
        </is>
      </c>
      <c r="AW375" t="inlineStr">
        <is>
          <t>991005298029702656</t>
        </is>
      </c>
      <c r="AX375" t="inlineStr">
        <is>
          <t>991005298029702656</t>
        </is>
      </c>
      <c r="AY375" t="inlineStr">
        <is>
          <t>2271926740002656</t>
        </is>
      </c>
      <c r="AZ375" t="inlineStr">
        <is>
          <t>BOOK</t>
        </is>
      </c>
      <c r="BB375" t="inlineStr">
        <is>
          <t>9780754672258</t>
        </is>
      </c>
      <c r="BC375" t="inlineStr">
        <is>
          <t>32285005508170</t>
        </is>
      </c>
      <c r="BD375" t="inlineStr">
        <is>
          <t>893520798</t>
        </is>
      </c>
    </row>
    <row r="376">
      <c r="A376" t="inlineStr">
        <is>
          <t>No</t>
        </is>
      </c>
      <c r="B376" t="inlineStr">
        <is>
          <t>HQ1121 .F43 1996</t>
        </is>
      </c>
      <c r="C376" t="inlineStr">
        <is>
          <t>0                      HQ 1121000F  43          1996</t>
        </is>
      </c>
      <c r="D376" t="inlineStr">
        <is>
          <t>Feminism and history / edited by Joan Wallach Scott.</t>
        </is>
      </c>
      <c r="F376" t="inlineStr">
        <is>
          <t>No</t>
        </is>
      </c>
      <c r="G376" t="inlineStr">
        <is>
          <t>1</t>
        </is>
      </c>
      <c r="H376" t="inlineStr">
        <is>
          <t>No</t>
        </is>
      </c>
      <c r="I376" t="inlineStr">
        <is>
          <t>No</t>
        </is>
      </c>
      <c r="J376" t="inlineStr">
        <is>
          <t>0</t>
        </is>
      </c>
      <c r="L376" t="inlineStr">
        <is>
          <t>Oxford ; New York : Oxford University Press, 1996.</t>
        </is>
      </c>
      <c r="M376" t="inlineStr">
        <is>
          <t>1996</t>
        </is>
      </c>
      <c r="O376" t="inlineStr">
        <is>
          <t>eng</t>
        </is>
      </c>
      <c r="P376" t="inlineStr">
        <is>
          <t>enk</t>
        </is>
      </c>
      <c r="Q376" t="inlineStr">
        <is>
          <t>Oxford readings in feminism</t>
        </is>
      </c>
      <c r="R376" t="inlineStr">
        <is>
          <t xml:space="preserve">HQ </t>
        </is>
      </c>
      <c r="S376" t="n">
        <v>9</v>
      </c>
      <c r="T376" t="n">
        <v>9</v>
      </c>
      <c r="U376" t="inlineStr">
        <is>
          <t>1999-10-01</t>
        </is>
      </c>
      <c r="V376" t="inlineStr">
        <is>
          <t>1999-10-01</t>
        </is>
      </c>
      <c r="W376" t="inlineStr">
        <is>
          <t>1996-09-27</t>
        </is>
      </c>
      <c r="X376" t="inlineStr">
        <is>
          <t>1996-09-27</t>
        </is>
      </c>
      <c r="Y376" t="n">
        <v>683</v>
      </c>
      <c r="Z376" t="n">
        <v>477</v>
      </c>
      <c r="AA376" t="n">
        <v>1003</v>
      </c>
      <c r="AB376" t="n">
        <v>4</v>
      </c>
      <c r="AC376" t="n">
        <v>5</v>
      </c>
      <c r="AD376" t="n">
        <v>30</v>
      </c>
      <c r="AE376" t="n">
        <v>39</v>
      </c>
      <c r="AF376" t="n">
        <v>13</v>
      </c>
      <c r="AG376" t="n">
        <v>17</v>
      </c>
      <c r="AH376" t="n">
        <v>8</v>
      </c>
      <c r="AI376" t="n">
        <v>10</v>
      </c>
      <c r="AJ376" t="n">
        <v>15</v>
      </c>
      <c r="AK376" t="n">
        <v>19</v>
      </c>
      <c r="AL376" t="n">
        <v>3</v>
      </c>
      <c r="AM376" t="n">
        <v>4</v>
      </c>
      <c r="AN376" t="n">
        <v>0</v>
      </c>
      <c r="AO376" t="n">
        <v>0</v>
      </c>
      <c r="AP376" t="inlineStr">
        <is>
          <t>No</t>
        </is>
      </c>
      <c r="AQ376" t="inlineStr">
        <is>
          <t>Yes</t>
        </is>
      </c>
      <c r="AR376">
        <f>HYPERLINK("http://catalog.hathitrust.org/Record/003085643","HathiTrust Record")</f>
        <v/>
      </c>
      <c r="AS376">
        <f>HYPERLINK("https://creighton-primo.hosted.exlibrisgroup.com/primo-explore/search?tab=default_tab&amp;search_scope=EVERYTHING&amp;vid=01CRU&amp;lang=en_US&amp;offset=0&amp;query=any,contains,991002584199702656","Catalog Record")</f>
        <v/>
      </c>
      <c r="AT376">
        <f>HYPERLINK("http://www.worldcat.org/oclc/33864785","WorldCat Record")</f>
        <v/>
      </c>
      <c r="AU376" t="inlineStr">
        <is>
          <t>56028230:eng</t>
        </is>
      </c>
      <c r="AV376" t="inlineStr">
        <is>
          <t>33864785</t>
        </is>
      </c>
      <c r="AW376" t="inlineStr">
        <is>
          <t>991002584199702656</t>
        </is>
      </c>
      <c r="AX376" t="inlineStr">
        <is>
          <t>991002584199702656</t>
        </is>
      </c>
      <c r="AY376" t="inlineStr">
        <is>
          <t>2265739170002656</t>
        </is>
      </c>
      <c r="AZ376" t="inlineStr">
        <is>
          <t>BOOK</t>
        </is>
      </c>
      <c r="BB376" t="inlineStr">
        <is>
          <t>9780198751687</t>
        </is>
      </c>
      <c r="BC376" t="inlineStr">
        <is>
          <t>32285002320801</t>
        </is>
      </c>
      <c r="BD376" t="inlineStr">
        <is>
          <t>893779980</t>
        </is>
      </c>
    </row>
    <row r="377">
      <c r="A377" t="inlineStr">
        <is>
          <t>No</t>
        </is>
      </c>
      <c r="B377" t="inlineStr">
        <is>
          <t>HQ1121 .F75 2002</t>
        </is>
      </c>
      <c r="C377" t="inlineStr">
        <is>
          <t>0                      HQ 1121000F  75          2002</t>
        </is>
      </c>
      <c r="D377" t="inlineStr">
        <is>
          <t>From Eve to dawn : a history of women / Marilyn French.</t>
        </is>
      </c>
      <c r="E377" t="inlineStr">
        <is>
          <t>V. 3</t>
        </is>
      </c>
      <c r="F377" t="inlineStr">
        <is>
          <t>Yes</t>
        </is>
      </c>
      <c r="G377" t="inlineStr">
        <is>
          <t>1</t>
        </is>
      </c>
      <c r="H377" t="inlineStr">
        <is>
          <t>No</t>
        </is>
      </c>
      <c r="I377" t="inlineStr">
        <is>
          <t>No</t>
        </is>
      </c>
      <c r="J377" t="inlineStr">
        <is>
          <t>0</t>
        </is>
      </c>
      <c r="K377" t="inlineStr">
        <is>
          <t>French, Marilyn, 1929-2009.</t>
        </is>
      </c>
      <c r="L377" t="inlineStr">
        <is>
          <t>Toronto : McArthur, 2002-</t>
        </is>
      </c>
      <c r="M377" t="inlineStr">
        <is>
          <t>2002</t>
        </is>
      </c>
      <c r="O377" t="inlineStr">
        <is>
          <t>eng</t>
        </is>
      </c>
      <c r="P377" t="inlineStr">
        <is>
          <t>onc</t>
        </is>
      </c>
      <c r="R377" t="inlineStr">
        <is>
          <t xml:space="preserve">HQ </t>
        </is>
      </c>
      <c r="S377" t="n">
        <v>1</v>
      </c>
      <c r="T377" t="n">
        <v>6</v>
      </c>
      <c r="U377" t="inlineStr">
        <is>
          <t>2004-01-20</t>
        </is>
      </c>
      <c r="V377" t="inlineStr">
        <is>
          <t>2008-05-20</t>
        </is>
      </c>
      <c r="W377" t="inlineStr">
        <is>
          <t>2004-01-20</t>
        </is>
      </c>
      <c r="X377" t="inlineStr">
        <is>
          <t>2004-02-23</t>
        </is>
      </c>
      <c r="Y377" t="n">
        <v>338</v>
      </c>
      <c r="Z377" t="n">
        <v>225</v>
      </c>
      <c r="AA377" t="n">
        <v>712</v>
      </c>
      <c r="AB377" t="n">
        <v>4</v>
      </c>
      <c r="AC377" t="n">
        <v>7</v>
      </c>
      <c r="AD377" t="n">
        <v>12</v>
      </c>
      <c r="AE377" t="n">
        <v>29</v>
      </c>
      <c r="AF377" t="n">
        <v>1</v>
      </c>
      <c r="AG377" t="n">
        <v>7</v>
      </c>
      <c r="AH377" t="n">
        <v>3</v>
      </c>
      <c r="AI377" t="n">
        <v>8</v>
      </c>
      <c r="AJ377" t="n">
        <v>7</v>
      </c>
      <c r="AK377" t="n">
        <v>11</v>
      </c>
      <c r="AL377" t="n">
        <v>3</v>
      </c>
      <c r="AM377" t="n">
        <v>6</v>
      </c>
      <c r="AN377" t="n">
        <v>0</v>
      </c>
      <c r="AO377" t="n">
        <v>1</v>
      </c>
      <c r="AP377" t="inlineStr">
        <is>
          <t>No</t>
        </is>
      </c>
      <c r="AQ377" t="inlineStr">
        <is>
          <t>No</t>
        </is>
      </c>
      <c r="AS377">
        <f>HYPERLINK("https://creighton-primo.hosted.exlibrisgroup.com/primo-explore/search?tab=default_tab&amp;search_scope=EVERYTHING&amp;vid=01CRU&amp;lang=en_US&amp;offset=0&amp;query=any,contains,991004211029702656","Catalog Record")</f>
        <v/>
      </c>
      <c r="AT377">
        <f>HYPERLINK("http://www.worldcat.org/oclc/48944113","WorldCat Record")</f>
        <v/>
      </c>
      <c r="AU377" t="inlineStr">
        <is>
          <t>4714364465:eng</t>
        </is>
      </c>
      <c r="AV377" t="inlineStr">
        <is>
          <t>48944113</t>
        </is>
      </c>
      <c r="AW377" t="inlineStr">
        <is>
          <t>991004211029702656</t>
        </is>
      </c>
      <c r="AX377" t="inlineStr">
        <is>
          <t>991004211029702656</t>
        </is>
      </c>
      <c r="AY377" t="inlineStr">
        <is>
          <t>2263227970002656</t>
        </is>
      </c>
      <c r="AZ377" t="inlineStr">
        <is>
          <t>BOOK</t>
        </is>
      </c>
      <c r="BB377" t="inlineStr">
        <is>
          <t>9781552782682</t>
        </is>
      </c>
      <c r="BC377" t="inlineStr">
        <is>
          <t>32285004635107</t>
        </is>
      </c>
      <c r="BD377" t="inlineStr">
        <is>
          <t>893417366</t>
        </is>
      </c>
    </row>
    <row r="378">
      <c r="A378" t="inlineStr">
        <is>
          <t>No</t>
        </is>
      </c>
      <c r="B378" t="inlineStr">
        <is>
          <t>HQ1121 .F75 2002</t>
        </is>
      </c>
      <c r="C378" t="inlineStr">
        <is>
          <t>0                      HQ 1121000F  75          2002</t>
        </is>
      </c>
      <c r="D378" t="inlineStr">
        <is>
          <t>From Eve to dawn : a history of women / Marilyn French.</t>
        </is>
      </c>
      <c r="E378" t="inlineStr">
        <is>
          <t>V. 2</t>
        </is>
      </c>
      <c r="F378" t="inlineStr">
        <is>
          <t>Yes</t>
        </is>
      </c>
      <c r="G378" t="inlineStr">
        <is>
          <t>1</t>
        </is>
      </c>
      <c r="H378" t="inlineStr">
        <is>
          <t>No</t>
        </is>
      </c>
      <c r="I378" t="inlineStr">
        <is>
          <t>No</t>
        </is>
      </c>
      <c r="J378" t="inlineStr">
        <is>
          <t>0</t>
        </is>
      </c>
      <c r="K378" t="inlineStr">
        <is>
          <t>French, Marilyn, 1929-2009.</t>
        </is>
      </c>
      <c r="L378" t="inlineStr">
        <is>
          <t>Toronto : McArthur, 2002-</t>
        </is>
      </c>
      <c r="M378" t="inlineStr">
        <is>
          <t>2002</t>
        </is>
      </c>
      <c r="O378" t="inlineStr">
        <is>
          <t>eng</t>
        </is>
      </c>
      <c r="P378" t="inlineStr">
        <is>
          <t>onc</t>
        </is>
      </c>
      <c r="R378" t="inlineStr">
        <is>
          <t xml:space="preserve">HQ </t>
        </is>
      </c>
      <c r="S378" t="n">
        <v>2</v>
      </c>
      <c r="T378" t="n">
        <v>6</v>
      </c>
      <c r="U378" t="inlineStr">
        <is>
          <t>2008-05-20</t>
        </is>
      </c>
      <c r="V378" t="inlineStr">
        <is>
          <t>2008-05-20</t>
        </is>
      </c>
      <c r="W378" t="inlineStr">
        <is>
          <t>2004-02-23</t>
        </is>
      </c>
      <c r="X378" t="inlineStr">
        <is>
          <t>2004-02-23</t>
        </is>
      </c>
      <c r="Y378" t="n">
        <v>338</v>
      </c>
      <c r="Z378" t="n">
        <v>225</v>
      </c>
      <c r="AA378" t="n">
        <v>712</v>
      </c>
      <c r="AB378" t="n">
        <v>4</v>
      </c>
      <c r="AC378" t="n">
        <v>7</v>
      </c>
      <c r="AD378" t="n">
        <v>12</v>
      </c>
      <c r="AE378" t="n">
        <v>29</v>
      </c>
      <c r="AF378" t="n">
        <v>1</v>
      </c>
      <c r="AG378" t="n">
        <v>7</v>
      </c>
      <c r="AH378" t="n">
        <v>3</v>
      </c>
      <c r="AI378" t="n">
        <v>8</v>
      </c>
      <c r="AJ378" t="n">
        <v>7</v>
      </c>
      <c r="AK378" t="n">
        <v>11</v>
      </c>
      <c r="AL378" t="n">
        <v>3</v>
      </c>
      <c r="AM378" t="n">
        <v>6</v>
      </c>
      <c r="AN378" t="n">
        <v>0</v>
      </c>
      <c r="AO378" t="n">
        <v>1</v>
      </c>
      <c r="AP378" t="inlineStr">
        <is>
          <t>No</t>
        </is>
      </c>
      <c r="AQ378" t="inlineStr">
        <is>
          <t>No</t>
        </is>
      </c>
      <c r="AS378">
        <f>HYPERLINK("https://creighton-primo.hosted.exlibrisgroup.com/primo-explore/search?tab=default_tab&amp;search_scope=EVERYTHING&amp;vid=01CRU&amp;lang=en_US&amp;offset=0&amp;query=any,contains,991004211029702656","Catalog Record")</f>
        <v/>
      </c>
      <c r="AT378">
        <f>HYPERLINK("http://www.worldcat.org/oclc/48944113","WorldCat Record")</f>
        <v/>
      </c>
      <c r="AU378" t="inlineStr">
        <is>
          <t>4714364465:eng</t>
        </is>
      </c>
      <c r="AV378" t="inlineStr">
        <is>
          <t>48944113</t>
        </is>
      </c>
      <c r="AW378" t="inlineStr">
        <is>
          <t>991004211029702656</t>
        </is>
      </c>
      <c r="AX378" t="inlineStr">
        <is>
          <t>991004211029702656</t>
        </is>
      </c>
      <c r="AY378" t="inlineStr">
        <is>
          <t>2263227970002656</t>
        </is>
      </c>
      <c r="AZ378" t="inlineStr">
        <is>
          <t>BOOK</t>
        </is>
      </c>
      <c r="BB378" t="inlineStr">
        <is>
          <t>9781552782682</t>
        </is>
      </c>
      <c r="BC378" t="inlineStr">
        <is>
          <t>32285004890017</t>
        </is>
      </c>
      <c r="BD378" t="inlineStr">
        <is>
          <t>893417367</t>
        </is>
      </c>
    </row>
    <row r="379">
      <c r="A379" t="inlineStr">
        <is>
          <t>No</t>
        </is>
      </c>
      <c r="B379" t="inlineStr">
        <is>
          <t>HQ1121 .F75 2002</t>
        </is>
      </c>
      <c r="C379" t="inlineStr">
        <is>
          <t>0                      HQ 1121000F  75          2002</t>
        </is>
      </c>
      <c r="D379" t="inlineStr">
        <is>
          <t>From Eve to dawn : a history of women / Marilyn French.</t>
        </is>
      </c>
      <c r="E379" t="inlineStr">
        <is>
          <t>V. 1</t>
        </is>
      </c>
      <c r="F379" t="inlineStr">
        <is>
          <t>Yes</t>
        </is>
      </c>
      <c r="G379" t="inlineStr">
        <is>
          <t>1</t>
        </is>
      </c>
      <c r="H379" t="inlineStr">
        <is>
          <t>No</t>
        </is>
      </c>
      <c r="I379" t="inlineStr">
        <is>
          <t>No</t>
        </is>
      </c>
      <c r="J379" t="inlineStr">
        <is>
          <t>0</t>
        </is>
      </c>
      <c r="K379" t="inlineStr">
        <is>
          <t>French, Marilyn, 1929-2009.</t>
        </is>
      </c>
      <c r="L379" t="inlineStr">
        <is>
          <t>Toronto : McArthur, 2002-</t>
        </is>
      </c>
      <c r="M379" t="inlineStr">
        <is>
          <t>2002</t>
        </is>
      </c>
      <c r="O379" t="inlineStr">
        <is>
          <t>eng</t>
        </is>
      </c>
      <c r="P379" t="inlineStr">
        <is>
          <t>onc</t>
        </is>
      </c>
      <c r="R379" t="inlineStr">
        <is>
          <t xml:space="preserve">HQ </t>
        </is>
      </c>
      <c r="S379" t="n">
        <v>3</v>
      </c>
      <c r="T379" t="n">
        <v>6</v>
      </c>
      <c r="U379" t="inlineStr">
        <is>
          <t>2004-10-11</t>
        </is>
      </c>
      <c r="V379" t="inlineStr">
        <is>
          <t>2008-05-20</t>
        </is>
      </c>
      <c r="W379" t="inlineStr">
        <is>
          <t>2004-01-20</t>
        </is>
      </c>
      <c r="X379" t="inlineStr">
        <is>
          <t>2004-02-23</t>
        </is>
      </c>
      <c r="Y379" t="n">
        <v>338</v>
      </c>
      <c r="Z379" t="n">
        <v>225</v>
      </c>
      <c r="AA379" t="n">
        <v>712</v>
      </c>
      <c r="AB379" t="n">
        <v>4</v>
      </c>
      <c r="AC379" t="n">
        <v>7</v>
      </c>
      <c r="AD379" t="n">
        <v>12</v>
      </c>
      <c r="AE379" t="n">
        <v>29</v>
      </c>
      <c r="AF379" t="n">
        <v>1</v>
      </c>
      <c r="AG379" t="n">
        <v>7</v>
      </c>
      <c r="AH379" t="n">
        <v>3</v>
      </c>
      <c r="AI379" t="n">
        <v>8</v>
      </c>
      <c r="AJ379" t="n">
        <v>7</v>
      </c>
      <c r="AK379" t="n">
        <v>11</v>
      </c>
      <c r="AL379" t="n">
        <v>3</v>
      </c>
      <c r="AM379" t="n">
        <v>6</v>
      </c>
      <c r="AN379" t="n">
        <v>0</v>
      </c>
      <c r="AO379" t="n">
        <v>1</v>
      </c>
      <c r="AP379" t="inlineStr">
        <is>
          <t>No</t>
        </is>
      </c>
      <c r="AQ379" t="inlineStr">
        <is>
          <t>No</t>
        </is>
      </c>
      <c r="AS379">
        <f>HYPERLINK("https://creighton-primo.hosted.exlibrisgroup.com/primo-explore/search?tab=default_tab&amp;search_scope=EVERYTHING&amp;vid=01CRU&amp;lang=en_US&amp;offset=0&amp;query=any,contains,991004211029702656","Catalog Record")</f>
        <v/>
      </c>
      <c r="AT379">
        <f>HYPERLINK("http://www.worldcat.org/oclc/48944113","WorldCat Record")</f>
        <v/>
      </c>
      <c r="AU379" t="inlineStr">
        <is>
          <t>4714364465:eng</t>
        </is>
      </c>
      <c r="AV379" t="inlineStr">
        <is>
          <t>48944113</t>
        </is>
      </c>
      <c r="AW379" t="inlineStr">
        <is>
          <t>991004211029702656</t>
        </is>
      </c>
      <c r="AX379" t="inlineStr">
        <is>
          <t>991004211029702656</t>
        </is>
      </c>
      <c r="AY379" t="inlineStr">
        <is>
          <t>2263227970002656</t>
        </is>
      </c>
      <c r="AZ379" t="inlineStr">
        <is>
          <t>BOOK</t>
        </is>
      </c>
      <c r="BB379" t="inlineStr">
        <is>
          <t>9781552782682</t>
        </is>
      </c>
      <c r="BC379" t="inlineStr">
        <is>
          <t>32285004635099</t>
        </is>
      </c>
      <c r="BD379" t="inlineStr">
        <is>
          <t>893429789</t>
        </is>
      </c>
    </row>
    <row r="380">
      <c r="A380" t="inlineStr">
        <is>
          <t>No</t>
        </is>
      </c>
      <c r="B380" t="inlineStr">
        <is>
          <t>HQ1121 .H4 1971</t>
        </is>
      </c>
      <c r="C380" t="inlineStr">
        <is>
          <t>0                      HQ 1121000H  4           1971</t>
        </is>
      </c>
      <c r="D380" t="inlineStr">
        <is>
          <t>A short history of women's rights from the days of Augustus to the present time. With special reference to England and the United States, by Eugene A. Hecker.</t>
        </is>
      </c>
      <c r="F380" t="inlineStr">
        <is>
          <t>No</t>
        </is>
      </c>
      <c r="G380" t="inlineStr">
        <is>
          <t>1</t>
        </is>
      </c>
      <c r="H380" t="inlineStr">
        <is>
          <t>Yes</t>
        </is>
      </c>
      <c r="I380" t="inlineStr">
        <is>
          <t>No</t>
        </is>
      </c>
      <c r="J380" t="inlineStr">
        <is>
          <t>0</t>
        </is>
      </c>
      <c r="K380" t="inlineStr">
        <is>
          <t>Hecker, Eugene A. (Eugene Arthur), 1884-</t>
        </is>
      </c>
      <c r="L380" t="inlineStr">
        <is>
          <t>Westport, Conn., Greenwood Press [1971]</t>
        </is>
      </c>
      <c r="M380" t="inlineStr">
        <is>
          <t>1971</t>
        </is>
      </c>
      <c r="N380" t="inlineStr">
        <is>
          <t>2d ed. rev., with additions.</t>
        </is>
      </c>
      <c r="O380" t="inlineStr">
        <is>
          <t>eng</t>
        </is>
      </c>
      <c r="P380" t="inlineStr">
        <is>
          <t>ctu</t>
        </is>
      </c>
      <c r="R380" t="inlineStr">
        <is>
          <t xml:space="preserve">HQ </t>
        </is>
      </c>
      <c r="S380" t="n">
        <v>1</v>
      </c>
      <c r="T380" t="n">
        <v>5</v>
      </c>
      <c r="U380" t="inlineStr">
        <is>
          <t>2009-01-28</t>
        </is>
      </c>
      <c r="V380" t="inlineStr">
        <is>
          <t>2009-09-02</t>
        </is>
      </c>
      <c r="W380" t="inlineStr">
        <is>
          <t>1997-08-14</t>
        </is>
      </c>
      <c r="X380" t="inlineStr">
        <is>
          <t>1997-08-14</t>
        </is>
      </c>
      <c r="Y380" t="n">
        <v>453</v>
      </c>
      <c r="Z380" t="n">
        <v>405</v>
      </c>
      <c r="AA380" t="n">
        <v>863</v>
      </c>
      <c r="AB380" t="n">
        <v>2</v>
      </c>
      <c r="AC380" t="n">
        <v>9</v>
      </c>
      <c r="AD380" t="n">
        <v>19</v>
      </c>
      <c r="AE380" t="n">
        <v>43</v>
      </c>
      <c r="AF380" t="n">
        <v>3</v>
      </c>
      <c r="AG380" t="n">
        <v>11</v>
      </c>
      <c r="AH380" t="n">
        <v>3</v>
      </c>
      <c r="AI380" t="n">
        <v>8</v>
      </c>
      <c r="AJ380" t="n">
        <v>5</v>
      </c>
      <c r="AK380" t="n">
        <v>9</v>
      </c>
      <c r="AL380" t="n">
        <v>1</v>
      </c>
      <c r="AM380" t="n">
        <v>7</v>
      </c>
      <c r="AN380" t="n">
        <v>9</v>
      </c>
      <c r="AO380" t="n">
        <v>13</v>
      </c>
      <c r="AP380" t="inlineStr">
        <is>
          <t>No</t>
        </is>
      </c>
      <c r="AQ380" t="inlineStr">
        <is>
          <t>Yes</t>
        </is>
      </c>
      <c r="AR380">
        <f>HYPERLINK("http://catalog.hathitrust.org/Record/004399206","HathiTrust Record")</f>
        <v/>
      </c>
      <c r="AS380">
        <f>HYPERLINK("https://creighton-primo.hosted.exlibrisgroup.com/primo-explore/search?tab=default_tab&amp;search_scope=EVERYTHING&amp;vid=01CRU&amp;lang=en_US&amp;offset=0&amp;query=any,contains,991001739709702656","Catalog Record")</f>
        <v/>
      </c>
      <c r="AT380">
        <f>HYPERLINK("http://www.worldcat.org/oclc/135302","WorldCat Record")</f>
        <v/>
      </c>
      <c r="AU380" t="inlineStr">
        <is>
          <t>1090247007:eng</t>
        </is>
      </c>
      <c r="AV380" t="inlineStr">
        <is>
          <t>135302</t>
        </is>
      </c>
      <c r="AW380" t="inlineStr">
        <is>
          <t>991001739709702656</t>
        </is>
      </c>
      <c r="AX380" t="inlineStr">
        <is>
          <t>991001739709702656</t>
        </is>
      </c>
      <c r="AY380" t="inlineStr">
        <is>
          <t>2263432500002656</t>
        </is>
      </c>
      <c r="AZ380" t="inlineStr">
        <is>
          <t>BOOK</t>
        </is>
      </c>
      <c r="BB380" t="inlineStr">
        <is>
          <t>9780837131061</t>
        </is>
      </c>
      <c r="BC380" t="inlineStr">
        <is>
          <t>32285003103776</t>
        </is>
      </c>
      <c r="BD380" t="inlineStr">
        <is>
          <t>893791666</t>
        </is>
      </c>
    </row>
    <row r="381">
      <c r="A381" t="inlineStr">
        <is>
          <t>No</t>
        </is>
      </c>
      <c r="B381" t="inlineStr">
        <is>
          <t>HQ1121 .H62513</t>
        </is>
      </c>
      <c r="C381" t="inlineStr">
        <is>
          <t>0                      HQ 1121000H  62513</t>
        </is>
      </c>
      <c r="D381" t="inlineStr">
        <is>
          <t>On improving the status of women / Theodor Gottlieb von Hippel ; translated and edited with an introd. by Timothy F. Sellner.</t>
        </is>
      </c>
      <c r="F381" t="inlineStr">
        <is>
          <t>No</t>
        </is>
      </c>
      <c r="G381" t="inlineStr">
        <is>
          <t>1</t>
        </is>
      </c>
      <c r="H381" t="inlineStr">
        <is>
          <t>No</t>
        </is>
      </c>
      <c r="I381" t="inlineStr">
        <is>
          <t>No</t>
        </is>
      </c>
      <c r="J381" t="inlineStr">
        <is>
          <t>0</t>
        </is>
      </c>
      <c r="K381" t="inlineStr">
        <is>
          <t>Hippel, Theodor Gottlieb von, 1741-1796.</t>
        </is>
      </c>
      <c r="L381" t="inlineStr">
        <is>
          <t>Detroit : Wayne State University Press, 1979.</t>
        </is>
      </c>
      <c r="M381" t="inlineStr">
        <is>
          <t>1979</t>
        </is>
      </c>
      <c r="O381" t="inlineStr">
        <is>
          <t>eng</t>
        </is>
      </c>
      <c r="P381" t="inlineStr">
        <is>
          <t>miu</t>
        </is>
      </c>
      <c r="R381" t="inlineStr">
        <is>
          <t xml:space="preserve">HQ </t>
        </is>
      </c>
      <c r="S381" t="n">
        <v>4</v>
      </c>
      <c r="T381" t="n">
        <v>4</v>
      </c>
      <c r="U381" t="inlineStr">
        <is>
          <t>1998-09-27</t>
        </is>
      </c>
      <c r="V381" t="inlineStr">
        <is>
          <t>1998-09-27</t>
        </is>
      </c>
      <c r="W381" t="inlineStr">
        <is>
          <t>1993-04-26</t>
        </is>
      </c>
      <c r="X381" t="inlineStr">
        <is>
          <t>1993-04-26</t>
        </is>
      </c>
      <c r="Y381" t="n">
        <v>510</v>
      </c>
      <c r="Z381" t="n">
        <v>442</v>
      </c>
      <c r="AA381" t="n">
        <v>449</v>
      </c>
      <c r="AB381" t="n">
        <v>4</v>
      </c>
      <c r="AC381" t="n">
        <v>4</v>
      </c>
      <c r="AD381" t="n">
        <v>24</v>
      </c>
      <c r="AE381" t="n">
        <v>24</v>
      </c>
      <c r="AF381" t="n">
        <v>8</v>
      </c>
      <c r="AG381" t="n">
        <v>8</v>
      </c>
      <c r="AH381" t="n">
        <v>7</v>
      </c>
      <c r="AI381" t="n">
        <v>7</v>
      </c>
      <c r="AJ381" t="n">
        <v>11</v>
      </c>
      <c r="AK381" t="n">
        <v>11</v>
      </c>
      <c r="AL381" t="n">
        <v>3</v>
      </c>
      <c r="AM381" t="n">
        <v>3</v>
      </c>
      <c r="AN381" t="n">
        <v>3</v>
      </c>
      <c r="AO381" t="n">
        <v>3</v>
      </c>
      <c r="AP381" t="inlineStr">
        <is>
          <t>No</t>
        </is>
      </c>
      <c r="AQ381" t="inlineStr">
        <is>
          <t>Yes</t>
        </is>
      </c>
      <c r="AR381">
        <f>HYPERLINK("http://catalog.hathitrust.org/Record/000255972","HathiTrust Record")</f>
        <v/>
      </c>
      <c r="AS381">
        <f>HYPERLINK("https://creighton-primo.hosted.exlibrisgroup.com/primo-explore/search?tab=default_tab&amp;search_scope=EVERYTHING&amp;vid=01CRU&amp;lang=en_US&amp;offset=0&amp;query=any,contains,991004652459702656","Catalog Record")</f>
        <v/>
      </c>
      <c r="AT381">
        <f>HYPERLINK("http://www.worldcat.org/oclc/4494378","WorldCat Record")</f>
        <v/>
      </c>
      <c r="AU381" t="inlineStr">
        <is>
          <t>4495190409:eng</t>
        </is>
      </c>
      <c r="AV381" t="inlineStr">
        <is>
          <t>4494378</t>
        </is>
      </c>
      <c r="AW381" t="inlineStr">
        <is>
          <t>991004652459702656</t>
        </is>
      </c>
      <c r="AX381" t="inlineStr">
        <is>
          <t>991004652459702656</t>
        </is>
      </c>
      <c r="AY381" t="inlineStr">
        <is>
          <t>2267602740002656</t>
        </is>
      </c>
      <c r="AZ381" t="inlineStr">
        <is>
          <t>BOOK</t>
        </is>
      </c>
      <c r="BB381" t="inlineStr">
        <is>
          <t>9780814316221</t>
        </is>
      </c>
      <c r="BC381" t="inlineStr">
        <is>
          <t>32285001627123</t>
        </is>
      </c>
      <c r="BD381" t="inlineStr">
        <is>
          <t>893532638</t>
        </is>
      </c>
    </row>
    <row r="382">
      <c r="A382" t="inlineStr">
        <is>
          <t>No</t>
        </is>
      </c>
      <c r="B382" t="inlineStr">
        <is>
          <t>HQ1121 .J3613 1982</t>
        </is>
      </c>
      <c r="C382" t="inlineStr">
        <is>
          <t>0                      HQ 1121000J  3613        1982</t>
        </is>
      </c>
      <c r="D382" t="inlineStr">
        <is>
          <t>Sexism : the male monopoly on history and thought / Marielouise Janssen-Jurreit ; translated from the German by Verne Moberg.</t>
        </is>
      </c>
      <c r="F382" t="inlineStr">
        <is>
          <t>No</t>
        </is>
      </c>
      <c r="G382" t="inlineStr">
        <is>
          <t>1</t>
        </is>
      </c>
      <c r="H382" t="inlineStr">
        <is>
          <t>No</t>
        </is>
      </c>
      <c r="I382" t="inlineStr">
        <is>
          <t>No</t>
        </is>
      </c>
      <c r="J382" t="inlineStr">
        <is>
          <t>0</t>
        </is>
      </c>
      <c r="K382" t="inlineStr">
        <is>
          <t>Janssen-Jurreit, Marielouise, 1941-</t>
        </is>
      </c>
      <c r="L382" t="inlineStr">
        <is>
          <t>New York : Farrar Straus Giroux, 1982.</t>
        </is>
      </c>
      <c r="M382" t="inlineStr">
        <is>
          <t>1982</t>
        </is>
      </c>
      <c r="N382" t="inlineStr">
        <is>
          <t>1st ed.</t>
        </is>
      </c>
      <c r="O382" t="inlineStr">
        <is>
          <t>eng</t>
        </is>
      </c>
      <c r="P382" t="inlineStr">
        <is>
          <t>nyu</t>
        </is>
      </c>
      <c r="R382" t="inlineStr">
        <is>
          <t xml:space="preserve">HQ </t>
        </is>
      </c>
      <c r="S382" t="n">
        <v>4</v>
      </c>
      <c r="T382" t="n">
        <v>4</v>
      </c>
      <c r="U382" t="inlineStr">
        <is>
          <t>2006-04-26</t>
        </is>
      </c>
      <c r="V382" t="inlineStr">
        <is>
          <t>2006-04-26</t>
        </is>
      </c>
      <c r="W382" t="inlineStr">
        <is>
          <t>1990-06-15</t>
        </is>
      </c>
      <c r="X382" t="inlineStr">
        <is>
          <t>1990-06-15</t>
        </is>
      </c>
      <c r="Y382" t="n">
        <v>743</v>
      </c>
      <c r="Z382" t="n">
        <v>653</v>
      </c>
      <c r="AA382" t="n">
        <v>669</v>
      </c>
      <c r="AB382" t="n">
        <v>5</v>
      </c>
      <c r="AC382" t="n">
        <v>5</v>
      </c>
      <c r="AD382" t="n">
        <v>19</v>
      </c>
      <c r="AE382" t="n">
        <v>19</v>
      </c>
      <c r="AF382" t="n">
        <v>6</v>
      </c>
      <c r="AG382" t="n">
        <v>6</v>
      </c>
      <c r="AH382" t="n">
        <v>4</v>
      </c>
      <c r="AI382" t="n">
        <v>4</v>
      </c>
      <c r="AJ382" t="n">
        <v>11</v>
      </c>
      <c r="AK382" t="n">
        <v>11</v>
      </c>
      <c r="AL382" t="n">
        <v>4</v>
      </c>
      <c r="AM382" t="n">
        <v>4</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HYPERLINK("https://creighton-primo.hosted.exlibrisgroup.com/primo-explore/search?tab=default_tab&amp;search_scope=EVERYTHING&amp;vid=01CRU&amp;lang=en_US&amp;offset=0&amp;query=any,contains,991004925569702656","Catalog Record")</f>
        <v/>
      </c>
      <c r="AT382">
        <f>HYPERLINK("http://www.worldcat.org/oclc/6085700","WorldCat Record")</f>
        <v/>
      </c>
      <c r="AU382" t="inlineStr">
        <is>
          <t>2754312744:eng</t>
        </is>
      </c>
      <c r="AV382" t="inlineStr">
        <is>
          <t>6085700</t>
        </is>
      </c>
      <c r="AW382" t="inlineStr">
        <is>
          <t>991004925569702656</t>
        </is>
      </c>
      <c r="AX382" t="inlineStr">
        <is>
          <t>991004925569702656</t>
        </is>
      </c>
      <c r="AY382" t="inlineStr">
        <is>
          <t>2260936190002656</t>
        </is>
      </c>
      <c r="AZ382" t="inlineStr">
        <is>
          <t>BOOK</t>
        </is>
      </c>
      <c r="BB382" t="inlineStr">
        <is>
          <t>9780374261672</t>
        </is>
      </c>
      <c r="BC382" t="inlineStr">
        <is>
          <t>32285000196609</t>
        </is>
      </c>
      <c r="BD382" t="inlineStr">
        <is>
          <t>893795413</t>
        </is>
      </c>
    </row>
    <row r="383">
      <c r="A383" t="inlineStr">
        <is>
          <t>No</t>
        </is>
      </c>
      <c r="B383" t="inlineStr">
        <is>
          <t>HQ1121 .W96 1991</t>
        </is>
      </c>
      <c r="C383" t="inlineStr">
        <is>
          <t>0                      HQ 1121000W  96          1991</t>
        </is>
      </c>
      <c r="D383" t="inlineStr">
        <is>
          <t>Writing women's history : international perspectives / edited by Karen Offen, Ruth Roach Pierson, and Jane Rendall on behalf of the International Federation for Research in Women's History.</t>
        </is>
      </c>
      <c r="F383" t="inlineStr">
        <is>
          <t>No</t>
        </is>
      </c>
      <c r="G383" t="inlineStr">
        <is>
          <t>1</t>
        </is>
      </c>
      <c r="H383" t="inlineStr">
        <is>
          <t>No</t>
        </is>
      </c>
      <c r="I383" t="inlineStr">
        <is>
          <t>No</t>
        </is>
      </c>
      <c r="J383" t="inlineStr">
        <is>
          <t>0</t>
        </is>
      </c>
      <c r="L383" t="inlineStr">
        <is>
          <t>Bloomington : Indiana University Press, c1991.</t>
        </is>
      </c>
      <c r="M383" t="inlineStr">
        <is>
          <t>1991</t>
        </is>
      </c>
      <c r="O383" t="inlineStr">
        <is>
          <t>eng</t>
        </is>
      </c>
      <c r="P383" t="inlineStr">
        <is>
          <t>inu</t>
        </is>
      </c>
      <c r="R383" t="inlineStr">
        <is>
          <t xml:space="preserve">HQ </t>
        </is>
      </c>
      <c r="S383" t="n">
        <v>15</v>
      </c>
      <c r="T383" t="n">
        <v>15</v>
      </c>
      <c r="U383" t="inlineStr">
        <is>
          <t>2000-02-12</t>
        </is>
      </c>
      <c r="V383" t="inlineStr">
        <is>
          <t>2000-02-12</t>
        </is>
      </c>
      <c r="W383" t="inlineStr">
        <is>
          <t>1992-11-30</t>
        </is>
      </c>
      <c r="X383" t="inlineStr">
        <is>
          <t>1992-11-30</t>
        </is>
      </c>
      <c r="Y383" t="n">
        <v>566</v>
      </c>
      <c r="Z383" t="n">
        <v>453</v>
      </c>
      <c r="AA383" t="n">
        <v>614</v>
      </c>
      <c r="AB383" t="n">
        <v>6</v>
      </c>
      <c r="AC383" t="n">
        <v>7</v>
      </c>
      <c r="AD383" t="n">
        <v>30</v>
      </c>
      <c r="AE383" t="n">
        <v>37</v>
      </c>
      <c r="AF383" t="n">
        <v>11</v>
      </c>
      <c r="AG383" t="n">
        <v>14</v>
      </c>
      <c r="AH383" t="n">
        <v>9</v>
      </c>
      <c r="AI383" t="n">
        <v>9</v>
      </c>
      <c r="AJ383" t="n">
        <v>14</v>
      </c>
      <c r="AK383" t="n">
        <v>17</v>
      </c>
      <c r="AL383" t="n">
        <v>5</v>
      </c>
      <c r="AM383" t="n">
        <v>6</v>
      </c>
      <c r="AN383" t="n">
        <v>0</v>
      </c>
      <c r="AO383" t="n">
        <v>0</v>
      </c>
      <c r="AP383" t="inlineStr">
        <is>
          <t>No</t>
        </is>
      </c>
      <c r="AQ383" t="inlineStr">
        <is>
          <t>Yes</t>
        </is>
      </c>
      <c r="AR383">
        <f>HYPERLINK("http://catalog.hathitrust.org/Record/002477050","HathiTrust Record")</f>
        <v/>
      </c>
      <c r="AS383">
        <f>HYPERLINK("https://creighton-primo.hosted.exlibrisgroup.com/primo-explore/search?tab=default_tab&amp;search_scope=EVERYTHING&amp;vid=01CRU&amp;lang=en_US&amp;offset=0&amp;query=any,contains,991001784439702656","Catalog Record")</f>
        <v/>
      </c>
      <c r="AT383">
        <f>HYPERLINK("http://www.worldcat.org/oclc/22492761","WorldCat Record")</f>
        <v/>
      </c>
      <c r="AU383" t="inlineStr">
        <is>
          <t>1117773405:eng</t>
        </is>
      </c>
      <c r="AV383" t="inlineStr">
        <is>
          <t>22492761</t>
        </is>
      </c>
      <c r="AW383" t="inlineStr">
        <is>
          <t>991001784439702656</t>
        </is>
      </c>
      <c r="AX383" t="inlineStr">
        <is>
          <t>991001784439702656</t>
        </is>
      </c>
      <c r="AY383" t="inlineStr">
        <is>
          <t>2257165910002656</t>
        </is>
      </c>
      <c r="AZ383" t="inlineStr">
        <is>
          <t>BOOK</t>
        </is>
      </c>
      <c r="BB383" t="inlineStr">
        <is>
          <t>9780253206510</t>
        </is>
      </c>
      <c r="BC383" t="inlineStr">
        <is>
          <t>32285001400307</t>
        </is>
      </c>
      <c r="BD383" t="inlineStr">
        <is>
          <t>893232261</t>
        </is>
      </c>
    </row>
    <row r="384">
      <c r="A384" t="inlineStr">
        <is>
          <t>No</t>
        </is>
      </c>
      <c r="B384" t="inlineStr">
        <is>
          <t>HQ1122 .B56 1973</t>
        </is>
      </c>
      <c r="C384" t="inlineStr">
        <is>
          <t>0                      HQ 1122000B  56          1973</t>
        </is>
      </c>
      <c r="D384" t="inlineStr">
        <is>
          <t>Women : from the Greeks to the French Revolution / edited by Susan G. Bell.</t>
        </is>
      </c>
      <c r="F384" t="inlineStr">
        <is>
          <t>No</t>
        </is>
      </c>
      <c r="G384" t="inlineStr">
        <is>
          <t>1</t>
        </is>
      </c>
      <c r="H384" t="inlineStr">
        <is>
          <t>No</t>
        </is>
      </c>
      <c r="I384" t="inlineStr">
        <is>
          <t>No</t>
        </is>
      </c>
      <c r="J384" t="inlineStr">
        <is>
          <t>0</t>
        </is>
      </c>
      <c r="K384" t="inlineStr">
        <is>
          <t>Bell, Susan G.</t>
        </is>
      </c>
      <c r="L384" t="inlineStr">
        <is>
          <t>Belmont, Calif. : Wadsworth Pub. Co., [1973]</t>
        </is>
      </c>
      <c r="M384" t="inlineStr">
        <is>
          <t>1973</t>
        </is>
      </c>
      <c r="O384" t="inlineStr">
        <is>
          <t>eng</t>
        </is>
      </c>
      <c r="P384" t="inlineStr">
        <is>
          <t>cau</t>
        </is>
      </c>
      <c r="R384" t="inlineStr">
        <is>
          <t xml:space="preserve">HQ </t>
        </is>
      </c>
      <c r="S384" t="n">
        <v>14</v>
      </c>
      <c r="T384" t="n">
        <v>14</v>
      </c>
      <c r="U384" t="inlineStr">
        <is>
          <t>1998-12-16</t>
        </is>
      </c>
      <c r="V384" t="inlineStr">
        <is>
          <t>1998-12-16</t>
        </is>
      </c>
      <c r="W384" t="inlineStr">
        <is>
          <t>1991-07-10</t>
        </is>
      </c>
      <c r="X384" t="inlineStr">
        <is>
          <t>1991-07-10</t>
        </is>
      </c>
      <c r="Y384" t="n">
        <v>508</v>
      </c>
      <c r="Z384" t="n">
        <v>463</v>
      </c>
      <c r="AA384" t="n">
        <v>698</v>
      </c>
      <c r="AB384" t="n">
        <v>2</v>
      </c>
      <c r="AC384" t="n">
        <v>5</v>
      </c>
      <c r="AD384" t="n">
        <v>12</v>
      </c>
      <c r="AE384" t="n">
        <v>21</v>
      </c>
      <c r="AF384" t="n">
        <v>2</v>
      </c>
      <c r="AG384" t="n">
        <v>6</v>
      </c>
      <c r="AH384" t="n">
        <v>3</v>
      </c>
      <c r="AI384" t="n">
        <v>6</v>
      </c>
      <c r="AJ384" t="n">
        <v>7</v>
      </c>
      <c r="AK384" t="n">
        <v>12</v>
      </c>
      <c r="AL384" t="n">
        <v>1</v>
      </c>
      <c r="AM384" t="n">
        <v>3</v>
      </c>
      <c r="AN384" t="n">
        <v>0</v>
      </c>
      <c r="AO384" t="n">
        <v>0</v>
      </c>
      <c r="AP384" t="inlineStr">
        <is>
          <t>No</t>
        </is>
      </c>
      <c r="AQ384" t="inlineStr">
        <is>
          <t>Yes</t>
        </is>
      </c>
      <c r="AR384">
        <f>HYPERLINK("http://catalog.hathitrust.org/Record/004399235","HathiTrust Record")</f>
        <v/>
      </c>
      <c r="AS384">
        <f>HYPERLINK("https://creighton-primo.hosted.exlibrisgroup.com/primo-explore/search?tab=default_tab&amp;search_scope=EVERYTHING&amp;vid=01CRU&amp;lang=en_US&amp;offset=0&amp;query=any,contains,991003025289702656","Catalog Record")</f>
        <v/>
      </c>
      <c r="AT384">
        <f>HYPERLINK("http://www.worldcat.org/oclc/589327","WorldCat Record")</f>
        <v/>
      </c>
      <c r="AU384" t="inlineStr">
        <is>
          <t>346906456:eng</t>
        </is>
      </c>
      <c r="AV384" t="inlineStr">
        <is>
          <t>589327</t>
        </is>
      </c>
      <c r="AW384" t="inlineStr">
        <is>
          <t>991003025289702656</t>
        </is>
      </c>
      <c r="AX384" t="inlineStr">
        <is>
          <t>991003025289702656</t>
        </is>
      </c>
      <c r="AY384" t="inlineStr">
        <is>
          <t>2259355890002656</t>
        </is>
      </c>
      <c r="AZ384" t="inlineStr">
        <is>
          <t>BOOK</t>
        </is>
      </c>
      <c r="BB384" t="inlineStr">
        <is>
          <t>9780534002848</t>
        </is>
      </c>
      <c r="BC384" t="inlineStr">
        <is>
          <t>32285000648773</t>
        </is>
      </c>
      <c r="BD384" t="inlineStr">
        <is>
          <t>893692306</t>
        </is>
      </c>
    </row>
    <row r="385">
      <c r="A385" t="inlineStr">
        <is>
          <t>No</t>
        </is>
      </c>
      <c r="B385" t="inlineStr">
        <is>
          <t>HQ1122 .E84</t>
        </is>
      </c>
      <c r="C385" t="inlineStr">
        <is>
          <t>0                      HQ 1122000E  84</t>
        </is>
      </c>
      <c r="D385" t="inlineStr">
        <is>
          <t>Mujer y utopía / Giaconda Espina.</t>
        </is>
      </c>
      <c r="F385" t="inlineStr">
        <is>
          <t>No</t>
        </is>
      </c>
      <c r="G385" t="inlineStr">
        <is>
          <t>1</t>
        </is>
      </c>
      <c r="H385" t="inlineStr">
        <is>
          <t>No</t>
        </is>
      </c>
      <c r="I385" t="inlineStr">
        <is>
          <t>No</t>
        </is>
      </c>
      <c r="J385" t="inlineStr">
        <is>
          <t>0</t>
        </is>
      </c>
      <c r="K385" t="inlineStr">
        <is>
          <t>Espina, Gioconda.</t>
        </is>
      </c>
      <c r="L385" t="inlineStr">
        <is>
          <t>Caracas, Venezuela : CENDES, [between 1983 and 1993]</t>
        </is>
      </c>
      <c r="M385" t="inlineStr">
        <is>
          <t>1983</t>
        </is>
      </c>
      <c r="O385" t="inlineStr">
        <is>
          <t>spa</t>
        </is>
      </c>
      <c r="P385" t="inlineStr">
        <is>
          <t xml:space="preserve">ve </t>
        </is>
      </c>
      <c r="Q385" t="inlineStr">
        <is>
          <t>Colección Estudios</t>
        </is>
      </c>
      <c r="R385" t="inlineStr">
        <is>
          <t xml:space="preserve">HQ </t>
        </is>
      </c>
      <c r="S385" t="n">
        <v>1</v>
      </c>
      <c r="T385" t="n">
        <v>1</v>
      </c>
      <c r="U385" t="inlineStr">
        <is>
          <t>2002-07-29</t>
        </is>
      </c>
      <c r="V385" t="inlineStr">
        <is>
          <t>2002-07-29</t>
        </is>
      </c>
      <c r="W385" t="inlineStr">
        <is>
          <t>2002-07-29</t>
        </is>
      </c>
      <c r="X385" t="inlineStr">
        <is>
          <t>2002-07-29</t>
        </is>
      </c>
      <c r="Y385" t="n">
        <v>21</v>
      </c>
      <c r="Z385" t="n">
        <v>19</v>
      </c>
      <c r="AA385" t="n">
        <v>20</v>
      </c>
      <c r="AB385" t="n">
        <v>1</v>
      </c>
      <c r="AC385" t="n">
        <v>1</v>
      </c>
      <c r="AD385" t="n">
        <v>2</v>
      </c>
      <c r="AE385" t="n">
        <v>2</v>
      </c>
      <c r="AF385" t="n">
        <v>0</v>
      </c>
      <c r="AG385" t="n">
        <v>0</v>
      </c>
      <c r="AH385" t="n">
        <v>1</v>
      </c>
      <c r="AI385" t="n">
        <v>1</v>
      </c>
      <c r="AJ385" t="n">
        <v>2</v>
      </c>
      <c r="AK385" t="n">
        <v>2</v>
      </c>
      <c r="AL385" t="n">
        <v>0</v>
      </c>
      <c r="AM385" t="n">
        <v>0</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HYPERLINK("https://creighton-primo.hosted.exlibrisgroup.com/primo-explore/search?tab=default_tab&amp;search_scope=EVERYTHING&amp;vid=01CRU&amp;lang=en_US&amp;offset=0&amp;query=any,contains,991003847589702656","Catalog Record")</f>
        <v/>
      </c>
      <c r="AT385">
        <f>HYPERLINK("http://www.worldcat.org/oclc/30827045","WorldCat Record")</f>
        <v/>
      </c>
      <c r="AU385" t="inlineStr">
        <is>
          <t>32941441:spa</t>
        </is>
      </c>
      <c r="AV385" t="inlineStr">
        <is>
          <t>30827045</t>
        </is>
      </c>
      <c r="AW385" t="inlineStr">
        <is>
          <t>991003847589702656</t>
        </is>
      </c>
      <c r="AX385" t="inlineStr">
        <is>
          <t>991003847589702656</t>
        </is>
      </c>
      <c r="AY385" t="inlineStr">
        <is>
          <t>2266723210002656</t>
        </is>
      </c>
      <c r="AZ385" t="inlineStr">
        <is>
          <t>BOOK</t>
        </is>
      </c>
      <c r="BB385" t="inlineStr">
        <is>
          <t>9789800004517</t>
        </is>
      </c>
      <c r="BC385" t="inlineStr">
        <is>
          <t>32285004640495</t>
        </is>
      </c>
      <c r="BD385" t="inlineStr">
        <is>
          <t>893343099</t>
        </is>
      </c>
    </row>
    <row r="386">
      <c r="A386" t="inlineStr">
        <is>
          <t>No</t>
        </is>
      </c>
      <c r="B386" t="inlineStr">
        <is>
          <t>HQ1122 .S23 1985</t>
        </is>
      </c>
      <c r="C386" t="inlineStr">
        <is>
          <t>0                      HQ 1122000S  23          1985</t>
        </is>
      </c>
      <c r="D386" t="inlineStr">
        <is>
          <t>Women in the history of political thought : ancient Greece to Machiavelli / Arlene W. Saxonhouse.</t>
        </is>
      </c>
      <c r="F386" t="inlineStr">
        <is>
          <t>No</t>
        </is>
      </c>
      <c r="G386" t="inlineStr">
        <is>
          <t>1</t>
        </is>
      </c>
      <c r="H386" t="inlineStr">
        <is>
          <t>No</t>
        </is>
      </c>
      <c r="I386" t="inlineStr">
        <is>
          <t>No</t>
        </is>
      </c>
      <c r="J386" t="inlineStr">
        <is>
          <t>0</t>
        </is>
      </c>
      <c r="K386" t="inlineStr">
        <is>
          <t>Saxonhouse, Arlene W.</t>
        </is>
      </c>
      <c r="L386" t="inlineStr">
        <is>
          <t>New York : Praeger, 1985.</t>
        </is>
      </c>
      <c r="M386" t="inlineStr">
        <is>
          <t>1985</t>
        </is>
      </c>
      <c r="O386" t="inlineStr">
        <is>
          <t>eng</t>
        </is>
      </c>
      <c r="P386" t="inlineStr">
        <is>
          <t>nyu</t>
        </is>
      </c>
      <c r="Q386" t="inlineStr">
        <is>
          <t>Women and politics series</t>
        </is>
      </c>
      <c r="R386" t="inlineStr">
        <is>
          <t xml:space="preserve">HQ </t>
        </is>
      </c>
      <c r="S386" t="n">
        <v>8</v>
      </c>
      <c r="T386" t="n">
        <v>8</v>
      </c>
      <c r="U386" t="inlineStr">
        <is>
          <t>2007-11-08</t>
        </is>
      </c>
      <c r="V386" t="inlineStr">
        <is>
          <t>2007-11-08</t>
        </is>
      </c>
      <c r="W386" t="inlineStr">
        <is>
          <t>1992-12-10</t>
        </is>
      </c>
      <c r="X386" t="inlineStr">
        <is>
          <t>1992-12-10</t>
        </is>
      </c>
      <c r="Y386" t="n">
        <v>675</v>
      </c>
      <c r="Z386" t="n">
        <v>566</v>
      </c>
      <c r="AA386" t="n">
        <v>568</v>
      </c>
      <c r="AB386" t="n">
        <v>4</v>
      </c>
      <c r="AC386" t="n">
        <v>4</v>
      </c>
      <c r="AD386" t="n">
        <v>30</v>
      </c>
      <c r="AE386" t="n">
        <v>30</v>
      </c>
      <c r="AF386" t="n">
        <v>12</v>
      </c>
      <c r="AG386" t="n">
        <v>12</v>
      </c>
      <c r="AH386" t="n">
        <v>9</v>
      </c>
      <c r="AI386" t="n">
        <v>9</v>
      </c>
      <c r="AJ386" t="n">
        <v>17</v>
      </c>
      <c r="AK386" t="n">
        <v>17</v>
      </c>
      <c r="AL386" t="n">
        <v>3</v>
      </c>
      <c r="AM386" t="n">
        <v>3</v>
      </c>
      <c r="AN386" t="n">
        <v>0</v>
      </c>
      <c r="AO386" t="n">
        <v>0</v>
      </c>
      <c r="AP386" t="inlineStr">
        <is>
          <t>No</t>
        </is>
      </c>
      <c r="AQ386" t="inlineStr">
        <is>
          <t>Yes</t>
        </is>
      </c>
      <c r="AR386">
        <f>HYPERLINK("http://catalog.hathitrust.org/Record/000349658","HathiTrust Record")</f>
        <v/>
      </c>
      <c r="AS386">
        <f>HYPERLINK("https://creighton-primo.hosted.exlibrisgroup.com/primo-explore/search?tab=default_tab&amp;search_scope=EVERYTHING&amp;vid=01CRU&amp;lang=en_US&amp;offset=0&amp;query=any,contains,991000611569702656","Catalog Record")</f>
        <v/>
      </c>
      <c r="AT386">
        <f>HYPERLINK("http://www.worldcat.org/oclc/11916029","WorldCat Record")</f>
        <v/>
      </c>
      <c r="AU386" t="inlineStr">
        <is>
          <t>290867837:eng</t>
        </is>
      </c>
      <c r="AV386" t="inlineStr">
        <is>
          <t>11916029</t>
        </is>
      </c>
      <c r="AW386" t="inlineStr">
        <is>
          <t>991000611569702656</t>
        </is>
      </c>
      <c r="AX386" t="inlineStr">
        <is>
          <t>991000611569702656</t>
        </is>
      </c>
      <c r="AY386" t="inlineStr">
        <is>
          <t>2270365900002656</t>
        </is>
      </c>
      <c r="AZ386" t="inlineStr">
        <is>
          <t>BOOK</t>
        </is>
      </c>
      <c r="BB386" t="inlineStr">
        <is>
          <t>9780030622014</t>
        </is>
      </c>
      <c r="BC386" t="inlineStr">
        <is>
          <t>32285001440857</t>
        </is>
      </c>
      <c r="BD386" t="inlineStr">
        <is>
          <t>893321185</t>
        </is>
      </c>
    </row>
    <row r="387">
      <c r="A387" t="inlineStr">
        <is>
          <t>No</t>
        </is>
      </c>
      <c r="B387" t="inlineStr">
        <is>
          <t>HQ1122 .S49</t>
        </is>
      </c>
      <c r="C387" t="inlineStr">
        <is>
          <t>0                      HQ 1122000S  49</t>
        </is>
      </c>
      <c r="D387" t="inlineStr">
        <is>
          <t>The Sexism of social and political theory : women and reproduction from Plato to Nietzsche / edited by Lorenne M. G. Clark and Lynda Lange.</t>
        </is>
      </c>
      <c r="F387" t="inlineStr">
        <is>
          <t>No</t>
        </is>
      </c>
      <c r="G387" t="inlineStr">
        <is>
          <t>1</t>
        </is>
      </c>
      <c r="H387" t="inlineStr">
        <is>
          <t>No</t>
        </is>
      </c>
      <c r="I387" t="inlineStr">
        <is>
          <t>No</t>
        </is>
      </c>
      <c r="J387" t="inlineStr">
        <is>
          <t>0</t>
        </is>
      </c>
      <c r="L387" t="inlineStr">
        <is>
          <t>Toronto ; Buffalo : University of Toronto Press, c1979.</t>
        </is>
      </c>
      <c r="M387" t="inlineStr">
        <is>
          <t>1979</t>
        </is>
      </c>
      <c r="O387" t="inlineStr">
        <is>
          <t>eng</t>
        </is>
      </c>
      <c r="P387" t="inlineStr">
        <is>
          <t>onc</t>
        </is>
      </c>
      <c r="R387" t="inlineStr">
        <is>
          <t xml:space="preserve">HQ </t>
        </is>
      </c>
      <c r="S387" t="n">
        <v>5</v>
      </c>
      <c r="T387" t="n">
        <v>5</v>
      </c>
      <c r="U387" t="inlineStr">
        <is>
          <t>1998-04-08</t>
        </is>
      </c>
      <c r="V387" t="inlineStr">
        <is>
          <t>1998-04-08</t>
        </is>
      </c>
      <c r="W387" t="inlineStr">
        <is>
          <t>1993-04-26</t>
        </is>
      </c>
      <c r="X387" t="inlineStr">
        <is>
          <t>1993-04-26</t>
        </is>
      </c>
      <c r="Y387" t="n">
        <v>749</v>
      </c>
      <c r="Z387" t="n">
        <v>588</v>
      </c>
      <c r="AA387" t="n">
        <v>589</v>
      </c>
      <c r="AB387" t="n">
        <v>6</v>
      </c>
      <c r="AC387" t="n">
        <v>6</v>
      </c>
      <c r="AD387" t="n">
        <v>35</v>
      </c>
      <c r="AE387" t="n">
        <v>35</v>
      </c>
      <c r="AF387" t="n">
        <v>10</v>
      </c>
      <c r="AG387" t="n">
        <v>10</v>
      </c>
      <c r="AH387" t="n">
        <v>9</v>
      </c>
      <c r="AI387" t="n">
        <v>9</v>
      </c>
      <c r="AJ387" t="n">
        <v>12</v>
      </c>
      <c r="AK387" t="n">
        <v>12</v>
      </c>
      <c r="AL387" t="n">
        <v>5</v>
      </c>
      <c r="AM387" t="n">
        <v>5</v>
      </c>
      <c r="AN387" t="n">
        <v>5</v>
      </c>
      <c r="AO387" t="n">
        <v>5</v>
      </c>
      <c r="AP387" t="inlineStr">
        <is>
          <t>No</t>
        </is>
      </c>
      <c r="AQ387" t="inlineStr">
        <is>
          <t>Yes</t>
        </is>
      </c>
      <c r="AR387">
        <f>HYPERLINK("http://catalog.hathitrust.org/Record/000038669","HathiTrust Record")</f>
        <v/>
      </c>
      <c r="AS387">
        <f>HYPERLINK("https://creighton-primo.hosted.exlibrisgroup.com/primo-explore/search?tab=default_tab&amp;search_scope=EVERYTHING&amp;vid=01CRU&amp;lang=en_US&amp;offset=0&amp;query=any,contains,991004804929702656","Catalog Record")</f>
        <v/>
      </c>
      <c r="AT387">
        <f>HYPERLINK("http://www.worldcat.org/oclc/5239759","WorldCat Record")</f>
        <v/>
      </c>
      <c r="AU387" t="inlineStr">
        <is>
          <t>894524046:eng</t>
        </is>
      </c>
      <c r="AV387" t="inlineStr">
        <is>
          <t>5239759</t>
        </is>
      </c>
      <c r="AW387" t="inlineStr">
        <is>
          <t>991004804929702656</t>
        </is>
      </c>
      <c r="AX387" t="inlineStr">
        <is>
          <t>991004804929702656</t>
        </is>
      </c>
      <c r="AY387" t="inlineStr">
        <is>
          <t>2264366090002656</t>
        </is>
      </c>
      <c r="AZ387" t="inlineStr">
        <is>
          <t>BOOK</t>
        </is>
      </c>
      <c r="BB387" t="inlineStr">
        <is>
          <t>9780802054593</t>
        </is>
      </c>
      <c r="BC387" t="inlineStr">
        <is>
          <t>32285001627164</t>
        </is>
      </c>
      <c r="BD387" t="inlineStr">
        <is>
          <t>893532832</t>
        </is>
      </c>
    </row>
    <row r="388">
      <c r="A388" t="inlineStr">
        <is>
          <t>No</t>
        </is>
      </c>
      <c r="B388" t="inlineStr">
        <is>
          <t>HQ1123 .C76</t>
        </is>
      </c>
      <c r="C388" t="inlineStr">
        <is>
          <t>0                      HQ 1123000C  76</t>
        </is>
      </c>
      <c r="D388" t="inlineStr">
        <is>
          <t>Courage knows no sex / by Elaine Crovitz and Elizabeth Buford.</t>
        </is>
      </c>
      <c r="F388" t="inlineStr">
        <is>
          <t>No</t>
        </is>
      </c>
      <c r="G388" t="inlineStr">
        <is>
          <t>1</t>
        </is>
      </c>
      <c r="H388" t="inlineStr">
        <is>
          <t>No</t>
        </is>
      </c>
      <c r="I388" t="inlineStr">
        <is>
          <t>No</t>
        </is>
      </c>
      <c r="J388" t="inlineStr">
        <is>
          <t>0</t>
        </is>
      </c>
      <c r="K388" t="inlineStr">
        <is>
          <t>Crovitz, Elaine.</t>
        </is>
      </c>
      <c r="L388" t="inlineStr">
        <is>
          <t>North Quincy, Mass. : Christopher Pub. House, c1978.</t>
        </is>
      </c>
      <c r="M388" t="inlineStr">
        <is>
          <t>1978</t>
        </is>
      </c>
      <c r="O388" t="inlineStr">
        <is>
          <t>eng</t>
        </is>
      </c>
      <c r="P388" t="inlineStr">
        <is>
          <t>mau</t>
        </is>
      </c>
      <c r="R388" t="inlineStr">
        <is>
          <t xml:space="preserve">HQ </t>
        </is>
      </c>
      <c r="S388" t="n">
        <v>11</v>
      </c>
      <c r="T388" t="n">
        <v>11</v>
      </c>
      <c r="U388" t="inlineStr">
        <is>
          <t>2004-05-01</t>
        </is>
      </c>
      <c r="V388" t="inlineStr">
        <is>
          <t>2004-05-01</t>
        </is>
      </c>
      <c r="W388" t="inlineStr">
        <is>
          <t>1993-04-26</t>
        </is>
      </c>
      <c r="X388" t="inlineStr">
        <is>
          <t>1993-04-26</t>
        </is>
      </c>
      <c r="Y388" t="n">
        <v>126</v>
      </c>
      <c r="Z388" t="n">
        <v>116</v>
      </c>
      <c r="AA388" t="n">
        <v>118</v>
      </c>
      <c r="AB388" t="n">
        <v>1</v>
      </c>
      <c r="AC388" t="n">
        <v>1</v>
      </c>
      <c r="AD388" t="n">
        <v>3</v>
      </c>
      <c r="AE388" t="n">
        <v>3</v>
      </c>
      <c r="AF388" t="n">
        <v>1</v>
      </c>
      <c r="AG388" t="n">
        <v>1</v>
      </c>
      <c r="AH388" t="n">
        <v>2</v>
      </c>
      <c r="AI388" t="n">
        <v>2</v>
      </c>
      <c r="AJ388" t="n">
        <v>0</v>
      </c>
      <c r="AK388" t="n">
        <v>0</v>
      </c>
      <c r="AL388" t="n">
        <v>0</v>
      </c>
      <c r="AM388" t="n">
        <v>0</v>
      </c>
      <c r="AN388" t="n">
        <v>0</v>
      </c>
      <c r="AO388" t="n">
        <v>0</v>
      </c>
      <c r="AP388" t="inlineStr">
        <is>
          <t>No</t>
        </is>
      </c>
      <c r="AQ388" t="inlineStr">
        <is>
          <t>Yes</t>
        </is>
      </c>
      <c r="AR388">
        <f>HYPERLINK("http://catalog.hathitrust.org/Record/000259487","HathiTrust Record")</f>
        <v/>
      </c>
      <c r="AS388">
        <f>HYPERLINK("https://creighton-primo.hosted.exlibrisgroup.com/primo-explore/search?tab=default_tab&amp;search_scope=EVERYTHING&amp;vid=01CRU&amp;lang=en_US&amp;offset=0&amp;query=any,contains,991004689859702656","Catalog Record")</f>
        <v/>
      </c>
      <c r="AT388">
        <f>HYPERLINK("http://www.worldcat.org/oclc/4602186","WorldCat Record")</f>
        <v/>
      </c>
      <c r="AU388" t="inlineStr">
        <is>
          <t>14785362:eng</t>
        </is>
      </c>
      <c r="AV388" t="inlineStr">
        <is>
          <t>4602186</t>
        </is>
      </c>
      <c r="AW388" t="inlineStr">
        <is>
          <t>991004689859702656</t>
        </is>
      </c>
      <c r="AX388" t="inlineStr">
        <is>
          <t>991004689859702656</t>
        </is>
      </c>
      <c r="AY388" t="inlineStr">
        <is>
          <t>2271068850002656</t>
        </is>
      </c>
      <c r="AZ388" t="inlineStr">
        <is>
          <t>BOOK</t>
        </is>
      </c>
      <c r="BB388" t="inlineStr">
        <is>
          <t>9780815803638</t>
        </is>
      </c>
      <c r="BC388" t="inlineStr">
        <is>
          <t>32285001627172</t>
        </is>
      </c>
      <c r="BD388" t="inlineStr">
        <is>
          <t>893532694</t>
        </is>
      </c>
    </row>
    <row r="389">
      <c r="A389" t="inlineStr">
        <is>
          <t>No</t>
        </is>
      </c>
      <c r="B389" t="inlineStr">
        <is>
          <t>HQ1127 .B68</t>
        </is>
      </c>
      <c r="C389" t="inlineStr">
        <is>
          <t>0                      HQ 1127000B  68</t>
        </is>
      </c>
      <c r="D389" t="inlineStr">
        <is>
          <t>The underside of history : a view of women through time / Elise Boulding.</t>
        </is>
      </c>
      <c r="F389" t="inlineStr">
        <is>
          <t>No</t>
        </is>
      </c>
      <c r="G389" t="inlineStr">
        <is>
          <t>1</t>
        </is>
      </c>
      <c r="H389" t="inlineStr">
        <is>
          <t>No</t>
        </is>
      </c>
      <c r="I389" t="inlineStr">
        <is>
          <t>Yes</t>
        </is>
      </c>
      <c r="J389" t="inlineStr">
        <is>
          <t>0</t>
        </is>
      </c>
      <c r="K389" t="inlineStr">
        <is>
          <t>Boulding, Elise.</t>
        </is>
      </c>
      <c r="L389" t="inlineStr">
        <is>
          <t>Boulder, Colo. : Westview Press, 1976.</t>
        </is>
      </c>
      <c r="M389" t="inlineStr">
        <is>
          <t>1976</t>
        </is>
      </c>
      <c r="O389" t="inlineStr">
        <is>
          <t>eng</t>
        </is>
      </c>
      <c r="P389" t="inlineStr">
        <is>
          <t>cou</t>
        </is>
      </c>
      <c r="R389" t="inlineStr">
        <is>
          <t xml:space="preserve">HQ </t>
        </is>
      </c>
      <c r="S389" t="n">
        <v>4</v>
      </c>
      <c r="T389" t="n">
        <v>4</v>
      </c>
      <c r="U389" t="inlineStr">
        <is>
          <t>1997-08-12</t>
        </is>
      </c>
      <c r="V389" t="inlineStr">
        <is>
          <t>1997-08-12</t>
        </is>
      </c>
      <c r="W389" t="inlineStr">
        <is>
          <t>1993-04-26</t>
        </is>
      </c>
      <c r="X389" t="inlineStr">
        <is>
          <t>1993-04-26</t>
        </is>
      </c>
      <c r="Y389" t="n">
        <v>1100</v>
      </c>
      <c r="Z389" t="n">
        <v>956</v>
      </c>
      <c r="AA389" t="n">
        <v>1113</v>
      </c>
      <c r="AB389" t="n">
        <v>6</v>
      </c>
      <c r="AC389" t="n">
        <v>8</v>
      </c>
      <c r="AD389" t="n">
        <v>30</v>
      </c>
      <c r="AE389" t="n">
        <v>39</v>
      </c>
      <c r="AF389" t="n">
        <v>8</v>
      </c>
      <c r="AG389" t="n">
        <v>14</v>
      </c>
      <c r="AH389" t="n">
        <v>7</v>
      </c>
      <c r="AI389" t="n">
        <v>8</v>
      </c>
      <c r="AJ389" t="n">
        <v>18</v>
      </c>
      <c r="AK389" t="n">
        <v>20</v>
      </c>
      <c r="AL389" t="n">
        <v>4</v>
      </c>
      <c r="AM389" t="n">
        <v>6</v>
      </c>
      <c r="AN389" t="n">
        <v>0</v>
      </c>
      <c r="AO389" t="n">
        <v>0</v>
      </c>
      <c r="AP389" t="inlineStr">
        <is>
          <t>No</t>
        </is>
      </c>
      <c r="AQ389" t="inlineStr">
        <is>
          <t>Yes</t>
        </is>
      </c>
      <c r="AR389">
        <f>HYPERLINK("http://catalog.hathitrust.org/Record/000044219","HathiTrust Record")</f>
        <v/>
      </c>
      <c r="AS389">
        <f>HYPERLINK("https://creighton-primo.hosted.exlibrisgroup.com/primo-explore/search?tab=default_tab&amp;search_scope=EVERYTHING&amp;vid=01CRU&amp;lang=en_US&amp;offset=0&amp;query=any,contains,991003865609702656","Catalog Record")</f>
        <v/>
      </c>
      <c r="AT389">
        <f>HYPERLINK("http://www.worldcat.org/oclc/1676340","WorldCat Record")</f>
        <v/>
      </c>
      <c r="AU389" t="inlineStr">
        <is>
          <t>2513874:eng</t>
        </is>
      </c>
      <c r="AV389" t="inlineStr">
        <is>
          <t>1676340</t>
        </is>
      </c>
      <c r="AW389" t="inlineStr">
        <is>
          <t>991003865609702656</t>
        </is>
      </c>
      <c r="AX389" t="inlineStr">
        <is>
          <t>991003865609702656</t>
        </is>
      </c>
      <c r="AY389" t="inlineStr">
        <is>
          <t>2265518390002656</t>
        </is>
      </c>
      <c r="AZ389" t="inlineStr">
        <is>
          <t>BOOK</t>
        </is>
      </c>
      <c r="BB389" t="inlineStr">
        <is>
          <t>9780891580096</t>
        </is>
      </c>
      <c r="BC389" t="inlineStr">
        <is>
          <t>32285001627180</t>
        </is>
      </c>
      <c r="BD389" t="inlineStr">
        <is>
          <t>893324634</t>
        </is>
      </c>
    </row>
    <row r="390">
      <c r="A390" t="inlineStr">
        <is>
          <t>No</t>
        </is>
      </c>
      <c r="B390" t="inlineStr">
        <is>
          <t>HQ1127 .D83 1988</t>
        </is>
      </c>
      <c r="C390" t="inlineStr">
        <is>
          <t>0                      HQ 1127000D  83          1988</t>
        </is>
      </c>
      <c r="D390" t="inlineStr">
        <is>
          <t>Sowing the body : psychoanalysis and ancient representations of women / Page duBois.</t>
        </is>
      </c>
      <c r="F390" t="inlineStr">
        <is>
          <t>No</t>
        </is>
      </c>
      <c r="G390" t="inlineStr">
        <is>
          <t>1</t>
        </is>
      </c>
      <c r="H390" t="inlineStr">
        <is>
          <t>No</t>
        </is>
      </c>
      <c r="I390" t="inlineStr">
        <is>
          <t>No</t>
        </is>
      </c>
      <c r="J390" t="inlineStr">
        <is>
          <t>0</t>
        </is>
      </c>
      <c r="K390" t="inlineStr">
        <is>
          <t>DuBois, Page.</t>
        </is>
      </c>
      <c r="L390" t="inlineStr">
        <is>
          <t>Chicago : University of Chicago Press, 1988.</t>
        </is>
      </c>
      <c r="M390" t="inlineStr">
        <is>
          <t>1988</t>
        </is>
      </c>
      <c r="O390" t="inlineStr">
        <is>
          <t>eng</t>
        </is>
      </c>
      <c r="P390" t="inlineStr">
        <is>
          <t>ilu</t>
        </is>
      </c>
      <c r="Q390" t="inlineStr">
        <is>
          <t>Women in culture and society</t>
        </is>
      </c>
      <c r="R390" t="inlineStr">
        <is>
          <t xml:space="preserve">HQ </t>
        </is>
      </c>
      <c r="S390" t="n">
        <v>17</v>
      </c>
      <c r="T390" t="n">
        <v>17</v>
      </c>
      <c r="U390" t="inlineStr">
        <is>
          <t>1998-04-20</t>
        </is>
      </c>
      <c r="V390" t="inlineStr">
        <is>
          <t>1998-04-20</t>
        </is>
      </c>
      <c r="W390" t="inlineStr">
        <is>
          <t>1990-12-04</t>
        </is>
      </c>
      <c r="X390" t="inlineStr">
        <is>
          <t>1990-12-04</t>
        </is>
      </c>
      <c r="Y390" t="n">
        <v>604</v>
      </c>
      <c r="Z390" t="n">
        <v>459</v>
      </c>
      <c r="AA390" t="n">
        <v>618</v>
      </c>
      <c r="AB390" t="n">
        <v>4</v>
      </c>
      <c r="AC390" t="n">
        <v>5</v>
      </c>
      <c r="AD390" t="n">
        <v>26</v>
      </c>
      <c r="AE390" t="n">
        <v>35</v>
      </c>
      <c r="AF390" t="n">
        <v>8</v>
      </c>
      <c r="AG390" t="n">
        <v>15</v>
      </c>
      <c r="AH390" t="n">
        <v>5</v>
      </c>
      <c r="AI390" t="n">
        <v>8</v>
      </c>
      <c r="AJ390" t="n">
        <v>17</v>
      </c>
      <c r="AK390" t="n">
        <v>17</v>
      </c>
      <c r="AL390" t="n">
        <v>3</v>
      </c>
      <c r="AM390" t="n">
        <v>4</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HYPERLINK("https://creighton-primo.hosted.exlibrisgroup.com/primo-explore/search?tab=default_tab&amp;search_scope=EVERYTHING&amp;vid=01CRU&amp;lang=en_US&amp;offset=0&amp;query=any,contains,991001177279702656","Catalog Record")</f>
        <v/>
      </c>
      <c r="AT390">
        <f>HYPERLINK("http://www.worldcat.org/oclc/17104015","WorldCat Record")</f>
        <v/>
      </c>
      <c r="AU390" t="inlineStr">
        <is>
          <t>350188516:eng</t>
        </is>
      </c>
      <c r="AV390" t="inlineStr">
        <is>
          <t>17104015</t>
        </is>
      </c>
      <c r="AW390" t="inlineStr">
        <is>
          <t>991001177279702656</t>
        </is>
      </c>
      <c r="AX390" t="inlineStr">
        <is>
          <t>991001177279702656</t>
        </is>
      </c>
      <c r="AY390" t="inlineStr">
        <is>
          <t>2269518520002656</t>
        </is>
      </c>
      <c r="AZ390" t="inlineStr">
        <is>
          <t>BOOK</t>
        </is>
      </c>
      <c r="BB390" t="inlineStr">
        <is>
          <t>9780226167572</t>
        </is>
      </c>
      <c r="BC390" t="inlineStr">
        <is>
          <t>32285000357631</t>
        </is>
      </c>
      <c r="BD390" t="inlineStr">
        <is>
          <t>893684122</t>
        </is>
      </c>
    </row>
    <row r="391">
      <c r="A391" t="inlineStr">
        <is>
          <t>No</t>
        </is>
      </c>
      <c r="B391" t="inlineStr">
        <is>
          <t>HQ1127 .M5</t>
        </is>
      </c>
      <c r="C391" t="inlineStr">
        <is>
          <t>0                      HQ 1127000M  5</t>
        </is>
      </c>
      <c r="D391" t="inlineStr">
        <is>
          <t>The condition of women and children among the Celtic, Gothic, and other nations / by John M'Elheran.</t>
        </is>
      </c>
      <c r="F391" t="inlineStr">
        <is>
          <t>No</t>
        </is>
      </c>
      <c r="G391" t="inlineStr">
        <is>
          <t>1</t>
        </is>
      </c>
      <c r="H391" t="inlineStr">
        <is>
          <t>No</t>
        </is>
      </c>
      <c r="I391" t="inlineStr">
        <is>
          <t>No</t>
        </is>
      </c>
      <c r="J391" t="inlineStr">
        <is>
          <t>0</t>
        </is>
      </c>
      <c r="K391" t="inlineStr">
        <is>
          <t>M'Elheran, John.</t>
        </is>
      </c>
      <c r="L391" t="inlineStr">
        <is>
          <t>Boston : P. Donahoe, 1858.</t>
        </is>
      </c>
      <c r="M391" t="inlineStr">
        <is>
          <t>1858</t>
        </is>
      </c>
      <c r="O391" t="inlineStr">
        <is>
          <t>eng</t>
        </is>
      </c>
      <c r="P391" t="inlineStr">
        <is>
          <t>mau</t>
        </is>
      </c>
      <c r="R391" t="inlineStr">
        <is>
          <t xml:space="preserve">HQ </t>
        </is>
      </c>
      <c r="S391" t="n">
        <v>2</v>
      </c>
      <c r="T391" t="n">
        <v>2</v>
      </c>
      <c r="U391" t="inlineStr">
        <is>
          <t>1998-09-27</t>
        </is>
      </c>
      <c r="V391" t="inlineStr">
        <is>
          <t>1998-09-27</t>
        </is>
      </c>
      <c r="W391" t="inlineStr">
        <is>
          <t>1995-02-10</t>
        </is>
      </c>
      <c r="X391" t="inlineStr">
        <is>
          <t>1995-02-10</t>
        </is>
      </c>
      <c r="Y391" t="n">
        <v>37</v>
      </c>
      <c r="Z391" t="n">
        <v>32</v>
      </c>
      <c r="AA391" t="n">
        <v>162</v>
      </c>
      <c r="AB391" t="n">
        <v>2</v>
      </c>
      <c r="AC391" t="n">
        <v>3</v>
      </c>
      <c r="AD391" t="n">
        <v>4</v>
      </c>
      <c r="AE391" t="n">
        <v>10</v>
      </c>
      <c r="AF391" t="n">
        <v>0</v>
      </c>
      <c r="AG391" t="n">
        <v>2</v>
      </c>
      <c r="AH391" t="n">
        <v>0</v>
      </c>
      <c r="AI391" t="n">
        <v>1</v>
      </c>
      <c r="AJ391" t="n">
        <v>3</v>
      </c>
      <c r="AK391" t="n">
        <v>6</v>
      </c>
      <c r="AL391" t="n">
        <v>1</v>
      </c>
      <c r="AM391" t="n">
        <v>2</v>
      </c>
      <c r="AN391" t="n">
        <v>0</v>
      </c>
      <c r="AO391" t="n">
        <v>1</v>
      </c>
      <c r="AP391" t="inlineStr">
        <is>
          <t>Yes</t>
        </is>
      </c>
      <c r="AQ391" t="inlineStr">
        <is>
          <t>No</t>
        </is>
      </c>
      <c r="AR391">
        <f>HYPERLINK("http://catalog.hathitrust.org/Record/100629969","HathiTrust Record")</f>
        <v/>
      </c>
      <c r="AS391">
        <f>HYPERLINK("https://creighton-primo.hosted.exlibrisgroup.com/primo-explore/search?tab=default_tab&amp;search_scope=EVERYTHING&amp;vid=01CRU&amp;lang=en_US&amp;offset=0&amp;query=any,contains,991004637829702656","Catalog Record")</f>
        <v/>
      </c>
      <c r="AT391">
        <f>HYPERLINK("http://www.worldcat.org/oclc/4432043","WorldCat Record")</f>
        <v/>
      </c>
      <c r="AU391" t="inlineStr">
        <is>
          <t>10213796:eng</t>
        </is>
      </c>
      <c r="AV391" t="inlineStr">
        <is>
          <t>4432043</t>
        </is>
      </c>
      <c r="AW391" t="inlineStr">
        <is>
          <t>991004637829702656</t>
        </is>
      </c>
      <c r="AX391" t="inlineStr">
        <is>
          <t>991004637829702656</t>
        </is>
      </c>
      <c r="AY391" t="inlineStr">
        <is>
          <t>2271278630002656</t>
        </is>
      </c>
      <c r="AZ391" t="inlineStr">
        <is>
          <t>BOOK</t>
        </is>
      </c>
      <c r="BC391" t="inlineStr">
        <is>
          <t>32285001988780</t>
        </is>
      </c>
      <c r="BD391" t="inlineStr">
        <is>
          <t>893500804</t>
        </is>
      </c>
    </row>
    <row r="392">
      <c r="A392" t="inlineStr">
        <is>
          <t>No</t>
        </is>
      </c>
      <c r="B392" t="inlineStr">
        <is>
          <t>HQ1132 .T6613 1994</t>
        </is>
      </c>
      <c r="C392" t="inlineStr">
        <is>
          <t>0                      HQ 1132000T  6613        1994</t>
        </is>
      </c>
      <c r="D392" t="inlineStr">
        <is>
          <t>From her cradle to her grave : the role of religion in the life of the Israelite and the Babylonian woman / Karel van der Toorn ; translated by Sara J. Denning-Bolle.</t>
        </is>
      </c>
      <c r="F392" t="inlineStr">
        <is>
          <t>No</t>
        </is>
      </c>
      <c r="G392" t="inlineStr">
        <is>
          <t>1</t>
        </is>
      </c>
      <c r="H392" t="inlineStr">
        <is>
          <t>No</t>
        </is>
      </c>
      <c r="I392" t="inlineStr">
        <is>
          <t>No</t>
        </is>
      </c>
      <c r="J392" t="inlineStr">
        <is>
          <t>0</t>
        </is>
      </c>
      <c r="K392" t="inlineStr">
        <is>
          <t>Toorn, K. van der.</t>
        </is>
      </c>
      <c r="L392" t="inlineStr">
        <is>
          <t>Sheffield : JSOT, 1994.</t>
        </is>
      </c>
      <c r="M392" t="inlineStr">
        <is>
          <t>1994</t>
        </is>
      </c>
      <c r="O392" t="inlineStr">
        <is>
          <t>eng</t>
        </is>
      </c>
      <c r="P392" t="inlineStr">
        <is>
          <t>enk</t>
        </is>
      </c>
      <c r="Q392" t="inlineStr">
        <is>
          <t>Biblical seminar, 0266-4984 ; no. 23</t>
        </is>
      </c>
      <c r="R392" t="inlineStr">
        <is>
          <t xml:space="preserve">HQ </t>
        </is>
      </c>
      <c r="S392" t="n">
        <v>17</v>
      </c>
      <c r="T392" t="n">
        <v>17</v>
      </c>
      <c r="U392" t="inlineStr">
        <is>
          <t>2007-04-01</t>
        </is>
      </c>
      <c r="V392" t="inlineStr">
        <is>
          <t>2007-04-01</t>
        </is>
      </c>
      <c r="W392" t="inlineStr">
        <is>
          <t>1997-05-06</t>
        </is>
      </c>
      <c r="X392" t="inlineStr">
        <is>
          <t>1997-05-06</t>
        </is>
      </c>
      <c r="Y392" t="n">
        <v>313</v>
      </c>
      <c r="Z392" t="n">
        <v>233</v>
      </c>
      <c r="AA392" t="n">
        <v>235</v>
      </c>
      <c r="AB392" t="n">
        <v>2</v>
      </c>
      <c r="AC392" t="n">
        <v>2</v>
      </c>
      <c r="AD392" t="n">
        <v>15</v>
      </c>
      <c r="AE392" t="n">
        <v>15</v>
      </c>
      <c r="AF392" t="n">
        <v>6</v>
      </c>
      <c r="AG392" t="n">
        <v>6</v>
      </c>
      <c r="AH392" t="n">
        <v>4</v>
      </c>
      <c r="AI392" t="n">
        <v>4</v>
      </c>
      <c r="AJ392" t="n">
        <v>8</v>
      </c>
      <c r="AK392" t="n">
        <v>8</v>
      </c>
      <c r="AL392" t="n">
        <v>1</v>
      </c>
      <c r="AM392" t="n">
        <v>1</v>
      </c>
      <c r="AN392" t="n">
        <v>0</v>
      </c>
      <c r="AO392" t="n">
        <v>0</v>
      </c>
      <c r="AP392" t="inlineStr">
        <is>
          <t>No</t>
        </is>
      </c>
      <c r="AQ392" t="inlineStr">
        <is>
          <t>Yes</t>
        </is>
      </c>
      <c r="AR392">
        <f>HYPERLINK("http://catalog.hathitrust.org/Record/002863976","HathiTrust Record")</f>
        <v/>
      </c>
      <c r="AS392">
        <f>HYPERLINK("https://creighton-primo.hosted.exlibrisgroup.com/primo-explore/search?tab=default_tab&amp;search_scope=EVERYTHING&amp;vid=01CRU&amp;lang=en_US&amp;offset=0&amp;query=any,contains,991002311449702656","Catalog Record")</f>
        <v/>
      </c>
      <c r="AT392">
        <f>HYPERLINK("http://www.worldcat.org/oclc/30022865","WorldCat Record")</f>
        <v/>
      </c>
      <c r="AU392" t="inlineStr">
        <is>
          <t>889935029:eng</t>
        </is>
      </c>
      <c r="AV392" t="inlineStr">
        <is>
          <t>30022865</t>
        </is>
      </c>
      <c r="AW392" t="inlineStr">
        <is>
          <t>991002311449702656</t>
        </is>
      </c>
      <c r="AX392" t="inlineStr">
        <is>
          <t>991002311449702656</t>
        </is>
      </c>
      <c r="AY392" t="inlineStr">
        <is>
          <t>2255798720002656</t>
        </is>
      </c>
      <c r="AZ392" t="inlineStr">
        <is>
          <t>BOOK</t>
        </is>
      </c>
      <c r="BB392" t="inlineStr">
        <is>
          <t>9781850754466</t>
        </is>
      </c>
      <c r="BC392" t="inlineStr">
        <is>
          <t>32285002544715</t>
        </is>
      </c>
      <c r="BD392" t="inlineStr">
        <is>
          <t>893517143</t>
        </is>
      </c>
    </row>
    <row r="393">
      <c r="A393" t="inlineStr">
        <is>
          <t>No</t>
        </is>
      </c>
      <c r="B393" t="inlineStr">
        <is>
          <t>HQ1137.C45 E45 1996</t>
        </is>
      </c>
      <c r="C393" t="inlineStr">
        <is>
          <t>0                      HQ 1137000C  45                 E  45          1996</t>
        </is>
      </c>
      <c r="D393" t="inlineStr">
        <is>
          <t>Celtic women : women in Celtic society and literature / Peter Berresford Ellis.</t>
        </is>
      </c>
      <c r="F393" t="inlineStr">
        <is>
          <t>No</t>
        </is>
      </c>
      <c r="G393" t="inlineStr">
        <is>
          <t>1</t>
        </is>
      </c>
      <c r="H393" t="inlineStr">
        <is>
          <t>No</t>
        </is>
      </c>
      <c r="I393" t="inlineStr">
        <is>
          <t>No</t>
        </is>
      </c>
      <c r="J393" t="inlineStr">
        <is>
          <t>0</t>
        </is>
      </c>
      <c r="K393" t="inlineStr">
        <is>
          <t>Ellis, Peter Berresford.</t>
        </is>
      </c>
      <c r="L393" t="inlineStr">
        <is>
          <t>Grand Rapids, Mich. : William B. Eerdmans Pub. Co., 1996.</t>
        </is>
      </c>
      <c r="M393" t="inlineStr">
        <is>
          <t>1996</t>
        </is>
      </c>
      <c r="O393" t="inlineStr">
        <is>
          <t>eng</t>
        </is>
      </c>
      <c r="P393" t="inlineStr">
        <is>
          <t>miu</t>
        </is>
      </c>
      <c r="R393" t="inlineStr">
        <is>
          <t xml:space="preserve">HQ </t>
        </is>
      </c>
      <c r="S393" t="n">
        <v>8</v>
      </c>
      <c r="T393" t="n">
        <v>8</v>
      </c>
      <c r="U393" t="inlineStr">
        <is>
          <t>2004-12-16</t>
        </is>
      </c>
      <c r="V393" t="inlineStr">
        <is>
          <t>2004-12-16</t>
        </is>
      </c>
      <c r="W393" t="inlineStr">
        <is>
          <t>2001-04-10</t>
        </is>
      </c>
      <c r="X393" t="inlineStr">
        <is>
          <t>2001-04-10</t>
        </is>
      </c>
      <c r="Y393" t="n">
        <v>566</v>
      </c>
      <c r="Z393" t="n">
        <v>520</v>
      </c>
      <c r="AA393" t="n">
        <v>578</v>
      </c>
      <c r="AB393" t="n">
        <v>5</v>
      </c>
      <c r="AC393" t="n">
        <v>5</v>
      </c>
      <c r="AD393" t="n">
        <v>28</v>
      </c>
      <c r="AE393" t="n">
        <v>29</v>
      </c>
      <c r="AF393" t="n">
        <v>10</v>
      </c>
      <c r="AG393" t="n">
        <v>10</v>
      </c>
      <c r="AH393" t="n">
        <v>5</v>
      </c>
      <c r="AI393" t="n">
        <v>6</v>
      </c>
      <c r="AJ393" t="n">
        <v>15</v>
      </c>
      <c r="AK393" t="n">
        <v>16</v>
      </c>
      <c r="AL393" t="n">
        <v>4</v>
      </c>
      <c r="AM393" t="n">
        <v>4</v>
      </c>
      <c r="AN393" t="n">
        <v>1</v>
      </c>
      <c r="AO393" t="n">
        <v>1</v>
      </c>
      <c r="AP393" t="inlineStr">
        <is>
          <t>No</t>
        </is>
      </c>
      <c r="AQ393" t="inlineStr">
        <is>
          <t>Yes</t>
        </is>
      </c>
      <c r="AR393">
        <f>HYPERLINK("http://catalog.hathitrust.org/Record/007139363","HathiTrust Record")</f>
        <v/>
      </c>
      <c r="AS393">
        <f>HYPERLINK("https://creighton-primo.hosted.exlibrisgroup.com/primo-explore/search?tab=default_tab&amp;search_scope=EVERYTHING&amp;vid=01CRU&amp;lang=en_US&amp;offset=0&amp;query=any,contains,991003524589702656","Catalog Record")</f>
        <v/>
      </c>
      <c r="AT393">
        <f>HYPERLINK("http://www.worldcat.org/oclc/33948178","WorldCat Record")</f>
        <v/>
      </c>
      <c r="AU393" t="inlineStr">
        <is>
          <t>836937760:eng</t>
        </is>
      </c>
      <c r="AV393" t="inlineStr">
        <is>
          <t>33948178</t>
        </is>
      </c>
      <c r="AW393" t="inlineStr">
        <is>
          <t>991003524589702656</t>
        </is>
      </c>
      <c r="AX393" t="inlineStr">
        <is>
          <t>991003524589702656</t>
        </is>
      </c>
      <c r="AY393" t="inlineStr">
        <is>
          <t>2260888410002656</t>
        </is>
      </c>
      <c r="AZ393" t="inlineStr">
        <is>
          <t>BOOK</t>
        </is>
      </c>
      <c r="BB393" t="inlineStr">
        <is>
          <t>9780802838087</t>
        </is>
      </c>
      <c r="BC393" t="inlineStr">
        <is>
          <t>32285004311121</t>
        </is>
      </c>
      <c r="BD393" t="inlineStr">
        <is>
          <t>893711445</t>
        </is>
      </c>
    </row>
    <row r="394">
      <c r="A394" t="inlineStr">
        <is>
          <t>No</t>
        </is>
      </c>
      <c r="B394" t="inlineStr">
        <is>
          <t>HQ1137.E3 S49 2008</t>
        </is>
      </c>
      <c r="C394" t="inlineStr">
        <is>
          <t>0                      HQ 1137000E  3                  S  49          2008</t>
        </is>
      </c>
      <c r="D394" t="inlineStr">
        <is>
          <t>Sex and gender in ancient Egypt : 'don your wig for a joyful hour' / editor, Carolyn Graves-Brown ; contributors, Kathlyn M. Cooney ... [et al.].</t>
        </is>
      </c>
      <c r="F394" t="inlineStr">
        <is>
          <t>No</t>
        </is>
      </c>
      <c r="G394" t="inlineStr">
        <is>
          <t>1</t>
        </is>
      </c>
      <c r="H394" t="inlineStr">
        <is>
          <t>No</t>
        </is>
      </c>
      <c r="I394" t="inlineStr">
        <is>
          <t>No</t>
        </is>
      </c>
      <c r="J394" t="inlineStr">
        <is>
          <t>0</t>
        </is>
      </c>
      <c r="L394" t="inlineStr">
        <is>
          <t>Swansea : Classical Press of Wales ; Oakville, CT : Distributor in the United States of America, The David Brown Book Co., 2008.</t>
        </is>
      </c>
      <c r="M394" t="inlineStr">
        <is>
          <t>2008</t>
        </is>
      </c>
      <c r="O394" t="inlineStr">
        <is>
          <t>eng</t>
        </is>
      </c>
      <c r="P394" t="inlineStr">
        <is>
          <t>wlk</t>
        </is>
      </c>
      <c r="R394" t="inlineStr">
        <is>
          <t xml:space="preserve">HQ </t>
        </is>
      </c>
      <c r="S394" t="n">
        <v>1</v>
      </c>
      <c r="T394" t="n">
        <v>1</v>
      </c>
      <c r="U394" t="inlineStr">
        <is>
          <t>2009-06-25</t>
        </is>
      </c>
      <c r="V394" t="inlineStr">
        <is>
          <t>2009-06-25</t>
        </is>
      </c>
      <c r="W394" t="inlineStr">
        <is>
          <t>2009-06-25</t>
        </is>
      </c>
      <c r="X394" t="inlineStr">
        <is>
          <t>2009-06-25</t>
        </is>
      </c>
      <c r="Y394" t="n">
        <v>166</v>
      </c>
      <c r="Z394" t="n">
        <v>106</v>
      </c>
      <c r="AA394" t="n">
        <v>145</v>
      </c>
      <c r="AB394" t="n">
        <v>2</v>
      </c>
      <c r="AC394" t="n">
        <v>3</v>
      </c>
      <c r="AD394" t="n">
        <v>4</v>
      </c>
      <c r="AE394" t="n">
        <v>8</v>
      </c>
      <c r="AF394" t="n">
        <v>2</v>
      </c>
      <c r="AG394" t="n">
        <v>4</v>
      </c>
      <c r="AH394" t="n">
        <v>1</v>
      </c>
      <c r="AI394" t="n">
        <v>2</v>
      </c>
      <c r="AJ394" t="n">
        <v>1</v>
      </c>
      <c r="AK394" t="n">
        <v>2</v>
      </c>
      <c r="AL394" t="n">
        <v>1</v>
      </c>
      <c r="AM394" t="n">
        <v>2</v>
      </c>
      <c r="AN394" t="n">
        <v>0</v>
      </c>
      <c r="AO394" t="n">
        <v>0</v>
      </c>
      <c r="AP394" t="inlineStr">
        <is>
          <t>No</t>
        </is>
      </c>
      <c r="AQ394" t="inlineStr">
        <is>
          <t>Yes</t>
        </is>
      </c>
      <c r="AR394">
        <f>HYPERLINK("http://catalog.hathitrust.org/Record/006082547","HathiTrust Record")</f>
        <v/>
      </c>
      <c r="AS394">
        <f>HYPERLINK("https://creighton-primo.hosted.exlibrisgroup.com/primo-explore/search?tab=default_tab&amp;search_scope=EVERYTHING&amp;vid=01CRU&amp;lang=en_US&amp;offset=0&amp;query=any,contains,991005322829702656","Catalog Record")</f>
        <v/>
      </c>
      <c r="AT394">
        <f>HYPERLINK("http://www.worldcat.org/oclc/244653243","WorldCat Record")</f>
        <v/>
      </c>
      <c r="AU394" t="inlineStr">
        <is>
          <t>866263077:eng</t>
        </is>
      </c>
      <c r="AV394" t="inlineStr">
        <is>
          <t>244653243</t>
        </is>
      </c>
      <c r="AW394" t="inlineStr">
        <is>
          <t>991005322829702656</t>
        </is>
      </c>
      <c r="AX394" t="inlineStr">
        <is>
          <t>991005322829702656</t>
        </is>
      </c>
      <c r="AY394" t="inlineStr">
        <is>
          <t>2259099570002656</t>
        </is>
      </c>
      <c r="AZ394" t="inlineStr">
        <is>
          <t>BOOK</t>
        </is>
      </c>
      <c r="BB394" t="inlineStr">
        <is>
          <t>9781905125241</t>
        </is>
      </c>
      <c r="BC394" t="inlineStr">
        <is>
          <t>32285005536957</t>
        </is>
      </c>
      <c r="BD394" t="inlineStr">
        <is>
          <t>893418741</t>
        </is>
      </c>
    </row>
    <row r="395">
      <c r="A395" t="inlineStr">
        <is>
          <t>No</t>
        </is>
      </c>
      <c r="B395" t="inlineStr">
        <is>
          <t>HQ1147.E6 P55 2003</t>
        </is>
      </c>
      <c r="C395" t="inlineStr">
        <is>
          <t>0                      HQ 1147000E  6                  P  55          2003</t>
        </is>
      </c>
      <c r="D395" t="inlineStr">
        <is>
          <t>Medieval maidens : young women and gender in England, 1270-1540 / Kim M. Phillips.</t>
        </is>
      </c>
      <c r="F395" t="inlineStr">
        <is>
          <t>No</t>
        </is>
      </c>
      <c r="G395" t="inlineStr">
        <is>
          <t>1</t>
        </is>
      </c>
      <c r="H395" t="inlineStr">
        <is>
          <t>No</t>
        </is>
      </c>
      <c r="I395" t="inlineStr">
        <is>
          <t>No</t>
        </is>
      </c>
      <c r="J395" t="inlineStr">
        <is>
          <t>0</t>
        </is>
      </c>
      <c r="K395" t="inlineStr">
        <is>
          <t>Phillips, Kim M.</t>
        </is>
      </c>
      <c r="L395" t="inlineStr">
        <is>
          <t>Manchester ; New York : Manchester University Press, c2003.</t>
        </is>
      </c>
      <c r="M395" t="inlineStr">
        <is>
          <t>2003</t>
        </is>
      </c>
      <c r="O395" t="inlineStr">
        <is>
          <t>eng</t>
        </is>
      </c>
      <c r="P395" t="inlineStr">
        <is>
          <t>enk</t>
        </is>
      </c>
      <c r="Q395" t="inlineStr">
        <is>
          <t>Manchester medieval studies</t>
        </is>
      </c>
      <c r="R395" t="inlineStr">
        <is>
          <t xml:space="preserve">HQ </t>
        </is>
      </c>
      <c r="S395" t="n">
        <v>1</v>
      </c>
      <c r="T395" t="n">
        <v>1</v>
      </c>
      <c r="U395" t="inlineStr">
        <is>
          <t>2006-05-31</t>
        </is>
      </c>
      <c r="V395" t="inlineStr">
        <is>
          <t>2006-05-31</t>
        </is>
      </c>
      <c r="W395" t="inlineStr">
        <is>
          <t>2006-05-31</t>
        </is>
      </c>
      <c r="X395" t="inlineStr">
        <is>
          <t>2006-05-31</t>
        </is>
      </c>
      <c r="Y395" t="n">
        <v>408</v>
      </c>
      <c r="Z395" t="n">
        <v>298</v>
      </c>
      <c r="AA395" t="n">
        <v>438</v>
      </c>
      <c r="AB395" t="n">
        <v>2</v>
      </c>
      <c r="AC395" t="n">
        <v>3</v>
      </c>
      <c r="AD395" t="n">
        <v>21</v>
      </c>
      <c r="AE395" t="n">
        <v>27</v>
      </c>
      <c r="AF395" t="n">
        <v>7</v>
      </c>
      <c r="AG395" t="n">
        <v>10</v>
      </c>
      <c r="AH395" t="n">
        <v>6</v>
      </c>
      <c r="AI395" t="n">
        <v>8</v>
      </c>
      <c r="AJ395" t="n">
        <v>13</v>
      </c>
      <c r="AK395" t="n">
        <v>15</v>
      </c>
      <c r="AL395" t="n">
        <v>1</v>
      </c>
      <c r="AM395" t="n">
        <v>2</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HYPERLINK("https://creighton-primo.hosted.exlibrisgroup.com/primo-explore/search?tab=default_tab&amp;search_scope=EVERYTHING&amp;vid=01CRU&amp;lang=en_US&amp;offset=0&amp;query=any,contains,991004790169702656","Catalog Record")</f>
        <v/>
      </c>
      <c r="AT395">
        <f>HYPERLINK("http://www.worldcat.org/oclc/51519709","WorldCat Record")</f>
        <v/>
      </c>
      <c r="AU395" t="inlineStr">
        <is>
          <t>731115:eng</t>
        </is>
      </c>
      <c r="AV395" t="inlineStr">
        <is>
          <t>51519709</t>
        </is>
      </c>
      <c r="AW395" t="inlineStr">
        <is>
          <t>991004790169702656</t>
        </is>
      </c>
      <c r="AX395" t="inlineStr">
        <is>
          <t>991004790169702656</t>
        </is>
      </c>
      <c r="AY395" t="inlineStr">
        <is>
          <t>2260461670002656</t>
        </is>
      </c>
      <c r="AZ395" t="inlineStr">
        <is>
          <t>BOOK</t>
        </is>
      </c>
      <c r="BB395" t="inlineStr">
        <is>
          <t>9780719059636</t>
        </is>
      </c>
      <c r="BC395" t="inlineStr">
        <is>
          <t>32285005189948</t>
        </is>
      </c>
      <c r="BD395" t="inlineStr">
        <is>
          <t>893628365</t>
        </is>
      </c>
    </row>
    <row r="396">
      <c r="A396" t="inlineStr">
        <is>
          <t>No</t>
        </is>
      </c>
      <c r="B396" t="inlineStr">
        <is>
          <t>HQ1147.F7 P47 1998</t>
        </is>
      </c>
      <c r="C396" t="inlineStr">
        <is>
          <t>0                      HQ 1147000F  7                  P  47          1998</t>
        </is>
      </c>
      <c r="D396" t="inlineStr">
        <is>
          <t>Women in the days of cathedrals / Régine Pernoud ; translated and adapted by Anne Côté-Harriss.</t>
        </is>
      </c>
      <c r="F396" t="inlineStr">
        <is>
          <t>No</t>
        </is>
      </c>
      <c r="G396" t="inlineStr">
        <is>
          <t>1</t>
        </is>
      </c>
      <c r="H396" t="inlineStr">
        <is>
          <t>No</t>
        </is>
      </c>
      <c r="I396" t="inlineStr">
        <is>
          <t>No</t>
        </is>
      </c>
      <c r="J396" t="inlineStr">
        <is>
          <t>0</t>
        </is>
      </c>
      <c r="K396" t="inlineStr">
        <is>
          <t>Pernoud, Régine, 1909-1998.</t>
        </is>
      </c>
      <c r="L396" t="inlineStr">
        <is>
          <t>San Francisco : Ignatius Press, c1998.</t>
        </is>
      </c>
      <c r="M396" t="inlineStr">
        <is>
          <t>1998</t>
        </is>
      </c>
      <c r="O396" t="inlineStr">
        <is>
          <t>eng</t>
        </is>
      </c>
      <c r="P396" t="inlineStr">
        <is>
          <t>cau</t>
        </is>
      </c>
      <c r="R396" t="inlineStr">
        <is>
          <t xml:space="preserve">HQ </t>
        </is>
      </c>
      <c r="S396" t="n">
        <v>4</v>
      </c>
      <c r="T396" t="n">
        <v>4</v>
      </c>
      <c r="U396" t="inlineStr">
        <is>
          <t>2009-04-07</t>
        </is>
      </c>
      <c r="V396" t="inlineStr">
        <is>
          <t>2009-04-07</t>
        </is>
      </c>
      <c r="W396" t="inlineStr">
        <is>
          <t>2000-09-13</t>
        </is>
      </c>
      <c r="X396" t="inlineStr">
        <is>
          <t>2000-09-13</t>
        </is>
      </c>
      <c r="Y396" t="n">
        <v>270</v>
      </c>
      <c r="Z396" t="n">
        <v>238</v>
      </c>
      <c r="AA396" t="n">
        <v>283</v>
      </c>
      <c r="AB396" t="n">
        <v>5</v>
      </c>
      <c r="AC396" t="n">
        <v>5</v>
      </c>
      <c r="AD396" t="n">
        <v>19</v>
      </c>
      <c r="AE396" t="n">
        <v>20</v>
      </c>
      <c r="AF396" t="n">
        <v>6</v>
      </c>
      <c r="AG396" t="n">
        <v>6</v>
      </c>
      <c r="AH396" t="n">
        <v>4</v>
      </c>
      <c r="AI396" t="n">
        <v>5</v>
      </c>
      <c r="AJ396" t="n">
        <v>11</v>
      </c>
      <c r="AK396" t="n">
        <v>12</v>
      </c>
      <c r="AL396" t="n">
        <v>2</v>
      </c>
      <c r="AM396" t="n">
        <v>2</v>
      </c>
      <c r="AN396" t="n">
        <v>0</v>
      </c>
      <c r="AO396" t="n">
        <v>0</v>
      </c>
      <c r="AP396" t="inlineStr">
        <is>
          <t>No</t>
        </is>
      </c>
      <c r="AQ396" t="inlineStr">
        <is>
          <t>Yes</t>
        </is>
      </c>
      <c r="AR396">
        <f>HYPERLINK("http://catalog.hathitrust.org/Record/003975308","HathiTrust Record")</f>
        <v/>
      </c>
      <c r="AS396">
        <f>HYPERLINK("https://creighton-primo.hosted.exlibrisgroup.com/primo-explore/search?tab=default_tab&amp;search_scope=EVERYTHING&amp;vid=01CRU&amp;lang=en_US&amp;offset=0&amp;query=any,contains,991003240739702656","Catalog Record")</f>
        <v/>
      </c>
      <c r="AT396">
        <f>HYPERLINK("http://www.worldcat.org/oclc/39097400","WorldCat Record")</f>
        <v/>
      </c>
      <c r="AU396" t="inlineStr">
        <is>
          <t>52991365:eng</t>
        </is>
      </c>
      <c r="AV396" t="inlineStr">
        <is>
          <t>39097400</t>
        </is>
      </c>
      <c r="AW396" t="inlineStr">
        <is>
          <t>991003240739702656</t>
        </is>
      </c>
      <c r="AX396" t="inlineStr">
        <is>
          <t>991003240739702656</t>
        </is>
      </c>
      <c r="AY396" t="inlineStr">
        <is>
          <t>2255523740002656</t>
        </is>
      </c>
      <c r="AZ396" t="inlineStr">
        <is>
          <t>BOOK</t>
        </is>
      </c>
      <c r="BB396" t="inlineStr">
        <is>
          <t>9780898706420</t>
        </is>
      </c>
      <c r="BC396" t="inlineStr">
        <is>
          <t>32285003761862</t>
        </is>
      </c>
      <c r="BD396" t="inlineStr">
        <is>
          <t>893899757</t>
        </is>
      </c>
    </row>
    <row r="397">
      <c r="A397" t="inlineStr">
        <is>
          <t>No</t>
        </is>
      </c>
      <c r="B397" t="inlineStr">
        <is>
          <t>HQ1147.F7 W45</t>
        </is>
      </c>
      <c r="C397" t="inlineStr">
        <is>
          <t>0                      HQ 1147000F  7                  W  45</t>
        </is>
      </c>
      <c r="D397" t="inlineStr">
        <is>
          <t>Women in Frankish society : marriage and the cloister, 500 to 900 / Suzanne Fonay Wemple.</t>
        </is>
      </c>
      <c r="F397" t="inlineStr">
        <is>
          <t>No</t>
        </is>
      </c>
      <c r="G397" t="inlineStr">
        <is>
          <t>1</t>
        </is>
      </c>
      <c r="H397" t="inlineStr">
        <is>
          <t>No</t>
        </is>
      </c>
      <c r="I397" t="inlineStr">
        <is>
          <t>No</t>
        </is>
      </c>
      <c r="J397" t="inlineStr">
        <is>
          <t>0</t>
        </is>
      </c>
      <c r="K397" t="inlineStr">
        <is>
          <t>Wemple, Suzanne Fonay.</t>
        </is>
      </c>
      <c r="L397" t="inlineStr">
        <is>
          <t>Philadelphia : University of Pennsylvania Press, 1981.</t>
        </is>
      </c>
      <c r="M397" t="inlineStr">
        <is>
          <t>1981</t>
        </is>
      </c>
      <c r="O397" t="inlineStr">
        <is>
          <t>eng</t>
        </is>
      </c>
      <c r="P397" t="inlineStr">
        <is>
          <t>pau</t>
        </is>
      </c>
      <c r="Q397" t="inlineStr">
        <is>
          <t>The Middle ages</t>
        </is>
      </c>
      <c r="R397" t="inlineStr">
        <is>
          <t xml:space="preserve">HQ </t>
        </is>
      </c>
      <c r="S397" t="n">
        <v>6</v>
      </c>
      <c r="T397" t="n">
        <v>6</v>
      </c>
      <c r="U397" t="inlineStr">
        <is>
          <t>2004-02-21</t>
        </is>
      </c>
      <c r="V397" t="inlineStr">
        <is>
          <t>2004-02-21</t>
        </is>
      </c>
      <c r="W397" t="inlineStr">
        <is>
          <t>1993-04-26</t>
        </is>
      </c>
      <c r="X397" t="inlineStr">
        <is>
          <t>1993-04-26</t>
        </is>
      </c>
      <c r="Y397" t="n">
        <v>831</v>
      </c>
      <c r="Z397" t="n">
        <v>699</v>
      </c>
      <c r="AA397" t="n">
        <v>885</v>
      </c>
      <c r="AB397" t="n">
        <v>5</v>
      </c>
      <c r="AC397" t="n">
        <v>6</v>
      </c>
      <c r="AD397" t="n">
        <v>42</v>
      </c>
      <c r="AE397" t="n">
        <v>49</v>
      </c>
      <c r="AF397" t="n">
        <v>18</v>
      </c>
      <c r="AG397" t="n">
        <v>22</v>
      </c>
      <c r="AH397" t="n">
        <v>9</v>
      </c>
      <c r="AI397" t="n">
        <v>11</v>
      </c>
      <c r="AJ397" t="n">
        <v>22</v>
      </c>
      <c r="AK397" t="n">
        <v>23</v>
      </c>
      <c r="AL397" t="n">
        <v>4</v>
      </c>
      <c r="AM397" t="n">
        <v>5</v>
      </c>
      <c r="AN397" t="n">
        <v>1</v>
      </c>
      <c r="AO397" t="n">
        <v>1</v>
      </c>
      <c r="AP397" t="inlineStr">
        <is>
          <t>No</t>
        </is>
      </c>
      <c r="AQ397" t="inlineStr">
        <is>
          <t>Yes</t>
        </is>
      </c>
      <c r="AR397">
        <f>HYPERLINK("http://catalog.hathitrust.org/Record/000143541","HathiTrust Record")</f>
        <v/>
      </c>
      <c r="AS397">
        <f>HYPERLINK("https://creighton-primo.hosted.exlibrisgroup.com/primo-explore/search?tab=default_tab&amp;search_scope=EVERYTHING&amp;vid=01CRU&amp;lang=en_US&amp;offset=0&amp;query=any,contains,991005097949702656","Catalog Record")</f>
        <v/>
      </c>
      <c r="AT397">
        <f>HYPERLINK("http://www.worldcat.org/oclc/7276994","WorldCat Record")</f>
        <v/>
      </c>
      <c r="AU397" t="inlineStr">
        <is>
          <t>807869457:eng</t>
        </is>
      </c>
      <c r="AV397" t="inlineStr">
        <is>
          <t>7276994</t>
        </is>
      </c>
      <c r="AW397" t="inlineStr">
        <is>
          <t>991005097949702656</t>
        </is>
      </c>
      <c r="AX397" t="inlineStr">
        <is>
          <t>991005097949702656</t>
        </is>
      </c>
      <c r="AY397" t="inlineStr">
        <is>
          <t>2263479210002656</t>
        </is>
      </c>
      <c r="AZ397" t="inlineStr">
        <is>
          <t>BOOK</t>
        </is>
      </c>
      <c r="BB397" t="inlineStr">
        <is>
          <t>9780812277982</t>
        </is>
      </c>
      <c r="BC397" t="inlineStr">
        <is>
          <t>32285001627289</t>
        </is>
      </c>
      <c r="BD397" t="inlineStr">
        <is>
          <t>893501319</t>
        </is>
      </c>
    </row>
    <row r="398">
      <c r="A398" t="inlineStr">
        <is>
          <t>No</t>
        </is>
      </c>
      <c r="B398" t="inlineStr">
        <is>
          <t>HQ1148 .B49</t>
        </is>
      </c>
      <c r="C398" t="inlineStr">
        <is>
          <t>0                      HQ 1148000B  49</t>
        </is>
      </c>
      <c r="D398" t="inlineStr">
        <is>
          <t>Beyond their sex : learned women of the European past / edited by Patricia H. Labalme.</t>
        </is>
      </c>
      <c r="F398" t="inlineStr">
        <is>
          <t>No</t>
        </is>
      </c>
      <c r="G398" t="inlineStr">
        <is>
          <t>1</t>
        </is>
      </c>
      <c r="H398" t="inlineStr">
        <is>
          <t>No</t>
        </is>
      </c>
      <c r="I398" t="inlineStr">
        <is>
          <t>No</t>
        </is>
      </c>
      <c r="J398" t="inlineStr">
        <is>
          <t>0</t>
        </is>
      </c>
      <c r="L398" t="inlineStr">
        <is>
          <t>New York : New York University Press, c1980.</t>
        </is>
      </c>
      <c r="M398" t="inlineStr">
        <is>
          <t>1980</t>
        </is>
      </c>
      <c r="O398" t="inlineStr">
        <is>
          <t>eng</t>
        </is>
      </c>
      <c r="P398" t="inlineStr">
        <is>
          <t>nyu</t>
        </is>
      </c>
      <c r="R398" t="inlineStr">
        <is>
          <t xml:space="preserve">HQ </t>
        </is>
      </c>
      <c r="S398" t="n">
        <v>6</v>
      </c>
      <c r="T398" t="n">
        <v>6</v>
      </c>
      <c r="U398" t="inlineStr">
        <is>
          <t>2006-03-24</t>
        </is>
      </c>
      <c r="V398" t="inlineStr">
        <is>
          <t>2006-03-24</t>
        </is>
      </c>
      <c r="W398" t="inlineStr">
        <is>
          <t>1993-04-26</t>
        </is>
      </c>
      <c r="X398" t="inlineStr">
        <is>
          <t>1993-04-26</t>
        </is>
      </c>
      <c r="Y398" t="n">
        <v>788</v>
      </c>
      <c r="Z398" t="n">
        <v>673</v>
      </c>
      <c r="AA398" t="n">
        <v>792</v>
      </c>
      <c r="AB398" t="n">
        <v>5</v>
      </c>
      <c r="AC398" t="n">
        <v>7</v>
      </c>
      <c r="AD398" t="n">
        <v>26</v>
      </c>
      <c r="AE398" t="n">
        <v>34</v>
      </c>
      <c r="AF398" t="n">
        <v>8</v>
      </c>
      <c r="AG398" t="n">
        <v>13</v>
      </c>
      <c r="AH398" t="n">
        <v>6</v>
      </c>
      <c r="AI398" t="n">
        <v>7</v>
      </c>
      <c r="AJ398" t="n">
        <v>11</v>
      </c>
      <c r="AK398" t="n">
        <v>13</v>
      </c>
      <c r="AL398" t="n">
        <v>4</v>
      </c>
      <c r="AM398" t="n">
        <v>5</v>
      </c>
      <c r="AN398" t="n">
        <v>1</v>
      </c>
      <c r="AO398" t="n">
        <v>1</v>
      </c>
      <c r="AP398" t="inlineStr">
        <is>
          <t>No</t>
        </is>
      </c>
      <c r="AQ398" t="inlineStr">
        <is>
          <t>No</t>
        </is>
      </c>
      <c r="AS398">
        <f>HYPERLINK("https://creighton-primo.hosted.exlibrisgroup.com/primo-explore/search?tab=default_tab&amp;search_scope=EVERYTHING&amp;vid=01CRU&amp;lang=en_US&amp;offset=0&amp;query=any,contains,991004942229702656","Catalog Record")</f>
        <v/>
      </c>
      <c r="AT398">
        <f>HYPERLINK("http://www.worldcat.org/oclc/6194873","WorldCat Record")</f>
        <v/>
      </c>
      <c r="AU398" t="inlineStr">
        <is>
          <t>889586992:eng</t>
        </is>
      </c>
      <c r="AV398" t="inlineStr">
        <is>
          <t>6194873</t>
        </is>
      </c>
      <c r="AW398" t="inlineStr">
        <is>
          <t>991004942229702656</t>
        </is>
      </c>
      <c r="AX398" t="inlineStr">
        <is>
          <t>991004942229702656</t>
        </is>
      </c>
      <c r="AY398" t="inlineStr">
        <is>
          <t>2262741560002656</t>
        </is>
      </c>
      <c r="AZ398" t="inlineStr">
        <is>
          <t>BOOK</t>
        </is>
      </c>
      <c r="BB398" t="inlineStr">
        <is>
          <t>9780814749982</t>
        </is>
      </c>
      <c r="BC398" t="inlineStr">
        <is>
          <t>32285001627305</t>
        </is>
      </c>
      <c r="BD398" t="inlineStr">
        <is>
          <t>893707029</t>
        </is>
      </c>
    </row>
    <row r="399">
      <c r="A399" t="inlineStr">
        <is>
          <t>No</t>
        </is>
      </c>
      <c r="B399" t="inlineStr">
        <is>
          <t>HQ1149.G7 C3</t>
        </is>
      </c>
      <c r="C399" t="inlineStr">
        <is>
          <t>0                      HQ 1149000G  7                  C  3</t>
        </is>
      </c>
      <c r="D399" t="inlineStr">
        <is>
          <t>The Elizabethan woman / Carroll Camden.</t>
        </is>
      </c>
      <c r="F399" t="inlineStr">
        <is>
          <t>No</t>
        </is>
      </c>
      <c r="G399" t="inlineStr">
        <is>
          <t>1</t>
        </is>
      </c>
      <c r="H399" t="inlineStr">
        <is>
          <t>No</t>
        </is>
      </c>
      <c r="I399" t="inlineStr">
        <is>
          <t>No</t>
        </is>
      </c>
      <c r="J399" t="inlineStr">
        <is>
          <t>0</t>
        </is>
      </c>
      <c r="K399" t="inlineStr">
        <is>
          <t>Camden, Carroll, 1903-</t>
        </is>
      </c>
      <c r="L399" t="inlineStr">
        <is>
          <t>Houston ; New York : Elsevier Press, 1952.</t>
        </is>
      </c>
      <c r="M399" t="inlineStr">
        <is>
          <t>1952</t>
        </is>
      </c>
      <c r="O399" t="inlineStr">
        <is>
          <t>eng</t>
        </is>
      </c>
      <c r="P399" t="inlineStr">
        <is>
          <t>___</t>
        </is>
      </c>
      <c r="R399" t="inlineStr">
        <is>
          <t xml:space="preserve">HQ </t>
        </is>
      </c>
      <c r="S399" t="n">
        <v>5</v>
      </c>
      <c r="T399" t="n">
        <v>5</v>
      </c>
      <c r="U399" t="inlineStr">
        <is>
          <t>1995-11-27</t>
        </is>
      </c>
      <c r="V399" t="inlineStr">
        <is>
          <t>1995-11-27</t>
        </is>
      </c>
      <c r="W399" t="inlineStr">
        <is>
          <t>1993-04-26</t>
        </is>
      </c>
      <c r="X399" t="inlineStr">
        <is>
          <t>1993-04-26</t>
        </is>
      </c>
      <c r="Y399" t="n">
        <v>713</v>
      </c>
      <c r="Z399" t="n">
        <v>674</v>
      </c>
      <c r="AA399" t="n">
        <v>811</v>
      </c>
      <c r="AB399" t="n">
        <v>5</v>
      </c>
      <c r="AC399" t="n">
        <v>6</v>
      </c>
      <c r="AD399" t="n">
        <v>34</v>
      </c>
      <c r="AE399" t="n">
        <v>35</v>
      </c>
      <c r="AF399" t="n">
        <v>19</v>
      </c>
      <c r="AG399" t="n">
        <v>20</v>
      </c>
      <c r="AH399" t="n">
        <v>5</v>
      </c>
      <c r="AI399" t="n">
        <v>6</v>
      </c>
      <c r="AJ399" t="n">
        <v>14</v>
      </c>
      <c r="AK399" t="n">
        <v>14</v>
      </c>
      <c r="AL399" t="n">
        <v>4</v>
      </c>
      <c r="AM399" t="n">
        <v>4</v>
      </c>
      <c r="AN399" t="n">
        <v>0</v>
      </c>
      <c r="AO399" t="n">
        <v>0</v>
      </c>
      <c r="AP399" t="inlineStr">
        <is>
          <t>No</t>
        </is>
      </c>
      <c r="AQ399" t="inlineStr">
        <is>
          <t>Yes</t>
        </is>
      </c>
      <c r="AR399">
        <f>HYPERLINK("http://catalog.hathitrust.org/Record/000978865","HathiTrust Record")</f>
        <v/>
      </c>
      <c r="AS399">
        <f>HYPERLINK("https://creighton-primo.hosted.exlibrisgroup.com/primo-explore/search?tab=default_tab&amp;search_scope=EVERYTHING&amp;vid=01CRU&amp;lang=en_US&amp;offset=0&amp;query=any,contains,991002906989702656","Catalog Record")</f>
        <v/>
      </c>
      <c r="AT399">
        <f>HYPERLINK("http://www.worldcat.org/oclc/519899","WorldCat Record")</f>
        <v/>
      </c>
      <c r="AU399" t="inlineStr">
        <is>
          <t>3943302427:eng</t>
        </is>
      </c>
      <c r="AV399" t="inlineStr">
        <is>
          <t>519899</t>
        </is>
      </c>
      <c r="AW399" t="inlineStr">
        <is>
          <t>991002906989702656</t>
        </is>
      </c>
      <c r="AX399" t="inlineStr">
        <is>
          <t>991002906989702656</t>
        </is>
      </c>
      <c r="AY399" t="inlineStr">
        <is>
          <t>2257199660002656</t>
        </is>
      </c>
      <c r="AZ399" t="inlineStr">
        <is>
          <t>BOOK</t>
        </is>
      </c>
      <c r="BC399" t="inlineStr">
        <is>
          <t>32285001627313</t>
        </is>
      </c>
      <c r="BD399" t="inlineStr">
        <is>
          <t>893685934</t>
        </is>
      </c>
    </row>
    <row r="400">
      <c r="A400" t="inlineStr">
        <is>
          <t>No</t>
        </is>
      </c>
      <c r="B400" t="inlineStr">
        <is>
          <t>HQ1149.G7 S553 1996</t>
        </is>
      </c>
      <c r="C400" t="inlineStr">
        <is>
          <t>0                      HQ 1149000G  7                  S  553         1996</t>
        </is>
      </c>
      <c r="D400" t="inlineStr">
        <is>
          <t>The Tudor housewife / Alison Sim.</t>
        </is>
      </c>
      <c r="F400" t="inlineStr">
        <is>
          <t>No</t>
        </is>
      </c>
      <c r="G400" t="inlineStr">
        <is>
          <t>1</t>
        </is>
      </c>
      <c r="H400" t="inlineStr">
        <is>
          <t>No</t>
        </is>
      </c>
      <c r="I400" t="inlineStr">
        <is>
          <t>No</t>
        </is>
      </c>
      <c r="J400" t="inlineStr">
        <is>
          <t>0</t>
        </is>
      </c>
      <c r="K400" t="inlineStr">
        <is>
          <t>Sim, Alison.</t>
        </is>
      </c>
      <c r="L400" t="inlineStr">
        <is>
          <t>Phoenix Mill, U.K. : Sutton Pub. ; Montreal ; Buffalo : McGill-Queen's University Press, 1996.</t>
        </is>
      </c>
      <c r="M400" t="inlineStr">
        <is>
          <t>1996</t>
        </is>
      </c>
      <c r="O400" t="inlineStr">
        <is>
          <t>eng</t>
        </is>
      </c>
      <c r="P400" t="inlineStr">
        <is>
          <t>enk</t>
        </is>
      </c>
      <c r="R400" t="inlineStr">
        <is>
          <t xml:space="preserve">HQ </t>
        </is>
      </c>
      <c r="S400" t="n">
        <v>3</v>
      </c>
      <c r="T400" t="n">
        <v>3</v>
      </c>
      <c r="U400" t="inlineStr">
        <is>
          <t>2006-04-25</t>
        </is>
      </c>
      <c r="V400" t="inlineStr">
        <is>
          <t>2006-04-25</t>
        </is>
      </c>
      <c r="W400" t="inlineStr">
        <is>
          <t>1997-11-18</t>
        </is>
      </c>
      <c r="X400" t="inlineStr">
        <is>
          <t>1997-11-18</t>
        </is>
      </c>
      <c r="Y400" t="n">
        <v>487</v>
      </c>
      <c r="Z400" t="n">
        <v>350</v>
      </c>
      <c r="AA400" t="n">
        <v>732</v>
      </c>
      <c r="AB400" t="n">
        <v>4</v>
      </c>
      <c r="AC400" t="n">
        <v>7</v>
      </c>
      <c r="AD400" t="n">
        <v>18</v>
      </c>
      <c r="AE400" t="n">
        <v>34</v>
      </c>
      <c r="AF400" t="n">
        <v>4</v>
      </c>
      <c r="AG400" t="n">
        <v>11</v>
      </c>
      <c r="AH400" t="n">
        <v>5</v>
      </c>
      <c r="AI400" t="n">
        <v>8</v>
      </c>
      <c r="AJ400" t="n">
        <v>11</v>
      </c>
      <c r="AK400" t="n">
        <v>15</v>
      </c>
      <c r="AL400" t="n">
        <v>2</v>
      </c>
      <c r="AM400" t="n">
        <v>5</v>
      </c>
      <c r="AN400" t="n">
        <v>0</v>
      </c>
      <c r="AO400" t="n">
        <v>1</v>
      </c>
      <c r="AP400" t="inlineStr">
        <is>
          <t>No</t>
        </is>
      </c>
      <c r="AQ400" t="inlineStr">
        <is>
          <t>No</t>
        </is>
      </c>
      <c r="AS400">
        <f>HYPERLINK("https://creighton-primo.hosted.exlibrisgroup.com/primo-explore/search?tab=default_tab&amp;search_scope=EVERYTHING&amp;vid=01CRU&amp;lang=en_US&amp;offset=0&amp;query=any,contains,991002741319702656","Catalog Record")</f>
        <v/>
      </c>
      <c r="AT400">
        <f>HYPERLINK("http://www.worldcat.org/oclc/36841309","WorldCat Record")</f>
        <v/>
      </c>
      <c r="AU400" t="inlineStr">
        <is>
          <t>799303:eng</t>
        </is>
      </c>
      <c r="AV400" t="inlineStr">
        <is>
          <t>36841309</t>
        </is>
      </c>
      <c r="AW400" t="inlineStr">
        <is>
          <t>991002741319702656</t>
        </is>
      </c>
      <c r="AX400" t="inlineStr">
        <is>
          <t>991002741319702656</t>
        </is>
      </c>
      <c r="AY400" t="inlineStr">
        <is>
          <t>2255651100002656</t>
        </is>
      </c>
      <c r="AZ400" t="inlineStr">
        <is>
          <t>BOOK</t>
        </is>
      </c>
      <c r="BB400" t="inlineStr">
        <is>
          <t>9780750911436</t>
        </is>
      </c>
      <c r="BC400" t="inlineStr">
        <is>
          <t>32285003271250</t>
        </is>
      </c>
      <c r="BD400" t="inlineStr">
        <is>
          <t>893317203</t>
        </is>
      </c>
    </row>
    <row r="401">
      <c r="A401" t="inlineStr">
        <is>
          <t>No</t>
        </is>
      </c>
      <c r="B401" t="inlineStr">
        <is>
          <t>HQ1149.S7 M37 2006</t>
        </is>
      </c>
      <c r="C401" t="inlineStr">
        <is>
          <t>0                      HQ 1149000S  7                  M  37          2006</t>
        </is>
      </c>
      <c r="D401" t="inlineStr">
        <is>
          <t>Mujeres de acción el Siglo de Oro : Catalina de Erauso, Isabel Barreto de Mendaña, Ana de Austria, Ana de Mendoza, Margarita de Parma, Isabel Clara Eugenia / Vicenta Ma. Márquez de la Plata Ferrándiz.</t>
        </is>
      </c>
      <c r="F401" t="inlineStr">
        <is>
          <t>No</t>
        </is>
      </c>
      <c r="G401" t="inlineStr">
        <is>
          <t>1</t>
        </is>
      </c>
      <c r="H401" t="inlineStr">
        <is>
          <t>No</t>
        </is>
      </c>
      <c r="I401" t="inlineStr">
        <is>
          <t>No</t>
        </is>
      </c>
      <c r="J401" t="inlineStr">
        <is>
          <t>0</t>
        </is>
      </c>
      <c r="K401" t="inlineStr">
        <is>
          <t>Márquez de la Plata, Vicenta María.</t>
        </is>
      </c>
      <c r="L401" t="inlineStr">
        <is>
          <t>Madrid : Editorial Castalia, c2006.</t>
        </is>
      </c>
      <c r="M401" t="inlineStr">
        <is>
          <t>2006</t>
        </is>
      </c>
      <c r="O401" t="inlineStr">
        <is>
          <t>spa</t>
        </is>
      </c>
      <c r="P401" t="inlineStr">
        <is>
          <t xml:space="preserve">sp </t>
        </is>
      </c>
      <c r="R401" t="inlineStr">
        <is>
          <t xml:space="preserve">HQ </t>
        </is>
      </c>
      <c r="S401" t="n">
        <v>1</v>
      </c>
      <c r="T401" t="n">
        <v>1</v>
      </c>
      <c r="U401" t="inlineStr">
        <is>
          <t>2008-01-16</t>
        </is>
      </c>
      <c r="V401" t="inlineStr">
        <is>
          <t>2008-01-16</t>
        </is>
      </c>
      <c r="W401" t="inlineStr">
        <is>
          <t>2008-01-16</t>
        </is>
      </c>
      <c r="X401" t="inlineStr">
        <is>
          <t>2008-01-16</t>
        </is>
      </c>
      <c r="Y401" t="n">
        <v>59</v>
      </c>
      <c r="Z401" t="n">
        <v>42</v>
      </c>
      <c r="AA401" t="n">
        <v>43</v>
      </c>
      <c r="AB401" t="n">
        <v>1</v>
      </c>
      <c r="AC401" t="n">
        <v>1</v>
      </c>
      <c r="AD401" t="n">
        <v>3</v>
      </c>
      <c r="AE401" t="n">
        <v>3</v>
      </c>
      <c r="AF401" t="n">
        <v>0</v>
      </c>
      <c r="AG401" t="n">
        <v>0</v>
      </c>
      <c r="AH401" t="n">
        <v>2</v>
      </c>
      <c r="AI401" t="n">
        <v>2</v>
      </c>
      <c r="AJ401" t="n">
        <v>1</v>
      </c>
      <c r="AK401" t="n">
        <v>1</v>
      </c>
      <c r="AL401" t="n">
        <v>0</v>
      </c>
      <c r="AM401" t="n">
        <v>0</v>
      </c>
      <c r="AN401" t="n">
        <v>0</v>
      </c>
      <c r="AO401" t="n">
        <v>0</v>
      </c>
      <c r="AP401" t="inlineStr">
        <is>
          <t>No</t>
        </is>
      </c>
      <c r="AQ401" t="inlineStr">
        <is>
          <t>Yes</t>
        </is>
      </c>
      <c r="AR401">
        <f>HYPERLINK("http://catalog.hathitrust.org/Record/007148384","HathiTrust Record")</f>
        <v/>
      </c>
      <c r="AS401">
        <f>HYPERLINK("https://creighton-primo.hosted.exlibrisgroup.com/primo-explore/search?tab=default_tab&amp;search_scope=EVERYTHING&amp;vid=01CRU&amp;lang=en_US&amp;offset=0&amp;query=any,contains,991005172709702656","Catalog Record")</f>
        <v/>
      </c>
      <c r="AT401">
        <f>HYPERLINK("http://www.worldcat.org/oclc/85891411","WorldCat Record")</f>
        <v/>
      </c>
      <c r="AU401" t="inlineStr">
        <is>
          <t>197479262:spa</t>
        </is>
      </c>
      <c r="AV401" t="inlineStr">
        <is>
          <t>85891411</t>
        </is>
      </c>
      <c r="AW401" t="inlineStr">
        <is>
          <t>991005172709702656</t>
        </is>
      </c>
      <c r="AX401" t="inlineStr">
        <is>
          <t>991005172709702656</t>
        </is>
      </c>
      <c r="AY401" t="inlineStr">
        <is>
          <t>2256800440002656</t>
        </is>
      </c>
      <c r="AZ401" t="inlineStr">
        <is>
          <t>BOOK</t>
        </is>
      </c>
      <c r="BB401" t="inlineStr">
        <is>
          <t>9788497402026</t>
        </is>
      </c>
      <c r="BC401" t="inlineStr">
        <is>
          <t>32285005378616</t>
        </is>
      </c>
      <c r="BD401" t="inlineStr">
        <is>
          <t>893507727</t>
        </is>
      </c>
    </row>
    <row r="402">
      <c r="A402" t="inlineStr">
        <is>
          <t>No</t>
        </is>
      </c>
      <c r="B402" t="inlineStr">
        <is>
          <t>HQ115 .R6713 1988</t>
        </is>
      </c>
      <c r="C402" t="inlineStr">
        <is>
          <t>0                      HQ 0115000R  6713        1988</t>
        </is>
      </c>
      <c r="D402" t="inlineStr">
        <is>
          <t>Medieval prostitution / Jacques Rossiaud ; translated by Lydia G. Cochrane.</t>
        </is>
      </c>
      <c r="F402" t="inlineStr">
        <is>
          <t>No</t>
        </is>
      </c>
      <c r="G402" t="inlineStr">
        <is>
          <t>1</t>
        </is>
      </c>
      <c r="H402" t="inlineStr">
        <is>
          <t>No</t>
        </is>
      </c>
      <c r="I402" t="inlineStr">
        <is>
          <t>No</t>
        </is>
      </c>
      <c r="J402" t="inlineStr">
        <is>
          <t>0</t>
        </is>
      </c>
      <c r="K402" t="inlineStr">
        <is>
          <t>Rossiaud, Jacques.</t>
        </is>
      </c>
      <c r="L402" t="inlineStr">
        <is>
          <t>New York, NY : Blackwell, 1988.</t>
        </is>
      </c>
      <c r="M402" t="inlineStr">
        <is>
          <t>1988</t>
        </is>
      </c>
      <c r="O402" t="inlineStr">
        <is>
          <t>eng</t>
        </is>
      </c>
      <c r="P402" t="inlineStr">
        <is>
          <t>nyu</t>
        </is>
      </c>
      <c r="Q402" t="inlineStr">
        <is>
          <t>Family, sexuality, and social relations in past times</t>
        </is>
      </c>
      <c r="R402" t="inlineStr">
        <is>
          <t xml:space="preserve">HQ </t>
        </is>
      </c>
      <c r="S402" t="n">
        <v>11</v>
      </c>
      <c r="T402" t="n">
        <v>11</v>
      </c>
      <c r="U402" t="inlineStr">
        <is>
          <t>2002-03-04</t>
        </is>
      </c>
      <c r="V402" t="inlineStr">
        <is>
          <t>2002-03-04</t>
        </is>
      </c>
      <c r="W402" t="inlineStr">
        <is>
          <t>1992-10-26</t>
        </is>
      </c>
      <c r="X402" t="inlineStr">
        <is>
          <t>1992-10-26</t>
        </is>
      </c>
      <c r="Y402" t="n">
        <v>437</v>
      </c>
      <c r="Z402" t="n">
        <v>340</v>
      </c>
      <c r="AA402" t="n">
        <v>392</v>
      </c>
      <c r="AB402" t="n">
        <v>2</v>
      </c>
      <c r="AC402" t="n">
        <v>2</v>
      </c>
      <c r="AD402" t="n">
        <v>17</v>
      </c>
      <c r="AE402" t="n">
        <v>19</v>
      </c>
      <c r="AF402" t="n">
        <v>5</v>
      </c>
      <c r="AG402" t="n">
        <v>5</v>
      </c>
      <c r="AH402" t="n">
        <v>8</v>
      </c>
      <c r="AI402" t="n">
        <v>9</v>
      </c>
      <c r="AJ402" t="n">
        <v>8</v>
      </c>
      <c r="AK402" t="n">
        <v>10</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HYPERLINK("https://creighton-primo.hosted.exlibrisgroup.com/primo-explore/search?tab=default_tab&amp;search_scope=EVERYTHING&amp;vid=01CRU&amp;lang=en_US&amp;offset=0&amp;query=any,contains,991001200579702656","Catalog Record")</f>
        <v/>
      </c>
      <c r="AT402">
        <f>HYPERLINK("http://www.worldcat.org/oclc/17300973","WorldCat Record")</f>
        <v/>
      </c>
      <c r="AU402" t="inlineStr">
        <is>
          <t>4915825231:eng</t>
        </is>
      </c>
      <c r="AV402" t="inlineStr">
        <is>
          <t>17300973</t>
        </is>
      </c>
      <c r="AW402" t="inlineStr">
        <is>
          <t>991001200579702656</t>
        </is>
      </c>
      <c r="AX402" t="inlineStr">
        <is>
          <t>991001200579702656</t>
        </is>
      </c>
      <c r="AY402" t="inlineStr">
        <is>
          <t>2267797570002656</t>
        </is>
      </c>
      <c r="AZ402" t="inlineStr">
        <is>
          <t>BOOK</t>
        </is>
      </c>
      <c r="BB402" t="inlineStr">
        <is>
          <t>9780631151418</t>
        </is>
      </c>
      <c r="BC402" t="inlineStr">
        <is>
          <t>32285001358315</t>
        </is>
      </c>
      <c r="BD402" t="inlineStr">
        <is>
          <t>893885122</t>
        </is>
      </c>
    </row>
    <row r="403">
      <c r="A403" t="inlineStr">
        <is>
          <t>No</t>
        </is>
      </c>
      <c r="B403" t="inlineStr">
        <is>
          <t>HQ1150 .B47 1981</t>
        </is>
      </c>
      <c r="C403" t="inlineStr">
        <is>
          <t>0                      HQ 1150000B  47          1981</t>
        </is>
      </c>
      <c r="D403" t="inlineStr">
        <is>
          <t>The eighteenth-century woman / Olivier Bernier.</t>
        </is>
      </c>
      <c r="F403" t="inlineStr">
        <is>
          <t>No</t>
        </is>
      </c>
      <c r="G403" t="inlineStr">
        <is>
          <t>1</t>
        </is>
      </c>
      <c r="H403" t="inlineStr">
        <is>
          <t>No</t>
        </is>
      </c>
      <c r="I403" t="inlineStr">
        <is>
          <t>No</t>
        </is>
      </c>
      <c r="J403" t="inlineStr">
        <is>
          <t>0</t>
        </is>
      </c>
      <c r="K403" t="inlineStr">
        <is>
          <t>Bernier, Olivier.</t>
        </is>
      </c>
      <c r="L403" t="inlineStr">
        <is>
          <t>Garden City, N.Y. : Doubleday ; New York : Published in assoiciation with the Metropolitan Museum of Art, c1981.</t>
        </is>
      </c>
      <c r="M403" t="inlineStr">
        <is>
          <t>1981</t>
        </is>
      </c>
      <c r="O403" t="inlineStr">
        <is>
          <t>eng</t>
        </is>
      </c>
      <c r="P403" t="inlineStr">
        <is>
          <t>nyu</t>
        </is>
      </c>
      <c r="R403" t="inlineStr">
        <is>
          <t xml:space="preserve">HQ </t>
        </is>
      </c>
      <c r="S403" t="n">
        <v>7</v>
      </c>
      <c r="T403" t="n">
        <v>7</v>
      </c>
      <c r="U403" t="inlineStr">
        <is>
          <t>2001-02-22</t>
        </is>
      </c>
      <c r="V403" t="inlineStr">
        <is>
          <t>2001-02-22</t>
        </is>
      </c>
      <c r="W403" t="inlineStr">
        <is>
          <t>1992-04-27</t>
        </is>
      </c>
      <c r="X403" t="inlineStr">
        <is>
          <t>1992-04-27</t>
        </is>
      </c>
      <c r="Y403" t="n">
        <v>562</v>
      </c>
      <c r="Z403" t="n">
        <v>497</v>
      </c>
      <c r="AA403" t="n">
        <v>548</v>
      </c>
      <c r="AB403" t="n">
        <v>4</v>
      </c>
      <c r="AC403" t="n">
        <v>4</v>
      </c>
      <c r="AD403" t="n">
        <v>11</v>
      </c>
      <c r="AE403" t="n">
        <v>11</v>
      </c>
      <c r="AF403" t="n">
        <v>4</v>
      </c>
      <c r="AG403" t="n">
        <v>4</v>
      </c>
      <c r="AH403" t="n">
        <v>3</v>
      </c>
      <c r="AI403" t="n">
        <v>3</v>
      </c>
      <c r="AJ403" t="n">
        <v>5</v>
      </c>
      <c r="AK403" t="n">
        <v>5</v>
      </c>
      <c r="AL403" t="n">
        <v>2</v>
      </c>
      <c r="AM403" t="n">
        <v>2</v>
      </c>
      <c r="AN403" t="n">
        <v>0</v>
      </c>
      <c r="AO403" t="n">
        <v>0</v>
      </c>
      <c r="AP403" t="inlineStr">
        <is>
          <t>No</t>
        </is>
      </c>
      <c r="AQ403" t="inlineStr">
        <is>
          <t>Yes</t>
        </is>
      </c>
      <c r="AR403">
        <f>HYPERLINK("http://catalog.hathitrust.org/Record/000306243","HathiTrust Record")</f>
        <v/>
      </c>
      <c r="AS403">
        <f>HYPERLINK("https://creighton-primo.hosted.exlibrisgroup.com/primo-explore/search?tab=default_tab&amp;search_scope=EVERYTHING&amp;vid=01CRU&amp;lang=en_US&amp;offset=0&amp;query=any,contains,991005193639702656","Catalog Record")</f>
        <v/>
      </c>
      <c r="AT403">
        <f>HYPERLINK("http://www.worldcat.org/oclc/8032630","WorldCat Record")</f>
        <v/>
      </c>
      <c r="AU403" t="inlineStr">
        <is>
          <t>20924623:eng</t>
        </is>
      </c>
      <c r="AV403" t="inlineStr">
        <is>
          <t>8032630</t>
        </is>
      </c>
      <c r="AW403" t="inlineStr">
        <is>
          <t>991005193639702656</t>
        </is>
      </c>
      <c r="AX403" t="inlineStr">
        <is>
          <t>991005193639702656</t>
        </is>
      </c>
      <c r="AY403" t="inlineStr">
        <is>
          <t>2269072700002656</t>
        </is>
      </c>
      <c r="AZ403" t="inlineStr">
        <is>
          <t>BOOK</t>
        </is>
      </c>
      <c r="BB403" t="inlineStr">
        <is>
          <t>9780385178754</t>
        </is>
      </c>
      <c r="BC403" t="inlineStr">
        <is>
          <t>32285001095677</t>
        </is>
      </c>
      <c r="BD403" t="inlineStr">
        <is>
          <t>893688753</t>
        </is>
      </c>
    </row>
    <row r="404">
      <c r="A404" t="inlineStr">
        <is>
          <t>No</t>
        </is>
      </c>
      <c r="B404" t="inlineStr">
        <is>
          <t>HQ1150 .G73 1998</t>
        </is>
      </c>
      <c r="C404" t="inlineStr">
        <is>
          <t>0                      HQ 1150000G  73          1998</t>
        </is>
      </c>
      <c r="D404" t="inlineStr">
        <is>
          <t>Domestic tranquility : a brief against feminism / F. Carolyn Graglia.</t>
        </is>
      </c>
      <c r="F404" t="inlineStr">
        <is>
          <t>No</t>
        </is>
      </c>
      <c r="G404" t="inlineStr">
        <is>
          <t>1</t>
        </is>
      </c>
      <c r="H404" t="inlineStr">
        <is>
          <t>No</t>
        </is>
      </c>
      <c r="I404" t="inlineStr">
        <is>
          <t>No</t>
        </is>
      </c>
      <c r="J404" t="inlineStr">
        <is>
          <t>0</t>
        </is>
      </c>
      <c r="K404" t="inlineStr">
        <is>
          <t>Graglia, F. Carolyn, 1929-</t>
        </is>
      </c>
      <c r="L404" t="inlineStr">
        <is>
          <t>Dallas, Tex. : Spence, 1998.</t>
        </is>
      </c>
      <c r="M404" t="inlineStr">
        <is>
          <t>1998</t>
        </is>
      </c>
      <c r="O404" t="inlineStr">
        <is>
          <t>eng</t>
        </is>
      </c>
      <c r="P404" t="inlineStr">
        <is>
          <t>txu</t>
        </is>
      </c>
      <c r="R404" t="inlineStr">
        <is>
          <t xml:space="preserve">HQ </t>
        </is>
      </c>
      <c r="S404" t="n">
        <v>6</v>
      </c>
      <c r="T404" t="n">
        <v>6</v>
      </c>
      <c r="U404" t="inlineStr">
        <is>
          <t>2008-07-18</t>
        </is>
      </c>
      <c r="V404" t="inlineStr">
        <is>
          <t>2008-07-18</t>
        </is>
      </c>
      <c r="W404" t="inlineStr">
        <is>
          <t>1999-02-15</t>
        </is>
      </c>
      <c r="X404" t="inlineStr">
        <is>
          <t>1999-02-15</t>
        </is>
      </c>
      <c r="Y404" t="n">
        <v>430</v>
      </c>
      <c r="Z404" t="n">
        <v>403</v>
      </c>
      <c r="AA404" t="n">
        <v>408</v>
      </c>
      <c r="AB404" t="n">
        <v>4</v>
      </c>
      <c r="AC404" t="n">
        <v>4</v>
      </c>
      <c r="AD404" t="n">
        <v>18</v>
      </c>
      <c r="AE404" t="n">
        <v>18</v>
      </c>
      <c r="AF404" t="n">
        <v>6</v>
      </c>
      <c r="AG404" t="n">
        <v>6</v>
      </c>
      <c r="AH404" t="n">
        <v>4</v>
      </c>
      <c r="AI404" t="n">
        <v>4</v>
      </c>
      <c r="AJ404" t="n">
        <v>8</v>
      </c>
      <c r="AK404" t="n">
        <v>8</v>
      </c>
      <c r="AL404" t="n">
        <v>2</v>
      </c>
      <c r="AM404" t="n">
        <v>2</v>
      </c>
      <c r="AN404" t="n">
        <v>2</v>
      </c>
      <c r="AO404" t="n">
        <v>2</v>
      </c>
      <c r="AP404" t="inlineStr">
        <is>
          <t>No</t>
        </is>
      </c>
      <c r="AQ404" t="inlineStr">
        <is>
          <t>Yes</t>
        </is>
      </c>
      <c r="AR404">
        <f>HYPERLINK("http://catalog.hathitrust.org/Record/101987263","HathiTrust Record")</f>
        <v/>
      </c>
      <c r="AS404">
        <f>HYPERLINK("https://creighton-primo.hosted.exlibrisgroup.com/primo-explore/search?tab=default_tab&amp;search_scope=EVERYTHING&amp;vid=01CRU&amp;lang=en_US&amp;offset=0&amp;query=any,contains,991002850559702656","Catalog Record")</f>
        <v/>
      </c>
      <c r="AT404">
        <f>HYPERLINK("http://www.worldcat.org/oclc/37560873","WorldCat Record")</f>
        <v/>
      </c>
      <c r="AU404" t="inlineStr">
        <is>
          <t>663177:eng</t>
        </is>
      </c>
      <c r="AV404" t="inlineStr">
        <is>
          <t>37560873</t>
        </is>
      </c>
      <c r="AW404" t="inlineStr">
        <is>
          <t>991002850559702656</t>
        </is>
      </c>
      <c r="AX404" t="inlineStr">
        <is>
          <t>991002850559702656</t>
        </is>
      </c>
      <c r="AY404" t="inlineStr">
        <is>
          <t>2271181600002656</t>
        </is>
      </c>
      <c r="AZ404" t="inlineStr">
        <is>
          <t>BOOK</t>
        </is>
      </c>
      <c r="BB404" t="inlineStr">
        <is>
          <t>9780965320863</t>
        </is>
      </c>
      <c r="BC404" t="inlineStr">
        <is>
          <t>32285003519674</t>
        </is>
      </c>
      <c r="BD404" t="inlineStr">
        <is>
          <t>893880496</t>
        </is>
      </c>
    </row>
    <row r="405">
      <c r="A405" t="inlineStr">
        <is>
          <t>No</t>
        </is>
      </c>
      <c r="B405" t="inlineStr">
        <is>
          <t>HQ1150 .R64</t>
        </is>
      </c>
      <c r="C405" t="inlineStr">
        <is>
          <t>0                      HQ 1150000R  64</t>
        </is>
      </c>
      <c r="D405" t="inlineStr">
        <is>
          <t>Love, morals and the feminists.</t>
        </is>
      </c>
      <c r="F405" t="inlineStr">
        <is>
          <t>No</t>
        </is>
      </c>
      <c r="G405" t="inlineStr">
        <is>
          <t>1</t>
        </is>
      </c>
      <c r="H405" t="inlineStr">
        <is>
          <t>No</t>
        </is>
      </c>
      <c r="I405" t="inlineStr">
        <is>
          <t>No</t>
        </is>
      </c>
      <c r="J405" t="inlineStr">
        <is>
          <t>0</t>
        </is>
      </c>
      <c r="K405" t="inlineStr">
        <is>
          <t>Rover, Constance.</t>
        </is>
      </c>
      <c r="L405" t="inlineStr">
        <is>
          <t>London : Routledge &amp; K. Paul, 1970.</t>
        </is>
      </c>
      <c r="M405" t="inlineStr">
        <is>
          <t>1970</t>
        </is>
      </c>
      <c r="O405" t="inlineStr">
        <is>
          <t>eng</t>
        </is>
      </c>
      <c r="P405" t="inlineStr">
        <is>
          <t>enk</t>
        </is>
      </c>
      <c r="R405" t="inlineStr">
        <is>
          <t xml:space="preserve">HQ </t>
        </is>
      </c>
      <c r="S405" t="n">
        <v>4</v>
      </c>
      <c r="T405" t="n">
        <v>4</v>
      </c>
      <c r="U405" t="inlineStr">
        <is>
          <t>1994-11-28</t>
        </is>
      </c>
      <c r="V405" t="inlineStr">
        <is>
          <t>1994-11-28</t>
        </is>
      </c>
      <c r="W405" t="inlineStr">
        <is>
          <t>1992-02-19</t>
        </is>
      </c>
      <c r="X405" t="inlineStr">
        <is>
          <t>1992-02-19</t>
        </is>
      </c>
      <c r="Y405" t="n">
        <v>461</v>
      </c>
      <c r="Z405" t="n">
        <v>300</v>
      </c>
      <c r="AA405" t="n">
        <v>302</v>
      </c>
      <c r="AB405" t="n">
        <v>3</v>
      </c>
      <c r="AC405" t="n">
        <v>3</v>
      </c>
      <c r="AD405" t="n">
        <v>13</v>
      </c>
      <c r="AE405" t="n">
        <v>13</v>
      </c>
      <c r="AF405" t="n">
        <v>4</v>
      </c>
      <c r="AG405" t="n">
        <v>4</v>
      </c>
      <c r="AH405" t="n">
        <v>2</v>
      </c>
      <c r="AI405" t="n">
        <v>2</v>
      </c>
      <c r="AJ405" t="n">
        <v>8</v>
      </c>
      <c r="AK405" t="n">
        <v>8</v>
      </c>
      <c r="AL405" t="n">
        <v>2</v>
      </c>
      <c r="AM405" t="n">
        <v>2</v>
      </c>
      <c r="AN405" t="n">
        <v>0</v>
      </c>
      <c r="AO405" t="n">
        <v>0</v>
      </c>
      <c r="AP405" t="inlineStr">
        <is>
          <t>No</t>
        </is>
      </c>
      <c r="AQ405" t="inlineStr">
        <is>
          <t>Yes</t>
        </is>
      </c>
      <c r="AR405">
        <f>HYPERLINK("http://catalog.hathitrust.org/Record/001110319","HathiTrust Record")</f>
        <v/>
      </c>
      <c r="AS405">
        <f>HYPERLINK("https://creighton-primo.hosted.exlibrisgroup.com/primo-explore/search?tab=default_tab&amp;search_scope=EVERYTHING&amp;vid=01CRU&amp;lang=en_US&amp;offset=0&amp;query=any,contains,991000723379702656","Catalog Record")</f>
        <v/>
      </c>
      <c r="AT405">
        <f>HYPERLINK("http://www.worldcat.org/oclc/127081","WorldCat Record")</f>
        <v/>
      </c>
      <c r="AU405" t="inlineStr">
        <is>
          <t>1254404:eng</t>
        </is>
      </c>
      <c r="AV405" t="inlineStr">
        <is>
          <t>127081</t>
        </is>
      </c>
      <c r="AW405" t="inlineStr">
        <is>
          <t>991000723379702656</t>
        </is>
      </c>
      <c r="AX405" t="inlineStr">
        <is>
          <t>991000723379702656</t>
        </is>
      </c>
      <c r="AY405" t="inlineStr">
        <is>
          <t>2261010340002656</t>
        </is>
      </c>
      <c r="AZ405" t="inlineStr">
        <is>
          <t>BOOK</t>
        </is>
      </c>
      <c r="BB405" t="inlineStr">
        <is>
          <t>9780710066930</t>
        </is>
      </c>
      <c r="BC405" t="inlineStr">
        <is>
          <t>32285000970938</t>
        </is>
      </c>
      <c r="BD405" t="inlineStr">
        <is>
          <t>893255666</t>
        </is>
      </c>
    </row>
    <row r="406">
      <c r="A406" t="inlineStr">
        <is>
          <t>No</t>
        </is>
      </c>
      <c r="B406" t="inlineStr">
        <is>
          <t>HQ1150 .S42 1971</t>
        </is>
      </c>
      <c r="C406" t="inlineStr">
        <is>
          <t>0                      HQ 1150000S  42          1971</t>
        </is>
      </c>
      <c r="D406" t="inlineStr">
        <is>
          <t>The modern woman's rights movement; a historical survey, by Dr. Kaethe Schirmacher; tr. from the 2d German ed. by Carl Conrad Eckhardt ...</t>
        </is>
      </c>
      <c r="F406" t="inlineStr">
        <is>
          <t>No</t>
        </is>
      </c>
      <c r="G406" t="inlineStr">
        <is>
          <t>1</t>
        </is>
      </c>
      <c r="H406" t="inlineStr">
        <is>
          <t>No</t>
        </is>
      </c>
      <c r="I406" t="inlineStr">
        <is>
          <t>No</t>
        </is>
      </c>
      <c r="J406" t="inlineStr">
        <is>
          <t>0</t>
        </is>
      </c>
      <c r="K406" t="inlineStr">
        <is>
          <t>Schirmacher, Käthe, 1865-1930.</t>
        </is>
      </c>
      <c r="L406" t="inlineStr">
        <is>
          <t>New York, The Macmillan company, 1971, [c1912]</t>
        </is>
      </c>
      <c r="M406" t="inlineStr">
        <is>
          <t>1971</t>
        </is>
      </c>
      <c r="O406" t="inlineStr">
        <is>
          <t>eng</t>
        </is>
      </c>
      <c r="P406" t="inlineStr">
        <is>
          <t xml:space="preserve">xx </t>
        </is>
      </c>
      <c r="R406" t="inlineStr">
        <is>
          <t xml:space="preserve">HQ </t>
        </is>
      </c>
      <c r="S406" t="n">
        <v>2</v>
      </c>
      <c r="T406" t="n">
        <v>2</v>
      </c>
      <c r="U406" t="inlineStr">
        <is>
          <t>2009-10-16</t>
        </is>
      </c>
      <c r="V406" t="inlineStr">
        <is>
          <t>2009-10-16</t>
        </is>
      </c>
      <c r="W406" t="inlineStr">
        <is>
          <t>1997-08-14</t>
        </is>
      </c>
      <c r="X406" t="inlineStr">
        <is>
          <t>1997-08-14</t>
        </is>
      </c>
      <c r="Y406" t="n">
        <v>31</v>
      </c>
      <c r="Z406" t="n">
        <v>27</v>
      </c>
      <c r="AA406" t="n">
        <v>584</v>
      </c>
      <c r="AB406" t="n">
        <v>1</v>
      </c>
      <c r="AC406" t="n">
        <v>6</v>
      </c>
      <c r="AD406" t="n">
        <v>1</v>
      </c>
      <c r="AE406" t="n">
        <v>30</v>
      </c>
      <c r="AF406" t="n">
        <v>0</v>
      </c>
      <c r="AG406" t="n">
        <v>8</v>
      </c>
      <c r="AH406" t="n">
        <v>0</v>
      </c>
      <c r="AI406" t="n">
        <v>7</v>
      </c>
      <c r="AJ406" t="n">
        <v>1</v>
      </c>
      <c r="AK406" t="n">
        <v>9</v>
      </c>
      <c r="AL406" t="n">
        <v>0</v>
      </c>
      <c r="AM406" t="n">
        <v>5</v>
      </c>
      <c r="AN406" t="n">
        <v>0</v>
      </c>
      <c r="AO406" t="n">
        <v>5</v>
      </c>
      <c r="AP406" t="inlineStr">
        <is>
          <t>No</t>
        </is>
      </c>
      <c r="AQ406" t="inlineStr">
        <is>
          <t>No</t>
        </is>
      </c>
      <c r="AS406">
        <f>HYPERLINK("https://creighton-primo.hosted.exlibrisgroup.com/primo-explore/search?tab=default_tab&amp;search_scope=EVERYTHING&amp;vid=01CRU&amp;lang=en_US&amp;offset=0&amp;query=any,contains,991001061649702656","Catalog Record")</f>
        <v/>
      </c>
      <c r="AT406">
        <f>HYPERLINK("http://www.worldcat.org/oclc/178124","WorldCat Record")</f>
        <v/>
      </c>
      <c r="AU406" t="inlineStr">
        <is>
          <t>422443865:eng</t>
        </is>
      </c>
      <c r="AV406" t="inlineStr">
        <is>
          <t>178124</t>
        </is>
      </c>
      <c r="AW406" t="inlineStr">
        <is>
          <t>991001061649702656</t>
        </is>
      </c>
      <c r="AX406" t="inlineStr">
        <is>
          <t>991001061649702656</t>
        </is>
      </c>
      <c r="AY406" t="inlineStr">
        <is>
          <t>2264557230002656</t>
        </is>
      </c>
      <c r="AZ406" t="inlineStr">
        <is>
          <t>BOOK</t>
        </is>
      </c>
      <c r="BC406" t="inlineStr">
        <is>
          <t>32285003103826</t>
        </is>
      </c>
      <c r="BD406" t="inlineStr">
        <is>
          <t>893778526</t>
        </is>
      </c>
    </row>
    <row r="407">
      <c r="A407" t="inlineStr">
        <is>
          <t>No</t>
        </is>
      </c>
      <c r="B407" t="inlineStr">
        <is>
          <t>HQ1150 .T48 1974</t>
        </is>
      </c>
      <c r="C407" t="inlineStr">
        <is>
          <t>0                      HQ 1150000T  48          1974</t>
        </is>
      </c>
      <c r="D407" t="inlineStr">
        <is>
          <t>Women in Stuart England and America : a comparative study.</t>
        </is>
      </c>
      <c r="F407" t="inlineStr">
        <is>
          <t>No</t>
        </is>
      </c>
      <c r="G407" t="inlineStr">
        <is>
          <t>1</t>
        </is>
      </c>
      <c r="H407" t="inlineStr">
        <is>
          <t>No</t>
        </is>
      </c>
      <c r="I407" t="inlineStr">
        <is>
          <t>No</t>
        </is>
      </c>
      <c r="J407" t="inlineStr">
        <is>
          <t>0</t>
        </is>
      </c>
      <c r="K407" t="inlineStr">
        <is>
          <t>Thompson, Roger, 1933-</t>
        </is>
      </c>
      <c r="L407" t="inlineStr">
        <is>
          <t>London ; Boston : Routledge and K. Paul, 1974.</t>
        </is>
      </c>
      <c r="M407" t="inlineStr">
        <is>
          <t>1974</t>
        </is>
      </c>
      <c r="O407" t="inlineStr">
        <is>
          <t>eng</t>
        </is>
      </c>
      <c r="P407" t="inlineStr">
        <is>
          <t>enk</t>
        </is>
      </c>
      <c r="R407" t="inlineStr">
        <is>
          <t xml:space="preserve">HQ </t>
        </is>
      </c>
      <c r="S407" t="n">
        <v>2</v>
      </c>
      <c r="T407" t="n">
        <v>2</v>
      </c>
      <c r="U407" t="inlineStr">
        <is>
          <t>1995-10-22</t>
        </is>
      </c>
      <c r="V407" t="inlineStr">
        <is>
          <t>1995-10-22</t>
        </is>
      </c>
      <c r="W407" t="inlineStr">
        <is>
          <t>1990-05-30</t>
        </is>
      </c>
      <c r="X407" t="inlineStr">
        <is>
          <t>1990-05-30</t>
        </is>
      </c>
      <c r="Y407" t="n">
        <v>861</v>
      </c>
      <c r="Z407" t="n">
        <v>681</v>
      </c>
      <c r="AA407" t="n">
        <v>712</v>
      </c>
      <c r="AB407" t="n">
        <v>6</v>
      </c>
      <c r="AC407" t="n">
        <v>6</v>
      </c>
      <c r="AD407" t="n">
        <v>25</v>
      </c>
      <c r="AE407" t="n">
        <v>25</v>
      </c>
      <c r="AF407" t="n">
        <v>6</v>
      </c>
      <c r="AG407" t="n">
        <v>6</v>
      </c>
      <c r="AH407" t="n">
        <v>7</v>
      </c>
      <c r="AI407" t="n">
        <v>7</v>
      </c>
      <c r="AJ407" t="n">
        <v>13</v>
      </c>
      <c r="AK407" t="n">
        <v>13</v>
      </c>
      <c r="AL407" t="n">
        <v>5</v>
      </c>
      <c r="AM407" t="n">
        <v>5</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HYPERLINK("https://creighton-primo.hosted.exlibrisgroup.com/primo-explore/search?tab=default_tab&amp;search_scope=EVERYTHING&amp;vid=01CRU&amp;lang=en_US&amp;offset=0&amp;query=any,contains,991003504679702656","Catalog Record")</f>
        <v/>
      </c>
      <c r="AT407">
        <f>HYPERLINK("http://www.worldcat.org/oclc/1056623","WorldCat Record")</f>
        <v/>
      </c>
      <c r="AU407" t="inlineStr">
        <is>
          <t>836671778:eng</t>
        </is>
      </c>
      <c r="AV407" t="inlineStr">
        <is>
          <t>1056623</t>
        </is>
      </c>
      <c r="AW407" t="inlineStr">
        <is>
          <t>991003504679702656</t>
        </is>
      </c>
      <c r="AX407" t="inlineStr">
        <is>
          <t>991003504679702656</t>
        </is>
      </c>
      <c r="AY407" t="inlineStr">
        <is>
          <t>2272248430002656</t>
        </is>
      </c>
      <c r="AZ407" t="inlineStr">
        <is>
          <t>BOOK</t>
        </is>
      </c>
      <c r="BB407" t="inlineStr">
        <is>
          <t>9780710078223</t>
        </is>
      </c>
      <c r="BC407" t="inlineStr">
        <is>
          <t>32285000159458</t>
        </is>
      </c>
      <c r="BD407" t="inlineStr">
        <is>
          <t>893445698</t>
        </is>
      </c>
    </row>
    <row r="408">
      <c r="A408" t="inlineStr">
        <is>
          <t>No</t>
        </is>
      </c>
      <c r="B408" t="inlineStr">
        <is>
          <t>HQ1150 .W64 1995</t>
        </is>
      </c>
      <c r="C408" t="inlineStr">
        <is>
          <t>0                      HQ 1150000W  64          1995</t>
        </is>
      </c>
      <c r="D408" t="inlineStr">
        <is>
          <t>Women : looking beyond 2000.</t>
        </is>
      </c>
      <c r="F408" t="inlineStr">
        <is>
          <t>No</t>
        </is>
      </c>
      <c r="G408" t="inlineStr">
        <is>
          <t>1</t>
        </is>
      </c>
      <c r="H408" t="inlineStr">
        <is>
          <t>No</t>
        </is>
      </c>
      <c r="I408" t="inlineStr">
        <is>
          <t>No</t>
        </is>
      </c>
      <c r="J408" t="inlineStr">
        <is>
          <t>0</t>
        </is>
      </c>
      <c r="L408" t="inlineStr">
        <is>
          <t>New York : United Nations, 1995.</t>
        </is>
      </c>
      <c r="M408" t="inlineStr">
        <is>
          <t>1995</t>
        </is>
      </c>
      <c r="O408" t="inlineStr">
        <is>
          <t>eng</t>
        </is>
      </c>
      <c r="P408" t="inlineStr">
        <is>
          <t>nyu</t>
        </is>
      </c>
      <c r="R408" t="inlineStr">
        <is>
          <t xml:space="preserve">HQ </t>
        </is>
      </c>
      <c r="S408" t="n">
        <v>16</v>
      </c>
      <c r="T408" t="n">
        <v>16</v>
      </c>
      <c r="U408" t="inlineStr">
        <is>
          <t>2003-04-03</t>
        </is>
      </c>
      <c r="V408" t="inlineStr">
        <is>
          <t>2003-04-03</t>
        </is>
      </c>
      <c r="W408" t="inlineStr">
        <is>
          <t>1996-04-02</t>
        </is>
      </c>
      <c r="X408" t="inlineStr">
        <is>
          <t>1996-04-02</t>
        </is>
      </c>
      <c r="Y408" t="n">
        <v>301</v>
      </c>
      <c r="Z408" t="n">
        <v>213</v>
      </c>
      <c r="AA408" t="n">
        <v>214</v>
      </c>
      <c r="AB408" t="n">
        <v>2</v>
      </c>
      <c r="AC408" t="n">
        <v>2</v>
      </c>
      <c r="AD408" t="n">
        <v>9</v>
      </c>
      <c r="AE408" t="n">
        <v>9</v>
      </c>
      <c r="AF408" t="n">
        <v>1</v>
      </c>
      <c r="AG408" t="n">
        <v>1</v>
      </c>
      <c r="AH408" t="n">
        <v>2</v>
      </c>
      <c r="AI408" t="n">
        <v>2</v>
      </c>
      <c r="AJ408" t="n">
        <v>4</v>
      </c>
      <c r="AK408" t="n">
        <v>4</v>
      </c>
      <c r="AL408" t="n">
        <v>1</v>
      </c>
      <c r="AM408" t="n">
        <v>1</v>
      </c>
      <c r="AN408" t="n">
        <v>1</v>
      </c>
      <c r="AO408" t="n">
        <v>1</v>
      </c>
      <c r="AP408" t="inlineStr">
        <is>
          <t>No</t>
        </is>
      </c>
      <c r="AQ408" t="inlineStr">
        <is>
          <t>No</t>
        </is>
      </c>
      <c r="AS408">
        <f>HYPERLINK("https://creighton-primo.hosted.exlibrisgroup.com/primo-explore/search?tab=default_tab&amp;search_scope=EVERYTHING&amp;vid=01CRU&amp;lang=en_US&amp;offset=0&amp;query=any,contains,991002547089702656","Catalog Record")</f>
        <v/>
      </c>
      <c r="AT408">
        <f>HYPERLINK("http://www.worldcat.org/oclc/33098935","WorldCat Record")</f>
        <v/>
      </c>
      <c r="AU408" t="inlineStr">
        <is>
          <t>960491285:eng</t>
        </is>
      </c>
      <c r="AV408" t="inlineStr">
        <is>
          <t>33098935</t>
        </is>
      </c>
      <c r="AW408" t="inlineStr">
        <is>
          <t>991002547089702656</t>
        </is>
      </c>
      <c r="AX408" t="inlineStr">
        <is>
          <t>991002547089702656</t>
        </is>
      </c>
      <c r="AY408" t="inlineStr">
        <is>
          <t>2270250150002656</t>
        </is>
      </c>
      <c r="AZ408" t="inlineStr">
        <is>
          <t>BOOK</t>
        </is>
      </c>
      <c r="BB408" t="inlineStr">
        <is>
          <t>9789211005929</t>
        </is>
      </c>
      <c r="BC408" t="inlineStr">
        <is>
          <t>32285002149291</t>
        </is>
      </c>
      <c r="BD408" t="inlineStr">
        <is>
          <t>893685467</t>
        </is>
      </c>
    </row>
    <row r="409">
      <c r="A409" t="inlineStr">
        <is>
          <t>No</t>
        </is>
      </c>
      <c r="B409" t="inlineStr">
        <is>
          <t>HQ1154 .A66</t>
        </is>
      </c>
      <c r="C409" t="inlineStr">
        <is>
          <t>0                      HQ 1154000A  66</t>
        </is>
      </c>
      <c r="D409" t="inlineStr">
        <is>
          <t>From feminism to liberation.</t>
        </is>
      </c>
      <c r="F409" t="inlineStr">
        <is>
          <t>No</t>
        </is>
      </c>
      <c r="G409" t="inlineStr">
        <is>
          <t>1</t>
        </is>
      </c>
      <c r="H409" t="inlineStr">
        <is>
          <t>No</t>
        </is>
      </c>
      <c r="I409" t="inlineStr">
        <is>
          <t>No</t>
        </is>
      </c>
      <c r="J409" t="inlineStr">
        <is>
          <t>0</t>
        </is>
      </c>
      <c r="K409" t="inlineStr">
        <is>
          <t>Altbach, Edith Hoshino, compiler.</t>
        </is>
      </c>
      <c r="L409" t="inlineStr">
        <is>
          <t>Cambridge, Mass., Schenkman Pub. Co. [1971]</t>
        </is>
      </c>
      <c r="M409" t="inlineStr">
        <is>
          <t>1971</t>
        </is>
      </c>
      <c r="O409" t="inlineStr">
        <is>
          <t>eng</t>
        </is>
      </c>
      <c r="P409" t="inlineStr">
        <is>
          <t>mau</t>
        </is>
      </c>
      <c r="R409" t="inlineStr">
        <is>
          <t xml:space="preserve">HQ </t>
        </is>
      </c>
      <c r="S409" t="n">
        <v>2</v>
      </c>
      <c r="T409" t="n">
        <v>2</v>
      </c>
      <c r="U409" t="inlineStr">
        <is>
          <t>2009-10-16</t>
        </is>
      </c>
      <c r="V409" t="inlineStr">
        <is>
          <t>2009-10-16</t>
        </is>
      </c>
      <c r="W409" t="inlineStr">
        <is>
          <t>1997-08-14</t>
        </is>
      </c>
      <c r="X409" t="inlineStr">
        <is>
          <t>1997-08-14</t>
        </is>
      </c>
      <c r="Y409" t="n">
        <v>441</v>
      </c>
      <c r="Z409" t="n">
        <v>365</v>
      </c>
      <c r="AA409" t="n">
        <v>436</v>
      </c>
      <c r="AB409" t="n">
        <v>3</v>
      </c>
      <c r="AC409" t="n">
        <v>4</v>
      </c>
      <c r="AD409" t="n">
        <v>22</v>
      </c>
      <c r="AE409" t="n">
        <v>25</v>
      </c>
      <c r="AF409" t="n">
        <v>11</v>
      </c>
      <c r="AG409" t="n">
        <v>11</v>
      </c>
      <c r="AH409" t="n">
        <v>5</v>
      </c>
      <c r="AI409" t="n">
        <v>6</v>
      </c>
      <c r="AJ409" t="n">
        <v>9</v>
      </c>
      <c r="AK409" t="n">
        <v>11</v>
      </c>
      <c r="AL409" t="n">
        <v>2</v>
      </c>
      <c r="AM409" t="n">
        <v>3</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HYPERLINK("https://creighton-primo.hosted.exlibrisgroup.com/primo-explore/search?tab=default_tab&amp;search_scope=EVERYTHING&amp;vid=01CRU&amp;lang=en_US&amp;offset=0&amp;query=any,contains,991002729019702656","Catalog Record")</f>
        <v/>
      </c>
      <c r="AT409">
        <f>HYPERLINK("http://www.worldcat.org/oclc/415252","WorldCat Record")</f>
        <v/>
      </c>
      <c r="AU409" t="inlineStr">
        <is>
          <t>1474080:eng</t>
        </is>
      </c>
      <c r="AV409" t="inlineStr">
        <is>
          <t>415252</t>
        </is>
      </c>
      <c r="AW409" t="inlineStr">
        <is>
          <t>991002729019702656</t>
        </is>
      </c>
      <c r="AX409" t="inlineStr">
        <is>
          <t>991002729019702656</t>
        </is>
      </c>
      <c r="AY409" t="inlineStr">
        <is>
          <t>2266964940002656</t>
        </is>
      </c>
      <c r="AZ409" t="inlineStr">
        <is>
          <t>BOOK</t>
        </is>
      </c>
      <c r="BC409" t="inlineStr">
        <is>
          <t>32285003103859</t>
        </is>
      </c>
      <c r="BD409" t="inlineStr">
        <is>
          <t>893798934</t>
        </is>
      </c>
    </row>
    <row r="410">
      <c r="A410" t="inlineStr">
        <is>
          <t>No</t>
        </is>
      </c>
      <c r="B410" t="inlineStr">
        <is>
          <t>HQ1154 .A685 1987</t>
        </is>
      </c>
      <c r="C410" t="inlineStr">
        <is>
          <t>0                      HQ 1154000A  685         1987</t>
        </is>
      </c>
      <c r="D410" t="inlineStr">
        <is>
          <t>Analyzing gender : a handbook of social science research / editors, Beth B. Hess and Myra Marx Ferree.</t>
        </is>
      </c>
      <c r="F410" t="inlineStr">
        <is>
          <t>No</t>
        </is>
      </c>
      <c r="G410" t="inlineStr">
        <is>
          <t>1</t>
        </is>
      </c>
      <c r="H410" t="inlineStr">
        <is>
          <t>No</t>
        </is>
      </c>
      <c r="I410" t="inlineStr">
        <is>
          <t>No</t>
        </is>
      </c>
      <c r="J410" t="inlineStr">
        <is>
          <t>0</t>
        </is>
      </c>
      <c r="L410" t="inlineStr">
        <is>
          <t>Newbury Park, Calif. : Sage Publications, c1987.</t>
        </is>
      </c>
      <c r="M410" t="inlineStr">
        <is>
          <t>1987</t>
        </is>
      </c>
      <c r="O410" t="inlineStr">
        <is>
          <t>eng</t>
        </is>
      </c>
      <c r="P410" t="inlineStr">
        <is>
          <t>cau</t>
        </is>
      </c>
      <c r="R410" t="inlineStr">
        <is>
          <t xml:space="preserve">HQ </t>
        </is>
      </c>
      <c r="S410" t="n">
        <v>12</v>
      </c>
      <c r="T410" t="n">
        <v>12</v>
      </c>
      <c r="U410" t="inlineStr">
        <is>
          <t>2003-11-10</t>
        </is>
      </c>
      <c r="V410" t="inlineStr">
        <is>
          <t>2003-11-10</t>
        </is>
      </c>
      <c r="W410" t="inlineStr">
        <is>
          <t>1992-02-27</t>
        </is>
      </c>
      <c r="X410" t="inlineStr">
        <is>
          <t>1992-02-27</t>
        </is>
      </c>
      <c r="Y410" t="n">
        <v>967</v>
      </c>
      <c r="Z410" t="n">
        <v>753</v>
      </c>
      <c r="AA410" t="n">
        <v>765</v>
      </c>
      <c r="AB410" t="n">
        <v>6</v>
      </c>
      <c r="AC410" t="n">
        <v>6</v>
      </c>
      <c r="AD410" t="n">
        <v>45</v>
      </c>
      <c r="AE410" t="n">
        <v>45</v>
      </c>
      <c r="AF410" t="n">
        <v>20</v>
      </c>
      <c r="AG410" t="n">
        <v>20</v>
      </c>
      <c r="AH410" t="n">
        <v>9</v>
      </c>
      <c r="AI410" t="n">
        <v>9</v>
      </c>
      <c r="AJ410" t="n">
        <v>20</v>
      </c>
      <c r="AK410" t="n">
        <v>20</v>
      </c>
      <c r="AL410" t="n">
        <v>5</v>
      </c>
      <c r="AM410" t="n">
        <v>5</v>
      </c>
      <c r="AN410" t="n">
        <v>1</v>
      </c>
      <c r="AO410" t="n">
        <v>1</v>
      </c>
      <c r="AP410" t="inlineStr">
        <is>
          <t>No</t>
        </is>
      </c>
      <c r="AQ410" t="inlineStr">
        <is>
          <t>Yes</t>
        </is>
      </c>
      <c r="AR410">
        <f>HYPERLINK("http://catalog.hathitrust.org/Record/000882683","HathiTrust Record")</f>
        <v/>
      </c>
      <c r="AS410">
        <f>HYPERLINK("https://creighton-primo.hosted.exlibrisgroup.com/primo-explore/search?tab=default_tab&amp;search_scope=EVERYTHING&amp;vid=01CRU&amp;lang=en_US&amp;offset=0&amp;query=any,contains,991001125169702656","Catalog Record")</f>
        <v/>
      </c>
      <c r="AT410">
        <f>HYPERLINK("http://www.worldcat.org/oclc/16647899","WorldCat Record")</f>
        <v/>
      </c>
      <c r="AU410" t="inlineStr">
        <is>
          <t>836715545:eng</t>
        </is>
      </c>
      <c r="AV410" t="inlineStr">
        <is>
          <t>16647899</t>
        </is>
      </c>
      <c r="AW410" t="inlineStr">
        <is>
          <t>991001125169702656</t>
        </is>
      </c>
      <c r="AX410" t="inlineStr">
        <is>
          <t>991001125169702656</t>
        </is>
      </c>
      <c r="AY410" t="inlineStr">
        <is>
          <t>2266053210002656</t>
        </is>
      </c>
      <c r="AZ410" t="inlineStr">
        <is>
          <t>BOOK</t>
        </is>
      </c>
      <c r="BB410" t="inlineStr">
        <is>
          <t>9780803927193</t>
        </is>
      </c>
      <c r="BC410" t="inlineStr">
        <is>
          <t>32285000937192</t>
        </is>
      </c>
      <c r="BD410" t="inlineStr">
        <is>
          <t>893684049</t>
        </is>
      </c>
    </row>
    <row r="411">
      <c r="A411" t="inlineStr">
        <is>
          <t>No</t>
        </is>
      </c>
      <c r="B411" t="inlineStr">
        <is>
          <t>HQ1154 .A6857 1996</t>
        </is>
      </c>
      <c r="C411" t="inlineStr">
        <is>
          <t>0                      HQ 1154000A  6857        1996</t>
        </is>
      </c>
      <c r="D411" t="inlineStr">
        <is>
          <t>Sisters listening to sisters : women of the world share stories of personal empowerment / Peggy Andrews.</t>
        </is>
      </c>
      <c r="F411" t="inlineStr">
        <is>
          <t>No</t>
        </is>
      </c>
      <c r="G411" t="inlineStr">
        <is>
          <t>1</t>
        </is>
      </c>
      <c r="H411" t="inlineStr">
        <is>
          <t>No</t>
        </is>
      </c>
      <c r="I411" t="inlineStr">
        <is>
          <t>No</t>
        </is>
      </c>
      <c r="J411" t="inlineStr">
        <is>
          <t>0</t>
        </is>
      </c>
      <c r="K411" t="inlineStr">
        <is>
          <t>Andrews, Peggy.</t>
        </is>
      </c>
      <c r="L411" t="inlineStr">
        <is>
          <t>Westport, Conn. : Bergin &amp; Garvey, 1996.</t>
        </is>
      </c>
      <c r="M411" t="inlineStr">
        <is>
          <t>1996</t>
        </is>
      </c>
      <c r="O411" t="inlineStr">
        <is>
          <t>eng</t>
        </is>
      </c>
      <c r="P411" t="inlineStr">
        <is>
          <t>ctu</t>
        </is>
      </c>
      <c r="R411" t="inlineStr">
        <is>
          <t xml:space="preserve">HQ </t>
        </is>
      </c>
      <c r="S411" t="n">
        <v>3</v>
      </c>
      <c r="T411" t="n">
        <v>3</v>
      </c>
      <c r="U411" t="inlineStr">
        <is>
          <t>2007-09-05</t>
        </is>
      </c>
      <c r="V411" t="inlineStr">
        <is>
          <t>2007-09-05</t>
        </is>
      </c>
      <c r="W411" t="inlineStr">
        <is>
          <t>1997-06-17</t>
        </is>
      </c>
      <c r="X411" t="inlineStr">
        <is>
          <t>1997-06-17</t>
        </is>
      </c>
      <c r="Y411" t="n">
        <v>277</v>
      </c>
      <c r="Z411" t="n">
        <v>234</v>
      </c>
      <c r="AA411" t="n">
        <v>241</v>
      </c>
      <c r="AB411" t="n">
        <v>3</v>
      </c>
      <c r="AC411" t="n">
        <v>3</v>
      </c>
      <c r="AD411" t="n">
        <v>13</v>
      </c>
      <c r="AE411" t="n">
        <v>13</v>
      </c>
      <c r="AF411" t="n">
        <v>4</v>
      </c>
      <c r="AG411" t="n">
        <v>4</v>
      </c>
      <c r="AH411" t="n">
        <v>2</v>
      </c>
      <c r="AI411" t="n">
        <v>2</v>
      </c>
      <c r="AJ411" t="n">
        <v>8</v>
      </c>
      <c r="AK411" t="n">
        <v>8</v>
      </c>
      <c r="AL411" t="n">
        <v>2</v>
      </c>
      <c r="AM411" t="n">
        <v>2</v>
      </c>
      <c r="AN411" t="n">
        <v>0</v>
      </c>
      <c r="AO411" t="n">
        <v>0</v>
      </c>
      <c r="AP411" t="inlineStr">
        <is>
          <t>No</t>
        </is>
      </c>
      <c r="AQ411" t="inlineStr">
        <is>
          <t>Yes</t>
        </is>
      </c>
      <c r="AR411">
        <f>HYPERLINK("http://catalog.hathitrust.org/Record/003106102","HathiTrust Record")</f>
        <v/>
      </c>
      <c r="AS411">
        <f>HYPERLINK("https://creighton-primo.hosted.exlibrisgroup.com/primo-explore/search?tab=default_tab&amp;search_scope=EVERYTHING&amp;vid=01CRU&amp;lang=en_US&amp;offset=0&amp;query=any,contains,991002632659702656","Catalog Record")</f>
        <v/>
      </c>
      <c r="AT411">
        <f>HYPERLINK("http://www.worldcat.org/oclc/34513954","WorldCat Record")</f>
        <v/>
      </c>
      <c r="AU411" t="inlineStr">
        <is>
          <t>836930113:eng</t>
        </is>
      </c>
      <c r="AV411" t="inlineStr">
        <is>
          <t>34513954</t>
        </is>
      </c>
      <c r="AW411" t="inlineStr">
        <is>
          <t>991002632659702656</t>
        </is>
      </c>
      <c r="AX411" t="inlineStr">
        <is>
          <t>991002632659702656</t>
        </is>
      </c>
      <c r="AY411" t="inlineStr">
        <is>
          <t>2255494760002656</t>
        </is>
      </c>
      <c r="AZ411" t="inlineStr">
        <is>
          <t>BOOK</t>
        </is>
      </c>
      <c r="BB411" t="inlineStr">
        <is>
          <t>9780897894753</t>
        </is>
      </c>
      <c r="BC411" t="inlineStr">
        <is>
          <t>32285002752045</t>
        </is>
      </c>
      <c r="BD411" t="inlineStr">
        <is>
          <t>893434094</t>
        </is>
      </c>
    </row>
    <row r="412">
      <c r="A412" t="inlineStr">
        <is>
          <t>No</t>
        </is>
      </c>
      <c r="B412" t="inlineStr">
        <is>
          <t>HQ1154 .A69</t>
        </is>
      </c>
      <c r="C412" t="inlineStr">
        <is>
          <t>0                      HQ 1154000A  69</t>
        </is>
      </c>
      <c r="D412" t="inlineStr">
        <is>
          <t>Another voice : feminist perspectives on social life and social science / edited by Marcia Millman and Rosabeth Moss Kanter.</t>
        </is>
      </c>
      <c r="F412" t="inlineStr">
        <is>
          <t>No</t>
        </is>
      </c>
      <c r="G412" t="inlineStr">
        <is>
          <t>1</t>
        </is>
      </c>
      <c r="H412" t="inlineStr">
        <is>
          <t>No</t>
        </is>
      </c>
      <c r="I412" t="inlineStr">
        <is>
          <t>No</t>
        </is>
      </c>
      <c r="J412" t="inlineStr">
        <is>
          <t>0</t>
        </is>
      </c>
      <c r="L412" t="inlineStr">
        <is>
          <t>Garden City, N.Y. : Anchor Press/Doubleday, 1975.</t>
        </is>
      </c>
      <c r="M412" t="inlineStr">
        <is>
          <t>1975</t>
        </is>
      </c>
      <c r="N412" t="inlineStr">
        <is>
          <t>1st ed.</t>
        </is>
      </c>
      <c r="O412" t="inlineStr">
        <is>
          <t>eng</t>
        </is>
      </c>
      <c r="P412" t="inlineStr">
        <is>
          <t>nyu</t>
        </is>
      </c>
      <c r="R412" t="inlineStr">
        <is>
          <t xml:space="preserve">HQ </t>
        </is>
      </c>
      <c r="S412" t="n">
        <v>4</v>
      </c>
      <c r="T412" t="n">
        <v>4</v>
      </c>
      <c r="U412" t="inlineStr">
        <is>
          <t>1993-03-08</t>
        </is>
      </c>
      <c r="V412" t="inlineStr">
        <is>
          <t>1993-03-08</t>
        </is>
      </c>
      <c r="W412" t="inlineStr">
        <is>
          <t>1990-03-28</t>
        </is>
      </c>
      <c r="X412" t="inlineStr">
        <is>
          <t>1990-03-28</t>
        </is>
      </c>
      <c r="Y412" t="n">
        <v>565</v>
      </c>
      <c r="Z412" t="n">
        <v>463</v>
      </c>
      <c r="AA412" t="n">
        <v>544</v>
      </c>
      <c r="AB412" t="n">
        <v>2</v>
      </c>
      <c r="AC412" t="n">
        <v>3</v>
      </c>
      <c r="AD412" t="n">
        <v>20</v>
      </c>
      <c r="AE412" t="n">
        <v>25</v>
      </c>
      <c r="AF412" t="n">
        <v>9</v>
      </c>
      <c r="AG412" t="n">
        <v>11</v>
      </c>
      <c r="AH412" t="n">
        <v>4</v>
      </c>
      <c r="AI412" t="n">
        <v>5</v>
      </c>
      <c r="AJ412" t="n">
        <v>11</v>
      </c>
      <c r="AK412" t="n">
        <v>14</v>
      </c>
      <c r="AL412" t="n">
        <v>2</v>
      </c>
      <c r="AM412" t="n">
        <v>3</v>
      </c>
      <c r="AN412" t="n">
        <v>1</v>
      </c>
      <c r="AO412" t="n">
        <v>1</v>
      </c>
      <c r="AP412" t="inlineStr">
        <is>
          <t>No</t>
        </is>
      </c>
      <c r="AQ412" t="inlineStr">
        <is>
          <t>Yes</t>
        </is>
      </c>
      <c r="AR412">
        <f>HYPERLINK("http://catalog.hathitrust.org/Record/000035571","HathiTrust Record")</f>
        <v/>
      </c>
      <c r="AS412">
        <f>HYPERLINK("https://creighton-primo.hosted.exlibrisgroup.com/primo-explore/search?tab=default_tab&amp;search_scope=EVERYTHING&amp;vid=01CRU&amp;lang=en_US&amp;offset=0&amp;query=any,contains,991003786139702656","Catalog Record")</f>
        <v/>
      </c>
      <c r="AT412">
        <f>HYPERLINK("http://www.worldcat.org/oclc/1502217","WorldCat Record")</f>
        <v/>
      </c>
      <c r="AU412" t="inlineStr">
        <is>
          <t>797225324:eng</t>
        </is>
      </c>
      <c r="AV412" t="inlineStr">
        <is>
          <t>1502217</t>
        </is>
      </c>
      <c r="AW412" t="inlineStr">
        <is>
          <t>991003786139702656</t>
        </is>
      </c>
      <c r="AX412" t="inlineStr">
        <is>
          <t>991003786139702656</t>
        </is>
      </c>
      <c r="AY412" t="inlineStr">
        <is>
          <t>2263435230002656</t>
        </is>
      </c>
      <c r="AZ412" t="inlineStr">
        <is>
          <t>BOOK</t>
        </is>
      </c>
      <c r="BB412" t="inlineStr">
        <is>
          <t>9780385040327</t>
        </is>
      </c>
      <c r="BC412" t="inlineStr">
        <is>
          <t>32285000105824</t>
        </is>
      </c>
      <c r="BD412" t="inlineStr">
        <is>
          <t>893353037</t>
        </is>
      </c>
    </row>
    <row r="413">
      <c r="A413" t="inlineStr">
        <is>
          <t>No</t>
        </is>
      </c>
      <c r="B413" t="inlineStr">
        <is>
          <t>HQ1154 .B23</t>
        </is>
      </c>
      <c r="C413" t="inlineStr">
        <is>
          <t>0                      HQ 1154000B  23</t>
        </is>
      </c>
      <c r="D413" t="inlineStr">
        <is>
          <t>Gifted women in politics and the arts and sciences / by Louise M. Bachtold.</t>
        </is>
      </c>
      <c r="F413" t="inlineStr">
        <is>
          <t>No</t>
        </is>
      </c>
      <c r="G413" t="inlineStr">
        <is>
          <t>1</t>
        </is>
      </c>
      <c r="H413" t="inlineStr">
        <is>
          <t>No</t>
        </is>
      </c>
      <c r="I413" t="inlineStr">
        <is>
          <t>No</t>
        </is>
      </c>
      <c r="J413" t="inlineStr">
        <is>
          <t>0</t>
        </is>
      </c>
      <c r="K413" t="inlineStr">
        <is>
          <t>Bachtold, Louise M.</t>
        </is>
      </c>
      <c r="L413" t="inlineStr">
        <is>
          <t>Saratoga, Calif. : Century Twenty One Pub., c1981.</t>
        </is>
      </c>
      <c r="M413" t="inlineStr">
        <is>
          <t>1981</t>
        </is>
      </c>
      <c r="O413" t="inlineStr">
        <is>
          <t>eng</t>
        </is>
      </c>
      <c r="P413" t="inlineStr">
        <is>
          <t>cau</t>
        </is>
      </c>
      <c r="R413" t="inlineStr">
        <is>
          <t xml:space="preserve">HQ </t>
        </is>
      </c>
      <c r="S413" t="n">
        <v>1</v>
      </c>
      <c r="T413" t="n">
        <v>1</v>
      </c>
      <c r="U413" t="inlineStr">
        <is>
          <t>2009-10-16</t>
        </is>
      </c>
      <c r="V413" t="inlineStr">
        <is>
          <t>2009-10-16</t>
        </is>
      </c>
      <c r="W413" t="inlineStr">
        <is>
          <t>1993-04-23</t>
        </is>
      </c>
      <c r="X413" t="inlineStr">
        <is>
          <t>1993-04-23</t>
        </is>
      </c>
      <c r="Y413" t="n">
        <v>90</v>
      </c>
      <c r="Z413" t="n">
        <v>81</v>
      </c>
      <c r="AA413" t="n">
        <v>81</v>
      </c>
      <c r="AB413" t="n">
        <v>1</v>
      </c>
      <c r="AC413" t="n">
        <v>1</v>
      </c>
      <c r="AD413" t="n">
        <v>2</v>
      </c>
      <c r="AE413" t="n">
        <v>2</v>
      </c>
      <c r="AF413" t="n">
        <v>1</v>
      </c>
      <c r="AG413" t="n">
        <v>1</v>
      </c>
      <c r="AH413" t="n">
        <v>0</v>
      </c>
      <c r="AI413" t="n">
        <v>0</v>
      </c>
      <c r="AJ413" t="n">
        <v>2</v>
      </c>
      <c r="AK413" t="n">
        <v>2</v>
      </c>
      <c r="AL413" t="n">
        <v>0</v>
      </c>
      <c r="AM413" t="n">
        <v>0</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HYPERLINK("https://creighton-primo.hosted.exlibrisgroup.com/primo-explore/search?tab=default_tab&amp;search_scope=EVERYTHING&amp;vid=01CRU&amp;lang=en_US&amp;offset=0&amp;query=any,contains,991005109839702656","Catalog Record")</f>
        <v/>
      </c>
      <c r="AT413">
        <f>HYPERLINK("http://www.worldcat.org/oclc/7404628","WorldCat Record")</f>
        <v/>
      </c>
      <c r="AU413" t="inlineStr">
        <is>
          <t>27033337:eng</t>
        </is>
      </c>
      <c r="AV413" t="inlineStr">
        <is>
          <t>7404628</t>
        </is>
      </c>
      <c r="AW413" t="inlineStr">
        <is>
          <t>991005109839702656</t>
        </is>
      </c>
      <c r="AX413" t="inlineStr">
        <is>
          <t>991005109839702656</t>
        </is>
      </c>
      <c r="AY413" t="inlineStr">
        <is>
          <t>2261870810002656</t>
        </is>
      </c>
      <c r="AZ413" t="inlineStr">
        <is>
          <t>BOOK</t>
        </is>
      </c>
      <c r="BB413" t="inlineStr">
        <is>
          <t>9780865480223</t>
        </is>
      </c>
      <c r="BC413" t="inlineStr">
        <is>
          <t>32285001624088</t>
        </is>
      </c>
      <c r="BD413" t="inlineStr">
        <is>
          <t>893613141</t>
        </is>
      </c>
    </row>
    <row r="414">
      <c r="A414" t="inlineStr">
        <is>
          <t>No</t>
        </is>
      </c>
      <c r="B414" t="inlineStr">
        <is>
          <t>HQ1154 .B268 1981</t>
        </is>
      </c>
      <c r="C414" t="inlineStr">
        <is>
          <t>0                      HQ 1154000B  268         1981</t>
        </is>
      </c>
      <c r="D414" t="inlineStr">
        <is>
          <t>Faces of feminism : a study of feminism as a social movement / Olive Banks.</t>
        </is>
      </c>
      <c r="F414" t="inlineStr">
        <is>
          <t>No</t>
        </is>
      </c>
      <c r="G414" t="inlineStr">
        <is>
          <t>1</t>
        </is>
      </c>
      <c r="H414" t="inlineStr">
        <is>
          <t>No</t>
        </is>
      </c>
      <c r="I414" t="inlineStr">
        <is>
          <t>No</t>
        </is>
      </c>
      <c r="J414" t="inlineStr">
        <is>
          <t>0</t>
        </is>
      </c>
      <c r="K414" t="inlineStr">
        <is>
          <t>Banks, Olive.</t>
        </is>
      </c>
      <c r="L414" t="inlineStr">
        <is>
          <t>New York : St. Martin's Press, 1981.</t>
        </is>
      </c>
      <c r="M414" t="inlineStr">
        <is>
          <t>1981</t>
        </is>
      </c>
      <c r="O414" t="inlineStr">
        <is>
          <t>eng</t>
        </is>
      </c>
      <c r="P414" t="inlineStr">
        <is>
          <t>nyu</t>
        </is>
      </c>
      <c r="R414" t="inlineStr">
        <is>
          <t xml:space="preserve">HQ </t>
        </is>
      </c>
      <c r="S414" t="n">
        <v>6</v>
      </c>
      <c r="T414" t="n">
        <v>6</v>
      </c>
      <c r="U414" t="inlineStr">
        <is>
          <t>2009-10-16</t>
        </is>
      </c>
      <c r="V414" t="inlineStr">
        <is>
          <t>2009-10-16</t>
        </is>
      </c>
      <c r="W414" t="inlineStr">
        <is>
          <t>1993-04-27</t>
        </is>
      </c>
      <c r="X414" t="inlineStr">
        <is>
          <t>1993-04-27</t>
        </is>
      </c>
      <c r="Y414" t="n">
        <v>681</v>
      </c>
      <c r="Z414" t="n">
        <v>626</v>
      </c>
      <c r="AA414" t="n">
        <v>789</v>
      </c>
      <c r="AB414" t="n">
        <v>4</v>
      </c>
      <c r="AC414" t="n">
        <v>6</v>
      </c>
      <c r="AD414" t="n">
        <v>26</v>
      </c>
      <c r="AE414" t="n">
        <v>34</v>
      </c>
      <c r="AF414" t="n">
        <v>15</v>
      </c>
      <c r="AG414" t="n">
        <v>17</v>
      </c>
      <c r="AH414" t="n">
        <v>4</v>
      </c>
      <c r="AI414" t="n">
        <v>6</v>
      </c>
      <c r="AJ414" t="n">
        <v>11</v>
      </c>
      <c r="AK414" t="n">
        <v>15</v>
      </c>
      <c r="AL414" t="n">
        <v>3</v>
      </c>
      <c r="AM414" t="n">
        <v>5</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HYPERLINK("https://creighton-primo.hosted.exlibrisgroup.com/primo-explore/search?tab=default_tab&amp;search_scope=EVERYTHING&amp;vid=01CRU&amp;lang=en_US&amp;offset=0&amp;query=any,contains,991005157529702656","Catalog Record")</f>
        <v/>
      </c>
      <c r="AT414">
        <f>HYPERLINK("http://www.worldcat.org/oclc/7741633","WorldCat Record")</f>
        <v/>
      </c>
      <c r="AU414" t="inlineStr">
        <is>
          <t>836959915:eng</t>
        </is>
      </c>
      <c r="AV414" t="inlineStr">
        <is>
          <t>7741633</t>
        </is>
      </c>
      <c r="AW414" t="inlineStr">
        <is>
          <t>991005157529702656</t>
        </is>
      </c>
      <c r="AX414" t="inlineStr">
        <is>
          <t>991005157529702656</t>
        </is>
      </c>
      <c r="AY414" t="inlineStr">
        <is>
          <t>2262438900002656</t>
        </is>
      </c>
      <c r="AZ414" t="inlineStr">
        <is>
          <t>BOOK</t>
        </is>
      </c>
      <c r="BB414" t="inlineStr">
        <is>
          <t>9780312279523</t>
        </is>
      </c>
      <c r="BC414" t="inlineStr">
        <is>
          <t>32285001628014</t>
        </is>
      </c>
      <c r="BD414" t="inlineStr">
        <is>
          <t>893437267</t>
        </is>
      </c>
    </row>
    <row r="415">
      <c r="A415" t="inlineStr">
        <is>
          <t>No</t>
        </is>
      </c>
      <c r="B415" t="inlineStr">
        <is>
          <t>HQ1154 .B417 1999</t>
        </is>
      </c>
      <c r="C415" t="inlineStr">
        <is>
          <t>0                      HQ 1154000B  417         1999</t>
        </is>
      </c>
      <c r="D415" t="inlineStr">
        <is>
          <t>From motherhood to citizenship : women's rights and international organizations / Nitza Berkovitch.</t>
        </is>
      </c>
      <c r="F415" t="inlineStr">
        <is>
          <t>No</t>
        </is>
      </c>
      <c r="G415" t="inlineStr">
        <is>
          <t>1</t>
        </is>
      </c>
      <c r="H415" t="inlineStr">
        <is>
          <t>No</t>
        </is>
      </c>
      <c r="I415" t="inlineStr">
        <is>
          <t>No</t>
        </is>
      </c>
      <c r="J415" t="inlineStr">
        <is>
          <t>0</t>
        </is>
      </c>
      <c r="K415" t="inlineStr">
        <is>
          <t>Berkovitch, Nitza.</t>
        </is>
      </c>
      <c r="L415" t="inlineStr">
        <is>
          <t>Baltimore : Johns Hopkins University Press, 1999.</t>
        </is>
      </c>
      <c r="M415" t="inlineStr">
        <is>
          <t>1999</t>
        </is>
      </c>
      <c r="O415" t="inlineStr">
        <is>
          <t>eng</t>
        </is>
      </c>
      <c r="P415" t="inlineStr">
        <is>
          <t>mdu</t>
        </is>
      </c>
      <c r="R415" t="inlineStr">
        <is>
          <t xml:space="preserve">HQ </t>
        </is>
      </c>
      <c r="S415" t="n">
        <v>1</v>
      </c>
      <c r="T415" t="n">
        <v>1</v>
      </c>
      <c r="U415" t="inlineStr">
        <is>
          <t>2002-10-21</t>
        </is>
      </c>
      <c r="V415" t="inlineStr">
        <is>
          <t>2002-10-21</t>
        </is>
      </c>
      <c r="W415" t="inlineStr">
        <is>
          <t>2002-10-21</t>
        </is>
      </c>
      <c r="X415" t="inlineStr">
        <is>
          <t>2002-10-21</t>
        </is>
      </c>
      <c r="Y415" t="n">
        <v>468</v>
      </c>
      <c r="Z415" t="n">
        <v>364</v>
      </c>
      <c r="AA415" t="n">
        <v>366</v>
      </c>
      <c r="AB415" t="n">
        <v>3</v>
      </c>
      <c r="AC415" t="n">
        <v>3</v>
      </c>
      <c r="AD415" t="n">
        <v>24</v>
      </c>
      <c r="AE415" t="n">
        <v>24</v>
      </c>
      <c r="AF415" t="n">
        <v>5</v>
      </c>
      <c r="AG415" t="n">
        <v>5</v>
      </c>
      <c r="AH415" t="n">
        <v>7</v>
      </c>
      <c r="AI415" t="n">
        <v>7</v>
      </c>
      <c r="AJ415" t="n">
        <v>12</v>
      </c>
      <c r="AK415" t="n">
        <v>12</v>
      </c>
      <c r="AL415" t="n">
        <v>2</v>
      </c>
      <c r="AM415" t="n">
        <v>2</v>
      </c>
      <c r="AN415" t="n">
        <v>2</v>
      </c>
      <c r="AO415" t="n">
        <v>2</v>
      </c>
      <c r="AP415" t="inlineStr">
        <is>
          <t>No</t>
        </is>
      </c>
      <c r="AQ415" t="inlineStr">
        <is>
          <t>Yes</t>
        </is>
      </c>
      <c r="AR415">
        <f>HYPERLINK("http://catalog.hathitrust.org/Record/004033758","HathiTrust Record")</f>
        <v/>
      </c>
      <c r="AS415">
        <f>HYPERLINK("https://creighton-primo.hosted.exlibrisgroup.com/primo-explore/search?tab=default_tab&amp;search_scope=EVERYTHING&amp;vid=01CRU&amp;lang=en_US&amp;offset=0&amp;query=any,contains,991003875399702656","Catalog Record")</f>
        <v/>
      </c>
      <c r="AT415">
        <f>HYPERLINK("http://www.worldcat.org/oclc/40043625","WorldCat Record")</f>
        <v/>
      </c>
      <c r="AU415" t="inlineStr">
        <is>
          <t>25144409:eng</t>
        </is>
      </c>
      <c r="AV415" t="inlineStr">
        <is>
          <t>40043625</t>
        </is>
      </c>
      <c r="AW415" t="inlineStr">
        <is>
          <t>991003875399702656</t>
        </is>
      </c>
      <c r="AX415" t="inlineStr">
        <is>
          <t>991003875399702656</t>
        </is>
      </c>
      <c r="AY415" t="inlineStr">
        <is>
          <t>2268077890002656</t>
        </is>
      </c>
      <c r="AZ415" t="inlineStr">
        <is>
          <t>BOOK</t>
        </is>
      </c>
      <c r="BB415" t="inlineStr">
        <is>
          <t>9780801860287</t>
        </is>
      </c>
      <c r="BC415" t="inlineStr">
        <is>
          <t>32285004656624</t>
        </is>
      </c>
      <c r="BD415" t="inlineStr">
        <is>
          <t>893441865</t>
        </is>
      </c>
    </row>
    <row r="416">
      <c r="A416" t="inlineStr">
        <is>
          <t>No</t>
        </is>
      </c>
      <c r="B416" t="inlineStr">
        <is>
          <t>HQ1154 .B5 1986</t>
        </is>
      </c>
      <c r="C416" t="inlineStr">
        <is>
          <t>0                      HQ 1154000B  5           1986</t>
        </is>
      </c>
      <c r="D416" t="inlineStr">
        <is>
          <t>Women, feminism and biology : the feminist challenge / Lynda Birke.</t>
        </is>
      </c>
      <c r="F416" t="inlineStr">
        <is>
          <t>No</t>
        </is>
      </c>
      <c r="G416" t="inlineStr">
        <is>
          <t>1</t>
        </is>
      </c>
      <c r="H416" t="inlineStr">
        <is>
          <t>No</t>
        </is>
      </c>
      <c r="I416" t="inlineStr">
        <is>
          <t>No</t>
        </is>
      </c>
      <c r="J416" t="inlineStr">
        <is>
          <t>0</t>
        </is>
      </c>
      <c r="K416" t="inlineStr">
        <is>
          <t>Birke, Lynda I. A.</t>
        </is>
      </c>
      <c r="L416" t="inlineStr">
        <is>
          <t>New York : Methuen, 1986.</t>
        </is>
      </c>
      <c r="M416" t="inlineStr">
        <is>
          <t>1986</t>
        </is>
      </c>
      <c r="O416" t="inlineStr">
        <is>
          <t>eng</t>
        </is>
      </c>
      <c r="P416" t="inlineStr">
        <is>
          <t>nyu</t>
        </is>
      </c>
      <c r="R416" t="inlineStr">
        <is>
          <t xml:space="preserve">HQ </t>
        </is>
      </c>
      <c r="S416" t="n">
        <v>10</v>
      </c>
      <c r="T416" t="n">
        <v>10</v>
      </c>
      <c r="U416" t="inlineStr">
        <is>
          <t>2003-11-24</t>
        </is>
      </c>
      <c r="V416" t="inlineStr">
        <is>
          <t>2003-11-24</t>
        </is>
      </c>
      <c r="W416" t="inlineStr">
        <is>
          <t>1992-01-30</t>
        </is>
      </c>
      <c r="X416" t="inlineStr">
        <is>
          <t>1992-01-30</t>
        </is>
      </c>
      <c r="Y416" t="n">
        <v>619</v>
      </c>
      <c r="Z416" t="n">
        <v>575</v>
      </c>
      <c r="AA416" t="n">
        <v>640</v>
      </c>
      <c r="AB416" t="n">
        <v>5</v>
      </c>
      <c r="AC416" t="n">
        <v>5</v>
      </c>
      <c r="AD416" t="n">
        <v>29</v>
      </c>
      <c r="AE416" t="n">
        <v>29</v>
      </c>
      <c r="AF416" t="n">
        <v>11</v>
      </c>
      <c r="AG416" t="n">
        <v>11</v>
      </c>
      <c r="AH416" t="n">
        <v>8</v>
      </c>
      <c r="AI416" t="n">
        <v>8</v>
      </c>
      <c r="AJ416" t="n">
        <v>15</v>
      </c>
      <c r="AK416" t="n">
        <v>15</v>
      </c>
      <c r="AL416" t="n">
        <v>4</v>
      </c>
      <c r="AM416" t="n">
        <v>4</v>
      </c>
      <c r="AN416" t="n">
        <v>0</v>
      </c>
      <c r="AO416" t="n">
        <v>0</v>
      </c>
      <c r="AP416" t="inlineStr">
        <is>
          <t>No</t>
        </is>
      </c>
      <c r="AQ416" t="inlineStr">
        <is>
          <t>Yes</t>
        </is>
      </c>
      <c r="AR416">
        <f>HYPERLINK("http://catalog.hathitrust.org/Record/000557467","HathiTrust Record")</f>
        <v/>
      </c>
      <c r="AS416">
        <f>HYPERLINK("https://creighton-primo.hosted.exlibrisgroup.com/primo-explore/search?tab=default_tab&amp;search_scope=EVERYTHING&amp;vid=01CRU&amp;lang=en_US&amp;offset=0&amp;query=any,contains,991000728759702656","Catalog Record")</f>
        <v/>
      </c>
      <c r="AT416">
        <f>HYPERLINK("http://www.worldcat.org/oclc/12721193","WorldCat Record")</f>
        <v/>
      </c>
      <c r="AU416" t="inlineStr">
        <is>
          <t>795595318:eng</t>
        </is>
      </c>
      <c r="AV416" t="inlineStr">
        <is>
          <t>12721193</t>
        </is>
      </c>
      <c r="AW416" t="inlineStr">
        <is>
          <t>991000728759702656</t>
        </is>
      </c>
      <c r="AX416" t="inlineStr">
        <is>
          <t>991000728759702656</t>
        </is>
      </c>
      <c r="AY416" t="inlineStr">
        <is>
          <t>2260409330002656</t>
        </is>
      </c>
      <c r="AZ416" t="inlineStr">
        <is>
          <t>BOOK</t>
        </is>
      </c>
      <c r="BB416" t="inlineStr">
        <is>
          <t>9780416012217</t>
        </is>
      </c>
      <c r="BC416" t="inlineStr">
        <is>
          <t>32285000930726</t>
        </is>
      </c>
      <c r="BD416" t="inlineStr">
        <is>
          <t>893315182</t>
        </is>
      </c>
    </row>
    <row r="417">
      <c r="A417" t="inlineStr">
        <is>
          <t>No</t>
        </is>
      </c>
      <c r="B417" t="inlineStr">
        <is>
          <t>HQ1154 .B833 1984</t>
        </is>
      </c>
      <c r="C417" t="inlineStr">
        <is>
          <t>0                      HQ 1154000B  833         1984</t>
        </is>
      </c>
      <c r="D417" t="inlineStr">
        <is>
          <t>Sexism, racism, and oppression / Arthur Brittan and Mary Maynard.</t>
        </is>
      </c>
      <c r="F417" t="inlineStr">
        <is>
          <t>No</t>
        </is>
      </c>
      <c r="G417" t="inlineStr">
        <is>
          <t>1</t>
        </is>
      </c>
      <c r="H417" t="inlineStr">
        <is>
          <t>No</t>
        </is>
      </c>
      <c r="I417" t="inlineStr">
        <is>
          <t>No</t>
        </is>
      </c>
      <c r="J417" t="inlineStr">
        <is>
          <t>0</t>
        </is>
      </c>
      <c r="K417" t="inlineStr">
        <is>
          <t>Brittan, Arthur.</t>
        </is>
      </c>
      <c r="L417" t="inlineStr">
        <is>
          <t>Oxford, UK ; New York, NY : Blackwell, c1984, 1985 printing.</t>
        </is>
      </c>
      <c r="M417" t="inlineStr">
        <is>
          <t>1984</t>
        </is>
      </c>
      <c r="O417" t="inlineStr">
        <is>
          <t>eng</t>
        </is>
      </c>
      <c r="P417" t="inlineStr">
        <is>
          <t>enk</t>
        </is>
      </c>
      <c r="R417" t="inlineStr">
        <is>
          <t xml:space="preserve">HQ </t>
        </is>
      </c>
      <c r="S417" t="n">
        <v>10</v>
      </c>
      <c r="T417" t="n">
        <v>10</v>
      </c>
      <c r="U417" t="inlineStr">
        <is>
          <t>2003-11-24</t>
        </is>
      </c>
      <c r="V417" t="inlineStr">
        <is>
          <t>2003-11-24</t>
        </is>
      </c>
      <c r="W417" t="inlineStr">
        <is>
          <t>1992-07-21</t>
        </is>
      </c>
      <c r="X417" t="inlineStr">
        <is>
          <t>1992-07-21</t>
        </is>
      </c>
      <c r="Y417" t="n">
        <v>614</v>
      </c>
      <c r="Z417" t="n">
        <v>450</v>
      </c>
      <c r="AA417" t="n">
        <v>456</v>
      </c>
      <c r="AB417" t="n">
        <v>5</v>
      </c>
      <c r="AC417" t="n">
        <v>5</v>
      </c>
      <c r="AD417" t="n">
        <v>22</v>
      </c>
      <c r="AE417" t="n">
        <v>22</v>
      </c>
      <c r="AF417" t="n">
        <v>6</v>
      </c>
      <c r="AG417" t="n">
        <v>6</v>
      </c>
      <c r="AH417" t="n">
        <v>6</v>
      </c>
      <c r="AI417" t="n">
        <v>6</v>
      </c>
      <c r="AJ417" t="n">
        <v>8</v>
      </c>
      <c r="AK417" t="n">
        <v>8</v>
      </c>
      <c r="AL417" t="n">
        <v>4</v>
      </c>
      <c r="AM417" t="n">
        <v>4</v>
      </c>
      <c r="AN417" t="n">
        <v>2</v>
      </c>
      <c r="AO417" t="n">
        <v>2</v>
      </c>
      <c r="AP417" t="inlineStr">
        <is>
          <t>No</t>
        </is>
      </c>
      <c r="AQ417" t="inlineStr">
        <is>
          <t>No</t>
        </is>
      </c>
      <c r="AS417">
        <f>HYPERLINK("https://creighton-primo.hosted.exlibrisgroup.com/primo-explore/search?tab=default_tab&amp;search_scope=EVERYTHING&amp;vid=01CRU&amp;lang=en_US&amp;offset=0&amp;query=any,contains,991000458409702656","Catalog Record")</f>
        <v/>
      </c>
      <c r="AT417">
        <f>HYPERLINK("http://www.worldcat.org/oclc/10923642","WorldCat Record")</f>
        <v/>
      </c>
      <c r="AU417" t="inlineStr">
        <is>
          <t>3354397:eng</t>
        </is>
      </c>
      <c r="AV417" t="inlineStr">
        <is>
          <t>10923642</t>
        </is>
      </c>
      <c r="AW417" t="inlineStr">
        <is>
          <t>991000458409702656</t>
        </is>
      </c>
      <c r="AX417" t="inlineStr">
        <is>
          <t>991000458409702656</t>
        </is>
      </c>
      <c r="AY417" t="inlineStr">
        <is>
          <t>2270093550002656</t>
        </is>
      </c>
      <c r="AZ417" t="inlineStr">
        <is>
          <t>BOOK</t>
        </is>
      </c>
      <c r="BB417" t="inlineStr">
        <is>
          <t>9780855206758</t>
        </is>
      </c>
      <c r="BC417" t="inlineStr">
        <is>
          <t>32285001202018</t>
        </is>
      </c>
      <c r="BD417" t="inlineStr">
        <is>
          <t>893708381</t>
        </is>
      </c>
    </row>
    <row r="418">
      <c r="A418" t="inlineStr">
        <is>
          <t>No</t>
        </is>
      </c>
      <c r="B418" t="inlineStr">
        <is>
          <t>HQ1154 .B86 1987</t>
        </is>
      </c>
      <c r="C418" t="inlineStr">
        <is>
          <t>0                      HQ 1154000B  86          1987</t>
        </is>
      </c>
      <c r="D418" t="inlineStr">
        <is>
          <t>Passionate politics : essays 1968-1986 ; feminist theory in action / by Charlotte Bunch.</t>
        </is>
      </c>
      <c r="F418" t="inlineStr">
        <is>
          <t>No</t>
        </is>
      </c>
      <c r="G418" t="inlineStr">
        <is>
          <t>1</t>
        </is>
      </c>
      <c r="H418" t="inlineStr">
        <is>
          <t>No</t>
        </is>
      </c>
      <c r="I418" t="inlineStr">
        <is>
          <t>No</t>
        </is>
      </c>
      <c r="J418" t="inlineStr">
        <is>
          <t>0</t>
        </is>
      </c>
      <c r="K418" t="inlineStr">
        <is>
          <t>Bunch, Charlotte, 1944-</t>
        </is>
      </c>
      <c r="L418" t="inlineStr">
        <is>
          <t>New York : St. Martin's Press, 1987.</t>
        </is>
      </c>
      <c r="M418" t="inlineStr">
        <is>
          <t>1987</t>
        </is>
      </c>
      <c r="N418" t="inlineStr">
        <is>
          <t>1st ed.</t>
        </is>
      </c>
      <c r="O418" t="inlineStr">
        <is>
          <t>eng</t>
        </is>
      </c>
      <c r="P418" t="inlineStr">
        <is>
          <t>nyu</t>
        </is>
      </c>
      <c r="R418" t="inlineStr">
        <is>
          <t xml:space="preserve">HQ </t>
        </is>
      </c>
      <c r="S418" t="n">
        <v>2</v>
      </c>
      <c r="T418" t="n">
        <v>2</v>
      </c>
      <c r="U418" t="inlineStr">
        <is>
          <t>1993-10-15</t>
        </is>
      </c>
      <c r="V418" t="inlineStr">
        <is>
          <t>1993-10-15</t>
        </is>
      </c>
      <c r="W418" t="inlineStr">
        <is>
          <t>1993-04-27</t>
        </is>
      </c>
      <c r="X418" t="inlineStr">
        <is>
          <t>1993-04-27</t>
        </is>
      </c>
      <c r="Y418" t="n">
        <v>516</v>
      </c>
      <c r="Z418" t="n">
        <v>438</v>
      </c>
      <c r="AA418" t="n">
        <v>448</v>
      </c>
      <c r="AB418" t="n">
        <v>4</v>
      </c>
      <c r="AC418" t="n">
        <v>4</v>
      </c>
      <c r="AD418" t="n">
        <v>20</v>
      </c>
      <c r="AE418" t="n">
        <v>20</v>
      </c>
      <c r="AF418" t="n">
        <v>6</v>
      </c>
      <c r="AG418" t="n">
        <v>6</v>
      </c>
      <c r="AH418" t="n">
        <v>6</v>
      </c>
      <c r="AI418" t="n">
        <v>6</v>
      </c>
      <c r="AJ418" t="n">
        <v>10</v>
      </c>
      <c r="AK418" t="n">
        <v>10</v>
      </c>
      <c r="AL418" t="n">
        <v>3</v>
      </c>
      <c r="AM418" t="n">
        <v>3</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HYPERLINK("https://creighton-primo.hosted.exlibrisgroup.com/primo-explore/search?tab=default_tab&amp;search_scope=EVERYTHING&amp;vid=01CRU&amp;lang=en_US&amp;offset=0&amp;query=any,contains,991000999779702656","Catalog Record")</f>
        <v/>
      </c>
      <c r="AT418">
        <f>HYPERLINK("http://www.worldcat.org/oclc/15196697","WorldCat Record")</f>
        <v/>
      </c>
      <c r="AU418" t="inlineStr">
        <is>
          <t>9441925:eng</t>
        </is>
      </c>
      <c r="AV418" t="inlineStr">
        <is>
          <t>15196697</t>
        </is>
      </c>
      <c r="AW418" t="inlineStr">
        <is>
          <t>991000999779702656</t>
        </is>
      </c>
      <c r="AX418" t="inlineStr">
        <is>
          <t>991000999779702656</t>
        </is>
      </c>
      <c r="AY418" t="inlineStr">
        <is>
          <t>2259832990002656</t>
        </is>
      </c>
      <c r="AZ418" t="inlineStr">
        <is>
          <t>BOOK</t>
        </is>
      </c>
      <c r="BB418" t="inlineStr">
        <is>
          <t>9780312006679</t>
        </is>
      </c>
      <c r="BC418" t="inlineStr">
        <is>
          <t>32285001628030</t>
        </is>
      </c>
      <c r="BD418" t="inlineStr">
        <is>
          <t>893715080</t>
        </is>
      </c>
    </row>
    <row r="419">
      <c r="A419" t="inlineStr">
        <is>
          <t>No</t>
        </is>
      </c>
      <c r="B419" t="inlineStr">
        <is>
          <t>HQ1154 .C28 1989b</t>
        </is>
      </c>
      <c r="C419" t="inlineStr">
        <is>
          <t>0                      HQ 1154000C  28          1989b</t>
        </is>
      </c>
      <c r="D419" t="inlineStr">
        <is>
          <t>Man cannot speak for her / Karlyn Kohrs Campbell.</t>
        </is>
      </c>
      <c r="E419" t="inlineStr">
        <is>
          <t>V.1</t>
        </is>
      </c>
      <c r="F419" t="inlineStr">
        <is>
          <t>Yes</t>
        </is>
      </c>
      <c r="G419" t="inlineStr">
        <is>
          <t>1</t>
        </is>
      </c>
      <c r="H419" t="inlineStr">
        <is>
          <t>No</t>
        </is>
      </c>
      <c r="I419" t="inlineStr">
        <is>
          <t>No</t>
        </is>
      </c>
      <c r="J419" t="inlineStr">
        <is>
          <t>0</t>
        </is>
      </c>
      <c r="K419" t="inlineStr">
        <is>
          <t>Campbell, Karlyn Kohrs.</t>
        </is>
      </c>
      <c r="L419" t="inlineStr">
        <is>
          <t>New York : Praeger, c1989.</t>
        </is>
      </c>
      <c r="M419" t="inlineStr">
        <is>
          <t>1989</t>
        </is>
      </c>
      <c r="O419" t="inlineStr">
        <is>
          <t>eng</t>
        </is>
      </c>
      <c r="P419" t="inlineStr">
        <is>
          <t>nyu</t>
        </is>
      </c>
      <c r="R419" t="inlineStr">
        <is>
          <t xml:space="preserve">HQ </t>
        </is>
      </c>
      <c r="S419" t="n">
        <v>6</v>
      </c>
      <c r="T419" t="n">
        <v>6</v>
      </c>
      <c r="U419" t="inlineStr">
        <is>
          <t>2010-04-15</t>
        </is>
      </c>
      <c r="V419" t="inlineStr">
        <is>
          <t>2010-04-15</t>
        </is>
      </c>
      <c r="W419" t="inlineStr">
        <is>
          <t>1993-04-27</t>
        </is>
      </c>
      <c r="X419" t="inlineStr">
        <is>
          <t>1993-04-27</t>
        </is>
      </c>
      <c r="Y419" t="n">
        <v>278</v>
      </c>
      <c r="Z419" t="n">
        <v>261</v>
      </c>
      <c r="AA419" t="n">
        <v>728</v>
      </c>
      <c r="AB419" t="n">
        <v>3</v>
      </c>
      <c r="AC419" t="n">
        <v>9</v>
      </c>
      <c r="AD419" t="n">
        <v>17</v>
      </c>
      <c r="AE419" t="n">
        <v>41</v>
      </c>
      <c r="AF419" t="n">
        <v>10</v>
      </c>
      <c r="AG419" t="n">
        <v>18</v>
      </c>
      <c r="AH419" t="n">
        <v>3</v>
      </c>
      <c r="AI419" t="n">
        <v>7</v>
      </c>
      <c r="AJ419" t="n">
        <v>9</v>
      </c>
      <c r="AK419" t="n">
        <v>18</v>
      </c>
      <c r="AL419" t="n">
        <v>1</v>
      </c>
      <c r="AM419" t="n">
        <v>7</v>
      </c>
      <c r="AN419" t="n">
        <v>0</v>
      </c>
      <c r="AO419" t="n">
        <v>0</v>
      </c>
      <c r="AP419" t="inlineStr">
        <is>
          <t>No</t>
        </is>
      </c>
      <c r="AQ419" t="inlineStr">
        <is>
          <t>Yes</t>
        </is>
      </c>
      <c r="AR419">
        <f>HYPERLINK("http://catalog.hathitrust.org/Record/004504826","HathiTrust Record")</f>
        <v/>
      </c>
      <c r="AS419">
        <f>HYPERLINK("https://creighton-primo.hosted.exlibrisgroup.com/primo-explore/search?tab=default_tab&amp;search_scope=EVERYTHING&amp;vid=01CRU&amp;lang=en_US&amp;offset=0&amp;query=any,contains,991001394789702656","Catalog Record")</f>
        <v/>
      </c>
      <c r="AT419">
        <f>HYPERLINK("http://www.worldcat.org/oclc/18780698","WorldCat Record")</f>
        <v/>
      </c>
      <c r="AU419" t="inlineStr">
        <is>
          <t>1065433:eng</t>
        </is>
      </c>
      <c r="AV419" t="inlineStr">
        <is>
          <t>18780698</t>
        </is>
      </c>
      <c r="AW419" t="inlineStr">
        <is>
          <t>991001394789702656</t>
        </is>
      </c>
      <c r="AX419" t="inlineStr">
        <is>
          <t>991001394789702656</t>
        </is>
      </c>
      <c r="AY419" t="inlineStr">
        <is>
          <t>2258371120002656</t>
        </is>
      </c>
      <c r="AZ419" t="inlineStr">
        <is>
          <t>BOOK</t>
        </is>
      </c>
      <c r="BB419" t="inlineStr">
        <is>
          <t>9780275932671</t>
        </is>
      </c>
      <c r="BC419" t="inlineStr">
        <is>
          <t>32285001628048</t>
        </is>
      </c>
      <c r="BD419" t="inlineStr">
        <is>
          <t>893772570</t>
        </is>
      </c>
    </row>
    <row r="420">
      <c r="A420" t="inlineStr">
        <is>
          <t>No</t>
        </is>
      </c>
      <c r="B420" t="inlineStr">
        <is>
          <t>HQ1154 .C43 1988</t>
        </is>
      </c>
      <c r="C420" t="inlineStr">
        <is>
          <t>0                      HQ 1154000C  43          1988</t>
        </is>
      </c>
      <c r="D420" t="inlineStr">
        <is>
          <t>Feminist sociology : an overview of contemporary theories / Janet Saltzman Chafetz.</t>
        </is>
      </c>
      <c r="F420" t="inlineStr">
        <is>
          <t>No</t>
        </is>
      </c>
      <c r="G420" t="inlineStr">
        <is>
          <t>1</t>
        </is>
      </c>
      <c r="H420" t="inlineStr">
        <is>
          <t>No</t>
        </is>
      </c>
      <c r="I420" t="inlineStr">
        <is>
          <t>No</t>
        </is>
      </c>
      <c r="J420" t="inlineStr">
        <is>
          <t>0</t>
        </is>
      </c>
      <c r="K420" t="inlineStr">
        <is>
          <t>Chafetz, Janet Saltzman.</t>
        </is>
      </c>
      <c r="L420" t="inlineStr">
        <is>
          <t>Itasca, IL : F. E. Peacock, c1988.</t>
        </is>
      </c>
      <c r="M420" t="inlineStr">
        <is>
          <t>1988</t>
        </is>
      </c>
      <c r="O420" t="inlineStr">
        <is>
          <t>eng</t>
        </is>
      </c>
      <c r="P420" t="inlineStr">
        <is>
          <t>ilu</t>
        </is>
      </c>
      <c r="R420" t="inlineStr">
        <is>
          <t xml:space="preserve">HQ </t>
        </is>
      </c>
      <c r="S420" t="n">
        <v>4</v>
      </c>
      <c r="T420" t="n">
        <v>4</v>
      </c>
      <c r="U420" t="inlineStr">
        <is>
          <t>2004-09-03</t>
        </is>
      </c>
      <c r="V420" t="inlineStr">
        <is>
          <t>2004-09-03</t>
        </is>
      </c>
      <c r="W420" t="inlineStr">
        <is>
          <t>1993-04-27</t>
        </is>
      </c>
      <c r="X420" t="inlineStr">
        <is>
          <t>1993-04-27</t>
        </is>
      </c>
      <c r="Y420" t="n">
        <v>259</v>
      </c>
      <c r="Z420" t="n">
        <v>207</v>
      </c>
      <c r="AA420" t="n">
        <v>208</v>
      </c>
      <c r="AB420" t="n">
        <v>4</v>
      </c>
      <c r="AC420" t="n">
        <v>4</v>
      </c>
      <c r="AD420" t="n">
        <v>12</v>
      </c>
      <c r="AE420" t="n">
        <v>12</v>
      </c>
      <c r="AF420" t="n">
        <v>1</v>
      </c>
      <c r="AG420" t="n">
        <v>1</v>
      </c>
      <c r="AH420" t="n">
        <v>4</v>
      </c>
      <c r="AI420" t="n">
        <v>4</v>
      </c>
      <c r="AJ420" t="n">
        <v>6</v>
      </c>
      <c r="AK420" t="n">
        <v>6</v>
      </c>
      <c r="AL420" t="n">
        <v>3</v>
      </c>
      <c r="AM420" t="n">
        <v>3</v>
      </c>
      <c r="AN420" t="n">
        <v>0</v>
      </c>
      <c r="AO420" t="n">
        <v>0</v>
      </c>
      <c r="AP420" t="inlineStr">
        <is>
          <t>No</t>
        </is>
      </c>
      <c r="AQ420" t="inlineStr">
        <is>
          <t>Yes</t>
        </is>
      </c>
      <c r="AR420">
        <f>HYPERLINK("http://catalog.hathitrust.org/Record/001543993","HathiTrust Record")</f>
        <v/>
      </c>
      <c r="AS420">
        <f>HYPERLINK("https://creighton-primo.hosted.exlibrisgroup.com/primo-explore/search?tab=default_tab&amp;search_scope=EVERYTHING&amp;vid=01CRU&amp;lang=en_US&amp;offset=0&amp;query=any,contains,991001307789702656","Catalog Record")</f>
        <v/>
      </c>
      <c r="AT420">
        <f>HYPERLINK("http://www.worldcat.org/oclc/18127191","WorldCat Record")</f>
        <v/>
      </c>
      <c r="AU420" t="inlineStr">
        <is>
          <t>375729184:eng</t>
        </is>
      </c>
      <c r="AV420" t="inlineStr">
        <is>
          <t>18127191</t>
        </is>
      </c>
      <c r="AW420" t="inlineStr">
        <is>
          <t>991001307789702656</t>
        </is>
      </c>
      <c r="AX420" t="inlineStr">
        <is>
          <t>991001307789702656</t>
        </is>
      </c>
      <c r="AY420" t="inlineStr">
        <is>
          <t>2266718320002656</t>
        </is>
      </c>
      <c r="AZ420" t="inlineStr">
        <is>
          <t>BOOK</t>
        </is>
      </c>
      <c r="BB420" t="inlineStr">
        <is>
          <t>9780875813271</t>
        </is>
      </c>
      <c r="BC420" t="inlineStr">
        <is>
          <t>32285001628055</t>
        </is>
      </c>
      <c r="BD420" t="inlineStr">
        <is>
          <t>893778712</t>
        </is>
      </c>
    </row>
    <row r="421">
      <c r="A421" t="inlineStr">
        <is>
          <t>No</t>
        </is>
      </c>
      <c r="B421" t="inlineStr">
        <is>
          <t>HQ1154 .C497 2005</t>
        </is>
      </c>
      <c r="C421" t="inlineStr">
        <is>
          <t>0                      HQ 1154000C  497         2005</t>
        </is>
      </c>
      <c r="D421" t="inlineStr">
        <is>
          <t>Masquerade : the feminist illusion / W. Edward Chynoweth.</t>
        </is>
      </c>
      <c r="F421" t="inlineStr">
        <is>
          <t>No</t>
        </is>
      </c>
      <c r="G421" t="inlineStr">
        <is>
          <t>1</t>
        </is>
      </c>
      <c r="H421" t="inlineStr">
        <is>
          <t>No</t>
        </is>
      </c>
      <c r="I421" t="inlineStr">
        <is>
          <t>No</t>
        </is>
      </c>
      <c r="J421" t="inlineStr">
        <is>
          <t>0</t>
        </is>
      </c>
      <c r="K421" t="inlineStr">
        <is>
          <t>Chynoweth, W. Edward.</t>
        </is>
      </c>
      <c r="L421" t="inlineStr">
        <is>
          <t>Lanham, MD : Hamilton Books, c2005.</t>
        </is>
      </c>
      <c r="M421" t="inlineStr">
        <is>
          <t>2005</t>
        </is>
      </c>
      <c r="O421" t="inlineStr">
        <is>
          <t>eng</t>
        </is>
      </c>
      <c r="P421" t="inlineStr">
        <is>
          <t>mdu</t>
        </is>
      </c>
      <c r="R421" t="inlineStr">
        <is>
          <t xml:space="preserve">HQ </t>
        </is>
      </c>
      <c r="S421" t="n">
        <v>1</v>
      </c>
      <c r="T421" t="n">
        <v>1</v>
      </c>
      <c r="U421" t="inlineStr">
        <is>
          <t>2006-03-14</t>
        </is>
      </c>
      <c r="V421" t="inlineStr">
        <is>
          <t>2006-03-14</t>
        </is>
      </c>
      <c r="W421" t="inlineStr">
        <is>
          <t>2006-03-14</t>
        </is>
      </c>
      <c r="X421" t="inlineStr">
        <is>
          <t>2006-03-14</t>
        </is>
      </c>
      <c r="Y421" t="n">
        <v>96</v>
      </c>
      <c r="Z421" t="n">
        <v>89</v>
      </c>
      <c r="AA421" t="n">
        <v>94</v>
      </c>
      <c r="AB421" t="n">
        <v>1</v>
      </c>
      <c r="AC421" t="n">
        <v>1</v>
      </c>
      <c r="AD421" t="n">
        <v>3</v>
      </c>
      <c r="AE421" t="n">
        <v>4</v>
      </c>
      <c r="AF421" t="n">
        <v>0</v>
      </c>
      <c r="AG421" t="n">
        <v>0</v>
      </c>
      <c r="AH421" t="n">
        <v>1</v>
      </c>
      <c r="AI421" t="n">
        <v>2</v>
      </c>
      <c r="AJ421" t="n">
        <v>2</v>
      </c>
      <c r="AK421" t="n">
        <v>3</v>
      </c>
      <c r="AL421" t="n">
        <v>0</v>
      </c>
      <c r="AM421" t="n">
        <v>0</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HYPERLINK("https://creighton-primo.hosted.exlibrisgroup.com/primo-explore/search?tab=default_tab&amp;search_scope=EVERYTHING&amp;vid=01CRU&amp;lang=en_US&amp;offset=0&amp;query=any,contains,991004707969702656","Catalog Record")</f>
        <v/>
      </c>
      <c r="AT421">
        <f>HYPERLINK("http://www.worldcat.org/oclc/62930179","WorldCat Record")</f>
        <v/>
      </c>
      <c r="AU421" t="inlineStr">
        <is>
          <t>17766923:eng</t>
        </is>
      </c>
      <c r="AV421" t="inlineStr">
        <is>
          <t>62930179</t>
        </is>
      </c>
      <c r="AW421" t="inlineStr">
        <is>
          <t>991004707969702656</t>
        </is>
      </c>
      <c r="AX421" t="inlineStr">
        <is>
          <t>991004707969702656</t>
        </is>
      </c>
      <c r="AY421" t="inlineStr">
        <is>
          <t>2272164380002656</t>
        </is>
      </c>
      <c r="AZ421" t="inlineStr">
        <is>
          <t>BOOK</t>
        </is>
      </c>
      <c r="BB421" t="inlineStr">
        <is>
          <t>9780761833185</t>
        </is>
      </c>
      <c r="BC421" t="inlineStr">
        <is>
          <t>32285005154850</t>
        </is>
      </c>
      <c r="BD421" t="inlineStr">
        <is>
          <t>893411859</t>
        </is>
      </c>
    </row>
    <row r="422">
      <c r="A422" t="inlineStr">
        <is>
          <t>No</t>
        </is>
      </c>
      <c r="B422" t="inlineStr">
        <is>
          <t>HQ1154 .C65 1985</t>
        </is>
      </c>
      <c r="C422" t="inlineStr">
        <is>
          <t>0                      HQ 1154000C  65          1985</t>
        </is>
      </c>
      <c r="D422" t="inlineStr">
        <is>
          <t>Communication in the service of women : a report on action and research program : 1980-1985.</t>
        </is>
      </c>
      <c r="F422" t="inlineStr">
        <is>
          <t>No</t>
        </is>
      </c>
      <c r="G422" t="inlineStr">
        <is>
          <t>1</t>
        </is>
      </c>
      <c r="H422" t="inlineStr">
        <is>
          <t>No</t>
        </is>
      </c>
      <c r="I422" t="inlineStr">
        <is>
          <t>No</t>
        </is>
      </c>
      <c r="J422" t="inlineStr">
        <is>
          <t>0</t>
        </is>
      </c>
      <c r="L422" t="inlineStr">
        <is>
          <t>Paris : Unesco ; London : The City University, 1985.</t>
        </is>
      </c>
      <c r="M422" t="inlineStr">
        <is>
          <t>1985</t>
        </is>
      </c>
      <c r="O422" t="inlineStr">
        <is>
          <t>eng</t>
        </is>
      </c>
      <c r="P422" t="inlineStr">
        <is>
          <t xml:space="preserve">fr </t>
        </is>
      </c>
      <c r="R422" t="inlineStr">
        <is>
          <t xml:space="preserve">HQ </t>
        </is>
      </c>
      <c r="S422" t="n">
        <v>3</v>
      </c>
      <c r="T422" t="n">
        <v>3</v>
      </c>
      <c r="U422" t="inlineStr">
        <is>
          <t>2002-03-05</t>
        </is>
      </c>
      <c r="V422" t="inlineStr">
        <is>
          <t>2002-03-05</t>
        </is>
      </c>
      <c r="W422" t="inlineStr">
        <is>
          <t>1993-02-22</t>
        </is>
      </c>
      <c r="X422" t="inlineStr">
        <is>
          <t>1993-02-22</t>
        </is>
      </c>
      <c r="Y422" t="n">
        <v>3</v>
      </c>
      <c r="Z422" t="n">
        <v>3</v>
      </c>
      <c r="AA422" t="n">
        <v>3</v>
      </c>
      <c r="AB422" t="n">
        <v>1</v>
      </c>
      <c r="AC422" t="n">
        <v>1</v>
      </c>
      <c r="AD422" t="n">
        <v>0</v>
      </c>
      <c r="AE422" t="n">
        <v>0</v>
      </c>
      <c r="AF422" t="n">
        <v>0</v>
      </c>
      <c r="AG422" t="n">
        <v>0</v>
      </c>
      <c r="AH422" t="n">
        <v>0</v>
      </c>
      <c r="AI422" t="n">
        <v>0</v>
      </c>
      <c r="AJ422" t="n">
        <v>0</v>
      </c>
      <c r="AK422" t="n">
        <v>0</v>
      </c>
      <c r="AL422" t="n">
        <v>0</v>
      </c>
      <c r="AM422" t="n">
        <v>0</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HYPERLINK("https://creighton-primo.hosted.exlibrisgroup.com/primo-explore/search?tab=default_tab&amp;search_scope=EVERYTHING&amp;vid=01CRU&amp;lang=en_US&amp;offset=0&amp;query=any,contains,991000792689702656","Catalog Record")</f>
        <v/>
      </c>
      <c r="AT422">
        <f>HYPERLINK("http://www.worldcat.org/oclc/13162143","WorldCat Record")</f>
        <v/>
      </c>
      <c r="AU422" t="inlineStr">
        <is>
          <t>5605328:eng</t>
        </is>
      </c>
      <c r="AV422" t="inlineStr">
        <is>
          <t>13162143</t>
        </is>
      </c>
      <c r="AW422" t="inlineStr">
        <is>
          <t>991000792689702656</t>
        </is>
      </c>
      <c r="AX422" t="inlineStr">
        <is>
          <t>991000792689702656</t>
        </is>
      </c>
      <c r="AY422" t="inlineStr">
        <is>
          <t>2267075290002656</t>
        </is>
      </c>
      <c r="AZ422" t="inlineStr">
        <is>
          <t>BOOK</t>
        </is>
      </c>
      <c r="BC422" t="inlineStr">
        <is>
          <t>32285001496842</t>
        </is>
      </c>
      <c r="BD422" t="inlineStr">
        <is>
          <t>893515616</t>
        </is>
      </c>
    </row>
    <row r="423">
      <c r="A423" t="inlineStr">
        <is>
          <t>No</t>
        </is>
      </c>
      <c r="B423" t="inlineStr">
        <is>
          <t>HQ1154 .D314 1984</t>
        </is>
      </c>
      <c r="C423" t="inlineStr">
        <is>
          <t>0                      HQ 1154000D  314         1984</t>
        </is>
      </c>
      <c r="D423" t="inlineStr">
        <is>
          <t>Pure lust : elemental feminist philosophy / Mary Daly.</t>
        </is>
      </c>
      <c r="F423" t="inlineStr">
        <is>
          <t>No</t>
        </is>
      </c>
      <c r="G423" t="inlineStr">
        <is>
          <t>1</t>
        </is>
      </c>
      <c r="H423" t="inlineStr">
        <is>
          <t>No</t>
        </is>
      </c>
      <c r="I423" t="inlineStr">
        <is>
          <t>No</t>
        </is>
      </c>
      <c r="J423" t="inlineStr">
        <is>
          <t>0</t>
        </is>
      </c>
      <c r="K423" t="inlineStr">
        <is>
          <t>Daly, Mary.</t>
        </is>
      </c>
      <c r="L423" t="inlineStr">
        <is>
          <t>Boston : Beacon Press, c1984.</t>
        </is>
      </c>
      <c r="M423" t="inlineStr">
        <is>
          <t>1984</t>
        </is>
      </c>
      <c r="O423" t="inlineStr">
        <is>
          <t>eng</t>
        </is>
      </c>
      <c r="P423" t="inlineStr">
        <is>
          <t>mau</t>
        </is>
      </c>
      <c r="R423" t="inlineStr">
        <is>
          <t xml:space="preserve">HQ </t>
        </is>
      </c>
      <c r="S423" t="n">
        <v>15</v>
      </c>
      <c r="T423" t="n">
        <v>15</v>
      </c>
      <c r="U423" t="inlineStr">
        <is>
          <t>2008-08-05</t>
        </is>
      </c>
      <c r="V423" t="inlineStr">
        <is>
          <t>2008-08-05</t>
        </is>
      </c>
      <c r="W423" t="inlineStr">
        <is>
          <t>1992-07-21</t>
        </is>
      </c>
      <c r="X423" t="inlineStr">
        <is>
          <t>1992-07-21</t>
        </is>
      </c>
      <c r="Y423" t="n">
        <v>1099</v>
      </c>
      <c r="Z423" t="n">
        <v>986</v>
      </c>
      <c r="AA423" t="n">
        <v>1074</v>
      </c>
      <c r="AB423" t="n">
        <v>7</v>
      </c>
      <c r="AC423" t="n">
        <v>8</v>
      </c>
      <c r="AD423" t="n">
        <v>40</v>
      </c>
      <c r="AE423" t="n">
        <v>47</v>
      </c>
      <c r="AF423" t="n">
        <v>15</v>
      </c>
      <c r="AG423" t="n">
        <v>20</v>
      </c>
      <c r="AH423" t="n">
        <v>8</v>
      </c>
      <c r="AI423" t="n">
        <v>9</v>
      </c>
      <c r="AJ423" t="n">
        <v>20</v>
      </c>
      <c r="AK423" t="n">
        <v>24</v>
      </c>
      <c r="AL423" t="n">
        <v>6</v>
      </c>
      <c r="AM423" t="n">
        <v>7</v>
      </c>
      <c r="AN423" t="n">
        <v>0</v>
      </c>
      <c r="AO423" t="n">
        <v>0</v>
      </c>
      <c r="AP423" t="inlineStr">
        <is>
          <t>No</t>
        </is>
      </c>
      <c r="AQ423" t="inlineStr">
        <is>
          <t>Yes</t>
        </is>
      </c>
      <c r="AR423">
        <f>HYPERLINK("http://catalog.hathitrust.org/Record/000322959","HathiTrust Record")</f>
        <v/>
      </c>
      <c r="AS423">
        <f>HYPERLINK("https://creighton-primo.hosted.exlibrisgroup.com/primo-explore/search?tab=default_tab&amp;search_scope=EVERYTHING&amp;vid=01CRU&amp;lang=en_US&amp;offset=0&amp;query=any,contains,991000312079702656","Catalog Record")</f>
        <v/>
      </c>
      <c r="AT423">
        <f>HYPERLINK("http://www.worldcat.org/oclc/10099765","WorldCat Record")</f>
        <v/>
      </c>
      <c r="AU423" t="inlineStr">
        <is>
          <t>60989931:eng</t>
        </is>
      </c>
      <c r="AV423" t="inlineStr">
        <is>
          <t>10099765</t>
        </is>
      </c>
      <c r="AW423" t="inlineStr">
        <is>
          <t>991000312079702656</t>
        </is>
      </c>
      <c r="AX423" t="inlineStr">
        <is>
          <t>991000312079702656</t>
        </is>
      </c>
      <c r="AY423" t="inlineStr">
        <is>
          <t>2265662440002656</t>
        </is>
      </c>
      <c r="AZ423" t="inlineStr">
        <is>
          <t>BOOK</t>
        </is>
      </c>
      <c r="BB423" t="inlineStr">
        <is>
          <t>9780807015049</t>
        </is>
      </c>
      <c r="BC423" t="inlineStr">
        <is>
          <t>32285001202026</t>
        </is>
      </c>
      <c r="BD423" t="inlineStr">
        <is>
          <t>893896778</t>
        </is>
      </c>
    </row>
    <row r="424">
      <c r="A424" t="inlineStr">
        <is>
          <t>No</t>
        </is>
      </c>
      <c r="B424" t="inlineStr">
        <is>
          <t>HQ1154 .D37</t>
        </is>
      </c>
      <c r="C424" t="inlineStr">
        <is>
          <t>0                      HQ 1154000D  37</t>
        </is>
      </c>
      <c r="D424" t="inlineStr">
        <is>
          <t>The young woman's guide to liberation; alternatives to a half-life while the choice is still yours.</t>
        </is>
      </c>
      <c r="F424" t="inlineStr">
        <is>
          <t>No</t>
        </is>
      </c>
      <c r="G424" t="inlineStr">
        <is>
          <t>1</t>
        </is>
      </c>
      <c r="H424" t="inlineStr">
        <is>
          <t>No</t>
        </is>
      </c>
      <c r="I424" t="inlineStr">
        <is>
          <t>No</t>
        </is>
      </c>
      <c r="J424" t="inlineStr">
        <is>
          <t>0</t>
        </is>
      </c>
      <c r="K424" t="inlineStr">
        <is>
          <t>DeCrow, Karen.</t>
        </is>
      </c>
      <c r="L424" t="inlineStr">
        <is>
          <t>[New York] Pegasus [1971]</t>
        </is>
      </c>
      <c r="M424" t="inlineStr">
        <is>
          <t>1971</t>
        </is>
      </c>
      <c r="O424" t="inlineStr">
        <is>
          <t>eng</t>
        </is>
      </c>
      <c r="P424" t="inlineStr">
        <is>
          <t>nyu</t>
        </is>
      </c>
      <c r="R424" t="inlineStr">
        <is>
          <t xml:space="preserve">HQ </t>
        </is>
      </c>
      <c r="S424" t="n">
        <v>2</v>
      </c>
      <c r="T424" t="n">
        <v>2</v>
      </c>
      <c r="U424" t="inlineStr">
        <is>
          <t>2004-11-22</t>
        </is>
      </c>
      <c r="V424" t="inlineStr">
        <is>
          <t>2004-11-22</t>
        </is>
      </c>
      <c r="W424" t="inlineStr">
        <is>
          <t>1997-08-14</t>
        </is>
      </c>
      <c r="X424" t="inlineStr">
        <is>
          <t>1997-08-14</t>
        </is>
      </c>
      <c r="Y424" t="n">
        <v>462</v>
      </c>
      <c r="Z424" t="n">
        <v>414</v>
      </c>
      <c r="AA424" t="n">
        <v>416</v>
      </c>
      <c r="AB424" t="n">
        <v>4</v>
      </c>
      <c r="AC424" t="n">
        <v>4</v>
      </c>
      <c r="AD424" t="n">
        <v>12</v>
      </c>
      <c r="AE424" t="n">
        <v>12</v>
      </c>
      <c r="AF424" t="n">
        <v>5</v>
      </c>
      <c r="AG424" t="n">
        <v>5</v>
      </c>
      <c r="AH424" t="n">
        <v>4</v>
      </c>
      <c r="AI424" t="n">
        <v>4</v>
      </c>
      <c r="AJ424" t="n">
        <v>2</v>
      </c>
      <c r="AK424" t="n">
        <v>2</v>
      </c>
      <c r="AL424" t="n">
        <v>3</v>
      </c>
      <c r="AM424" t="n">
        <v>3</v>
      </c>
      <c r="AN424" t="n">
        <v>0</v>
      </c>
      <c r="AO424" t="n">
        <v>0</v>
      </c>
      <c r="AP424" t="inlineStr">
        <is>
          <t>No</t>
        </is>
      </c>
      <c r="AQ424" t="inlineStr">
        <is>
          <t>Yes</t>
        </is>
      </c>
      <c r="AR424">
        <f>HYPERLINK("http://catalog.hathitrust.org/Record/000978879","HathiTrust Record")</f>
        <v/>
      </c>
      <c r="AS424">
        <f>HYPERLINK("https://creighton-primo.hosted.exlibrisgroup.com/primo-explore/search?tab=default_tab&amp;search_scope=EVERYTHING&amp;vid=01CRU&amp;lang=en_US&amp;offset=0&amp;query=any,contains,991000832849702656","Catalog Record")</f>
        <v/>
      </c>
      <c r="AT424">
        <f>HYPERLINK("http://www.worldcat.org/oclc/148328","WorldCat Record")</f>
        <v/>
      </c>
      <c r="AU424" t="inlineStr">
        <is>
          <t>1333642:eng</t>
        </is>
      </c>
      <c r="AV424" t="inlineStr">
        <is>
          <t>148328</t>
        </is>
      </c>
      <c r="AW424" t="inlineStr">
        <is>
          <t>991000832849702656</t>
        </is>
      </c>
      <c r="AX424" t="inlineStr">
        <is>
          <t>991000832849702656</t>
        </is>
      </c>
      <c r="AY424" t="inlineStr">
        <is>
          <t>2259950320002656</t>
        </is>
      </c>
      <c r="AZ424" t="inlineStr">
        <is>
          <t>BOOK</t>
        </is>
      </c>
      <c r="BC424" t="inlineStr">
        <is>
          <t>32285003103883</t>
        </is>
      </c>
      <c r="BD424" t="inlineStr">
        <is>
          <t>893426087</t>
        </is>
      </c>
    </row>
    <row r="425">
      <c r="A425" t="inlineStr">
        <is>
          <t>No</t>
        </is>
      </c>
      <c r="B425" t="inlineStr">
        <is>
          <t>HQ1154 .D425 1997</t>
        </is>
      </c>
      <c r="C425" t="inlineStr">
        <is>
          <t>0                      HQ 1154000D  425         1997</t>
        </is>
      </c>
      <c r="D425" t="inlineStr">
        <is>
          <t>Derrida and feminism : recasting the question of woman / edited by Ellen K. Feder, Mary C. Rawlinson, and Emily Zakin.</t>
        </is>
      </c>
      <c r="F425" t="inlineStr">
        <is>
          <t>No</t>
        </is>
      </c>
      <c r="G425" t="inlineStr">
        <is>
          <t>1</t>
        </is>
      </c>
      <c r="H425" t="inlineStr">
        <is>
          <t>No</t>
        </is>
      </c>
      <c r="I425" t="inlineStr">
        <is>
          <t>No</t>
        </is>
      </c>
      <c r="J425" t="inlineStr">
        <is>
          <t>0</t>
        </is>
      </c>
      <c r="L425" t="inlineStr">
        <is>
          <t>New York : Routledge, 1997.</t>
        </is>
      </c>
      <c r="M425" t="inlineStr">
        <is>
          <t>1997</t>
        </is>
      </c>
      <c r="O425" t="inlineStr">
        <is>
          <t>eng</t>
        </is>
      </c>
      <c r="P425" t="inlineStr">
        <is>
          <t>nyu</t>
        </is>
      </c>
      <c r="R425" t="inlineStr">
        <is>
          <t xml:space="preserve">HQ </t>
        </is>
      </c>
      <c r="S425" t="n">
        <v>4</v>
      </c>
      <c r="T425" t="n">
        <v>4</v>
      </c>
      <c r="U425" t="inlineStr">
        <is>
          <t>2003-10-02</t>
        </is>
      </c>
      <c r="V425" t="inlineStr">
        <is>
          <t>2003-10-02</t>
        </is>
      </c>
      <c r="W425" t="inlineStr">
        <is>
          <t>1999-03-16</t>
        </is>
      </c>
      <c r="X425" t="inlineStr">
        <is>
          <t>1999-03-16</t>
        </is>
      </c>
      <c r="Y425" t="n">
        <v>425</v>
      </c>
      <c r="Z425" t="n">
        <v>265</v>
      </c>
      <c r="AA425" t="n">
        <v>289</v>
      </c>
      <c r="AB425" t="n">
        <v>3</v>
      </c>
      <c r="AC425" t="n">
        <v>3</v>
      </c>
      <c r="AD425" t="n">
        <v>19</v>
      </c>
      <c r="AE425" t="n">
        <v>19</v>
      </c>
      <c r="AF425" t="n">
        <v>6</v>
      </c>
      <c r="AG425" t="n">
        <v>6</v>
      </c>
      <c r="AH425" t="n">
        <v>6</v>
      </c>
      <c r="AI425" t="n">
        <v>6</v>
      </c>
      <c r="AJ425" t="n">
        <v>11</v>
      </c>
      <c r="AK425" t="n">
        <v>11</v>
      </c>
      <c r="AL425" t="n">
        <v>2</v>
      </c>
      <c r="AM425" t="n">
        <v>2</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HYPERLINK("https://creighton-primo.hosted.exlibrisgroup.com/primo-explore/search?tab=default_tab&amp;search_scope=EVERYTHING&amp;vid=01CRU&amp;lang=en_US&amp;offset=0&amp;query=any,contains,991002683699702656","Catalog Record")</f>
        <v/>
      </c>
      <c r="AT425">
        <f>HYPERLINK("http://www.worldcat.org/oclc/35068157","WorldCat Record")</f>
        <v/>
      </c>
      <c r="AU425" t="inlineStr">
        <is>
          <t>836990820:eng</t>
        </is>
      </c>
      <c r="AV425" t="inlineStr">
        <is>
          <t>35068157</t>
        </is>
      </c>
      <c r="AW425" t="inlineStr">
        <is>
          <t>991002683699702656</t>
        </is>
      </c>
      <c r="AX425" t="inlineStr">
        <is>
          <t>991002683699702656</t>
        </is>
      </c>
      <c r="AY425" t="inlineStr">
        <is>
          <t>2255464710002656</t>
        </is>
      </c>
      <c r="AZ425" t="inlineStr">
        <is>
          <t>BOOK</t>
        </is>
      </c>
      <c r="BB425" t="inlineStr">
        <is>
          <t>9780415909167</t>
        </is>
      </c>
      <c r="BC425" t="inlineStr">
        <is>
          <t>32285003533428</t>
        </is>
      </c>
      <c r="BD425" t="inlineStr">
        <is>
          <t>893421667</t>
        </is>
      </c>
    </row>
    <row r="426">
      <c r="A426" t="inlineStr">
        <is>
          <t>No</t>
        </is>
      </c>
      <c r="B426" t="inlineStr">
        <is>
          <t>HQ1154 .D63 1985</t>
        </is>
      </c>
      <c r="C426" t="inlineStr">
        <is>
          <t>0                      HQ 1154000D  63          1985</t>
        </is>
      </c>
      <c r="D426" t="inlineStr">
        <is>
          <t>Feminist theory : the intellectual traditions of American feminism / Josephine Donovan.</t>
        </is>
      </c>
      <c r="F426" t="inlineStr">
        <is>
          <t>No</t>
        </is>
      </c>
      <c r="G426" t="inlineStr">
        <is>
          <t>1</t>
        </is>
      </c>
      <c r="H426" t="inlineStr">
        <is>
          <t>No</t>
        </is>
      </c>
      <c r="I426" t="inlineStr">
        <is>
          <t>No</t>
        </is>
      </c>
      <c r="J426" t="inlineStr">
        <is>
          <t>0</t>
        </is>
      </c>
      <c r="K426" t="inlineStr">
        <is>
          <t>Donovan, Josephine, 1941-</t>
        </is>
      </c>
      <c r="L426" t="inlineStr">
        <is>
          <t>New York : F. Ungar Pub. Co., c1985.</t>
        </is>
      </c>
      <c r="M426" t="inlineStr">
        <is>
          <t>1985</t>
        </is>
      </c>
      <c r="O426" t="inlineStr">
        <is>
          <t>eng</t>
        </is>
      </c>
      <c r="P426" t="inlineStr">
        <is>
          <t>nyu</t>
        </is>
      </c>
      <c r="R426" t="inlineStr">
        <is>
          <t xml:space="preserve">HQ </t>
        </is>
      </c>
      <c r="S426" t="n">
        <v>19</v>
      </c>
      <c r="T426" t="n">
        <v>19</v>
      </c>
      <c r="U426" t="inlineStr">
        <is>
          <t>2009-10-16</t>
        </is>
      </c>
      <c r="V426" t="inlineStr">
        <is>
          <t>2009-10-16</t>
        </is>
      </c>
      <c r="W426" t="inlineStr">
        <is>
          <t>1991-09-03</t>
        </is>
      </c>
      <c r="X426" t="inlineStr">
        <is>
          <t>1991-09-03</t>
        </is>
      </c>
      <c r="Y426" t="n">
        <v>876</v>
      </c>
      <c r="Z426" t="n">
        <v>764</v>
      </c>
      <c r="AA426" t="n">
        <v>1355</v>
      </c>
      <c r="AB426" t="n">
        <v>6</v>
      </c>
      <c r="AC426" t="n">
        <v>10</v>
      </c>
      <c r="AD426" t="n">
        <v>31</v>
      </c>
      <c r="AE426" t="n">
        <v>50</v>
      </c>
      <c r="AF426" t="n">
        <v>12</v>
      </c>
      <c r="AG426" t="n">
        <v>22</v>
      </c>
      <c r="AH426" t="n">
        <v>6</v>
      </c>
      <c r="AI426" t="n">
        <v>10</v>
      </c>
      <c r="AJ426" t="n">
        <v>12</v>
      </c>
      <c r="AK426" t="n">
        <v>19</v>
      </c>
      <c r="AL426" t="n">
        <v>5</v>
      </c>
      <c r="AM426" t="n">
        <v>9</v>
      </c>
      <c r="AN426" t="n">
        <v>1</v>
      </c>
      <c r="AO426" t="n">
        <v>1</v>
      </c>
      <c r="AP426" t="inlineStr">
        <is>
          <t>No</t>
        </is>
      </c>
      <c r="AQ426" t="inlineStr">
        <is>
          <t>Yes</t>
        </is>
      </c>
      <c r="AR426">
        <f>HYPERLINK("http://catalog.hathitrust.org/Record/000468943","HathiTrust Record")</f>
        <v/>
      </c>
      <c r="AS426">
        <f>HYPERLINK("https://creighton-primo.hosted.exlibrisgroup.com/primo-explore/search?tab=default_tab&amp;search_scope=EVERYTHING&amp;vid=01CRU&amp;lang=en_US&amp;offset=0&amp;query=any,contains,991000657399702656","Catalog Record")</f>
        <v/>
      </c>
      <c r="AT426">
        <f>HYPERLINK("http://www.worldcat.org/oclc/12216872","WorldCat Record")</f>
        <v/>
      </c>
      <c r="AU426" t="inlineStr">
        <is>
          <t>4159865847:eng</t>
        </is>
      </c>
      <c r="AV426" t="inlineStr">
        <is>
          <t>12216872</t>
        </is>
      </c>
      <c r="AW426" t="inlineStr">
        <is>
          <t>991000657399702656</t>
        </is>
      </c>
      <c r="AX426" t="inlineStr">
        <is>
          <t>991000657399702656</t>
        </is>
      </c>
      <c r="AY426" t="inlineStr">
        <is>
          <t>2265470730002656</t>
        </is>
      </c>
      <c r="AZ426" t="inlineStr">
        <is>
          <t>BOOK</t>
        </is>
      </c>
      <c r="BB426" t="inlineStr">
        <is>
          <t>9780804461221</t>
        </is>
      </c>
      <c r="BC426" t="inlineStr">
        <is>
          <t>32285000734383</t>
        </is>
      </c>
      <c r="BD426" t="inlineStr">
        <is>
          <t>893884613</t>
        </is>
      </c>
    </row>
    <row r="427">
      <c r="A427" t="inlineStr">
        <is>
          <t>No</t>
        </is>
      </c>
      <c r="B427" t="inlineStr">
        <is>
          <t>HQ1154 .E818 1980</t>
        </is>
      </c>
      <c r="C427" t="inlineStr">
        <is>
          <t>0                      HQ 1154000E  818         1980</t>
        </is>
      </c>
      <c r="D427" t="inlineStr">
        <is>
          <t>Las feministas : los movimientos de emancipación de la mujer en Europa, América y Australasia, 1840-1920 / por Richard J. Evans ; traducción de Bárbara McShane y Javier Alfaya.</t>
        </is>
      </c>
      <c r="F427" t="inlineStr">
        <is>
          <t>No</t>
        </is>
      </c>
      <c r="G427" t="inlineStr">
        <is>
          <t>1</t>
        </is>
      </c>
      <c r="H427" t="inlineStr">
        <is>
          <t>No</t>
        </is>
      </c>
      <c r="I427" t="inlineStr">
        <is>
          <t>No</t>
        </is>
      </c>
      <c r="J427" t="inlineStr">
        <is>
          <t>0</t>
        </is>
      </c>
      <c r="K427" t="inlineStr">
        <is>
          <t>Evans, Richard J.</t>
        </is>
      </c>
      <c r="L427" t="inlineStr">
        <is>
          <t>Madrid : Siglo Veintiuno, 1980.</t>
        </is>
      </c>
      <c r="M427" t="inlineStr">
        <is>
          <t>1980</t>
        </is>
      </c>
      <c r="N427" t="inlineStr">
        <is>
          <t>1a ed. en castellano.</t>
        </is>
      </c>
      <c r="O427" t="inlineStr">
        <is>
          <t>spa</t>
        </is>
      </c>
      <c r="P427" t="inlineStr">
        <is>
          <t xml:space="preserve">sp </t>
        </is>
      </c>
      <c r="Q427" t="inlineStr">
        <is>
          <t>Historia</t>
        </is>
      </c>
      <c r="R427" t="inlineStr">
        <is>
          <t xml:space="preserve">HQ </t>
        </is>
      </c>
      <c r="S427" t="n">
        <v>1</v>
      </c>
      <c r="T427" t="n">
        <v>1</v>
      </c>
      <c r="U427" t="inlineStr">
        <is>
          <t>2002-04-09</t>
        </is>
      </c>
      <c r="V427" t="inlineStr">
        <is>
          <t>2002-04-09</t>
        </is>
      </c>
      <c r="W427" t="inlineStr">
        <is>
          <t>2002-03-14</t>
        </is>
      </c>
      <c r="X427" t="inlineStr">
        <is>
          <t>2002-03-14</t>
        </is>
      </c>
      <c r="Y427" t="n">
        <v>7</v>
      </c>
      <c r="Z427" t="n">
        <v>6</v>
      </c>
      <c r="AA427" t="n">
        <v>6</v>
      </c>
      <c r="AB427" t="n">
        <v>1</v>
      </c>
      <c r="AC427" t="n">
        <v>1</v>
      </c>
      <c r="AD427" t="n">
        <v>0</v>
      </c>
      <c r="AE427" t="n">
        <v>0</v>
      </c>
      <c r="AF427" t="n">
        <v>0</v>
      </c>
      <c r="AG427" t="n">
        <v>0</v>
      </c>
      <c r="AH427" t="n">
        <v>0</v>
      </c>
      <c r="AI427" t="n">
        <v>0</v>
      </c>
      <c r="AJ427" t="n">
        <v>0</v>
      </c>
      <c r="AK427" t="n">
        <v>0</v>
      </c>
      <c r="AL427" t="n">
        <v>0</v>
      </c>
      <c r="AM427" t="n">
        <v>0</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HYPERLINK("https://creighton-primo.hosted.exlibrisgroup.com/primo-explore/search?tab=default_tab&amp;search_scope=EVERYTHING&amp;vid=01CRU&amp;lang=en_US&amp;offset=0&amp;query=any,contains,991003765309702656","Catalog Record")</f>
        <v/>
      </c>
      <c r="AT427">
        <f>HYPERLINK("http://www.worldcat.org/oclc/11411734","WorldCat Record")</f>
        <v/>
      </c>
      <c r="AU427" t="inlineStr">
        <is>
          <t>3901040122:spa</t>
        </is>
      </c>
      <c r="AV427" t="inlineStr">
        <is>
          <t>11411734</t>
        </is>
      </c>
      <c r="AW427" t="inlineStr">
        <is>
          <t>991003765309702656</t>
        </is>
      </c>
      <c r="AX427" t="inlineStr">
        <is>
          <t>991003765309702656</t>
        </is>
      </c>
      <c r="AY427" t="inlineStr">
        <is>
          <t>2270631570002656</t>
        </is>
      </c>
      <c r="AZ427" t="inlineStr">
        <is>
          <t>BOOK</t>
        </is>
      </c>
      <c r="BB427" t="inlineStr">
        <is>
          <t>9788432303920</t>
        </is>
      </c>
      <c r="BC427" t="inlineStr">
        <is>
          <t>32285004461215</t>
        </is>
      </c>
      <c r="BD427" t="inlineStr">
        <is>
          <t>893240569</t>
        </is>
      </c>
    </row>
    <row r="428">
      <c r="A428" t="inlineStr">
        <is>
          <t>No</t>
        </is>
      </c>
      <c r="B428" t="inlineStr">
        <is>
          <t>HQ1154 .E9 1976</t>
        </is>
      </c>
      <c r="C428" t="inlineStr">
        <is>
          <t>0                      HQ 1154000E  9           1976</t>
        </is>
      </c>
      <c r="D428" t="inlineStr">
        <is>
          <t>The feminist movement in Germany, 1894-1933 / Richard J. Evans.</t>
        </is>
      </c>
      <c r="F428" t="inlineStr">
        <is>
          <t>No</t>
        </is>
      </c>
      <c r="G428" t="inlineStr">
        <is>
          <t>1</t>
        </is>
      </c>
      <c r="H428" t="inlineStr">
        <is>
          <t>No</t>
        </is>
      </c>
      <c r="I428" t="inlineStr">
        <is>
          <t>No</t>
        </is>
      </c>
      <c r="J428" t="inlineStr">
        <is>
          <t>0</t>
        </is>
      </c>
      <c r="K428" t="inlineStr">
        <is>
          <t>Evans, Richard J.</t>
        </is>
      </c>
      <c r="L428" t="inlineStr">
        <is>
          <t>London ; Beverly Hills : Sage Publications, c1976.</t>
        </is>
      </c>
      <c r="M428" t="inlineStr">
        <is>
          <t>1976</t>
        </is>
      </c>
      <c r="O428" t="inlineStr">
        <is>
          <t>eng</t>
        </is>
      </c>
      <c r="P428" t="inlineStr">
        <is>
          <t>enk</t>
        </is>
      </c>
      <c r="Q428" t="inlineStr">
        <is>
          <t>Sage studies in 20th century history ; v. 6</t>
        </is>
      </c>
      <c r="R428" t="inlineStr">
        <is>
          <t xml:space="preserve">HQ </t>
        </is>
      </c>
      <c r="S428" t="n">
        <v>2</v>
      </c>
      <c r="T428" t="n">
        <v>2</v>
      </c>
      <c r="U428" t="inlineStr">
        <is>
          <t>2009-05-01</t>
        </is>
      </c>
      <c r="V428" t="inlineStr">
        <is>
          <t>2009-05-01</t>
        </is>
      </c>
      <c r="W428" t="inlineStr">
        <is>
          <t>1997-08-14</t>
        </is>
      </c>
      <c r="X428" t="inlineStr">
        <is>
          <t>1997-08-14</t>
        </is>
      </c>
      <c r="Y428" t="n">
        <v>660</v>
      </c>
      <c r="Z428" t="n">
        <v>463</v>
      </c>
      <c r="AA428" t="n">
        <v>485</v>
      </c>
      <c r="AB428" t="n">
        <v>6</v>
      </c>
      <c r="AC428" t="n">
        <v>6</v>
      </c>
      <c r="AD428" t="n">
        <v>26</v>
      </c>
      <c r="AE428" t="n">
        <v>26</v>
      </c>
      <c r="AF428" t="n">
        <v>11</v>
      </c>
      <c r="AG428" t="n">
        <v>11</v>
      </c>
      <c r="AH428" t="n">
        <v>6</v>
      </c>
      <c r="AI428" t="n">
        <v>6</v>
      </c>
      <c r="AJ428" t="n">
        <v>11</v>
      </c>
      <c r="AK428" t="n">
        <v>11</v>
      </c>
      <c r="AL428" t="n">
        <v>5</v>
      </c>
      <c r="AM428" t="n">
        <v>5</v>
      </c>
      <c r="AN428" t="n">
        <v>1</v>
      </c>
      <c r="AO428" t="n">
        <v>1</v>
      </c>
      <c r="AP428" t="inlineStr">
        <is>
          <t>No</t>
        </is>
      </c>
      <c r="AQ428" t="inlineStr">
        <is>
          <t>Yes</t>
        </is>
      </c>
      <c r="AR428">
        <f>HYPERLINK("http://catalog.hathitrust.org/Record/000171398","HathiTrust Record")</f>
        <v/>
      </c>
      <c r="AS428">
        <f>HYPERLINK("https://creighton-primo.hosted.exlibrisgroup.com/primo-explore/search?tab=default_tab&amp;search_scope=EVERYTHING&amp;vid=01CRU&amp;lang=en_US&amp;offset=0&amp;query=any,contains,991004222879702656","Catalog Record")</f>
        <v/>
      </c>
      <c r="AT428">
        <f>HYPERLINK("http://www.worldcat.org/oclc/2718500","WorldCat Record")</f>
        <v/>
      </c>
      <c r="AU428" t="inlineStr">
        <is>
          <t>5911068:eng</t>
        </is>
      </c>
      <c r="AV428" t="inlineStr">
        <is>
          <t>2718500</t>
        </is>
      </c>
      <c r="AW428" t="inlineStr">
        <is>
          <t>991004222879702656</t>
        </is>
      </c>
      <c r="AX428" t="inlineStr">
        <is>
          <t>991004222879702656</t>
        </is>
      </c>
      <c r="AY428" t="inlineStr">
        <is>
          <t>2271302350002656</t>
        </is>
      </c>
      <c r="AZ428" t="inlineStr">
        <is>
          <t>BOOK</t>
        </is>
      </c>
      <c r="BB428" t="inlineStr">
        <is>
          <t>9780803999510</t>
        </is>
      </c>
      <c r="BC428" t="inlineStr">
        <is>
          <t>32285003103909</t>
        </is>
      </c>
      <c r="BD428" t="inlineStr">
        <is>
          <t>893882206</t>
        </is>
      </c>
    </row>
    <row r="429">
      <c r="A429" t="inlineStr">
        <is>
          <t>No</t>
        </is>
      </c>
      <c r="B429" t="inlineStr">
        <is>
          <t>HQ1154 .F4425 1987</t>
        </is>
      </c>
      <c r="C429" t="inlineStr">
        <is>
          <t>0                      HQ 1154000F  4425        1987</t>
        </is>
      </c>
      <c r="D429" t="inlineStr">
        <is>
          <t>Feminism and equality / edited by Anne Phillips.</t>
        </is>
      </c>
      <c r="F429" t="inlineStr">
        <is>
          <t>No</t>
        </is>
      </c>
      <c r="G429" t="inlineStr">
        <is>
          <t>1</t>
        </is>
      </c>
      <c r="H429" t="inlineStr">
        <is>
          <t>No</t>
        </is>
      </c>
      <c r="I429" t="inlineStr">
        <is>
          <t>No</t>
        </is>
      </c>
      <c r="J429" t="inlineStr">
        <is>
          <t>0</t>
        </is>
      </c>
      <c r="L429" t="inlineStr">
        <is>
          <t>New York : New York University Press, 1987.</t>
        </is>
      </c>
      <c r="M429" t="inlineStr">
        <is>
          <t>1987</t>
        </is>
      </c>
      <c r="O429" t="inlineStr">
        <is>
          <t>eng</t>
        </is>
      </c>
      <c r="P429" t="inlineStr">
        <is>
          <t>nyu</t>
        </is>
      </c>
      <c r="Q429" t="inlineStr">
        <is>
          <t>Readings in social and political theory</t>
        </is>
      </c>
      <c r="R429" t="inlineStr">
        <is>
          <t xml:space="preserve">HQ </t>
        </is>
      </c>
      <c r="S429" t="n">
        <v>6</v>
      </c>
      <c r="T429" t="n">
        <v>6</v>
      </c>
      <c r="U429" t="inlineStr">
        <is>
          <t>2003-11-24</t>
        </is>
      </c>
      <c r="V429" t="inlineStr">
        <is>
          <t>2003-11-24</t>
        </is>
      </c>
      <c r="W429" t="inlineStr">
        <is>
          <t>1991-12-06</t>
        </is>
      </c>
      <c r="X429" t="inlineStr">
        <is>
          <t>1991-12-06</t>
        </is>
      </c>
      <c r="Y429" t="n">
        <v>329</v>
      </c>
      <c r="Z429" t="n">
        <v>268</v>
      </c>
      <c r="AA429" t="n">
        <v>288</v>
      </c>
      <c r="AB429" t="n">
        <v>4</v>
      </c>
      <c r="AC429" t="n">
        <v>4</v>
      </c>
      <c r="AD429" t="n">
        <v>17</v>
      </c>
      <c r="AE429" t="n">
        <v>18</v>
      </c>
      <c r="AF429" t="n">
        <v>5</v>
      </c>
      <c r="AG429" t="n">
        <v>5</v>
      </c>
      <c r="AH429" t="n">
        <v>5</v>
      </c>
      <c r="AI429" t="n">
        <v>6</v>
      </c>
      <c r="AJ429" t="n">
        <v>6</v>
      </c>
      <c r="AK429" t="n">
        <v>7</v>
      </c>
      <c r="AL429" t="n">
        <v>3</v>
      </c>
      <c r="AM429" t="n">
        <v>3</v>
      </c>
      <c r="AN429" t="n">
        <v>2</v>
      </c>
      <c r="AO429" t="n">
        <v>2</v>
      </c>
      <c r="AP429" t="inlineStr">
        <is>
          <t>No</t>
        </is>
      </c>
      <c r="AQ429" t="inlineStr">
        <is>
          <t>No</t>
        </is>
      </c>
      <c r="AS429">
        <f>HYPERLINK("https://creighton-primo.hosted.exlibrisgroup.com/primo-explore/search?tab=default_tab&amp;search_scope=EVERYTHING&amp;vid=01CRU&amp;lang=en_US&amp;offset=0&amp;query=any,contains,991001047329702656","Catalog Record")</f>
        <v/>
      </c>
      <c r="AT429">
        <f>HYPERLINK("http://www.worldcat.org/oclc/15629724","WorldCat Record")</f>
        <v/>
      </c>
      <c r="AU429" t="inlineStr">
        <is>
          <t>152269048:eng</t>
        </is>
      </c>
      <c r="AV429" t="inlineStr">
        <is>
          <t>15629724</t>
        </is>
      </c>
      <c r="AW429" t="inlineStr">
        <is>
          <t>991001047329702656</t>
        </is>
      </c>
      <c r="AX429" t="inlineStr">
        <is>
          <t>991001047329702656</t>
        </is>
      </c>
      <c r="AY429" t="inlineStr">
        <is>
          <t>2268995980002656</t>
        </is>
      </c>
      <c r="AZ429" t="inlineStr">
        <is>
          <t>BOOK</t>
        </is>
      </c>
      <c r="BB429" t="inlineStr">
        <is>
          <t>9780814766057</t>
        </is>
      </c>
      <c r="BC429" t="inlineStr">
        <is>
          <t>32285000828771</t>
        </is>
      </c>
      <c r="BD429" t="inlineStr">
        <is>
          <t>893346200</t>
        </is>
      </c>
    </row>
    <row r="430">
      <c r="A430" t="inlineStr">
        <is>
          <t>No</t>
        </is>
      </c>
      <c r="B430" t="inlineStr">
        <is>
          <t>HQ1154 .F4434 1986</t>
        </is>
      </c>
      <c r="C430" t="inlineStr">
        <is>
          <t>0                      HQ 1154000F  4434        1986</t>
        </is>
      </c>
      <c r="D430" t="inlineStr">
        <is>
          <t>Feminism and political theory / Judith Evans ... [et al.].</t>
        </is>
      </c>
      <c r="F430" t="inlineStr">
        <is>
          <t>No</t>
        </is>
      </c>
      <c r="G430" t="inlineStr">
        <is>
          <t>1</t>
        </is>
      </c>
      <c r="H430" t="inlineStr">
        <is>
          <t>No</t>
        </is>
      </c>
      <c r="I430" t="inlineStr">
        <is>
          <t>No</t>
        </is>
      </c>
      <c r="J430" t="inlineStr">
        <is>
          <t>0</t>
        </is>
      </c>
      <c r="L430" t="inlineStr">
        <is>
          <t>London ; Beverly Hills, Calif. : Sage Publications, 1986.</t>
        </is>
      </c>
      <c r="M430" t="inlineStr">
        <is>
          <t>1986</t>
        </is>
      </c>
      <c r="O430" t="inlineStr">
        <is>
          <t>eng</t>
        </is>
      </c>
      <c r="P430" t="inlineStr">
        <is>
          <t>enk</t>
        </is>
      </c>
      <c r="R430" t="inlineStr">
        <is>
          <t xml:space="preserve">HQ </t>
        </is>
      </c>
      <c r="S430" t="n">
        <v>8</v>
      </c>
      <c r="T430" t="n">
        <v>8</v>
      </c>
      <c r="U430" t="inlineStr">
        <is>
          <t>2007-04-27</t>
        </is>
      </c>
      <c r="V430" t="inlineStr">
        <is>
          <t>2007-04-27</t>
        </is>
      </c>
      <c r="W430" t="inlineStr">
        <is>
          <t>1992-01-24</t>
        </is>
      </c>
      <c r="X430" t="inlineStr">
        <is>
          <t>1992-01-24</t>
        </is>
      </c>
      <c r="Y430" t="n">
        <v>489</v>
      </c>
      <c r="Z430" t="n">
        <v>306</v>
      </c>
      <c r="AA430" t="n">
        <v>315</v>
      </c>
      <c r="AB430" t="n">
        <v>3</v>
      </c>
      <c r="AC430" t="n">
        <v>3</v>
      </c>
      <c r="AD430" t="n">
        <v>16</v>
      </c>
      <c r="AE430" t="n">
        <v>16</v>
      </c>
      <c r="AF430" t="n">
        <v>4</v>
      </c>
      <c r="AG430" t="n">
        <v>4</v>
      </c>
      <c r="AH430" t="n">
        <v>2</v>
      </c>
      <c r="AI430" t="n">
        <v>2</v>
      </c>
      <c r="AJ430" t="n">
        <v>11</v>
      </c>
      <c r="AK430" t="n">
        <v>11</v>
      </c>
      <c r="AL430" t="n">
        <v>2</v>
      </c>
      <c r="AM430" t="n">
        <v>2</v>
      </c>
      <c r="AN430" t="n">
        <v>2</v>
      </c>
      <c r="AO430" t="n">
        <v>2</v>
      </c>
      <c r="AP430" t="inlineStr">
        <is>
          <t>No</t>
        </is>
      </c>
      <c r="AQ430" t="inlineStr">
        <is>
          <t>Yes</t>
        </is>
      </c>
      <c r="AR430">
        <f>HYPERLINK("http://catalog.hathitrust.org/Record/000393989","HathiTrust Record")</f>
        <v/>
      </c>
      <c r="AS430">
        <f>HYPERLINK("https://creighton-primo.hosted.exlibrisgroup.com/primo-explore/search?tab=default_tab&amp;search_scope=EVERYTHING&amp;vid=01CRU&amp;lang=en_US&amp;offset=0&amp;query=any,contains,991000964109702656","Catalog Record")</f>
        <v/>
      </c>
      <c r="AT430">
        <f>HYPERLINK("http://www.worldcat.org/oclc/14904217","WorldCat Record")</f>
        <v/>
      </c>
      <c r="AU430" t="inlineStr">
        <is>
          <t>54781726:eng</t>
        </is>
      </c>
      <c r="AV430" t="inlineStr">
        <is>
          <t>14904217</t>
        </is>
      </c>
      <c r="AW430" t="inlineStr">
        <is>
          <t>991000964109702656</t>
        </is>
      </c>
      <c r="AX430" t="inlineStr">
        <is>
          <t>991000964109702656</t>
        </is>
      </c>
      <c r="AY430" t="inlineStr">
        <is>
          <t>2266881450002656</t>
        </is>
      </c>
      <c r="AZ430" t="inlineStr">
        <is>
          <t>BOOK</t>
        </is>
      </c>
      <c r="BB430" t="inlineStr">
        <is>
          <t>9780803997066</t>
        </is>
      </c>
      <c r="BC430" t="inlineStr">
        <is>
          <t>32285000918390</t>
        </is>
      </c>
      <c r="BD430" t="inlineStr">
        <is>
          <t>893502976</t>
        </is>
      </c>
    </row>
    <row r="431">
      <c r="A431" t="inlineStr">
        <is>
          <t>No</t>
        </is>
      </c>
      <c r="B431" t="inlineStr">
        <is>
          <t>HQ1154 .F44565 1990</t>
        </is>
      </c>
      <c r="C431" t="inlineStr">
        <is>
          <t>0                      HQ 1154000F  44565       1990</t>
        </is>
      </c>
      <c r="D431" t="inlineStr">
        <is>
          <t>Feminist knowledge : critique and construct / edited by Sneja Gunew.</t>
        </is>
      </c>
      <c r="F431" t="inlineStr">
        <is>
          <t>No</t>
        </is>
      </c>
      <c r="G431" t="inlineStr">
        <is>
          <t>1</t>
        </is>
      </c>
      <c r="H431" t="inlineStr">
        <is>
          <t>No</t>
        </is>
      </c>
      <c r="I431" t="inlineStr">
        <is>
          <t>No</t>
        </is>
      </c>
      <c r="J431" t="inlineStr">
        <is>
          <t>0</t>
        </is>
      </c>
      <c r="L431" t="inlineStr">
        <is>
          <t>London ; New York : Routledge, 1990.</t>
        </is>
      </c>
      <c r="M431" t="inlineStr">
        <is>
          <t>1990</t>
        </is>
      </c>
      <c r="O431" t="inlineStr">
        <is>
          <t>eng</t>
        </is>
      </c>
      <c r="P431" t="inlineStr">
        <is>
          <t>enk</t>
        </is>
      </c>
      <c r="R431" t="inlineStr">
        <is>
          <t xml:space="preserve">HQ </t>
        </is>
      </c>
      <c r="S431" t="n">
        <v>5</v>
      </c>
      <c r="T431" t="n">
        <v>5</v>
      </c>
      <c r="U431" t="inlineStr">
        <is>
          <t>2009-01-23</t>
        </is>
      </c>
      <c r="V431" t="inlineStr">
        <is>
          <t>2009-01-23</t>
        </is>
      </c>
      <c r="W431" t="inlineStr">
        <is>
          <t>1993-11-23</t>
        </is>
      </c>
      <c r="X431" t="inlineStr">
        <is>
          <t>1993-11-23</t>
        </is>
      </c>
      <c r="Y431" t="n">
        <v>415</v>
      </c>
      <c r="Z431" t="n">
        <v>219</v>
      </c>
      <c r="AA431" t="n">
        <v>614</v>
      </c>
      <c r="AB431" t="n">
        <v>3</v>
      </c>
      <c r="AC431" t="n">
        <v>7</v>
      </c>
      <c r="AD431" t="n">
        <v>18</v>
      </c>
      <c r="AE431" t="n">
        <v>35</v>
      </c>
      <c r="AF431" t="n">
        <v>3</v>
      </c>
      <c r="AG431" t="n">
        <v>10</v>
      </c>
      <c r="AH431" t="n">
        <v>5</v>
      </c>
      <c r="AI431" t="n">
        <v>9</v>
      </c>
      <c r="AJ431" t="n">
        <v>10</v>
      </c>
      <c r="AK431" t="n">
        <v>14</v>
      </c>
      <c r="AL431" t="n">
        <v>2</v>
      </c>
      <c r="AM431" t="n">
        <v>6</v>
      </c>
      <c r="AN431" t="n">
        <v>1</v>
      </c>
      <c r="AO431" t="n">
        <v>1</v>
      </c>
      <c r="AP431" t="inlineStr">
        <is>
          <t>No</t>
        </is>
      </c>
      <c r="AQ431" t="inlineStr">
        <is>
          <t>No</t>
        </is>
      </c>
      <c r="AS431">
        <f>HYPERLINK("https://creighton-primo.hosted.exlibrisgroup.com/primo-explore/search?tab=default_tab&amp;search_scope=EVERYTHING&amp;vid=01CRU&amp;lang=en_US&amp;offset=0&amp;query=any,contains,991001563069702656","Catalog Record")</f>
        <v/>
      </c>
      <c r="AT431">
        <f>HYPERLINK("http://www.worldcat.org/oclc/20318741","WorldCat Record")</f>
        <v/>
      </c>
      <c r="AU431" t="inlineStr">
        <is>
          <t>836727433:eng</t>
        </is>
      </c>
      <c r="AV431" t="inlineStr">
        <is>
          <t>20318741</t>
        </is>
      </c>
      <c r="AW431" t="inlineStr">
        <is>
          <t>991001563069702656</t>
        </is>
      </c>
      <c r="AX431" t="inlineStr">
        <is>
          <t>991001563069702656</t>
        </is>
      </c>
      <c r="AY431" t="inlineStr">
        <is>
          <t>2257760980002656</t>
        </is>
      </c>
      <c r="AZ431" t="inlineStr">
        <is>
          <t>BOOK</t>
        </is>
      </c>
      <c r="BB431" t="inlineStr">
        <is>
          <t>9780415012270</t>
        </is>
      </c>
      <c r="BC431" t="inlineStr">
        <is>
          <t>32285001813160</t>
        </is>
      </c>
      <c r="BD431" t="inlineStr">
        <is>
          <t>893414319</t>
        </is>
      </c>
    </row>
    <row r="432">
      <c r="A432" t="inlineStr">
        <is>
          <t>No</t>
        </is>
      </c>
      <c r="B432" t="inlineStr">
        <is>
          <t>HQ1154 .F448 1988</t>
        </is>
      </c>
      <c r="C432" t="inlineStr">
        <is>
          <t>0                      HQ 1154000F  448         1988</t>
        </is>
      </c>
      <c r="D432" t="inlineStr">
        <is>
          <t>Feminist thought and the structure of knowledge / edited by Mary McCanney Gergen.</t>
        </is>
      </c>
      <c r="F432" t="inlineStr">
        <is>
          <t>No</t>
        </is>
      </c>
      <c r="G432" t="inlineStr">
        <is>
          <t>1</t>
        </is>
      </c>
      <c r="H432" t="inlineStr">
        <is>
          <t>No</t>
        </is>
      </c>
      <c r="I432" t="inlineStr">
        <is>
          <t>No</t>
        </is>
      </c>
      <c r="J432" t="inlineStr">
        <is>
          <t>0</t>
        </is>
      </c>
      <c r="L432" t="inlineStr">
        <is>
          <t>New York : New York University Press, c1988.</t>
        </is>
      </c>
      <c r="M432" t="inlineStr">
        <is>
          <t>1988</t>
        </is>
      </c>
      <c r="O432" t="inlineStr">
        <is>
          <t>eng</t>
        </is>
      </c>
      <c r="P432" t="inlineStr">
        <is>
          <t>nyu</t>
        </is>
      </c>
      <c r="R432" t="inlineStr">
        <is>
          <t xml:space="preserve">HQ </t>
        </is>
      </c>
      <c r="S432" t="n">
        <v>9</v>
      </c>
      <c r="T432" t="n">
        <v>9</v>
      </c>
      <c r="U432" t="inlineStr">
        <is>
          <t>2006-03-15</t>
        </is>
      </c>
      <c r="V432" t="inlineStr">
        <is>
          <t>2006-03-15</t>
        </is>
      </c>
      <c r="W432" t="inlineStr">
        <is>
          <t>1992-06-17</t>
        </is>
      </c>
      <c r="X432" t="inlineStr">
        <is>
          <t>1992-06-17</t>
        </is>
      </c>
      <c r="Y432" t="n">
        <v>682</v>
      </c>
      <c r="Z432" t="n">
        <v>556</v>
      </c>
      <c r="AA432" t="n">
        <v>556</v>
      </c>
      <c r="AB432" t="n">
        <v>5</v>
      </c>
      <c r="AC432" t="n">
        <v>5</v>
      </c>
      <c r="AD432" t="n">
        <v>35</v>
      </c>
      <c r="AE432" t="n">
        <v>35</v>
      </c>
      <c r="AF432" t="n">
        <v>14</v>
      </c>
      <c r="AG432" t="n">
        <v>14</v>
      </c>
      <c r="AH432" t="n">
        <v>8</v>
      </c>
      <c r="AI432" t="n">
        <v>8</v>
      </c>
      <c r="AJ432" t="n">
        <v>16</v>
      </c>
      <c r="AK432" t="n">
        <v>16</v>
      </c>
      <c r="AL432" t="n">
        <v>4</v>
      </c>
      <c r="AM432" t="n">
        <v>4</v>
      </c>
      <c r="AN432" t="n">
        <v>1</v>
      </c>
      <c r="AO432" t="n">
        <v>1</v>
      </c>
      <c r="AP432" t="inlineStr">
        <is>
          <t>No</t>
        </is>
      </c>
      <c r="AQ432" t="inlineStr">
        <is>
          <t>No</t>
        </is>
      </c>
      <c r="AS432">
        <f>HYPERLINK("https://creighton-primo.hosted.exlibrisgroup.com/primo-explore/search?tab=default_tab&amp;search_scope=EVERYTHING&amp;vid=01CRU&amp;lang=en_US&amp;offset=0&amp;query=any,contains,991001195099702656","Catalog Record")</f>
        <v/>
      </c>
      <c r="AT432">
        <f>HYPERLINK("http://www.worldcat.org/oclc/17265743","WorldCat Record")</f>
        <v/>
      </c>
      <c r="AU432" t="inlineStr">
        <is>
          <t>15645256:eng</t>
        </is>
      </c>
      <c r="AV432" t="inlineStr">
        <is>
          <t>17265743</t>
        </is>
      </c>
      <c r="AW432" t="inlineStr">
        <is>
          <t>991001195099702656</t>
        </is>
      </c>
      <c r="AX432" t="inlineStr">
        <is>
          <t>991001195099702656</t>
        </is>
      </c>
      <c r="AY432" t="inlineStr">
        <is>
          <t>2263912700002656</t>
        </is>
      </c>
      <c r="AZ432" t="inlineStr">
        <is>
          <t>BOOK</t>
        </is>
      </c>
      <c r="BB432" t="inlineStr">
        <is>
          <t>9780814730133</t>
        </is>
      </c>
      <c r="BC432" t="inlineStr">
        <is>
          <t>32285001132371</t>
        </is>
      </c>
      <c r="BD432" t="inlineStr">
        <is>
          <t>893522378</t>
        </is>
      </c>
    </row>
    <row r="433">
      <c r="A433" t="inlineStr">
        <is>
          <t>No</t>
        </is>
      </c>
      <c r="B433" t="inlineStr">
        <is>
          <t>HQ1154 .F47 1989</t>
        </is>
      </c>
      <c r="C433" t="inlineStr">
        <is>
          <t>0                      HQ 1154000F  47          1989</t>
        </is>
      </c>
      <c r="D433" t="inlineStr">
        <is>
          <t>Blood at the root ; motherhood, sexuality and male dominance / Ann Ferguson.</t>
        </is>
      </c>
      <c r="F433" t="inlineStr">
        <is>
          <t>No</t>
        </is>
      </c>
      <c r="G433" t="inlineStr">
        <is>
          <t>1</t>
        </is>
      </c>
      <c r="H433" t="inlineStr">
        <is>
          <t>No</t>
        </is>
      </c>
      <c r="I433" t="inlineStr">
        <is>
          <t>No</t>
        </is>
      </c>
      <c r="J433" t="inlineStr">
        <is>
          <t>0</t>
        </is>
      </c>
      <c r="K433" t="inlineStr">
        <is>
          <t>Ferguson, Ann.</t>
        </is>
      </c>
      <c r="L433" t="inlineStr">
        <is>
          <t>London : Pandora, 1989.</t>
        </is>
      </c>
      <c r="M433" t="inlineStr">
        <is>
          <t>1989</t>
        </is>
      </c>
      <c r="O433" t="inlineStr">
        <is>
          <t>eng</t>
        </is>
      </c>
      <c r="P433" t="inlineStr">
        <is>
          <t>enk</t>
        </is>
      </c>
      <c r="R433" t="inlineStr">
        <is>
          <t xml:space="preserve">HQ </t>
        </is>
      </c>
      <c r="S433" t="n">
        <v>5</v>
      </c>
      <c r="T433" t="n">
        <v>5</v>
      </c>
      <c r="U433" t="inlineStr">
        <is>
          <t>1994-10-06</t>
        </is>
      </c>
      <c r="V433" t="inlineStr">
        <is>
          <t>1994-10-06</t>
        </is>
      </c>
      <c r="W433" t="inlineStr">
        <is>
          <t>1990-02-07</t>
        </is>
      </c>
      <c r="X433" t="inlineStr">
        <is>
          <t>1990-02-07</t>
        </is>
      </c>
      <c r="Y433" t="n">
        <v>391</v>
      </c>
      <c r="Z433" t="n">
        <v>274</v>
      </c>
      <c r="AA433" t="n">
        <v>280</v>
      </c>
      <c r="AB433" t="n">
        <v>3</v>
      </c>
      <c r="AC433" t="n">
        <v>3</v>
      </c>
      <c r="AD433" t="n">
        <v>15</v>
      </c>
      <c r="AE433" t="n">
        <v>15</v>
      </c>
      <c r="AF433" t="n">
        <v>2</v>
      </c>
      <c r="AG433" t="n">
        <v>2</v>
      </c>
      <c r="AH433" t="n">
        <v>4</v>
      </c>
      <c r="AI433" t="n">
        <v>4</v>
      </c>
      <c r="AJ433" t="n">
        <v>8</v>
      </c>
      <c r="AK433" t="n">
        <v>8</v>
      </c>
      <c r="AL433" t="n">
        <v>2</v>
      </c>
      <c r="AM433" t="n">
        <v>2</v>
      </c>
      <c r="AN433" t="n">
        <v>1</v>
      </c>
      <c r="AO433" t="n">
        <v>1</v>
      </c>
      <c r="AP433" t="inlineStr">
        <is>
          <t>No</t>
        </is>
      </c>
      <c r="AQ433" t="inlineStr">
        <is>
          <t>Yes</t>
        </is>
      </c>
      <c r="AR433">
        <f>HYPERLINK("http://catalog.hathitrust.org/Record/001527841","HathiTrust Record")</f>
        <v/>
      </c>
      <c r="AS433">
        <f>HYPERLINK("https://creighton-primo.hosted.exlibrisgroup.com/primo-explore/search?tab=default_tab&amp;search_scope=EVERYTHING&amp;vid=01CRU&amp;lang=en_US&amp;offset=0&amp;query=any,contains,991001444059702656","Catalog Record")</f>
        <v/>
      </c>
      <c r="AT433">
        <f>HYPERLINK("http://www.worldcat.org/oclc/19266840","WorldCat Record")</f>
        <v/>
      </c>
      <c r="AU433" t="inlineStr">
        <is>
          <t>836849934:eng</t>
        </is>
      </c>
      <c r="AV433" t="inlineStr">
        <is>
          <t>19266840</t>
        </is>
      </c>
      <c r="AW433" t="inlineStr">
        <is>
          <t>991001444059702656</t>
        </is>
      </c>
      <c r="AX433" t="inlineStr">
        <is>
          <t>991001444059702656</t>
        </is>
      </c>
      <c r="AY433" t="inlineStr">
        <is>
          <t>2264397240002656</t>
        </is>
      </c>
      <c r="AZ433" t="inlineStr">
        <is>
          <t>BOOK</t>
        </is>
      </c>
      <c r="BB433" t="inlineStr">
        <is>
          <t>9780044404453</t>
        </is>
      </c>
      <c r="BC433" t="inlineStr">
        <is>
          <t>32285000033604</t>
        </is>
      </c>
      <c r="BD433" t="inlineStr">
        <is>
          <t>893696751</t>
        </is>
      </c>
    </row>
    <row r="434">
      <c r="A434" t="inlineStr">
        <is>
          <t>No</t>
        </is>
      </c>
      <c r="B434" t="inlineStr">
        <is>
          <t>HQ1154 .F744 1992</t>
        </is>
      </c>
      <c r="C434" t="inlineStr">
        <is>
          <t>0                      HQ 1154000F  744         1992</t>
        </is>
      </c>
      <c r="D434" t="inlineStr">
        <is>
          <t>The war against women / Marilyn French.</t>
        </is>
      </c>
      <c r="F434" t="inlineStr">
        <is>
          <t>No</t>
        </is>
      </c>
      <c r="G434" t="inlineStr">
        <is>
          <t>1</t>
        </is>
      </c>
      <c r="H434" t="inlineStr">
        <is>
          <t>No</t>
        </is>
      </c>
      <c r="I434" t="inlineStr">
        <is>
          <t>Yes</t>
        </is>
      </c>
      <c r="J434" t="inlineStr">
        <is>
          <t>0</t>
        </is>
      </c>
      <c r="K434" t="inlineStr">
        <is>
          <t>French, Marilyn, 1929-2009.</t>
        </is>
      </c>
      <c r="L434" t="inlineStr">
        <is>
          <t>New York : Summit Books, c1992.</t>
        </is>
      </c>
      <c r="M434" t="inlineStr">
        <is>
          <t>1992</t>
        </is>
      </c>
      <c r="O434" t="inlineStr">
        <is>
          <t>eng</t>
        </is>
      </c>
      <c r="P434" t="inlineStr">
        <is>
          <t>nyu</t>
        </is>
      </c>
      <c r="R434" t="inlineStr">
        <is>
          <t xml:space="preserve">HQ </t>
        </is>
      </c>
      <c r="S434" t="n">
        <v>16</v>
      </c>
      <c r="T434" t="n">
        <v>16</v>
      </c>
      <c r="U434" t="inlineStr">
        <is>
          <t>1998-09-22</t>
        </is>
      </c>
      <c r="V434" t="inlineStr">
        <is>
          <t>1998-09-22</t>
        </is>
      </c>
      <c r="W434" t="inlineStr">
        <is>
          <t>1992-08-12</t>
        </is>
      </c>
      <c r="X434" t="inlineStr">
        <is>
          <t>1992-08-12</t>
        </is>
      </c>
      <c r="Y434" t="n">
        <v>1685</v>
      </c>
      <c r="Z434" t="n">
        <v>1528</v>
      </c>
      <c r="AA434" t="n">
        <v>1736</v>
      </c>
      <c r="AB434" t="n">
        <v>15</v>
      </c>
      <c r="AC434" t="n">
        <v>16</v>
      </c>
      <c r="AD434" t="n">
        <v>47</v>
      </c>
      <c r="AE434" t="n">
        <v>51</v>
      </c>
      <c r="AF434" t="n">
        <v>15</v>
      </c>
      <c r="AG434" t="n">
        <v>19</v>
      </c>
      <c r="AH434" t="n">
        <v>9</v>
      </c>
      <c r="AI434" t="n">
        <v>9</v>
      </c>
      <c r="AJ434" t="n">
        <v>21</v>
      </c>
      <c r="AK434" t="n">
        <v>22</v>
      </c>
      <c r="AL434" t="n">
        <v>9</v>
      </c>
      <c r="AM434" t="n">
        <v>9</v>
      </c>
      <c r="AN434" t="n">
        <v>4</v>
      </c>
      <c r="AO434" t="n">
        <v>4</v>
      </c>
      <c r="AP434" t="inlineStr">
        <is>
          <t>No</t>
        </is>
      </c>
      <c r="AQ434" t="inlineStr">
        <is>
          <t>Yes</t>
        </is>
      </c>
      <c r="AR434">
        <f>HYPERLINK("http://catalog.hathitrust.org/Record/002536695","HathiTrust Record")</f>
        <v/>
      </c>
      <c r="AS434">
        <f>HYPERLINK("https://creighton-primo.hosted.exlibrisgroup.com/primo-explore/search?tab=default_tab&amp;search_scope=EVERYTHING&amp;vid=01CRU&amp;lang=en_US&amp;offset=0&amp;query=any,contains,991001983179702656","Catalog Record")</f>
        <v/>
      </c>
      <c r="AT434">
        <f>HYPERLINK("http://www.worldcat.org/oclc/25165015","WorldCat Record")</f>
        <v/>
      </c>
      <c r="AU434" t="inlineStr">
        <is>
          <t>197419024:eng</t>
        </is>
      </c>
      <c r="AV434" t="inlineStr">
        <is>
          <t>25165015</t>
        </is>
      </c>
      <c r="AW434" t="inlineStr">
        <is>
          <t>991001983179702656</t>
        </is>
      </c>
      <c r="AX434" t="inlineStr">
        <is>
          <t>991001983179702656</t>
        </is>
      </c>
      <c r="AY434" t="inlineStr">
        <is>
          <t>2257135230002656</t>
        </is>
      </c>
      <c r="AZ434" t="inlineStr">
        <is>
          <t>BOOK</t>
        </is>
      </c>
      <c r="BB434" t="inlineStr">
        <is>
          <t>9780671778293</t>
        </is>
      </c>
      <c r="BC434" t="inlineStr">
        <is>
          <t>32285001197465</t>
        </is>
      </c>
      <c r="BD434" t="inlineStr">
        <is>
          <t>893232438</t>
        </is>
      </c>
    </row>
    <row r="435">
      <c r="A435" t="inlineStr">
        <is>
          <t>No</t>
        </is>
      </c>
      <c r="B435" t="inlineStr">
        <is>
          <t>HQ1154 .F744 1993</t>
        </is>
      </c>
      <c r="C435" t="inlineStr">
        <is>
          <t>0                      HQ 1154000F  744         1993</t>
        </is>
      </c>
      <c r="D435" t="inlineStr">
        <is>
          <t>The war against women / Marilyn French.</t>
        </is>
      </c>
      <c r="F435" t="inlineStr">
        <is>
          <t>No</t>
        </is>
      </c>
      <c r="G435" t="inlineStr">
        <is>
          <t>1</t>
        </is>
      </c>
      <c r="H435" t="inlineStr">
        <is>
          <t>No</t>
        </is>
      </c>
      <c r="I435" t="inlineStr">
        <is>
          <t>Yes</t>
        </is>
      </c>
      <c r="J435" t="inlineStr">
        <is>
          <t>0</t>
        </is>
      </c>
      <c r="K435" t="inlineStr">
        <is>
          <t>French, Marilyn, 1929-2009.</t>
        </is>
      </c>
      <c r="L435" t="inlineStr">
        <is>
          <t>New York : Ballantine Books, 1993.</t>
        </is>
      </c>
      <c r="M435" t="inlineStr">
        <is>
          <t>1993</t>
        </is>
      </c>
      <c r="N435" t="inlineStr">
        <is>
          <t>1st Ballantine Books trade ed.</t>
        </is>
      </c>
      <c r="O435" t="inlineStr">
        <is>
          <t>eng</t>
        </is>
      </c>
      <c r="P435" t="inlineStr">
        <is>
          <t>nyu</t>
        </is>
      </c>
      <c r="R435" t="inlineStr">
        <is>
          <t xml:space="preserve">HQ </t>
        </is>
      </c>
      <c r="S435" t="n">
        <v>6</v>
      </c>
      <c r="T435" t="n">
        <v>6</v>
      </c>
      <c r="U435" t="inlineStr">
        <is>
          <t>2008-06-19</t>
        </is>
      </c>
      <c r="V435" t="inlineStr">
        <is>
          <t>2008-06-19</t>
        </is>
      </c>
      <c r="W435" t="inlineStr">
        <is>
          <t>1997-02-06</t>
        </is>
      </c>
      <c r="X435" t="inlineStr">
        <is>
          <t>1997-02-06</t>
        </is>
      </c>
      <c r="Y435" t="n">
        <v>286</v>
      </c>
      <c r="Z435" t="n">
        <v>254</v>
      </c>
      <c r="AA435" t="n">
        <v>1736</v>
      </c>
      <c r="AB435" t="n">
        <v>3</v>
      </c>
      <c r="AC435" t="n">
        <v>16</v>
      </c>
      <c r="AD435" t="n">
        <v>8</v>
      </c>
      <c r="AE435" t="n">
        <v>51</v>
      </c>
      <c r="AF435" t="n">
        <v>5</v>
      </c>
      <c r="AG435" t="n">
        <v>19</v>
      </c>
      <c r="AH435" t="n">
        <v>1</v>
      </c>
      <c r="AI435" t="n">
        <v>9</v>
      </c>
      <c r="AJ435" t="n">
        <v>3</v>
      </c>
      <c r="AK435" t="n">
        <v>22</v>
      </c>
      <c r="AL435" t="n">
        <v>1</v>
      </c>
      <c r="AM435" t="n">
        <v>9</v>
      </c>
      <c r="AN435" t="n">
        <v>0</v>
      </c>
      <c r="AO435" t="n">
        <v>4</v>
      </c>
      <c r="AP435" t="inlineStr">
        <is>
          <t>No</t>
        </is>
      </c>
      <c r="AQ435" t="inlineStr">
        <is>
          <t>No</t>
        </is>
      </c>
      <c r="AS435">
        <f>HYPERLINK("https://creighton-primo.hosted.exlibrisgroup.com/primo-explore/search?tab=default_tab&amp;search_scope=EVERYTHING&amp;vid=01CRU&amp;lang=en_US&amp;offset=0&amp;query=any,contains,991002163439702656","Catalog Record")</f>
        <v/>
      </c>
      <c r="AT435">
        <f>HYPERLINK("http://www.worldcat.org/oclc/27839623","WorldCat Record")</f>
        <v/>
      </c>
      <c r="AU435" t="inlineStr">
        <is>
          <t>197419024:eng</t>
        </is>
      </c>
      <c r="AV435" t="inlineStr">
        <is>
          <t>27839623</t>
        </is>
      </c>
      <c r="AW435" t="inlineStr">
        <is>
          <t>991002163439702656</t>
        </is>
      </c>
      <c r="AX435" t="inlineStr">
        <is>
          <t>991002163439702656</t>
        </is>
      </c>
      <c r="AY435" t="inlineStr">
        <is>
          <t>2270876060002656</t>
        </is>
      </c>
      <c r="AZ435" t="inlineStr">
        <is>
          <t>BOOK</t>
        </is>
      </c>
      <c r="BB435" t="inlineStr">
        <is>
          <t>9780345382481</t>
        </is>
      </c>
      <c r="BC435" t="inlineStr">
        <is>
          <t>32285002414489</t>
        </is>
      </c>
      <c r="BD435" t="inlineStr">
        <is>
          <t>893885911</t>
        </is>
      </c>
    </row>
    <row r="436">
      <c r="A436" t="inlineStr">
        <is>
          <t>No</t>
        </is>
      </c>
      <c r="B436" t="inlineStr">
        <is>
          <t>HQ1154 .F78 1983</t>
        </is>
      </c>
      <c r="C436" t="inlineStr">
        <is>
          <t>0                      HQ 1154000F  78          1983</t>
        </is>
      </c>
      <c r="D436" t="inlineStr">
        <is>
          <t>The politics of reality : essays in feminist theory / by Marilyn Frye.</t>
        </is>
      </c>
      <c r="F436" t="inlineStr">
        <is>
          <t>No</t>
        </is>
      </c>
      <c r="G436" t="inlineStr">
        <is>
          <t>1</t>
        </is>
      </c>
      <c r="H436" t="inlineStr">
        <is>
          <t>No</t>
        </is>
      </c>
      <c r="I436" t="inlineStr">
        <is>
          <t>No</t>
        </is>
      </c>
      <c r="J436" t="inlineStr">
        <is>
          <t>0</t>
        </is>
      </c>
      <c r="K436" t="inlineStr">
        <is>
          <t>Frye, Marilyn.</t>
        </is>
      </c>
      <c r="L436" t="inlineStr">
        <is>
          <t>Trumansburg, N.Y. : Crossing Press, c1983.</t>
        </is>
      </c>
      <c r="M436" t="inlineStr">
        <is>
          <t>1983</t>
        </is>
      </c>
      <c r="O436" t="inlineStr">
        <is>
          <t>eng</t>
        </is>
      </c>
      <c r="P436" t="inlineStr">
        <is>
          <t>nyu</t>
        </is>
      </c>
      <c r="Q436" t="inlineStr">
        <is>
          <t>The Crossing Press feminist series</t>
        </is>
      </c>
      <c r="R436" t="inlineStr">
        <is>
          <t xml:space="preserve">HQ </t>
        </is>
      </c>
      <c r="S436" t="n">
        <v>9</v>
      </c>
      <c r="T436" t="n">
        <v>9</v>
      </c>
      <c r="U436" t="inlineStr">
        <is>
          <t>2005-03-08</t>
        </is>
      </c>
      <c r="V436" t="inlineStr">
        <is>
          <t>2005-03-08</t>
        </is>
      </c>
      <c r="W436" t="inlineStr">
        <is>
          <t>1993-04-27</t>
        </is>
      </c>
      <c r="X436" t="inlineStr">
        <is>
          <t>1993-04-27</t>
        </is>
      </c>
      <c r="Y436" t="n">
        <v>768</v>
      </c>
      <c r="Z436" t="n">
        <v>616</v>
      </c>
      <c r="AA436" t="n">
        <v>623</v>
      </c>
      <c r="AB436" t="n">
        <v>5</v>
      </c>
      <c r="AC436" t="n">
        <v>5</v>
      </c>
      <c r="AD436" t="n">
        <v>32</v>
      </c>
      <c r="AE436" t="n">
        <v>32</v>
      </c>
      <c r="AF436" t="n">
        <v>11</v>
      </c>
      <c r="AG436" t="n">
        <v>11</v>
      </c>
      <c r="AH436" t="n">
        <v>8</v>
      </c>
      <c r="AI436" t="n">
        <v>8</v>
      </c>
      <c r="AJ436" t="n">
        <v>12</v>
      </c>
      <c r="AK436" t="n">
        <v>12</v>
      </c>
      <c r="AL436" t="n">
        <v>4</v>
      </c>
      <c r="AM436" t="n">
        <v>4</v>
      </c>
      <c r="AN436" t="n">
        <v>2</v>
      </c>
      <c r="AO436" t="n">
        <v>2</v>
      </c>
      <c r="AP436" t="inlineStr">
        <is>
          <t>No</t>
        </is>
      </c>
      <c r="AQ436" t="inlineStr">
        <is>
          <t>No</t>
        </is>
      </c>
      <c r="AS436">
        <f>HYPERLINK("https://creighton-primo.hosted.exlibrisgroup.com/primo-explore/search?tab=default_tab&amp;search_scope=EVERYTHING&amp;vid=01CRU&amp;lang=en_US&amp;offset=0&amp;query=any,contains,991000170299702656","Catalog Record")</f>
        <v/>
      </c>
      <c r="AT436">
        <f>HYPERLINK("http://www.worldcat.org/oclc/9323470","WorldCat Record")</f>
        <v/>
      </c>
      <c r="AU436" t="inlineStr">
        <is>
          <t>892293486:eng</t>
        </is>
      </c>
      <c r="AV436" t="inlineStr">
        <is>
          <t>9323470</t>
        </is>
      </c>
      <c r="AW436" t="inlineStr">
        <is>
          <t>991000170299702656</t>
        </is>
      </c>
      <c r="AX436" t="inlineStr">
        <is>
          <t>991000170299702656</t>
        </is>
      </c>
      <c r="AY436" t="inlineStr">
        <is>
          <t>2257955110002656</t>
        </is>
      </c>
      <c r="AZ436" t="inlineStr">
        <is>
          <t>BOOK</t>
        </is>
      </c>
      <c r="BB436" t="inlineStr">
        <is>
          <t>9780895940995</t>
        </is>
      </c>
      <c r="BC436" t="inlineStr">
        <is>
          <t>32285001628089</t>
        </is>
      </c>
      <c r="BD436" t="inlineStr">
        <is>
          <t>893589231</t>
        </is>
      </c>
    </row>
    <row r="437">
      <c r="A437" t="inlineStr">
        <is>
          <t>No</t>
        </is>
      </c>
      <c r="B437" t="inlineStr">
        <is>
          <t>HQ1154 .G35</t>
        </is>
      </c>
      <c r="C437" t="inlineStr">
        <is>
          <t>0                      HQ 1154000G  35</t>
        </is>
      </c>
      <c r="D437" t="inlineStr">
        <is>
          <t>Roles women play : readings toward women's liberation.</t>
        </is>
      </c>
      <c r="F437" t="inlineStr">
        <is>
          <t>No</t>
        </is>
      </c>
      <c r="G437" t="inlineStr">
        <is>
          <t>1</t>
        </is>
      </c>
      <c r="H437" t="inlineStr">
        <is>
          <t>No</t>
        </is>
      </c>
      <c r="I437" t="inlineStr">
        <is>
          <t>No</t>
        </is>
      </c>
      <c r="J437" t="inlineStr">
        <is>
          <t>0</t>
        </is>
      </c>
      <c r="K437" t="inlineStr">
        <is>
          <t>Hoffnung, Michele, compiler.</t>
        </is>
      </c>
      <c r="L437" t="inlineStr">
        <is>
          <t>Belmont, Calif. : Brooks/Cole Pub. Co., [1971]</t>
        </is>
      </c>
      <c r="M437" t="inlineStr">
        <is>
          <t>1971</t>
        </is>
      </c>
      <c r="O437" t="inlineStr">
        <is>
          <t>eng</t>
        </is>
      </c>
      <c r="P437" t="inlineStr">
        <is>
          <t>cau</t>
        </is>
      </c>
      <c r="Q437" t="inlineStr">
        <is>
          <t>Contemporary psychology series</t>
        </is>
      </c>
      <c r="R437" t="inlineStr">
        <is>
          <t xml:space="preserve">HQ </t>
        </is>
      </c>
      <c r="S437" t="n">
        <v>12</v>
      </c>
      <c r="T437" t="n">
        <v>12</v>
      </c>
      <c r="U437" t="inlineStr">
        <is>
          <t>1996-10-29</t>
        </is>
      </c>
      <c r="V437" t="inlineStr">
        <is>
          <t>1996-10-29</t>
        </is>
      </c>
      <c r="W437" t="inlineStr">
        <is>
          <t>1993-04-28</t>
        </is>
      </c>
      <c r="X437" t="inlineStr">
        <is>
          <t>1993-04-28</t>
        </is>
      </c>
      <c r="Y437" t="n">
        <v>582</v>
      </c>
      <c r="Z437" t="n">
        <v>465</v>
      </c>
      <c r="AA437" t="n">
        <v>467</v>
      </c>
      <c r="AB437" t="n">
        <v>3</v>
      </c>
      <c r="AC437" t="n">
        <v>3</v>
      </c>
      <c r="AD437" t="n">
        <v>18</v>
      </c>
      <c r="AE437" t="n">
        <v>18</v>
      </c>
      <c r="AF437" t="n">
        <v>10</v>
      </c>
      <c r="AG437" t="n">
        <v>10</v>
      </c>
      <c r="AH437" t="n">
        <v>4</v>
      </c>
      <c r="AI437" t="n">
        <v>4</v>
      </c>
      <c r="AJ437" t="n">
        <v>9</v>
      </c>
      <c r="AK437" t="n">
        <v>9</v>
      </c>
      <c r="AL437" t="n">
        <v>2</v>
      </c>
      <c r="AM437" t="n">
        <v>2</v>
      </c>
      <c r="AN437" t="n">
        <v>0</v>
      </c>
      <c r="AO437" t="n">
        <v>0</v>
      </c>
      <c r="AP437" t="inlineStr">
        <is>
          <t>No</t>
        </is>
      </c>
      <c r="AQ437" t="inlineStr">
        <is>
          <t>Yes</t>
        </is>
      </c>
      <c r="AR437">
        <f>HYPERLINK("http://catalog.hathitrust.org/Record/000002024","HathiTrust Record")</f>
        <v/>
      </c>
      <c r="AS437">
        <f>HYPERLINK("https://creighton-primo.hosted.exlibrisgroup.com/primo-explore/search?tab=default_tab&amp;search_scope=EVERYTHING&amp;vid=01CRU&amp;lang=en_US&amp;offset=0&amp;query=any,contains,991000799739702656","Catalog Record")</f>
        <v/>
      </c>
      <c r="AT437">
        <f>HYPERLINK("http://www.worldcat.org/oclc/138452","WorldCat Record")</f>
        <v/>
      </c>
      <c r="AU437" t="inlineStr">
        <is>
          <t>770136298:eng</t>
        </is>
      </c>
      <c r="AV437" t="inlineStr">
        <is>
          <t>138452</t>
        </is>
      </c>
      <c r="AW437" t="inlineStr">
        <is>
          <t>991000799739702656</t>
        </is>
      </c>
      <c r="AX437" t="inlineStr">
        <is>
          <t>991000799739702656</t>
        </is>
      </c>
      <c r="AY437" t="inlineStr">
        <is>
          <t>2258322110002656</t>
        </is>
      </c>
      <c r="AZ437" t="inlineStr">
        <is>
          <t>BOOK</t>
        </is>
      </c>
      <c r="BB437" t="inlineStr">
        <is>
          <t>9780818500091</t>
        </is>
      </c>
      <c r="BC437" t="inlineStr">
        <is>
          <t>32285001581205</t>
        </is>
      </c>
      <c r="BD437" t="inlineStr">
        <is>
          <t>893237616</t>
        </is>
      </c>
    </row>
    <row r="438">
      <c r="A438" t="inlineStr">
        <is>
          <t>No</t>
        </is>
      </c>
      <c r="B438" t="inlineStr">
        <is>
          <t>HQ1154 .G56 2000</t>
        </is>
      </c>
      <c r="C438" t="inlineStr">
        <is>
          <t>0                      HQ 1154000G  56          2000</t>
        </is>
      </c>
      <c r="D438" t="inlineStr">
        <is>
          <t>Global feminisms since 1945 / edited by Bonnie G. Smith.</t>
        </is>
      </c>
      <c r="F438" t="inlineStr">
        <is>
          <t>No</t>
        </is>
      </c>
      <c r="G438" t="inlineStr">
        <is>
          <t>1</t>
        </is>
      </c>
      <c r="H438" t="inlineStr">
        <is>
          <t>No</t>
        </is>
      </c>
      <c r="I438" t="inlineStr">
        <is>
          <t>No</t>
        </is>
      </c>
      <c r="J438" t="inlineStr">
        <is>
          <t>0</t>
        </is>
      </c>
      <c r="L438" t="inlineStr">
        <is>
          <t>London ; New York : Routledge, 2000.</t>
        </is>
      </c>
      <c r="M438" t="inlineStr">
        <is>
          <t>2000</t>
        </is>
      </c>
      <c r="O438" t="inlineStr">
        <is>
          <t>eng</t>
        </is>
      </c>
      <c r="P438" t="inlineStr">
        <is>
          <t>enk</t>
        </is>
      </c>
      <c r="Q438" t="inlineStr">
        <is>
          <t>Rewriting histories</t>
        </is>
      </c>
      <c r="R438" t="inlineStr">
        <is>
          <t xml:space="preserve">HQ </t>
        </is>
      </c>
      <c r="S438" t="n">
        <v>10</v>
      </c>
      <c r="T438" t="n">
        <v>10</v>
      </c>
      <c r="U438" t="inlineStr">
        <is>
          <t>2009-10-16</t>
        </is>
      </c>
      <c r="V438" t="inlineStr">
        <is>
          <t>2009-10-16</t>
        </is>
      </c>
      <c r="W438" t="inlineStr">
        <is>
          <t>2000-11-08</t>
        </is>
      </c>
      <c r="X438" t="inlineStr">
        <is>
          <t>2000-11-08</t>
        </is>
      </c>
      <c r="Y438" t="n">
        <v>544</v>
      </c>
      <c r="Z438" t="n">
        <v>461</v>
      </c>
      <c r="AA438" t="n">
        <v>516</v>
      </c>
      <c r="AB438" t="n">
        <v>4</v>
      </c>
      <c r="AC438" t="n">
        <v>4</v>
      </c>
      <c r="AD438" t="n">
        <v>24</v>
      </c>
      <c r="AE438" t="n">
        <v>29</v>
      </c>
      <c r="AF438" t="n">
        <v>13</v>
      </c>
      <c r="AG438" t="n">
        <v>16</v>
      </c>
      <c r="AH438" t="n">
        <v>5</v>
      </c>
      <c r="AI438" t="n">
        <v>7</v>
      </c>
      <c r="AJ438" t="n">
        <v>11</v>
      </c>
      <c r="AK438" t="n">
        <v>13</v>
      </c>
      <c r="AL438" t="n">
        <v>3</v>
      </c>
      <c r="AM438" t="n">
        <v>3</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HYPERLINK("https://creighton-primo.hosted.exlibrisgroup.com/primo-explore/search?tab=default_tab&amp;search_scope=EVERYTHING&amp;vid=01CRU&amp;lang=en_US&amp;offset=0&amp;query=any,contains,991003315239702656","Catalog Record")</f>
        <v/>
      </c>
      <c r="AT438">
        <f>HYPERLINK("http://www.worldcat.org/oclc/43060637","WorldCat Record")</f>
        <v/>
      </c>
      <c r="AU438" t="inlineStr">
        <is>
          <t>33247470:eng</t>
        </is>
      </c>
      <c r="AV438" t="inlineStr">
        <is>
          <t>43060637</t>
        </is>
      </c>
      <c r="AW438" t="inlineStr">
        <is>
          <t>991003315239702656</t>
        </is>
      </c>
      <c r="AX438" t="inlineStr">
        <is>
          <t>991003315239702656</t>
        </is>
      </c>
      <c r="AY438" t="inlineStr">
        <is>
          <t>2270114780002656</t>
        </is>
      </c>
      <c r="AZ438" t="inlineStr">
        <is>
          <t>BOOK</t>
        </is>
      </c>
      <c r="BB438" t="inlineStr">
        <is>
          <t>9780415184908</t>
        </is>
      </c>
      <c r="BC438" t="inlineStr">
        <is>
          <t>32285004264445</t>
        </is>
      </c>
      <c r="BD438" t="inlineStr">
        <is>
          <t>893422437</t>
        </is>
      </c>
    </row>
    <row r="439">
      <c r="A439" t="inlineStr">
        <is>
          <t>No</t>
        </is>
      </c>
      <c r="B439" t="inlineStr">
        <is>
          <t>HQ1154 .G695 1999</t>
        </is>
      </c>
      <c r="C439" t="inlineStr">
        <is>
          <t>0                      HQ 1154000G  695         1999</t>
        </is>
      </c>
      <c r="D439" t="inlineStr">
        <is>
          <t>The whole woman / Germaine Greer.</t>
        </is>
      </c>
      <c r="F439" t="inlineStr">
        <is>
          <t>No</t>
        </is>
      </c>
      <c r="G439" t="inlineStr">
        <is>
          <t>1</t>
        </is>
      </c>
      <c r="H439" t="inlineStr">
        <is>
          <t>No</t>
        </is>
      </c>
      <c r="I439" t="inlineStr">
        <is>
          <t>No</t>
        </is>
      </c>
      <c r="J439" t="inlineStr">
        <is>
          <t>0</t>
        </is>
      </c>
      <c r="K439" t="inlineStr">
        <is>
          <t>Greer, Germaine, 1939-</t>
        </is>
      </c>
      <c r="L439" t="inlineStr">
        <is>
          <t>New York : A.A. Knopf, c1999.</t>
        </is>
      </c>
      <c r="M439" t="inlineStr">
        <is>
          <t>1999</t>
        </is>
      </c>
      <c r="N439" t="inlineStr">
        <is>
          <t>1st American ed.</t>
        </is>
      </c>
      <c r="O439" t="inlineStr">
        <is>
          <t>eng</t>
        </is>
      </c>
      <c r="P439" t="inlineStr">
        <is>
          <t>nyu</t>
        </is>
      </c>
      <c r="R439" t="inlineStr">
        <is>
          <t xml:space="preserve">HQ </t>
        </is>
      </c>
      <c r="S439" t="n">
        <v>1</v>
      </c>
      <c r="T439" t="n">
        <v>1</v>
      </c>
      <c r="U439" t="inlineStr">
        <is>
          <t>2005-03-28</t>
        </is>
      </c>
      <c r="V439" t="inlineStr">
        <is>
          <t>2005-03-28</t>
        </is>
      </c>
      <c r="W439" t="inlineStr">
        <is>
          <t>1999-08-05</t>
        </is>
      </c>
      <c r="X439" t="inlineStr">
        <is>
          <t>1999-08-05</t>
        </is>
      </c>
      <c r="Y439" t="n">
        <v>1054</v>
      </c>
      <c r="Z439" t="n">
        <v>991</v>
      </c>
      <c r="AA439" t="n">
        <v>1093</v>
      </c>
      <c r="AB439" t="n">
        <v>8</v>
      </c>
      <c r="AC439" t="n">
        <v>9</v>
      </c>
      <c r="AD439" t="n">
        <v>30</v>
      </c>
      <c r="AE439" t="n">
        <v>33</v>
      </c>
      <c r="AF439" t="n">
        <v>9</v>
      </c>
      <c r="AG439" t="n">
        <v>12</v>
      </c>
      <c r="AH439" t="n">
        <v>10</v>
      </c>
      <c r="AI439" t="n">
        <v>10</v>
      </c>
      <c r="AJ439" t="n">
        <v>16</v>
      </c>
      <c r="AK439" t="n">
        <v>18</v>
      </c>
      <c r="AL439" t="n">
        <v>4</v>
      </c>
      <c r="AM439" t="n">
        <v>4</v>
      </c>
      <c r="AN439" t="n">
        <v>0</v>
      </c>
      <c r="AO439" t="n">
        <v>0</v>
      </c>
      <c r="AP439" t="inlineStr">
        <is>
          <t>No</t>
        </is>
      </c>
      <c r="AQ439" t="inlineStr">
        <is>
          <t>Yes</t>
        </is>
      </c>
      <c r="AR439">
        <f>HYPERLINK("http://catalog.hathitrust.org/Record/004040215","HathiTrust Record")</f>
        <v/>
      </c>
      <c r="AS439">
        <f>HYPERLINK("https://creighton-primo.hosted.exlibrisgroup.com/primo-explore/search?tab=default_tab&amp;search_scope=EVERYTHING&amp;vid=01CRU&amp;lang=en_US&amp;offset=0&amp;query=any,contains,991003008949702656","Catalog Record")</f>
        <v/>
      </c>
      <c r="AT439">
        <f>HYPERLINK("http://www.worldcat.org/oclc/40821029","WorldCat Record")</f>
        <v/>
      </c>
      <c r="AU439" t="inlineStr">
        <is>
          <t>6646746:eng</t>
        </is>
      </c>
      <c r="AV439" t="inlineStr">
        <is>
          <t>40821029</t>
        </is>
      </c>
      <c r="AW439" t="inlineStr">
        <is>
          <t>991003008949702656</t>
        </is>
      </c>
      <c r="AX439" t="inlineStr">
        <is>
          <t>991003008949702656</t>
        </is>
      </c>
      <c r="AY439" t="inlineStr">
        <is>
          <t>2271968290002656</t>
        </is>
      </c>
      <c r="AZ439" t="inlineStr">
        <is>
          <t>BOOK</t>
        </is>
      </c>
      <c r="BB439" t="inlineStr">
        <is>
          <t>9780375407475</t>
        </is>
      </c>
      <c r="BC439" t="inlineStr">
        <is>
          <t>32285003580262</t>
        </is>
      </c>
      <c r="BD439" t="inlineStr">
        <is>
          <t>893440815</t>
        </is>
      </c>
    </row>
    <row r="440">
      <c r="A440" t="inlineStr">
        <is>
          <t>No</t>
        </is>
      </c>
      <c r="B440" t="inlineStr">
        <is>
          <t>HQ1154 .H86</t>
        </is>
      </c>
      <c r="C440" t="inlineStr">
        <is>
          <t>0                      HQ 1154000H  86</t>
        </is>
      </c>
      <c r="D440" t="inlineStr">
        <is>
          <t>Changing women in a changing society / edited by Joan Huber.</t>
        </is>
      </c>
      <c r="F440" t="inlineStr">
        <is>
          <t>No</t>
        </is>
      </c>
      <c r="G440" t="inlineStr">
        <is>
          <t>1</t>
        </is>
      </c>
      <c r="H440" t="inlineStr">
        <is>
          <t>No</t>
        </is>
      </c>
      <c r="I440" t="inlineStr">
        <is>
          <t>No</t>
        </is>
      </c>
      <c r="J440" t="inlineStr">
        <is>
          <t>0</t>
        </is>
      </c>
      <c r="K440" t="inlineStr">
        <is>
          <t>Huber, Joan, 1925-</t>
        </is>
      </c>
      <c r="L440" t="inlineStr">
        <is>
          <t>Chicago : University of Chicago Press, [1973]</t>
        </is>
      </c>
      <c r="M440" t="inlineStr">
        <is>
          <t>1973</t>
        </is>
      </c>
      <c r="O440" t="inlineStr">
        <is>
          <t>eng</t>
        </is>
      </c>
      <c r="P440" t="inlineStr">
        <is>
          <t>ilu</t>
        </is>
      </c>
      <c r="R440" t="inlineStr">
        <is>
          <t xml:space="preserve">HQ </t>
        </is>
      </c>
      <c r="S440" t="n">
        <v>3</v>
      </c>
      <c r="T440" t="n">
        <v>3</v>
      </c>
      <c r="U440" t="inlineStr">
        <is>
          <t>2009-01-28</t>
        </is>
      </c>
      <c r="V440" t="inlineStr">
        <is>
          <t>2009-01-28</t>
        </is>
      </c>
      <c r="W440" t="inlineStr">
        <is>
          <t>1994-09-12</t>
        </is>
      </c>
      <c r="X440" t="inlineStr">
        <is>
          <t>1994-09-12</t>
        </is>
      </c>
      <c r="Y440" t="n">
        <v>1014</v>
      </c>
      <c r="Z440" t="n">
        <v>788</v>
      </c>
      <c r="AA440" t="n">
        <v>795</v>
      </c>
      <c r="AB440" t="n">
        <v>4</v>
      </c>
      <c r="AC440" t="n">
        <v>4</v>
      </c>
      <c r="AD440" t="n">
        <v>37</v>
      </c>
      <c r="AE440" t="n">
        <v>37</v>
      </c>
      <c r="AF440" t="n">
        <v>15</v>
      </c>
      <c r="AG440" t="n">
        <v>15</v>
      </c>
      <c r="AH440" t="n">
        <v>7</v>
      </c>
      <c r="AI440" t="n">
        <v>7</v>
      </c>
      <c r="AJ440" t="n">
        <v>18</v>
      </c>
      <c r="AK440" t="n">
        <v>18</v>
      </c>
      <c r="AL440" t="n">
        <v>3</v>
      </c>
      <c r="AM440" t="n">
        <v>3</v>
      </c>
      <c r="AN440" t="n">
        <v>3</v>
      </c>
      <c r="AO440" t="n">
        <v>3</v>
      </c>
      <c r="AP440" t="inlineStr">
        <is>
          <t>No</t>
        </is>
      </c>
      <c r="AQ440" t="inlineStr">
        <is>
          <t>No</t>
        </is>
      </c>
      <c r="AS440">
        <f>HYPERLINK("https://creighton-primo.hosted.exlibrisgroup.com/primo-explore/search?tab=default_tab&amp;search_scope=EVERYTHING&amp;vid=01CRU&amp;lang=en_US&amp;offset=0&amp;query=any,contains,991003212029702656","Catalog Record")</f>
        <v/>
      </c>
      <c r="AT440">
        <f>HYPERLINK("http://www.worldcat.org/oclc/738383","WorldCat Record")</f>
        <v/>
      </c>
      <c r="AU440" t="inlineStr">
        <is>
          <t>354634769:eng</t>
        </is>
      </c>
      <c r="AV440" t="inlineStr">
        <is>
          <t>738383</t>
        </is>
      </c>
      <c r="AW440" t="inlineStr">
        <is>
          <t>991003212029702656</t>
        </is>
      </c>
      <c r="AX440" t="inlineStr">
        <is>
          <t>991003212029702656</t>
        </is>
      </c>
      <c r="AY440" t="inlineStr">
        <is>
          <t>2255627380002656</t>
        </is>
      </c>
      <c r="AZ440" t="inlineStr">
        <is>
          <t>BOOK</t>
        </is>
      </c>
      <c r="BB440" t="inlineStr">
        <is>
          <t>9780226356440</t>
        </is>
      </c>
      <c r="BC440" t="inlineStr">
        <is>
          <t>32285001939262</t>
        </is>
      </c>
      <c r="BD440" t="inlineStr">
        <is>
          <t>893705019</t>
        </is>
      </c>
    </row>
    <row r="441">
      <c r="A441" t="inlineStr">
        <is>
          <t>No</t>
        </is>
      </c>
      <c r="B441" t="inlineStr">
        <is>
          <t>HQ1154 .I7413 1985</t>
        </is>
      </c>
      <c r="C441" t="inlineStr">
        <is>
          <t>0                      HQ 1154000I  7413        1985</t>
        </is>
      </c>
      <c r="D441" t="inlineStr">
        <is>
          <t>Speculum of the other woman / Luce Irigaray ; translated by Gillian C. Gill.</t>
        </is>
      </c>
      <c r="F441" t="inlineStr">
        <is>
          <t>No</t>
        </is>
      </c>
      <c r="G441" t="inlineStr">
        <is>
          <t>1</t>
        </is>
      </c>
      <c r="H441" t="inlineStr">
        <is>
          <t>No</t>
        </is>
      </c>
      <c r="I441" t="inlineStr">
        <is>
          <t>No</t>
        </is>
      </c>
      <c r="J441" t="inlineStr">
        <is>
          <t>0</t>
        </is>
      </c>
      <c r="K441" t="inlineStr">
        <is>
          <t>Irigaray, Luce.</t>
        </is>
      </c>
      <c r="L441" t="inlineStr">
        <is>
          <t>Ithaca, N.Y. : Cornell University Press, 1985.</t>
        </is>
      </c>
      <c r="M441" t="inlineStr">
        <is>
          <t>1985</t>
        </is>
      </c>
      <c r="O441" t="inlineStr">
        <is>
          <t>eng</t>
        </is>
      </c>
      <c r="P441" t="inlineStr">
        <is>
          <t>nyu</t>
        </is>
      </c>
      <c r="R441" t="inlineStr">
        <is>
          <t xml:space="preserve">HQ </t>
        </is>
      </c>
      <c r="S441" t="n">
        <v>5</v>
      </c>
      <c r="T441" t="n">
        <v>5</v>
      </c>
      <c r="U441" t="inlineStr">
        <is>
          <t>2010-11-19</t>
        </is>
      </c>
      <c r="V441" t="inlineStr">
        <is>
          <t>2010-11-19</t>
        </is>
      </c>
      <c r="W441" t="inlineStr">
        <is>
          <t>1991-06-20</t>
        </is>
      </c>
      <c r="X441" t="inlineStr">
        <is>
          <t>1991-06-20</t>
        </is>
      </c>
      <c r="Y441" t="n">
        <v>943</v>
      </c>
      <c r="Z441" t="n">
        <v>700</v>
      </c>
      <c r="AA441" t="n">
        <v>708</v>
      </c>
      <c r="AB441" t="n">
        <v>3</v>
      </c>
      <c r="AC441" t="n">
        <v>3</v>
      </c>
      <c r="AD441" t="n">
        <v>42</v>
      </c>
      <c r="AE441" t="n">
        <v>42</v>
      </c>
      <c r="AF441" t="n">
        <v>19</v>
      </c>
      <c r="AG441" t="n">
        <v>19</v>
      </c>
      <c r="AH441" t="n">
        <v>10</v>
      </c>
      <c r="AI441" t="n">
        <v>10</v>
      </c>
      <c r="AJ441" t="n">
        <v>23</v>
      </c>
      <c r="AK441" t="n">
        <v>23</v>
      </c>
      <c r="AL441" t="n">
        <v>2</v>
      </c>
      <c r="AM441" t="n">
        <v>2</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HYPERLINK("https://creighton-primo.hosted.exlibrisgroup.com/primo-explore/search?tab=default_tab&amp;search_scope=EVERYTHING&amp;vid=01CRU&amp;lang=en_US&amp;offset=0&amp;query=any,contains,991000517299702656","Catalog Record")</f>
        <v/>
      </c>
      <c r="AT441">
        <f>HYPERLINK("http://www.worldcat.org/oclc/11291449","WorldCat Record")</f>
        <v/>
      </c>
      <c r="AU441" t="inlineStr">
        <is>
          <t>2230367:eng</t>
        </is>
      </c>
      <c r="AV441" t="inlineStr">
        <is>
          <t>11291449</t>
        </is>
      </c>
      <c r="AW441" t="inlineStr">
        <is>
          <t>991000517299702656</t>
        </is>
      </c>
      <c r="AX441" t="inlineStr">
        <is>
          <t>991000517299702656</t>
        </is>
      </c>
      <c r="AY441" t="inlineStr">
        <is>
          <t>2262157410002656</t>
        </is>
      </c>
      <c r="AZ441" t="inlineStr">
        <is>
          <t>BOOK</t>
        </is>
      </c>
      <c r="BB441" t="inlineStr">
        <is>
          <t>9780801493300</t>
        </is>
      </c>
      <c r="BC441" t="inlineStr">
        <is>
          <t>32285000658269</t>
        </is>
      </c>
      <c r="BD441" t="inlineStr">
        <is>
          <t>893607982</t>
        </is>
      </c>
    </row>
    <row r="442">
      <c r="A442" t="inlineStr">
        <is>
          <t>No</t>
        </is>
      </c>
      <c r="B442" t="inlineStr">
        <is>
          <t>HQ1154 .I74315 1994</t>
        </is>
      </c>
      <c r="C442" t="inlineStr">
        <is>
          <t>0                      HQ 1154000I  74315       1994</t>
        </is>
      </c>
      <c r="D442" t="inlineStr">
        <is>
          <t>Thinking the difference : for a peaceful revolution / Luce Irigaray ; translated from the French by Karin Montin.</t>
        </is>
      </c>
      <c r="F442" t="inlineStr">
        <is>
          <t>No</t>
        </is>
      </c>
      <c r="G442" t="inlineStr">
        <is>
          <t>1</t>
        </is>
      </c>
      <c r="H442" t="inlineStr">
        <is>
          <t>No</t>
        </is>
      </c>
      <c r="I442" t="inlineStr">
        <is>
          <t>No</t>
        </is>
      </c>
      <c r="J442" t="inlineStr">
        <is>
          <t>0</t>
        </is>
      </c>
      <c r="K442" t="inlineStr">
        <is>
          <t>Irigaray, Luce.</t>
        </is>
      </c>
      <c r="L442" t="inlineStr">
        <is>
          <t>New York : Routledge, 1994.</t>
        </is>
      </c>
      <c r="M442" t="inlineStr">
        <is>
          <t>1994</t>
        </is>
      </c>
      <c r="O442" t="inlineStr">
        <is>
          <t>eng</t>
        </is>
      </c>
      <c r="P442" t="inlineStr">
        <is>
          <t>nyu</t>
        </is>
      </c>
      <c r="R442" t="inlineStr">
        <is>
          <t xml:space="preserve">HQ </t>
        </is>
      </c>
      <c r="S442" t="n">
        <v>5</v>
      </c>
      <c r="T442" t="n">
        <v>5</v>
      </c>
      <c r="U442" t="inlineStr">
        <is>
          <t>2010-11-19</t>
        </is>
      </c>
      <c r="V442" t="inlineStr">
        <is>
          <t>2010-11-19</t>
        </is>
      </c>
      <c r="W442" t="inlineStr">
        <is>
          <t>1994-11-08</t>
        </is>
      </c>
      <c r="X442" t="inlineStr">
        <is>
          <t>1994-11-08</t>
        </is>
      </c>
      <c r="Y442" t="n">
        <v>385</v>
      </c>
      <c r="Z442" t="n">
        <v>318</v>
      </c>
      <c r="AA442" t="n">
        <v>328</v>
      </c>
      <c r="AB442" t="n">
        <v>2</v>
      </c>
      <c r="AC442" t="n">
        <v>2</v>
      </c>
      <c r="AD442" t="n">
        <v>24</v>
      </c>
      <c r="AE442" t="n">
        <v>25</v>
      </c>
      <c r="AF442" t="n">
        <v>8</v>
      </c>
      <c r="AG442" t="n">
        <v>8</v>
      </c>
      <c r="AH442" t="n">
        <v>7</v>
      </c>
      <c r="AI442" t="n">
        <v>7</v>
      </c>
      <c r="AJ442" t="n">
        <v>15</v>
      </c>
      <c r="AK442" t="n">
        <v>16</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HYPERLINK("https://creighton-primo.hosted.exlibrisgroup.com/primo-explore/search?tab=default_tab&amp;search_scope=EVERYTHING&amp;vid=01CRU&amp;lang=en_US&amp;offset=0&amp;query=any,contains,991002271289702656","Catalog Record")</f>
        <v/>
      </c>
      <c r="AT442">
        <f>HYPERLINK("http://www.worldcat.org/oclc/29477724","WorldCat Record")</f>
        <v/>
      </c>
      <c r="AU442" t="inlineStr">
        <is>
          <t>5090968270:eng</t>
        </is>
      </c>
      <c r="AV442" t="inlineStr">
        <is>
          <t>29477724</t>
        </is>
      </c>
      <c r="AW442" t="inlineStr">
        <is>
          <t>991002271289702656</t>
        </is>
      </c>
      <c r="AX442" t="inlineStr">
        <is>
          <t>991002271289702656</t>
        </is>
      </c>
      <c r="AY442" t="inlineStr">
        <is>
          <t>2270447570002656</t>
        </is>
      </c>
      <c r="AZ442" t="inlineStr">
        <is>
          <t>BOOK</t>
        </is>
      </c>
      <c r="BB442" t="inlineStr">
        <is>
          <t>9780415908146</t>
        </is>
      </c>
      <c r="BC442" t="inlineStr">
        <is>
          <t>32285001956357</t>
        </is>
      </c>
      <c r="BD442" t="inlineStr">
        <is>
          <t>893716253</t>
        </is>
      </c>
    </row>
    <row r="443">
      <c r="A443" t="inlineStr">
        <is>
          <t>No</t>
        </is>
      </c>
      <c r="B443" t="inlineStr">
        <is>
          <t>HQ1154 .L48 2003</t>
        </is>
      </c>
      <c r="C443" t="inlineStr">
        <is>
          <t>0                      HQ 1154000L  48          2003</t>
        </is>
      </c>
      <c r="D443" t="inlineStr">
        <is>
          <t>Women, technology, and the myth of progress / Eileen B. Leonard.</t>
        </is>
      </c>
      <c r="F443" t="inlineStr">
        <is>
          <t>No</t>
        </is>
      </c>
      <c r="G443" t="inlineStr">
        <is>
          <t>1</t>
        </is>
      </c>
      <c r="H443" t="inlineStr">
        <is>
          <t>No</t>
        </is>
      </c>
      <c r="I443" t="inlineStr">
        <is>
          <t>No</t>
        </is>
      </c>
      <c r="J443" t="inlineStr">
        <is>
          <t>0</t>
        </is>
      </c>
      <c r="K443" t="inlineStr">
        <is>
          <t>Leonard, Eileen B., 1947-</t>
        </is>
      </c>
      <c r="L443" t="inlineStr">
        <is>
          <t>Upper Saddle River, N.J. : Prentice Hall, c2003.</t>
        </is>
      </c>
      <c r="M443" t="inlineStr">
        <is>
          <t>2003</t>
        </is>
      </c>
      <c r="O443" t="inlineStr">
        <is>
          <t>eng</t>
        </is>
      </c>
      <c r="P443" t="inlineStr">
        <is>
          <t>nju</t>
        </is>
      </c>
      <c r="R443" t="inlineStr">
        <is>
          <t xml:space="preserve">HQ </t>
        </is>
      </c>
      <c r="S443" t="n">
        <v>5</v>
      </c>
      <c r="T443" t="n">
        <v>5</v>
      </c>
      <c r="U443" t="inlineStr">
        <is>
          <t>2005-03-14</t>
        </is>
      </c>
      <c r="V443" t="inlineStr">
        <is>
          <t>2005-03-14</t>
        </is>
      </c>
      <c r="W443" t="inlineStr">
        <is>
          <t>2002-09-09</t>
        </is>
      </c>
      <c r="X443" t="inlineStr">
        <is>
          <t>2002-09-09</t>
        </is>
      </c>
      <c r="Y443" t="n">
        <v>303</v>
      </c>
      <c r="Z443" t="n">
        <v>250</v>
      </c>
      <c r="AA443" t="n">
        <v>256</v>
      </c>
      <c r="AB443" t="n">
        <v>2</v>
      </c>
      <c r="AC443" t="n">
        <v>2</v>
      </c>
      <c r="AD443" t="n">
        <v>12</v>
      </c>
      <c r="AE443" t="n">
        <v>12</v>
      </c>
      <c r="AF443" t="n">
        <v>6</v>
      </c>
      <c r="AG443" t="n">
        <v>6</v>
      </c>
      <c r="AH443" t="n">
        <v>4</v>
      </c>
      <c r="AI443" t="n">
        <v>4</v>
      </c>
      <c r="AJ443" t="n">
        <v>5</v>
      </c>
      <c r="AK443" t="n">
        <v>5</v>
      </c>
      <c r="AL443" t="n">
        <v>1</v>
      </c>
      <c r="AM443" t="n">
        <v>1</v>
      </c>
      <c r="AN443" t="n">
        <v>0</v>
      </c>
      <c r="AO443" t="n">
        <v>0</v>
      </c>
      <c r="AP443" t="inlineStr">
        <is>
          <t>No</t>
        </is>
      </c>
      <c r="AQ443" t="inlineStr">
        <is>
          <t>Yes</t>
        </is>
      </c>
      <c r="AR443">
        <f>HYPERLINK("http://catalog.hathitrust.org/Record/004279766","HathiTrust Record")</f>
        <v/>
      </c>
      <c r="AS443">
        <f>HYPERLINK("https://creighton-primo.hosted.exlibrisgroup.com/primo-explore/search?tab=default_tab&amp;search_scope=EVERYTHING&amp;vid=01CRU&amp;lang=en_US&amp;offset=0&amp;query=any,contains,991003862479702656","Catalog Record")</f>
        <v/>
      </c>
      <c r="AT443">
        <f>HYPERLINK("http://www.worldcat.org/oclc/48221480","WorldCat Record")</f>
        <v/>
      </c>
      <c r="AU443" t="inlineStr">
        <is>
          <t>7076221:eng</t>
        </is>
      </c>
      <c r="AV443" t="inlineStr">
        <is>
          <t>48221480</t>
        </is>
      </c>
      <c r="AW443" t="inlineStr">
        <is>
          <t>991003862479702656</t>
        </is>
      </c>
      <c r="AX443" t="inlineStr">
        <is>
          <t>991003862479702656</t>
        </is>
      </c>
      <c r="AY443" t="inlineStr">
        <is>
          <t>2255229170002656</t>
        </is>
      </c>
      <c r="AZ443" t="inlineStr">
        <is>
          <t>BOOK</t>
        </is>
      </c>
      <c r="BB443" t="inlineStr">
        <is>
          <t>9780130985958</t>
        </is>
      </c>
      <c r="BC443" t="inlineStr">
        <is>
          <t>32285004646542</t>
        </is>
      </c>
      <c r="BD443" t="inlineStr">
        <is>
          <t>893262979</t>
        </is>
      </c>
    </row>
    <row r="444">
      <c r="A444" t="inlineStr">
        <is>
          <t>No</t>
        </is>
      </c>
      <c r="B444" t="inlineStr">
        <is>
          <t>HQ1154 .L65</t>
        </is>
      </c>
      <c r="C444" t="inlineStr">
        <is>
          <t>0                      HQ 1154000L  65</t>
        </is>
      </c>
      <c r="D444" t="inlineStr">
        <is>
          <t>Looking ahead : a woman's guide to the problems and joys of growing older / edited by Lillian E. Troll, Joan Israel, Kenneth Israel.</t>
        </is>
      </c>
      <c r="F444" t="inlineStr">
        <is>
          <t>No</t>
        </is>
      </c>
      <c r="G444" t="inlineStr">
        <is>
          <t>1</t>
        </is>
      </c>
      <c r="H444" t="inlineStr">
        <is>
          <t>No</t>
        </is>
      </c>
      <c r="I444" t="inlineStr">
        <is>
          <t>No</t>
        </is>
      </c>
      <c r="J444" t="inlineStr">
        <is>
          <t>0</t>
        </is>
      </c>
      <c r="L444" t="inlineStr">
        <is>
          <t>Englewood Cliffs, N.J. : Prentice-Hall, c1977.</t>
        </is>
      </c>
      <c r="M444" t="inlineStr">
        <is>
          <t>1977</t>
        </is>
      </c>
      <c r="O444" t="inlineStr">
        <is>
          <t>eng</t>
        </is>
      </c>
      <c r="P444" t="inlineStr">
        <is>
          <t>nju</t>
        </is>
      </c>
      <c r="Q444" t="inlineStr">
        <is>
          <t>A Spectrum book</t>
        </is>
      </c>
      <c r="R444" t="inlineStr">
        <is>
          <t xml:space="preserve">HQ </t>
        </is>
      </c>
      <c r="S444" t="n">
        <v>1</v>
      </c>
      <c r="T444" t="n">
        <v>1</v>
      </c>
      <c r="U444" t="inlineStr">
        <is>
          <t>1996-05-13</t>
        </is>
      </c>
      <c r="V444" t="inlineStr">
        <is>
          <t>1996-05-13</t>
        </is>
      </c>
      <c r="W444" t="inlineStr">
        <is>
          <t>1996-05-13</t>
        </is>
      </c>
      <c r="X444" t="inlineStr">
        <is>
          <t>1996-05-13</t>
        </is>
      </c>
      <c r="Y444" t="n">
        <v>502</v>
      </c>
      <c r="Z444" t="n">
        <v>449</v>
      </c>
      <c r="AA444" t="n">
        <v>451</v>
      </c>
      <c r="AB444" t="n">
        <v>4</v>
      </c>
      <c r="AC444" t="n">
        <v>4</v>
      </c>
      <c r="AD444" t="n">
        <v>16</v>
      </c>
      <c r="AE444" t="n">
        <v>16</v>
      </c>
      <c r="AF444" t="n">
        <v>6</v>
      </c>
      <c r="AG444" t="n">
        <v>6</v>
      </c>
      <c r="AH444" t="n">
        <v>4</v>
      </c>
      <c r="AI444" t="n">
        <v>4</v>
      </c>
      <c r="AJ444" t="n">
        <v>8</v>
      </c>
      <c r="AK444" t="n">
        <v>8</v>
      </c>
      <c r="AL444" t="n">
        <v>3</v>
      </c>
      <c r="AM444" t="n">
        <v>3</v>
      </c>
      <c r="AN444" t="n">
        <v>0</v>
      </c>
      <c r="AO444" t="n">
        <v>0</v>
      </c>
      <c r="AP444" t="inlineStr">
        <is>
          <t>No</t>
        </is>
      </c>
      <c r="AQ444" t="inlineStr">
        <is>
          <t>Yes</t>
        </is>
      </c>
      <c r="AR444">
        <f>HYPERLINK("http://catalog.hathitrust.org/Record/000213230","HathiTrust Record")</f>
        <v/>
      </c>
      <c r="AS444">
        <f>HYPERLINK("https://creighton-primo.hosted.exlibrisgroup.com/primo-explore/search?tab=default_tab&amp;search_scope=EVERYTHING&amp;vid=01CRU&amp;lang=en_US&amp;offset=0&amp;query=any,contains,991004293719702656","Catalog Record")</f>
        <v/>
      </c>
      <c r="AT444">
        <f>HYPERLINK("http://www.worldcat.org/oclc/2956834","WorldCat Record")</f>
        <v/>
      </c>
      <c r="AU444" t="inlineStr">
        <is>
          <t>894520095:eng</t>
        </is>
      </c>
      <c r="AV444" t="inlineStr">
        <is>
          <t>2956834</t>
        </is>
      </c>
      <c r="AW444" t="inlineStr">
        <is>
          <t>991004293719702656</t>
        </is>
      </c>
      <c r="AX444" t="inlineStr">
        <is>
          <t>991004293719702656</t>
        </is>
      </c>
      <c r="AY444" t="inlineStr">
        <is>
          <t>2268595470002656</t>
        </is>
      </c>
      <c r="AZ444" t="inlineStr">
        <is>
          <t>BOOK</t>
        </is>
      </c>
      <c r="BB444" t="inlineStr">
        <is>
          <t>9780135403105</t>
        </is>
      </c>
      <c r="BC444" t="inlineStr">
        <is>
          <t>32285002167095</t>
        </is>
      </c>
      <c r="BD444" t="inlineStr">
        <is>
          <t>893229174</t>
        </is>
      </c>
    </row>
    <row r="445">
      <c r="A445" t="inlineStr">
        <is>
          <t>No</t>
        </is>
      </c>
      <c r="B445" t="inlineStr">
        <is>
          <t>HQ1154 .L67 1992</t>
        </is>
      </c>
      <c r="C445" t="inlineStr">
        <is>
          <t>0                      HQ 1154000L  67          1992</t>
        </is>
      </c>
      <c r="D445" t="inlineStr">
        <is>
          <t>Lo masculino y lo femenino entrelazado : 20 perfiles de las pioneras de la conquista del espacio psicológico femenino / R.J. Lovera de Sola.</t>
        </is>
      </c>
      <c r="F445" t="inlineStr">
        <is>
          <t>No</t>
        </is>
      </c>
      <c r="G445" t="inlineStr">
        <is>
          <t>1</t>
        </is>
      </c>
      <c r="H445" t="inlineStr">
        <is>
          <t>No</t>
        </is>
      </c>
      <c r="I445" t="inlineStr">
        <is>
          <t>No</t>
        </is>
      </c>
      <c r="J445" t="inlineStr">
        <is>
          <t>0</t>
        </is>
      </c>
      <c r="K445" t="inlineStr">
        <is>
          <t>Lovera De-Sola, R. J.</t>
        </is>
      </c>
      <c r="L445" t="inlineStr">
        <is>
          <t>Caracas : Fuentes/Pomaire, 1992.</t>
        </is>
      </c>
      <c r="M445" t="inlineStr">
        <is>
          <t>1992</t>
        </is>
      </c>
      <c r="O445" t="inlineStr">
        <is>
          <t>spa</t>
        </is>
      </c>
      <c r="P445" t="inlineStr">
        <is>
          <t xml:space="preserve">ve </t>
        </is>
      </c>
      <c r="Q445" t="inlineStr">
        <is>
          <t>Colección La Mujer</t>
        </is>
      </c>
      <c r="R445" t="inlineStr">
        <is>
          <t xml:space="preserve">HQ </t>
        </is>
      </c>
      <c r="S445" t="n">
        <v>2</v>
      </c>
      <c r="T445" t="n">
        <v>2</v>
      </c>
      <c r="U445" t="inlineStr">
        <is>
          <t>2003-04-21</t>
        </is>
      </c>
      <c r="V445" t="inlineStr">
        <is>
          <t>2003-04-21</t>
        </is>
      </c>
      <c r="W445" t="inlineStr">
        <is>
          <t>2002-03-14</t>
        </is>
      </c>
      <c r="X445" t="inlineStr">
        <is>
          <t>2002-03-14</t>
        </is>
      </c>
      <c r="Y445" t="n">
        <v>11</v>
      </c>
      <c r="Z445" t="n">
        <v>9</v>
      </c>
      <c r="AA445" t="n">
        <v>11</v>
      </c>
      <c r="AB445" t="n">
        <v>1</v>
      </c>
      <c r="AC445" t="n">
        <v>1</v>
      </c>
      <c r="AD445" t="n">
        <v>0</v>
      </c>
      <c r="AE445" t="n">
        <v>0</v>
      </c>
      <c r="AF445" t="n">
        <v>0</v>
      </c>
      <c r="AG445" t="n">
        <v>0</v>
      </c>
      <c r="AH445" t="n">
        <v>0</v>
      </c>
      <c r="AI445" t="n">
        <v>0</v>
      </c>
      <c r="AJ445" t="n">
        <v>0</v>
      </c>
      <c r="AK445" t="n">
        <v>0</v>
      </c>
      <c r="AL445" t="n">
        <v>0</v>
      </c>
      <c r="AM445" t="n">
        <v>0</v>
      </c>
      <c r="AN445" t="n">
        <v>0</v>
      </c>
      <c r="AO445" t="n">
        <v>0</v>
      </c>
      <c r="AP445" t="inlineStr">
        <is>
          <t>No</t>
        </is>
      </c>
      <c r="AQ445" t="inlineStr">
        <is>
          <t>Yes</t>
        </is>
      </c>
      <c r="AR445">
        <f>HYPERLINK("http://catalog.hathitrust.org/Record/101492897","HathiTrust Record")</f>
        <v/>
      </c>
      <c r="AS445">
        <f>HYPERLINK("https://creighton-primo.hosted.exlibrisgroup.com/primo-explore/search?tab=default_tab&amp;search_scope=EVERYTHING&amp;vid=01CRU&amp;lang=en_US&amp;offset=0&amp;query=any,contains,991003764369702656","Catalog Record")</f>
        <v/>
      </c>
      <c r="AT445">
        <f>HYPERLINK("http://www.worldcat.org/oclc/28548528","WorldCat Record")</f>
        <v/>
      </c>
      <c r="AU445" t="inlineStr">
        <is>
          <t>320912251:spa</t>
        </is>
      </c>
      <c r="AV445" t="inlineStr">
        <is>
          <t>28548528</t>
        </is>
      </c>
      <c r="AW445" t="inlineStr">
        <is>
          <t>991003764369702656</t>
        </is>
      </c>
      <c r="AX445" t="inlineStr">
        <is>
          <t>991003764369702656</t>
        </is>
      </c>
      <c r="AY445" t="inlineStr">
        <is>
          <t>2257495730002656</t>
        </is>
      </c>
      <c r="AZ445" t="inlineStr">
        <is>
          <t>BOOK</t>
        </is>
      </c>
      <c r="BB445" t="inlineStr">
        <is>
          <t>9789806005723</t>
        </is>
      </c>
      <c r="BC445" t="inlineStr">
        <is>
          <t>32285004461397</t>
        </is>
      </c>
      <c r="BD445" t="inlineStr">
        <is>
          <t>893410657</t>
        </is>
      </c>
    </row>
    <row r="446">
      <c r="A446" t="inlineStr">
        <is>
          <t>No</t>
        </is>
      </c>
      <c r="B446" t="inlineStr">
        <is>
          <t>HQ1154 .M439 1987</t>
        </is>
      </c>
      <c r="C446" t="inlineStr">
        <is>
          <t>0                      HQ 1154000M  439         1987</t>
        </is>
      </c>
      <c r="D446" t="inlineStr">
        <is>
          <t>Men in feminism / edited by Alice Jardine &amp; Paul Smith.</t>
        </is>
      </c>
      <c r="F446" t="inlineStr">
        <is>
          <t>No</t>
        </is>
      </c>
      <c r="G446" t="inlineStr">
        <is>
          <t>1</t>
        </is>
      </c>
      <c r="H446" t="inlineStr">
        <is>
          <t>No</t>
        </is>
      </c>
      <c r="I446" t="inlineStr">
        <is>
          <t>No</t>
        </is>
      </c>
      <c r="J446" t="inlineStr">
        <is>
          <t>0</t>
        </is>
      </c>
      <c r="L446" t="inlineStr">
        <is>
          <t>New York : Methuen, 1987.</t>
        </is>
      </c>
      <c r="M446" t="inlineStr">
        <is>
          <t>1987</t>
        </is>
      </c>
      <c r="O446" t="inlineStr">
        <is>
          <t>eng</t>
        </is>
      </c>
      <c r="P446" t="inlineStr">
        <is>
          <t>nyu</t>
        </is>
      </c>
      <c r="R446" t="inlineStr">
        <is>
          <t xml:space="preserve">HQ </t>
        </is>
      </c>
      <c r="S446" t="n">
        <v>4</v>
      </c>
      <c r="T446" t="n">
        <v>4</v>
      </c>
      <c r="U446" t="inlineStr">
        <is>
          <t>1995-03-09</t>
        </is>
      </c>
      <c r="V446" t="inlineStr">
        <is>
          <t>1995-03-09</t>
        </is>
      </c>
      <c r="W446" t="inlineStr">
        <is>
          <t>1990-06-06</t>
        </is>
      </c>
      <c r="X446" t="inlineStr">
        <is>
          <t>1990-06-06</t>
        </is>
      </c>
      <c r="Y446" t="n">
        <v>664</v>
      </c>
      <c r="Z446" t="n">
        <v>492</v>
      </c>
      <c r="AA446" t="n">
        <v>1240</v>
      </c>
      <c r="AB446" t="n">
        <v>5</v>
      </c>
      <c r="AC446" t="n">
        <v>29</v>
      </c>
      <c r="AD446" t="n">
        <v>24</v>
      </c>
      <c r="AE446" t="n">
        <v>51</v>
      </c>
      <c r="AF446" t="n">
        <v>5</v>
      </c>
      <c r="AG446" t="n">
        <v>17</v>
      </c>
      <c r="AH446" t="n">
        <v>8</v>
      </c>
      <c r="AI446" t="n">
        <v>10</v>
      </c>
      <c r="AJ446" t="n">
        <v>13</v>
      </c>
      <c r="AK446" t="n">
        <v>18</v>
      </c>
      <c r="AL446" t="n">
        <v>4</v>
      </c>
      <c r="AM446" t="n">
        <v>14</v>
      </c>
      <c r="AN446" t="n">
        <v>0</v>
      </c>
      <c r="AO446" t="n">
        <v>1</v>
      </c>
      <c r="AP446" t="inlineStr">
        <is>
          <t>No</t>
        </is>
      </c>
      <c r="AQ446" t="inlineStr">
        <is>
          <t>No</t>
        </is>
      </c>
      <c r="AS446">
        <f>HYPERLINK("https://creighton-primo.hosted.exlibrisgroup.com/primo-explore/search?tab=default_tab&amp;search_scope=EVERYTHING&amp;vid=01CRU&amp;lang=en_US&amp;offset=0&amp;query=any,contains,991000977799702656","Catalog Record")</f>
        <v/>
      </c>
      <c r="AT446">
        <f>HYPERLINK("http://www.worldcat.org/oclc/15017018","WorldCat Record")</f>
        <v/>
      </c>
      <c r="AU446" t="inlineStr">
        <is>
          <t>765999484:eng</t>
        </is>
      </c>
      <c r="AV446" t="inlineStr">
        <is>
          <t>15017018</t>
        </is>
      </c>
      <c r="AW446" t="inlineStr">
        <is>
          <t>991000977799702656</t>
        </is>
      </c>
      <c r="AX446" t="inlineStr">
        <is>
          <t>991000977799702656</t>
        </is>
      </c>
      <c r="AY446" t="inlineStr">
        <is>
          <t>2265128400002656</t>
        </is>
      </c>
      <c r="AZ446" t="inlineStr">
        <is>
          <t>BOOK</t>
        </is>
      </c>
      <c r="BB446" t="inlineStr">
        <is>
          <t>9780416016017</t>
        </is>
      </c>
      <c r="BC446" t="inlineStr">
        <is>
          <t>32285000182112</t>
        </is>
      </c>
      <c r="BD446" t="inlineStr">
        <is>
          <t>893797184</t>
        </is>
      </c>
    </row>
    <row r="447">
      <c r="A447" t="inlineStr">
        <is>
          <t>No</t>
        </is>
      </c>
      <c r="B447" t="inlineStr">
        <is>
          <t>HQ1154 .M477 1991</t>
        </is>
      </c>
      <c r="C447" t="inlineStr">
        <is>
          <t>0                      HQ 1154000M  477         1991</t>
        </is>
      </c>
      <c r="D447" t="inlineStr">
        <is>
          <t>Words and women / Casey Miller and Kate Swift.</t>
        </is>
      </c>
      <c r="F447" t="inlineStr">
        <is>
          <t>No</t>
        </is>
      </c>
      <c r="G447" t="inlineStr">
        <is>
          <t>1</t>
        </is>
      </c>
      <c r="H447" t="inlineStr">
        <is>
          <t>No</t>
        </is>
      </c>
      <c r="I447" t="inlineStr">
        <is>
          <t>No</t>
        </is>
      </c>
      <c r="J447" t="inlineStr">
        <is>
          <t>0</t>
        </is>
      </c>
      <c r="K447" t="inlineStr">
        <is>
          <t>Miller, Casey.</t>
        </is>
      </c>
      <c r="L447" t="inlineStr">
        <is>
          <t>New York : HarperCollins, c1991.</t>
        </is>
      </c>
      <c r="M447" t="inlineStr">
        <is>
          <t>1991</t>
        </is>
      </c>
      <c r="N447" t="inlineStr">
        <is>
          <t>Updated</t>
        </is>
      </c>
      <c r="O447" t="inlineStr">
        <is>
          <t>eng</t>
        </is>
      </c>
      <c r="P447" t="inlineStr">
        <is>
          <t>nyu</t>
        </is>
      </c>
      <c r="R447" t="inlineStr">
        <is>
          <t xml:space="preserve">HQ </t>
        </is>
      </c>
      <c r="S447" t="n">
        <v>15</v>
      </c>
      <c r="T447" t="n">
        <v>15</v>
      </c>
      <c r="U447" t="inlineStr">
        <is>
          <t>1996-07-18</t>
        </is>
      </c>
      <c r="V447" t="inlineStr">
        <is>
          <t>1996-07-18</t>
        </is>
      </c>
      <c r="W447" t="inlineStr">
        <is>
          <t>1992-01-21</t>
        </is>
      </c>
      <c r="X447" t="inlineStr">
        <is>
          <t>1992-01-21</t>
        </is>
      </c>
      <c r="Y447" t="n">
        <v>277</v>
      </c>
      <c r="Z447" t="n">
        <v>252</v>
      </c>
      <c r="AA447" t="n">
        <v>1082</v>
      </c>
      <c r="AB447" t="n">
        <v>3</v>
      </c>
      <c r="AC447" t="n">
        <v>11</v>
      </c>
      <c r="AD447" t="n">
        <v>11</v>
      </c>
      <c r="AE447" t="n">
        <v>47</v>
      </c>
      <c r="AF447" t="n">
        <v>4</v>
      </c>
      <c r="AG447" t="n">
        <v>21</v>
      </c>
      <c r="AH447" t="n">
        <v>2</v>
      </c>
      <c r="AI447" t="n">
        <v>10</v>
      </c>
      <c r="AJ447" t="n">
        <v>4</v>
      </c>
      <c r="AK447" t="n">
        <v>18</v>
      </c>
      <c r="AL447" t="n">
        <v>2</v>
      </c>
      <c r="AM447" t="n">
        <v>9</v>
      </c>
      <c r="AN447" t="n">
        <v>1</v>
      </c>
      <c r="AO447" t="n">
        <v>1</v>
      </c>
      <c r="AP447" t="inlineStr">
        <is>
          <t>No</t>
        </is>
      </c>
      <c r="AQ447" t="inlineStr">
        <is>
          <t>No</t>
        </is>
      </c>
      <c r="AS447">
        <f>HYPERLINK("https://creighton-primo.hosted.exlibrisgroup.com/primo-explore/search?tab=default_tab&amp;search_scope=EVERYTHING&amp;vid=01CRU&amp;lang=en_US&amp;offset=0&amp;query=any,contains,991001927809702656","Catalog Record")</f>
        <v/>
      </c>
      <c r="AT447">
        <f>HYPERLINK("http://www.worldcat.org/oclc/24351073","WorldCat Record")</f>
        <v/>
      </c>
      <c r="AU447" t="inlineStr">
        <is>
          <t>84049:eng</t>
        </is>
      </c>
      <c r="AV447" t="inlineStr">
        <is>
          <t>24351073</t>
        </is>
      </c>
      <c r="AW447" t="inlineStr">
        <is>
          <t>991001927809702656</t>
        </is>
      </c>
      <c r="AX447" t="inlineStr">
        <is>
          <t>991001927809702656</t>
        </is>
      </c>
      <c r="AY447" t="inlineStr">
        <is>
          <t>2263217410002656</t>
        </is>
      </c>
      <c r="AZ447" t="inlineStr">
        <is>
          <t>BOOK</t>
        </is>
      </c>
      <c r="BB447" t="inlineStr">
        <is>
          <t>9780060965938</t>
        </is>
      </c>
      <c r="BC447" t="inlineStr">
        <is>
          <t>32285000865393</t>
        </is>
      </c>
      <c r="BD447" t="inlineStr">
        <is>
          <t>893872901</t>
        </is>
      </c>
    </row>
    <row r="448">
      <c r="A448" t="inlineStr">
        <is>
          <t>No</t>
        </is>
      </c>
      <c r="B448" t="inlineStr">
        <is>
          <t>HQ1154 .M53 1973</t>
        </is>
      </c>
      <c r="C448" t="inlineStr">
        <is>
          <t>0                      HQ 1154000M  53          1973</t>
        </is>
      </c>
      <c r="D448" t="inlineStr">
        <is>
          <t>Woman's estate.</t>
        </is>
      </c>
      <c r="F448" t="inlineStr">
        <is>
          <t>No</t>
        </is>
      </c>
      <c r="G448" t="inlineStr">
        <is>
          <t>1</t>
        </is>
      </c>
      <c r="H448" t="inlineStr">
        <is>
          <t>No</t>
        </is>
      </c>
      <c r="I448" t="inlineStr">
        <is>
          <t>No</t>
        </is>
      </c>
      <c r="J448" t="inlineStr">
        <is>
          <t>0</t>
        </is>
      </c>
      <c r="K448" t="inlineStr">
        <is>
          <t>Mitchell, Juliet, 1940-</t>
        </is>
      </c>
      <c r="L448" t="inlineStr">
        <is>
          <t>New York, Vintage Books [1973, c1971]</t>
        </is>
      </c>
      <c r="M448" t="inlineStr">
        <is>
          <t>1973</t>
        </is>
      </c>
      <c r="O448" t="inlineStr">
        <is>
          <t>eng</t>
        </is>
      </c>
      <c r="P448" t="inlineStr">
        <is>
          <t>nyu</t>
        </is>
      </c>
      <c r="R448" t="inlineStr">
        <is>
          <t xml:space="preserve">HQ </t>
        </is>
      </c>
      <c r="S448" t="n">
        <v>1</v>
      </c>
      <c r="T448" t="n">
        <v>1</v>
      </c>
      <c r="U448" t="inlineStr">
        <is>
          <t>1994-10-12</t>
        </is>
      </c>
      <c r="V448" t="inlineStr">
        <is>
          <t>1994-10-12</t>
        </is>
      </c>
      <c r="W448" t="inlineStr">
        <is>
          <t>1993-04-27</t>
        </is>
      </c>
      <c r="X448" t="inlineStr">
        <is>
          <t>1993-04-27</t>
        </is>
      </c>
      <c r="Y448" t="n">
        <v>311</v>
      </c>
      <c r="Z448" t="n">
        <v>266</v>
      </c>
      <c r="AA448" t="n">
        <v>929</v>
      </c>
      <c r="AB448" t="n">
        <v>3</v>
      </c>
      <c r="AC448" t="n">
        <v>7</v>
      </c>
      <c r="AD448" t="n">
        <v>11</v>
      </c>
      <c r="AE448" t="n">
        <v>40</v>
      </c>
      <c r="AF448" t="n">
        <v>2</v>
      </c>
      <c r="AG448" t="n">
        <v>16</v>
      </c>
      <c r="AH448" t="n">
        <v>2</v>
      </c>
      <c r="AI448" t="n">
        <v>7</v>
      </c>
      <c r="AJ448" t="n">
        <v>7</v>
      </c>
      <c r="AK448" t="n">
        <v>21</v>
      </c>
      <c r="AL448" t="n">
        <v>2</v>
      </c>
      <c r="AM448" t="n">
        <v>6</v>
      </c>
      <c r="AN448" t="n">
        <v>0</v>
      </c>
      <c r="AO448" t="n">
        <v>0</v>
      </c>
      <c r="AP448" t="inlineStr">
        <is>
          <t>No</t>
        </is>
      </c>
      <c r="AQ448" t="inlineStr">
        <is>
          <t>Yes</t>
        </is>
      </c>
      <c r="AR448">
        <f>HYPERLINK("http://catalog.hathitrust.org/Record/000978890","HathiTrust Record")</f>
        <v/>
      </c>
      <c r="AS448">
        <f>HYPERLINK("https://creighton-primo.hosted.exlibrisgroup.com/primo-explore/search?tab=default_tab&amp;search_scope=EVERYTHING&amp;vid=01CRU&amp;lang=en_US&amp;offset=0&amp;query=any,contains,991003062399702656","Catalog Record")</f>
        <v/>
      </c>
      <c r="AT448">
        <f>HYPERLINK("http://www.worldcat.org/oclc/619220","WorldCat Record")</f>
        <v/>
      </c>
      <c r="AU448" t="inlineStr">
        <is>
          <t>1424901:eng</t>
        </is>
      </c>
      <c r="AV448" t="inlineStr">
        <is>
          <t>619220</t>
        </is>
      </c>
      <c r="AW448" t="inlineStr">
        <is>
          <t>991003062399702656</t>
        </is>
      </c>
      <c r="AX448" t="inlineStr">
        <is>
          <t>991003062399702656</t>
        </is>
      </c>
      <c r="AY448" t="inlineStr">
        <is>
          <t>2269934970002656</t>
        </is>
      </c>
      <c r="AZ448" t="inlineStr">
        <is>
          <t>BOOK</t>
        </is>
      </c>
      <c r="BB448" t="inlineStr">
        <is>
          <t>9780394719054</t>
        </is>
      </c>
      <c r="BC448" t="inlineStr">
        <is>
          <t>32285001628113</t>
        </is>
      </c>
      <c r="BD448" t="inlineStr">
        <is>
          <t>893809809</t>
        </is>
      </c>
    </row>
    <row r="449">
      <c r="A449" t="inlineStr">
        <is>
          <t>No</t>
        </is>
      </c>
      <c r="B449" t="inlineStr">
        <is>
          <t>HQ1154 .M5313 1977</t>
        </is>
      </c>
      <c r="C449" t="inlineStr">
        <is>
          <t>0                      HQ 1154000M  5313        1977</t>
        </is>
      </c>
      <c r="D449" t="inlineStr">
        <is>
          <t>La condición de la mujer / Juliet Mitchell ; traducción Julieta Diéguez Garza.</t>
        </is>
      </c>
      <c r="F449" t="inlineStr">
        <is>
          <t>No</t>
        </is>
      </c>
      <c r="G449" t="inlineStr">
        <is>
          <t>1</t>
        </is>
      </c>
      <c r="H449" t="inlineStr">
        <is>
          <t>No</t>
        </is>
      </c>
      <c r="I449" t="inlineStr">
        <is>
          <t>No</t>
        </is>
      </c>
      <c r="J449" t="inlineStr">
        <is>
          <t>0</t>
        </is>
      </c>
      <c r="K449" t="inlineStr">
        <is>
          <t>Mitchell, Juliet, 1940-</t>
        </is>
      </c>
      <c r="L449" t="inlineStr">
        <is>
          <t>Barcelona : Editorial Anagrama, 1977.</t>
        </is>
      </c>
      <c r="M449" t="inlineStr">
        <is>
          <t>1977</t>
        </is>
      </c>
      <c r="N449" t="inlineStr">
        <is>
          <t>2 ed.</t>
        </is>
      </c>
      <c r="O449" t="inlineStr">
        <is>
          <t>spa</t>
        </is>
      </c>
      <c r="P449" t="inlineStr">
        <is>
          <t xml:space="preserve">sp </t>
        </is>
      </c>
      <c r="Q449" t="inlineStr">
        <is>
          <t>Cuadernos Anagrama</t>
        </is>
      </c>
      <c r="R449" t="inlineStr">
        <is>
          <t xml:space="preserve">HQ </t>
        </is>
      </c>
      <c r="S449" t="n">
        <v>1</v>
      </c>
      <c r="T449" t="n">
        <v>1</v>
      </c>
      <c r="U449" t="inlineStr">
        <is>
          <t>2010-03-12</t>
        </is>
      </c>
      <c r="V449" t="inlineStr">
        <is>
          <t>2010-03-12</t>
        </is>
      </c>
      <c r="W449" t="inlineStr">
        <is>
          <t>2002-04-30</t>
        </is>
      </c>
      <c r="X449" t="inlineStr">
        <is>
          <t>2002-04-30</t>
        </is>
      </c>
      <c r="Y449" t="n">
        <v>4</v>
      </c>
      <c r="Z449" t="n">
        <v>3</v>
      </c>
      <c r="AA449" t="n">
        <v>3</v>
      </c>
      <c r="AB449" t="n">
        <v>1</v>
      </c>
      <c r="AC449" t="n">
        <v>1</v>
      </c>
      <c r="AD449" t="n">
        <v>0</v>
      </c>
      <c r="AE449" t="n">
        <v>0</v>
      </c>
      <c r="AF449" t="n">
        <v>0</v>
      </c>
      <c r="AG449" t="n">
        <v>0</v>
      </c>
      <c r="AH449" t="n">
        <v>0</v>
      </c>
      <c r="AI449" t="n">
        <v>0</v>
      </c>
      <c r="AJ449" t="n">
        <v>0</v>
      </c>
      <c r="AK449" t="n">
        <v>0</v>
      </c>
      <c r="AL449" t="n">
        <v>0</v>
      </c>
      <c r="AM449" t="n">
        <v>0</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HYPERLINK("https://creighton-primo.hosted.exlibrisgroup.com/primo-explore/search?tab=default_tab&amp;search_scope=EVERYTHING&amp;vid=01CRU&amp;lang=en_US&amp;offset=0&amp;query=any,contains,991003801409702656","Catalog Record")</f>
        <v/>
      </c>
      <c r="AT449">
        <f>HYPERLINK("http://www.worldcat.org/oclc/4733224","WorldCat Record")</f>
        <v/>
      </c>
      <c r="AU449" t="inlineStr">
        <is>
          <t>8909546158:spa</t>
        </is>
      </c>
      <c r="AV449" t="inlineStr">
        <is>
          <t>4733224</t>
        </is>
      </c>
      <c r="AW449" t="inlineStr">
        <is>
          <t>991003801409702656</t>
        </is>
      </c>
      <c r="AX449" t="inlineStr">
        <is>
          <t>991003801409702656</t>
        </is>
      </c>
      <c r="AY449" t="inlineStr">
        <is>
          <t>2264061780002656</t>
        </is>
      </c>
      <c r="AZ449" t="inlineStr">
        <is>
          <t>BOOK</t>
        </is>
      </c>
      <c r="BC449" t="inlineStr">
        <is>
          <t>32285004484449</t>
        </is>
      </c>
      <c r="BD449" t="inlineStr">
        <is>
          <t>893499736</t>
        </is>
      </c>
    </row>
    <row r="450">
      <c r="A450" t="inlineStr">
        <is>
          <t>No</t>
        </is>
      </c>
      <c r="B450" t="inlineStr">
        <is>
          <t>HQ1154 .N48 1979</t>
        </is>
      </c>
      <c r="C450" t="inlineStr">
        <is>
          <t>0                      HQ 1154000N  48          1979</t>
        </is>
      </c>
      <c r="D450" t="inlineStr">
        <is>
          <t>The sisterhood of man / Kathleen Newland.</t>
        </is>
      </c>
      <c r="F450" t="inlineStr">
        <is>
          <t>No</t>
        </is>
      </c>
      <c r="G450" t="inlineStr">
        <is>
          <t>1</t>
        </is>
      </c>
      <c r="H450" t="inlineStr">
        <is>
          <t>No</t>
        </is>
      </c>
      <c r="I450" t="inlineStr">
        <is>
          <t>No</t>
        </is>
      </c>
      <c r="J450" t="inlineStr">
        <is>
          <t>0</t>
        </is>
      </c>
      <c r="K450" t="inlineStr">
        <is>
          <t>Newland, Kathleen.</t>
        </is>
      </c>
      <c r="L450" t="inlineStr">
        <is>
          <t>New York : Norton, c1979.</t>
        </is>
      </c>
      <c r="M450" t="inlineStr">
        <is>
          <t>1979</t>
        </is>
      </c>
      <c r="N450" t="inlineStr">
        <is>
          <t>1st ed.</t>
        </is>
      </c>
      <c r="O450" t="inlineStr">
        <is>
          <t>eng</t>
        </is>
      </c>
      <c r="P450" t="inlineStr">
        <is>
          <t>nyu</t>
        </is>
      </c>
      <c r="R450" t="inlineStr">
        <is>
          <t xml:space="preserve">HQ </t>
        </is>
      </c>
      <c r="S450" t="n">
        <v>1</v>
      </c>
      <c r="T450" t="n">
        <v>1</v>
      </c>
      <c r="U450" t="inlineStr">
        <is>
          <t>1996-04-01</t>
        </is>
      </c>
      <c r="V450" t="inlineStr">
        <is>
          <t>1996-04-01</t>
        </is>
      </c>
      <c r="W450" t="inlineStr">
        <is>
          <t>1993-04-27</t>
        </is>
      </c>
      <c r="X450" t="inlineStr">
        <is>
          <t>1993-04-27</t>
        </is>
      </c>
      <c r="Y450" t="n">
        <v>793</v>
      </c>
      <c r="Z450" t="n">
        <v>671</v>
      </c>
      <c r="AA450" t="n">
        <v>677</v>
      </c>
      <c r="AB450" t="n">
        <v>4</v>
      </c>
      <c r="AC450" t="n">
        <v>4</v>
      </c>
      <c r="AD450" t="n">
        <v>22</v>
      </c>
      <c r="AE450" t="n">
        <v>22</v>
      </c>
      <c r="AF450" t="n">
        <v>8</v>
      </c>
      <c r="AG450" t="n">
        <v>8</v>
      </c>
      <c r="AH450" t="n">
        <v>5</v>
      </c>
      <c r="AI450" t="n">
        <v>5</v>
      </c>
      <c r="AJ450" t="n">
        <v>15</v>
      </c>
      <c r="AK450" t="n">
        <v>15</v>
      </c>
      <c r="AL450" t="n">
        <v>2</v>
      </c>
      <c r="AM450" t="n">
        <v>2</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HYPERLINK("https://creighton-primo.hosted.exlibrisgroup.com/primo-explore/search?tab=default_tab&amp;search_scope=EVERYTHING&amp;vid=01CRU&amp;lang=en_US&amp;offset=0&amp;query=any,contains,991004655209702656","Catalog Record")</f>
        <v/>
      </c>
      <c r="AT450">
        <f>HYPERLINK("http://www.worldcat.org/oclc/4495084","WorldCat Record")</f>
        <v/>
      </c>
      <c r="AU450" t="inlineStr">
        <is>
          <t>3855501348:eng</t>
        </is>
      </c>
      <c r="AV450" t="inlineStr">
        <is>
          <t>4495084</t>
        </is>
      </c>
      <c r="AW450" t="inlineStr">
        <is>
          <t>991004655209702656</t>
        </is>
      </c>
      <c r="AX450" t="inlineStr">
        <is>
          <t>991004655209702656</t>
        </is>
      </c>
      <c r="AY450" t="inlineStr">
        <is>
          <t>2268043060002656</t>
        </is>
      </c>
      <c r="AZ450" t="inlineStr">
        <is>
          <t>BOOK</t>
        </is>
      </c>
      <c r="BB450" t="inlineStr">
        <is>
          <t>9780393009354</t>
        </is>
      </c>
      <c r="BC450" t="inlineStr">
        <is>
          <t>32285001628121</t>
        </is>
      </c>
      <c r="BD450" t="inlineStr">
        <is>
          <t>893706674</t>
        </is>
      </c>
    </row>
    <row r="451">
      <c r="A451" t="inlineStr">
        <is>
          <t>No</t>
        </is>
      </c>
      <c r="B451" t="inlineStr">
        <is>
          <t>HQ1154 .N67</t>
        </is>
      </c>
      <c r="C451" t="inlineStr">
        <is>
          <t>0                      HQ 1154000N  67</t>
        </is>
      </c>
      <c r="D451" t="inlineStr">
        <is>
          <t>North American reference encyclopedia of women's liberation / editor: William White, Jr.</t>
        </is>
      </c>
      <c r="F451" t="inlineStr">
        <is>
          <t>No</t>
        </is>
      </c>
      <c r="G451" t="inlineStr">
        <is>
          <t>1</t>
        </is>
      </c>
      <c r="H451" t="inlineStr">
        <is>
          <t>No</t>
        </is>
      </c>
      <c r="I451" t="inlineStr">
        <is>
          <t>No</t>
        </is>
      </c>
      <c r="J451" t="inlineStr">
        <is>
          <t>0</t>
        </is>
      </c>
      <c r="K451" t="inlineStr">
        <is>
          <t>White, William, 1934-</t>
        </is>
      </c>
      <c r="L451" t="inlineStr">
        <is>
          <t>Philadelphia : North American Pub. Co., [c1972]</t>
        </is>
      </c>
      <c r="M451" t="inlineStr">
        <is>
          <t>1972</t>
        </is>
      </c>
      <c r="O451" t="inlineStr">
        <is>
          <t>eng</t>
        </is>
      </c>
      <c r="P451" t="inlineStr">
        <is>
          <t>pau</t>
        </is>
      </c>
      <c r="Q451" t="inlineStr">
        <is>
          <t>North American reference library</t>
        </is>
      </c>
      <c r="R451" t="inlineStr">
        <is>
          <t xml:space="preserve">HQ </t>
        </is>
      </c>
      <c r="S451" t="n">
        <v>5</v>
      </c>
      <c r="T451" t="n">
        <v>5</v>
      </c>
      <c r="U451" t="inlineStr">
        <is>
          <t>1993-10-02</t>
        </is>
      </c>
      <c r="V451" t="inlineStr">
        <is>
          <t>1993-10-02</t>
        </is>
      </c>
      <c r="W451" t="inlineStr">
        <is>
          <t>1991-12-11</t>
        </is>
      </c>
      <c r="X451" t="inlineStr">
        <is>
          <t>1991-12-11</t>
        </is>
      </c>
      <c r="Y451" t="n">
        <v>380</v>
      </c>
      <c r="Z451" t="n">
        <v>343</v>
      </c>
      <c r="AA451" t="n">
        <v>344</v>
      </c>
      <c r="AB451" t="n">
        <v>3</v>
      </c>
      <c r="AC451" t="n">
        <v>3</v>
      </c>
      <c r="AD451" t="n">
        <v>9</v>
      </c>
      <c r="AE451" t="n">
        <v>9</v>
      </c>
      <c r="AF451" t="n">
        <v>2</v>
      </c>
      <c r="AG451" t="n">
        <v>2</v>
      </c>
      <c r="AH451" t="n">
        <v>1</v>
      </c>
      <c r="AI451" t="n">
        <v>1</v>
      </c>
      <c r="AJ451" t="n">
        <v>4</v>
      </c>
      <c r="AK451" t="n">
        <v>4</v>
      </c>
      <c r="AL451" t="n">
        <v>2</v>
      </c>
      <c r="AM451" t="n">
        <v>2</v>
      </c>
      <c r="AN451" t="n">
        <v>0</v>
      </c>
      <c r="AO451" t="n">
        <v>0</v>
      </c>
      <c r="AP451" t="inlineStr">
        <is>
          <t>No</t>
        </is>
      </c>
      <c r="AQ451" t="inlineStr">
        <is>
          <t>Yes</t>
        </is>
      </c>
      <c r="AR451">
        <f>HYPERLINK("http://catalog.hathitrust.org/Record/000978901","HathiTrust Record")</f>
        <v/>
      </c>
      <c r="AS451">
        <f>HYPERLINK("https://creighton-primo.hosted.exlibrisgroup.com/primo-explore/search?tab=default_tab&amp;search_scope=EVERYTHING&amp;vid=01CRU&amp;lang=en_US&amp;offset=0&amp;query=any,contains,991002919329702656","Catalog Record")</f>
        <v/>
      </c>
      <c r="AT451">
        <f>HYPERLINK("http://www.worldcat.org/oclc/525833","WorldCat Record")</f>
        <v/>
      </c>
      <c r="AU451" t="inlineStr">
        <is>
          <t>1531467:eng</t>
        </is>
      </c>
      <c r="AV451" t="inlineStr">
        <is>
          <t>525833</t>
        </is>
      </c>
      <c r="AW451" t="inlineStr">
        <is>
          <t>991002919329702656</t>
        </is>
      </c>
      <c r="AX451" t="inlineStr">
        <is>
          <t>991002919329702656</t>
        </is>
      </c>
      <c r="AY451" t="inlineStr">
        <is>
          <t>2262402620002656</t>
        </is>
      </c>
      <c r="AZ451" t="inlineStr">
        <is>
          <t>BOOK</t>
        </is>
      </c>
      <c r="BB451" t="inlineStr">
        <is>
          <t>9780912920023</t>
        </is>
      </c>
      <c r="BC451" t="inlineStr">
        <is>
          <t>32285000875806</t>
        </is>
      </c>
      <c r="BD451" t="inlineStr">
        <is>
          <t>893692169</t>
        </is>
      </c>
    </row>
    <row r="452">
      <c r="A452" t="inlineStr">
        <is>
          <t>No</t>
        </is>
      </c>
      <c r="B452" t="inlineStr">
        <is>
          <t>HQ1154 .O27 1989</t>
        </is>
      </c>
      <c r="C452" t="inlineStr">
        <is>
          <t>0                      HQ 1154000O  27          1989</t>
        </is>
      </c>
      <c r="D452" t="inlineStr">
        <is>
          <t>Reproducing the world : essays in feminist theory / Mary O'Brien.</t>
        </is>
      </c>
      <c r="F452" t="inlineStr">
        <is>
          <t>No</t>
        </is>
      </c>
      <c r="G452" t="inlineStr">
        <is>
          <t>1</t>
        </is>
      </c>
      <c r="H452" t="inlineStr">
        <is>
          <t>No</t>
        </is>
      </c>
      <c r="I452" t="inlineStr">
        <is>
          <t>No</t>
        </is>
      </c>
      <c r="J452" t="inlineStr">
        <is>
          <t>0</t>
        </is>
      </c>
      <c r="K452" t="inlineStr">
        <is>
          <t>O'Brien, Mary, 1926-</t>
        </is>
      </c>
      <c r="L452" t="inlineStr">
        <is>
          <t>Boulder : Westview Press, 1989.</t>
        </is>
      </c>
      <c r="M452" t="inlineStr">
        <is>
          <t>1989</t>
        </is>
      </c>
      <c r="O452" t="inlineStr">
        <is>
          <t>eng</t>
        </is>
      </c>
      <c r="P452" t="inlineStr">
        <is>
          <t>cou</t>
        </is>
      </c>
      <c r="Q452" t="inlineStr">
        <is>
          <t>Feminist theory and politics</t>
        </is>
      </c>
      <c r="R452" t="inlineStr">
        <is>
          <t xml:space="preserve">HQ </t>
        </is>
      </c>
      <c r="S452" t="n">
        <v>2</v>
      </c>
      <c r="T452" t="n">
        <v>2</v>
      </c>
      <c r="U452" t="inlineStr">
        <is>
          <t>1994-11-22</t>
        </is>
      </c>
      <c r="V452" t="inlineStr">
        <is>
          <t>1994-11-22</t>
        </is>
      </c>
      <c r="W452" t="inlineStr">
        <is>
          <t>1993-06-03</t>
        </is>
      </c>
      <c r="X452" t="inlineStr">
        <is>
          <t>1993-06-03</t>
        </is>
      </c>
      <c r="Y452" t="n">
        <v>375</v>
      </c>
      <c r="Z452" t="n">
        <v>278</v>
      </c>
      <c r="AA452" t="n">
        <v>307</v>
      </c>
      <c r="AB452" t="n">
        <v>4</v>
      </c>
      <c r="AC452" t="n">
        <v>4</v>
      </c>
      <c r="AD452" t="n">
        <v>15</v>
      </c>
      <c r="AE452" t="n">
        <v>15</v>
      </c>
      <c r="AF452" t="n">
        <v>1</v>
      </c>
      <c r="AG452" t="n">
        <v>1</v>
      </c>
      <c r="AH452" t="n">
        <v>5</v>
      </c>
      <c r="AI452" t="n">
        <v>5</v>
      </c>
      <c r="AJ452" t="n">
        <v>6</v>
      </c>
      <c r="AK452" t="n">
        <v>6</v>
      </c>
      <c r="AL452" t="n">
        <v>3</v>
      </c>
      <c r="AM452" t="n">
        <v>3</v>
      </c>
      <c r="AN452" t="n">
        <v>1</v>
      </c>
      <c r="AO452" t="n">
        <v>1</v>
      </c>
      <c r="AP452" t="inlineStr">
        <is>
          <t>No</t>
        </is>
      </c>
      <c r="AQ452" t="inlineStr">
        <is>
          <t>Yes</t>
        </is>
      </c>
      <c r="AR452">
        <f>HYPERLINK("http://catalog.hathitrust.org/Record/001100818","HathiTrust Record")</f>
        <v/>
      </c>
      <c r="AS452">
        <f>HYPERLINK("https://creighton-primo.hosted.exlibrisgroup.com/primo-explore/search?tab=default_tab&amp;search_scope=EVERYTHING&amp;vid=01CRU&amp;lang=en_US&amp;offset=0&amp;query=any,contains,991001260919702656","Catalog Record")</f>
        <v/>
      </c>
      <c r="AT452">
        <f>HYPERLINK("http://www.worldcat.org/oclc/17767551","WorldCat Record")</f>
        <v/>
      </c>
      <c r="AU452" t="inlineStr">
        <is>
          <t>364153064:eng</t>
        </is>
      </c>
      <c r="AV452" t="inlineStr">
        <is>
          <t>17767551</t>
        </is>
      </c>
      <c r="AW452" t="inlineStr">
        <is>
          <t>991001260919702656</t>
        </is>
      </c>
      <c r="AX452" t="inlineStr">
        <is>
          <t>991001260919702656</t>
        </is>
      </c>
      <c r="AY452" t="inlineStr">
        <is>
          <t>2256942460002656</t>
        </is>
      </c>
      <c r="AZ452" t="inlineStr">
        <is>
          <t>BOOK</t>
        </is>
      </c>
      <c r="BB452" t="inlineStr">
        <is>
          <t>9780813307602</t>
        </is>
      </c>
      <c r="BC452" t="inlineStr">
        <is>
          <t>32285001717635</t>
        </is>
      </c>
      <c r="BD452" t="inlineStr">
        <is>
          <t>893872411</t>
        </is>
      </c>
    </row>
    <row r="453">
      <c r="A453" t="inlineStr">
        <is>
          <t>No</t>
        </is>
      </c>
      <c r="B453" t="inlineStr">
        <is>
          <t>HQ1154 .O8 1968</t>
        </is>
      </c>
      <c r="C453" t="inlineStr">
        <is>
          <t>0                      HQ 1154000O  8           1968</t>
        </is>
      </c>
      <c r="D453" t="inlineStr">
        <is>
          <t>Woman in the nineteenth century, and kindred papers relating to the sphere, condition, and duties of woman / edited by Arthur B. Fuller.</t>
        </is>
      </c>
      <c r="F453" t="inlineStr">
        <is>
          <t>No</t>
        </is>
      </c>
      <c r="G453" t="inlineStr">
        <is>
          <t>1</t>
        </is>
      </c>
      <c r="H453" t="inlineStr">
        <is>
          <t>No</t>
        </is>
      </c>
      <c r="I453" t="inlineStr">
        <is>
          <t>No</t>
        </is>
      </c>
      <c r="J453" t="inlineStr">
        <is>
          <t>0</t>
        </is>
      </c>
      <c r="K453" t="inlineStr">
        <is>
          <t>Fuller, Margaret, 1810-1850.</t>
        </is>
      </c>
      <c r="L453" t="inlineStr">
        <is>
          <t>New York : Greenwood Press, 1968.</t>
        </is>
      </c>
      <c r="M453" t="inlineStr">
        <is>
          <t>1968</t>
        </is>
      </c>
      <c r="N453" t="inlineStr">
        <is>
          <t>New and complete ed. / with an introd. by Horace Greeley.</t>
        </is>
      </c>
      <c r="O453" t="inlineStr">
        <is>
          <t>eng</t>
        </is>
      </c>
      <c r="P453" t="inlineStr">
        <is>
          <t>nyu</t>
        </is>
      </c>
      <c r="R453" t="inlineStr">
        <is>
          <t xml:space="preserve">HQ </t>
        </is>
      </c>
      <c r="S453" t="n">
        <v>3</v>
      </c>
      <c r="T453" t="n">
        <v>3</v>
      </c>
      <c r="U453" t="inlineStr">
        <is>
          <t>1993-03-02</t>
        </is>
      </c>
      <c r="V453" t="inlineStr">
        <is>
          <t>1993-03-02</t>
        </is>
      </c>
      <c r="W453" t="inlineStr">
        <is>
          <t>1992-03-03</t>
        </is>
      </c>
      <c r="X453" t="inlineStr">
        <is>
          <t>1992-03-03</t>
        </is>
      </c>
      <c r="Y453" t="n">
        <v>340</v>
      </c>
      <c r="Z453" t="n">
        <v>312</v>
      </c>
      <c r="AA453" t="n">
        <v>323</v>
      </c>
      <c r="AB453" t="n">
        <v>1</v>
      </c>
      <c r="AC453" t="n">
        <v>1</v>
      </c>
      <c r="AD453" t="n">
        <v>8</v>
      </c>
      <c r="AE453" t="n">
        <v>8</v>
      </c>
      <c r="AF453" t="n">
        <v>1</v>
      </c>
      <c r="AG453" t="n">
        <v>1</v>
      </c>
      <c r="AH453" t="n">
        <v>4</v>
      </c>
      <c r="AI453" t="n">
        <v>4</v>
      </c>
      <c r="AJ453" t="n">
        <v>5</v>
      </c>
      <c r="AK453" t="n">
        <v>5</v>
      </c>
      <c r="AL453" t="n">
        <v>0</v>
      </c>
      <c r="AM453" t="n">
        <v>0</v>
      </c>
      <c r="AN453" t="n">
        <v>0</v>
      </c>
      <c r="AO453" t="n">
        <v>0</v>
      </c>
      <c r="AP453" t="inlineStr">
        <is>
          <t>No</t>
        </is>
      </c>
      <c r="AQ453" t="inlineStr">
        <is>
          <t>Yes</t>
        </is>
      </c>
      <c r="AR453">
        <f>HYPERLINK("http://catalog.hathitrust.org/Record/000978892","HathiTrust Record")</f>
        <v/>
      </c>
      <c r="AS453">
        <f>HYPERLINK("https://creighton-primo.hosted.exlibrisgroup.com/primo-explore/search?tab=default_tab&amp;search_scope=EVERYTHING&amp;vid=01CRU&amp;lang=en_US&amp;offset=0&amp;query=any,contains,991002205819702656","Catalog Record")</f>
        <v/>
      </c>
      <c r="AT453">
        <f>HYPERLINK("http://www.worldcat.org/oclc/285703","WorldCat Record")</f>
        <v/>
      </c>
      <c r="AU453" t="inlineStr">
        <is>
          <t>9937358314:eng</t>
        </is>
      </c>
      <c r="AV453" t="inlineStr">
        <is>
          <t>285703</t>
        </is>
      </c>
      <c r="AW453" t="inlineStr">
        <is>
          <t>991002205819702656</t>
        </is>
      </c>
      <c r="AX453" t="inlineStr">
        <is>
          <t>991002205819702656</t>
        </is>
      </c>
      <c r="AY453" t="inlineStr">
        <is>
          <t>2263219470002656</t>
        </is>
      </c>
      <c r="AZ453" t="inlineStr">
        <is>
          <t>BOOK</t>
        </is>
      </c>
      <c r="BC453" t="inlineStr">
        <is>
          <t>32285000990100</t>
        </is>
      </c>
      <c r="BD453" t="inlineStr">
        <is>
          <t>893232680</t>
        </is>
      </c>
    </row>
    <row r="454">
      <c r="A454" t="inlineStr">
        <is>
          <t>No</t>
        </is>
      </c>
      <c r="B454" t="inlineStr">
        <is>
          <t>HQ1154 .O8 1998</t>
        </is>
      </c>
      <c r="C454" t="inlineStr">
        <is>
          <t>0                      HQ 1154000O  8           1998</t>
        </is>
      </c>
      <c r="D454" t="inlineStr">
        <is>
          <t>Woman in the nineteenth century : an authoritative text, backgrounds, criticism / Margaret Fuller ; edited by Larry J. Reynolds.</t>
        </is>
      </c>
      <c r="F454" t="inlineStr">
        <is>
          <t>No</t>
        </is>
      </c>
      <c r="G454" t="inlineStr">
        <is>
          <t>1</t>
        </is>
      </c>
      <c r="H454" t="inlineStr">
        <is>
          <t>No</t>
        </is>
      </c>
      <c r="I454" t="inlineStr">
        <is>
          <t>No</t>
        </is>
      </c>
      <c r="J454" t="inlineStr">
        <is>
          <t>0</t>
        </is>
      </c>
      <c r="K454" t="inlineStr">
        <is>
          <t>Fuller, Margaret, 1810-1850.</t>
        </is>
      </c>
      <c r="L454" t="inlineStr">
        <is>
          <t>New York : W.W. Norton, c1998.</t>
        </is>
      </c>
      <c r="M454" t="inlineStr">
        <is>
          <t>1998</t>
        </is>
      </c>
      <c r="N454" t="inlineStr">
        <is>
          <t>1st ed.</t>
        </is>
      </c>
      <c r="O454" t="inlineStr">
        <is>
          <t>eng</t>
        </is>
      </c>
      <c r="P454" t="inlineStr">
        <is>
          <t>nyu</t>
        </is>
      </c>
      <c r="Q454" t="inlineStr">
        <is>
          <t>A Norton critical edition</t>
        </is>
      </c>
      <c r="R454" t="inlineStr">
        <is>
          <t xml:space="preserve">HQ </t>
        </is>
      </c>
      <c r="S454" t="n">
        <v>6</v>
      </c>
      <c r="T454" t="n">
        <v>6</v>
      </c>
      <c r="U454" t="inlineStr">
        <is>
          <t>2006-04-29</t>
        </is>
      </c>
      <c r="V454" t="inlineStr">
        <is>
          <t>2006-04-29</t>
        </is>
      </c>
      <c r="W454" t="inlineStr">
        <is>
          <t>1998-02-05</t>
        </is>
      </c>
      <c r="X454" t="inlineStr">
        <is>
          <t>1998-02-05</t>
        </is>
      </c>
      <c r="Y454" t="n">
        <v>437</v>
      </c>
      <c r="Z454" t="n">
        <v>353</v>
      </c>
      <c r="AA454" t="n">
        <v>363</v>
      </c>
      <c r="AB454" t="n">
        <v>4</v>
      </c>
      <c r="AC454" t="n">
        <v>4</v>
      </c>
      <c r="AD454" t="n">
        <v>11</v>
      </c>
      <c r="AE454" t="n">
        <v>11</v>
      </c>
      <c r="AF454" t="n">
        <v>2</v>
      </c>
      <c r="AG454" t="n">
        <v>2</v>
      </c>
      <c r="AH454" t="n">
        <v>4</v>
      </c>
      <c r="AI454" t="n">
        <v>4</v>
      </c>
      <c r="AJ454" t="n">
        <v>4</v>
      </c>
      <c r="AK454" t="n">
        <v>4</v>
      </c>
      <c r="AL454" t="n">
        <v>3</v>
      </c>
      <c r="AM454" t="n">
        <v>3</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HYPERLINK("https://creighton-primo.hosted.exlibrisgroup.com/primo-explore/search?tab=default_tab&amp;search_scope=EVERYTHING&amp;vid=01CRU&amp;lang=en_US&amp;offset=0&amp;query=any,contains,991002754939702656","Catalog Record")</f>
        <v/>
      </c>
      <c r="AT454">
        <f>HYPERLINK("http://www.worldcat.org/oclc/36135794","WorldCat Record")</f>
        <v/>
      </c>
      <c r="AU454" t="inlineStr">
        <is>
          <t>4920746459:eng</t>
        </is>
      </c>
      <c r="AV454" t="inlineStr">
        <is>
          <t>36135794</t>
        </is>
      </c>
      <c r="AW454" t="inlineStr">
        <is>
          <t>991002754939702656</t>
        </is>
      </c>
      <c r="AX454" t="inlineStr">
        <is>
          <t>991002754939702656</t>
        </is>
      </c>
      <c r="AY454" t="inlineStr">
        <is>
          <t>2263450310002656</t>
        </is>
      </c>
      <c r="AZ454" t="inlineStr">
        <is>
          <t>BOOK</t>
        </is>
      </c>
      <c r="BB454" t="inlineStr">
        <is>
          <t>9780393971576</t>
        </is>
      </c>
      <c r="BC454" t="inlineStr">
        <is>
          <t>32285003312500</t>
        </is>
      </c>
      <c r="BD454" t="inlineStr">
        <is>
          <t>893335667</t>
        </is>
      </c>
    </row>
    <row r="455">
      <c r="A455" t="inlineStr">
        <is>
          <t>No</t>
        </is>
      </c>
      <c r="B455" t="inlineStr">
        <is>
          <t>HQ1154 .P37</t>
        </is>
      </c>
      <c r="C455" t="inlineStr">
        <is>
          <t>0                      HQ 1154000P  37</t>
        </is>
      </c>
      <c r="D455" t="inlineStr">
        <is>
          <t>Women in the modern world / edited and with an introd. by Raphael Patai.</t>
        </is>
      </c>
      <c r="F455" t="inlineStr">
        <is>
          <t>No</t>
        </is>
      </c>
      <c r="G455" t="inlineStr">
        <is>
          <t>1</t>
        </is>
      </c>
      <c r="H455" t="inlineStr">
        <is>
          <t>No</t>
        </is>
      </c>
      <c r="I455" t="inlineStr">
        <is>
          <t>No</t>
        </is>
      </c>
      <c r="J455" t="inlineStr">
        <is>
          <t>0</t>
        </is>
      </c>
      <c r="K455" t="inlineStr">
        <is>
          <t>Patai, Raphael, 1910-1996.</t>
        </is>
      </c>
      <c r="L455" t="inlineStr">
        <is>
          <t>New York : Free Press, [1967]</t>
        </is>
      </c>
      <c r="M455" t="inlineStr">
        <is>
          <t>1967</t>
        </is>
      </c>
      <c r="O455" t="inlineStr">
        <is>
          <t>eng</t>
        </is>
      </c>
      <c r="P455" t="inlineStr">
        <is>
          <t>nyu</t>
        </is>
      </c>
      <c r="R455" t="inlineStr">
        <is>
          <t xml:space="preserve">HQ </t>
        </is>
      </c>
      <c r="S455" t="n">
        <v>4</v>
      </c>
      <c r="T455" t="n">
        <v>4</v>
      </c>
      <c r="U455" t="inlineStr">
        <is>
          <t>1996-10-28</t>
        </is>
      </c>
      <c r="V455" t="inlineStr">
        <is>
          <t>1996-10-28</t>
        </is>
      </c>
      <c r="W455" t="inlineStr">
        <is>
          <t>1991-09-24</t>
        </is>
      </c>
      <c r="X455" t="inlineStr">
        <is>
          <t>1991-09-24</t>
        </is>
      </c>
      <c r="Y455" t="n">
        <v>816</v>
      </c>
      <c r="Z455" t="n">
        <v>701</v>
      </c>
      <c r="AA455" t="n">
        <v>707</v>
      </c>
      <c r="AB455" t="n">
        <v>10</v>
      </c>
      <c r="AC455" t="n">
        <v>10</v>
      </c>
      <c r="AD455" t="n">
        <v>34</v>
      </c>
      <c r="AE455" t="n">
        <v>34</v>
      </c>
      <c r="AF455" t="n">
        <v>13</v>
      </c>
      <c r="AG455" t="n">
        <v>13</v>
      </c>
      <c r="AH455" t="n">
        <v>6</v>
      </c>
      <c r="AI455" t="n">
        <v>6</v>
      </c>
      <c r="AJ455" t="n">
        <v>13</v>
      </c>
      <c r="AK455" t="n">
        <v>13</v>
      </c>
      <c r="AL455" t="n">
        <v>9</v>
      </c>
      <c r="AM455" t="n">
        <v>9</v>
      </c>
      <c r="AN455" t="n">
        <v>0</v>
      </c>
      <c r="AO455" t="n">
        <v>0</v>
      </c>
      <c r="AP455" t="inlineStr">
        <is>
          <t>No</t>
        </is>
      </c>
      <c r="AQ455" t="inlineStr">
        <is>
          <t>Yes</t>
        </is>
      </c>
      <c r="AR455">
        <f>HYPERLINK("http://catalog.hathitrust.org/Record/001110328","HathiTrust Record")</f>
        <v/>
      </c>
      <c r="AS455">
        <f>HYPERLINK("https://creighton-primo.hosted.exlibrisgroup.com/primo-explore/search?tab=default_tab&amp;search_scope=EVERYTHING&amp;vid=01CRU&amp;lang=en_US&amp;offset=0&amp;query=any,contains,991002037159702656","Catalog Record")</f>
        <v/>
      </c>
      <c r="AT455">
        <f>HYPERLINK("http://www.worldcat.org/oclc/260766","WorldCat Record")</f>
        <v/>
      </c>
      <c r="AU455" t="inlineStr">
        <is>
          <t>3857131197:eng</t>
        </is>
      </c>
      <c r="AV455" t="inlineStr">
        <is>
          <t>260766</t>
        </is>
      </c>
      <c r="AW455" t="inlineStr">
        <is>
          <t>991002037159702656</t>
        </is>
      </c>
      <c r="AX455" t="inlineStr">
        <is>
          <t>991002037159702656</t>
        </is>
      </c>
      <c r="AY455" t="inlineStr">
        <is>
          <t>2262616750002656</t>
        </is>
      </c>
      <c r="AZ455" t="inlineStr">
        <is>
          <t>BOOK</t>
        </is>
      </c>
      <c r="BC455" t="inlineStr">
        <is>
          <t>32285000760578</t>
        </is>
      </c>
      <c r="BD455" t="inlineStr">
        <is>
          <t>893892049</t>
        </is>
      </c>
    </row>
    <row r="456">
      <c r="A456" t="inlineStr">
        <is>
          <t>No</t>
        </is>
      </c>
      <c r="B456" t="inlineStr">
        <is>
          <t>HQ1154 .P6 1982</t>
        </is>
      </c>
      <c r="C456" t="inlineStr">
        <is>
          <t>0                      HQ 1154000P  6           1982</t>
        </is>
      </c>
      <c r="D456" t="inlineStr">
        <is>
          <t>The Politics of women's spirituality : essays on the rise of spiritual power within the feminist movement / edited by Charlene Spretnak.</t>
        </is>
      </c>
      <c r="F456" t="inlineStr">
        <is>
          <t>No</t>
        </is>
      </c>
      <c r="G456" t="inlineStr">
        <is>
          <t>1</t>
        </is>
      </c>
      <c r="H456" t="inlineStr">
        <is>
          <t>No</t>
        </is>
      </c>
      <c r="I456" t="inlineStr">
        <is>
          <t>No</t>
        </is>
      </c>
      <c r="J456" t="inlineStr">
        <is>
          <t>0</t>
        </is>
      </c>
      <c r="L456" t="inlineStr">
        <is>
          <t>Garden City, N.Y. : Anchor Books, 1982.</t>
        </is>
      </c>
      <c r="M456" t="inlineStr">
        <is>
          <t>1982</t>
        </is>
      </c>
      <c r="N456" t="inlineStr">
        <is>
          <t>1st ed.</t>
        </is>
      </c>
      <c r="O456" t="inlineStr">
        <is>
          <t>eng</t>
        </is>
      </c>
      <c r="P456" t="inlineStr">
        <is>
          <t>nyu</t>
        </is>
      </c>
      <c r="R456" t="inlineStr">
        <is>
          <t xml:space="preserve">HQ </t>
        </is>
      </c>
      <c r="S456" t="n">
        <v>14</v>
      </c>
      <c r="T456" t="n">
        <v>14</v>
      </c>
      <c r="U456" t="inlineStr">
        <is>
          <t>2008-03-20</t>
        </is>
      </c>
      <c r="V456" t="inlineStr">
        <is>
          <t>2008-03-20</t>
        </is>
      </c>
      <c r="W456" t="inlineStr">
        <is>
          <t>1992-04-15</t>
        </is>
      </c>
      <c r="X456" t="inlineStr">
        <is>
          <t>1992-04-15</t>
        </is>
      </c>
      <c r="Y456" t="n">
        <v>840</v>
      </c>
      <c r="Z456" t="n">
        <v>722</v>
      </c>
      <c r="AA456" t="n">
        <v>731</v>
      </c>
      <c r="AB456" t="n">
        <v>4</v>
      </c>
      <c r="AC456" t="n">
        <v>4</v>
      </c>
      <c r="AD456" t="n">
        <v>29</v>
      </c>
      <c r="AE456" t="n">
        <v>30</v>
      </c>
      <c r="AF456" t="n">
        <v>10</v>
      </c>
      <c r="AG456" t="n">
        <v>11</v>
      </c>
      <c r="AH456" t="n">
        <v>7</v>
      </c>
      <c r="AI456" t="n">
        <v>7</v>
      </c>
      <c r="AJ456" t="n">
        <v>15</v>
      </c>
      <c r="AK456" t="n">
        <v>16</v>
      </c>
      <c r="AL456" t="n">
        <v>3</v>
      </c>
      <c r="AM456" t="n">
        <v>3</v>
      </c>
      <c r="AN456" t="n">
        <v>1</v>
      </c>
      <c r="AO456" t="n">
        <v>1</v>
      </c>
      <c r="AP456" t="inlineStr">
        <is>
          <t>No</t>
        </is>
      </c>
      <c r="AQ456" t="inlineStr">
        <is>
          <t>Yes</t>
        </is>
      </c>
      <c r="AR456">
        <f>HYPERLINK("http://catalog.hathitrust.org/Record/000765883","HathiTrust Record")</f>
        <v/>
      </c>
      <c r="AS456">
        <f>HYPERLINK("https://creighton-primo.hosted.exlibrisgroup.com/primo-explore/search?tab=default_tab&amp;search_scope=EVERYTHING&amp;vid=01CRU&amp;lang=en_US&amp;offset=0&amp;query=any,contains,991005095309702656","Catalog Record")</f>
        <v/>
      </c>
      <c r="AT456">
        <f>HYPERLINK("http://www.worldcat.org/oclc/7272396","WorldCat Record")</f>
        <v/>
      </c>
      <c r="AU456" t="inlineStr">
        <is>
          <t>934685495:eng</t>
        </is>
      </c>
      <c r="AV456" t="inlineStr">
        <is>
          <t>7272396</t>
        </is>
      </c>
      <c r="AW456" t="inlineStr">
        <is>
          <t>991005095309702656</t>
        </is>
      </c>
      <c r="AX456" t="inlineStr">
        <is>
          <t>991005095309702656</t>
        </is>
      </c>
      <c r="AY456" t="inlineStr">
        <is>
          <t>2261321960002656</t>
        </is>
      </c>
      <c r="AZ456" t="inlineStr">
        <is>
          <t>BOOK</t>
        </is>
      </c>
      <c r="BB456" t="inlineStr">
        <is>
          <t>9780385172417</t>
        </is>
      </c>
      <c r="BC456" t="inlineStr">
        <is>
          <t>32285001061638</t>
        </is>
      </c>
      <c r="BD456" t="inlineStr">
        <is>
          <t>893507597</t>
        </is>
      </c>
    </row>
    <row r="457">
      <c r="A457" t="inlineStr">
        <is>
          <t>No</t>
        </is>
      </c>
      <c r="B457" t="inlineStr">
        <is>
          <t>HQ1154 .P74</t>
        </is>
      </c>
      <c r="C457" t="inlineStr">
        <is>
          <t>0                      HQ 1154000P  74</t>
        </is>
      </c>
      <c r="D457" t="inlineStr">
        <is>
          <t>The Prism of sex : essays in the sociology of knowledge : proceedings of a symposium / sponsored by WRI of Wisconsin, inc. ; edited by Julia A. Sherman and Evelyn Torton Beck.</t>
        </is>
      </c>
      <c r="F457" t="inlineStr">
        <is>
          <t>No</t>
        </is>
      </c>
      <c r="G457" t="inlineStr">
        <is>
          <t>1</t>
        </is>
      </c>
      <c r="H457" t="inlineStr">
        <is>
          <t>No</t>
        </is>
      </c>
      <c r="I457" t="inlineStr">
        <is>
          <t>No</t>
        </is>
      </c>
      <c r="J457" t="inlineStr">
        <is>
          <t>0</t>
        </is>
      </c>
      <c r="L457" t="inlineStr">
        <is>
          <t>Madison : University of Wisconsin Press, 1979.</t>
        </is>
      </c>
      <c r="M457" t="inlineStr">
        <is>
          <t>1979</t>
        </is>
      </c>
      <c r="O457" t="inlineStr">
        <is>
          <t>eng</t>
        </is>
      </c>
      <c r="P457" t="inlineStr">
        <is>
          <t>wiu</t>
        </is>
      </c>
      <c r="R457" t="inlineStr">
        <is>
          <t xml:space="preserve">HQ </t>
        </is>
      </c>
      <c r="S457" t="n">
        <v>1</v>
      </c>
      <c r="T457" t="n">
        <v>1</v>
      </c>
      <c r="U457" t="inlineStr">
        <is>
          <t>1992-04-17</t>
        </is>
      </c>
      <c r="V457" t="inlineStr">
        <is>
          <t>1992-04-17</t>
        </is>
      </c>
      <c r="W457" t="inlineStr">
        <is>
          <t>1991-12-13</t>
        </is>
      </c>
      <c r="X457" t="inlineStr">
        <is>
          <t>1991-12-13</t>
        </is>
      </c>
      <c r="Y457" t="n">
        <v>620</v>
      </c>
      <c r="Z457" t="n">
        <v>546</v>
      </c>
      <c r="AA457" t="n">
        <v>553</v>
      </c>
      <c r="AB457" t="n">
        <v>7</v>
      </c>
      <c r="AC457" t="n">
        <v>7</v>
      </c>
      <c r="AD457" t="n">
        <v>29</v>
      </c>
      <c r="AE457" t="n">
        <v>29</v>
      </c>
      <c r="AF457" t="n">
        <v>8</v>
      </c>
      <c r="AG457" t="n">
        <v>8</v>
      </c>
      <c r="AH457" t="n">
        <v>9</v>
      </c>
      <c r="AI457" t="n">
        <v>9</v>
      </c>
      <c r="AJ457" t="n">
        <v>14</v>
      </c>
      <c r="AK457" t="n">
        <v>14</v>
      </c>
      <c r="AL457" t="n">
        <v>6</v>
      </c>
      <c r="AM457" t="n">
        <v>6</v>
      </c>
      <c r="AN457" t="n">
        <v>0</v>
      </c>
      <c r="AO457" t="n">
        <v>0</v>
      </c>
      <c r="AP457" t="inlineStr">
        <is>
          <t>No</t>
        </is>
      </c>
      <c r="AQ457" t="inlineStr">
        <is>
          <t>Yes</t>
        </is>
      </c>
      <c r="AR457">
        <f>HYPERLINK("http://catalog.hathitrust.org/Record/000036724","HathiTrust Record")</f>
        <v/>
      </c>
      <c r="AS457">
        <f>HYPERLINK("https://creighton-primo.hosted.exlibrisgroup.com/primo-explore/search?tab=default_tab&amp;search_scope=EVERYTHING&amp;vid=01CRU&amp;lang=en_US&amp;offset=0&amp;query=any,contains,991004802639702656","Catalog Record")</f>
        <v/>
      </c>
      <c r="AT457">
        <f>HYPERLINK("http://www.worldcat.org/oclc/5219795","WorldCat Record")</f>
        <v/>
      </c>
      <c r="AU457" t="inlineStr">
        <is>
          <t>3902096204:eng</t>
        </is>
      </c>
      <c r="AV457" t="inlineStr">
        <is>
          <t>5219795</t>
        </is>
      </c>
      <c r="AW457" t="inlineStr">
        <is>
          <t>991004802639702656</t>
        </is>
      </c>
      <c r="AX457" t="inlineStr">
        <is>
          <t>991004802639702656</t>
        </is>
      </c>
      <c r="AY457" t="inlineStr">
        <is>
          <t>2268378850002656</t>
        </is>
      </c>
      <c r="AZ457" t="inlineStr">
        <is>
          <t>BOOK</t>
        </is>
      </c>
      <c r="BB457" t="inlineStr">
        <is>
          <t>9780299080105</t>
        </is>
      </c>
      <c r="BC457" t="inlineStr">
        <is>
          <t>32285000901305</t>
        </is>
      </c>
      <c r="BD457" t="inlineStr">
        <is>
          <t>893706855</t>
        </is>
      </c>
    </row>
    <row r="458">
      <c r="A458" t="inlineStr">
        <is>
          <t>No</t>
        </is>
      </c>
      <c r="B458" t="inlineStr">
        <is>
          <t>HQ1154 .R27 1989</t>
        </is>
      </c>
      <c r="C458" t="inlineStr">
        <is>
          <t>0                      HQ 1154000R  27          1989</t>
        </is>
      </c>
      <c r="D458" t="inlineStr">
        <is>
          <t>Radical voices : a decade of feminist resistance from Women's studies international forum / edited by Renate D. Klein and Deborah Lynn Steinberg.</t>
        </is>
      </c>
      <c r="F458" t="inlineStr">
        <is>
          <t>No</t>
        </is>
      </c>
      <c r="G458" t="inlineStr">
        <is>
          <t>1</t>
        </is>
      </c>
      <c r="H458" t="inlineStr">
        <is>
          <t>No</t>
        </is>
      </c>
      <c r="I458" t="inlineStr">
        <is>
          <t>No</t>
        </is>
      </c>
      <c r="J458" t="inlineStr">
        <is>
          <t>0</t>
        </is>
      </c>
      <c r="L458" t="inlineStr">
        <is>
          <t>Oxford, England ; New York : Pergamon Press, 1989.</t>
        </is>
      </c>
      <c r="M458" t="inlineStr">
        <is>
          <t>1989</t>
        </is>
      </c>
      <c r="N458" t="inlineStr">
        <is>
          <t>1st ed.</t>
        </is>
      </c>
      <c r="O458" t="inlineStr">
        <is>
          <t>eng</t>
        </is>
      </c>
      <c r="P458" t="inlineStr">
        <is>
          <t>enk</t>
        </is>
      </c>
      <c r="Q458" t="inlineStr">
        <is>
          <t>The Athene series</t>
        </is>
      </c>
      <c r="R458" t="inlineStr">
        <is>
          <t xml:space="preserve">HQ </t>
        </is>
      </c>
      <c r="S458" t="n">
        <v>2</v>
      </c>
      <c r="T458" t="n">
        <v>2</v>
      </c>
      <c r="U458" t="inlineStr">
        <is>
          <t>1992-11-17</t>
        </is>
      </c>
      <c r="V458" t="inlineStr">
        <is>
          <t>1992-11-17</t>
        </is>
      </c>
      <c r="W458" t="inlineStr">
        <is>
          <t>1992-01-21</t>
        </is>
      </c>
      <c r="X458" t="inlineStr">
        <is>
          <t>1992-01-21</t>
        </is>
      </c>
      <c r="Y458" t="n">
        <v>413</v>
      </c>
      <c r="Z458" t="n">
        <v>297</v>
      </c>
      <c r="AA458" t="n">
        <v>306</v>
      </c>
      <c r="AB458" t="n">
        <v>1</v>
      </c>
      <c r="AC458" t="n">
        <v>1</v>
      </c>
      <c r="AD458" t="n">
        <v>12</v>
      </c>
      <c r="AE458" t="n">
        <v>12</v>
      </c>
      <c r="AF458" t="n">
        <v>3</v>
      </c>
      <c r="AG458" t="n">
        <v>3</v>
      </c>
      <c r="AH458" t="n">
        <v>3</v>
      </c>
      <c r="AI458" t="n">
        <v>3</v>
      </c>
      <c r="AJ458" t="n">
        <v>10</v>
      </c>
      <c r="AK458" t="n">
        <v>10</v>
      </c>
      <c r="AL458" t="n">
        <v>0</v>
      </c>
      <c r="AM458" t="n">
        <v>0</v>
      </c>
      <c r="AN458" t="n">
        <v>0</v>
      </c>
      <c r="AO458" t="n">
        <v>0</v>
      </c>
      <c r="AP458" t="inlineStr">
        <is>
          <t>No</t>
        </is>
      </c>
      <c r="AQ458" t="inlineStr">
        <is>
          <t>Yes</t>
        </is>
      </c>
      <c r="AR458">
        <f>HYPERLINK("http://catalog.hathitrust.org/Record/001816440","HathiTrust Record")</f>
        <v/>
      </c>
      <c r="AS458">
        <f>HYPERLINK("https://creighton-primo.hosted.exlibrisgroup.com/primo-explore/search?tab=default_tab&amp;search_scope=EVERYTHING&amp;vid=01CRU&amp;lang=en_US&amp;offset=0&amp;query=any,contains,991001366999702656","Catalog Record")</f>
        <v/>
      </c>
      <c r="AT458">
        <f>HYPERLINK("http://www.worldcat.org/oclc/18559262","WorldCat Record")</f>
        <v/>
      </c>
      <c r="AU458" t="inlineStr">
        <is>
          <t>795502214:eng</t>
        </is>
      </c>
      <c r="AV458" t="inlineStr">
        <is>
          <t>18559262</t>
        </is>
      </c>
      <c r="AW458" t="inlineStr">
        <is>
          <t>991001366999702656</t>
        </is>
      </c>
      <c r="AX458" t="inlineStr">
        <is>
          <t>991001366999702656</t>
        </is>
      </c>
      <c r="AY458" t="inlineStr">
        <is>
          <t>2260812660002656</t>
        </is>
      </c>
      <c r="AZ458" t="inlineStr">
        <is>
          <t>BOOK</t>
        </is>
      </c>
      <c r="BB458" t="inlineStr">
        <is>
          <t>9780080364834</t>
        </is>
      </c>
      <c r="BC458" t="inlineStr">
        <is>
          <t>32285000916378</t>
        </is>
      </c>
      <c r="BD458" t="inlineStr">
        <is>
          <t>893244077</t>
        </is>
      </c>
    </row>
    <row r="459">
      <c r="A459" t="inlineStr">
        <is>
          <t>No</t>
        </is>
      </c>
      <c r="B459" t="inlineStr">
        <is>
          <t>HQ1154 .R746</t>
        </is>
      </c>
      <c r="C459" t="inlineStr">
        <is>
          <t>0                      HQ 1154000R  746</t>
        </is>
      </c>
      <c r="D459" t="inlineStr">
        <is>
          <t>The feminist papers : from Adams to de Beauvoir / edited and with introductory essays by Alice S. Rossi.</t>
        </is>
      </c>
      <c r="F459" t="inlineStr">
        <is>
          <t>No</t>
        </is>
      </c>
      <c r="G459" t="inlineStr">
        <is>
          <t>1</t>
        </is>
      </c>
      <c r="H459" t="inlineStr">
        <is>
          <t>No</t>
        </is>
      </c>
      <c r="I459" t="inlineStr">
        <is>
          <t>No</t>
        </is>
      </c>
      <c r="J459" t="inlineStr">
        <is>
          <t>0</t>
        </is>
      </c>
      <c r="K459" t="inlineStr">
        <is>
          <t>Rossi, Alice S., 1922-2009 compiler.</t>
        </is>
      </c>
      <c r="L459" t="inlineStr">
        <is>
          <t>New York : Columbia University Press, 1973.</t>
        </is>
      </c>
      <c r="M459" t="inlineStr">
        <is>
          <t>1973</t>
        </is>
      </c>
      <c r="O459" t="inlineStr">
        <is>
          <t>eng</t>
        </is>
      </c>
      <c r="P459" t="inlineStr">
        <is>
          <t>nyu</t>
        </is>
      </c>
      <c r="R459" t="inlineStr">
        <is>
          <t xml:space="preserve">HQ </t>
        </is>
      </c>
      <c r="S459" t="n">
        <v>12</v>
      </c>
      <c r="T459" t="n">
        <v>12</v>
      </c>
      <c r="U459" t="inlineStr">
        <is>
          <t>2004-09-28</t>
        </is>
      </c>
      <c r="V459" t="inlineStr">
        <is>
          <t>2004-09-28</t>
        </is>
      </c>
      <c r="W459" t="inlineStr">
        <is>
          <t>1993-07-13</t>
        </is>
      </c>
      <c r="X459" t="inlineStr">
        <is>
          <t>1993-07-13</t>
        </is>
      </c>
      <c r="Y459" t="n">
        <v>1721</v>
      </c>
      <c r="Z459" t="n">
        <v>1544</v>
      </c>
      <c r="AA459" t="n">
        <v>1846</v>
      </c>
      <c r="AB459" t="n">
        <v>10</v>
      </c>
      <c r="AC459" t="n">
        <v>15</v>
      </c>
      <c r="AD459" t="n">
        <v>54</v>
      </c>
      <c r="AE459" t="n">
        <v>66</v>
      </c>
      <c r="AF459" t="n">
        <v>21</v>
      </c>
      <c r="AG459" t="n">
        <v>27</v>
      </c>
      <c r="AH459" t="n">
        <v>11</v>
      </c>
      <c r="AI459" t="n">
        <v>11</v>
      </c>
      <c r="AJ459" t="n">
        <v>22</v>
      </c>
      <c r="AK459" t="n">
        <v>26</v>
      </c>
      <c r="AL459" t="n">
        <v>8</v>
      </c>
      <c r="AM459" t="n">
        <v>11</v>
      </c>
      <c r="AN459" t="n">
        <v>4</v>
      </c>
      <c r="AO459" t="n">
        <v>5</v>
      </c>
      <c r="AP459" t="inlineStr">
        <is>
          <t>No</t>
        </is>
      </c>
      <c r="AQ459" t="inlineStr">
        <is>
          <t>No</t>
        </is>
      </c>
      <c r="AS459">
        <f>HYPERLINK("https://creighton-primo.hosted.exlibrisgroup.com/primo-explore/search?tab=default_tab&amp;search_scope=EVERYTHING&amp;vid=01CRU&amp;lang=en_US&amp;offset=0&amp;query=any,contains,991003090779702656","Catalog Record")</f>
        <v/>
      </c>
      <c r="AT459">
        <f>HYPERLINK("http://www.worldcat.org/oclc/640900","WorldCat Record")</f>
        <v/>
      </c>
      <c r="AU459" t="inlineStr">
        <is>
          <t>2181244:eng</t>
        </is>
      </c>
      <c r="AV459" t="inlineStr">
        <is>
          <t>640900</t>
        </is>
      </c>
      <c r="AW459" t="inlineStr">
        <is>
          <t>991003090779702656</t>
        </is>
      </c>
      <c r="AX459" t="inlineStr">
        <is>
          <t>991003090779702656</t>
        </is>
      </c>
      <c r="AY459" t="inlineStr">
        <is>
          <t>2263942680002656</t>
        </is>
      </c>
      <c r="AZ459" t="inlineStr">
        <is>
          <t>BOOK</t>
        </is>
      </c>
      <c r="BB459" t="inlineStr">
        <is>
          <t>9780231037952</t>
        </is>
      </c>
      <c r="BC459" t="inlineStr">
        <is>
          <t>32285001722189</t>
        </is>
      </c>
      <c r="BD459" t="inlineStr">
        <is>
          <t>893505197</t>
        </is>
      </c>
    </row>
    <row r="460">
      <c r="A460" t="inlineStr">
        <is>
          <t>No</t>
        </is>
      </c>
      <c r="B460" t="inlineStr">
        <is>
          <t>HQ1154 .R75</t>
        </is>
      </c>
      <c r="C460" t="inlineStr">
        <is>
          <t>0                      HQ 1154000R  75</t>
        </is>
      </c>
      <c r="D460" t="inlineStr">
        <is>
          <t>Masculine / feminine : readings in sexual mythology and the liberation of women / edited by Betty Roszak and Theodore Roszak.</t>
        </is>
      </c>
      <c r="F460" t="inlineStr">
        <is>
          <t>No</t>
        </is>
      </c>
      <c r="G460" t="inlineStr">
        <is>
          <t>1</t>
        </is>
      </c>
      <c r="H460" t="inlineStr">
        <is>
          <t>No</t>
        </is>
      </c>
      <c r="I460" t="inlineStr">
        <is>
          <t>No</t>
        </is>
      </c>
      <c r="J460" t="inlineStr">
        <is>
          <t>0</t>
        </is>
      </c>
      <c r="K460" t="inlineStr">
        <is>
          <t>Roszak, Betty, compiler.</t>
        </is>
      </c>
      <c r="L460" t="inlineStr">
        <is>
          <t>New York : Harper &amp; Row, [c1969]</t>
        </is>
      </c>
      <c r="M460" t="inlineStr">
        <is>
          <t>1969</t>
        </is>
      </c>
      <c r="N460" t="inlineStr">
        <is>
          <t>[1st ed.]</t>
        </is>
      </c>
      <c r="O460" t="inlineStr">
        <is>
          <t>eng</t>
        </is>
      </c>
      <c r="P460" t="inlineStr">
        <is>
          <t>nyu</t>
        </is>
      </c>
      <c r="Q460" t="inlineStr">
        <is>
          <t>Harper colophon books ; CN 220</t>
        </is>
      </c>
      <c r="R460" t="inlineStr">
        <is>
          <t xml:space="preserve">HQ </t>
        </is>
      </c>
      <c r="S460" t="n">
        <v>3</v>
      </c>
      <c r="T460" t="n">
        <v>3</v>
      </c>
      <c r="U460" t="inlineStr">
        <is>
          <t>2000-11-14</t>
        </is>
      </c>
      <c r="V460" t="inlineStr">
        <is>
          <t>2000-11-14</t>
        </is>
      </c>
      <c r="W460" t="inlineStr">
        <is>
          <t>1994-04-25</t>
        </is>
      </c>
      <c r="X460" t="inlineStr">
        <is>
          <t>1994-04-25</t>
        </is>
      </c>
      <c r="Y460" t="n">
        <v>998</v>
      </c>
      <c r="Z460" t="n">
        <v>836</v>
      </c>
      <c r="AA460" t="n">
        <v>853</v>
      </c>
      <c r="AB460" t="n">
        <v>6</v>
      </c>
      <c r="AC460" t="n">
        <v>6</v>
      </c>
      <c r="AD460" t="n">
        <v>40</v>
      </c>
      <c r="AE460" t="n">
        <v>40</v>
      </c>
      <c r="AF460" t="n">
        <v>18</v>
      </c>
      <c r="AG460" t="n">
        <v>18</v>
      </c>
      <c r="AH460" t="n">
        <v>10</v>
      </c>
      <c r="AI460" t="n">
        <v>10</v>
      </c>
      <c r="AJ460" t="n">
        <v>19</v>
      </c>
      <c r="AK460" t="n">
        <v>19</v>
      </c>
      <c r="AL460" t="n">
        <v>5</v>
      </c>
      <c r="AM460" t="n">
        <v>5</v>
      </c>
      <c r="AN460" t="n">
        <v>0</v>
      </c>
      <c r="AO460" t="n">
        <v>0</v>
      </c>
      <c r="AP460" t="inlineStr">
        <is>
          <t>No</t>
        </is>
      </c>
      <c r="AQ460" t="inlineStr">
        <is>
          <t>Yes</t>
        </is>
      </c>
      <c r="AR460">
        <f>HYPERLINK("http://catalog.hathitrust.org/Record/001110331","HathiTrust Record")</f>
        <v/>
      </c>
      <c r="AS460">
        <f>HYPERLINK("https://creighton-primo.hosted.exlibrisgroup.com/primo-explore/search?tab=default_tab&amp;search_scope=EVERYTHING&amp;vid=01CRU&amp;lang=en_US&amp;offset=0&amp;query=any,contains,991000623279702656","Catalog Record")</f>
        <v/>
      </c>
      <c r="AT460">
        <f>HYPERLINK("http://www.worldcat.org/oclc/103127","WorldCat Record")</f>
        <v/>
      </c>
      <c r="AU460" t="inlineStr">
        <is>
          <t>894419104:eng</t>
        </is>
      </c>
      <c r="AV460" t="inlineStr">
        <is>
          <t>103127</t>
        </is>
      </c>
      <c r="AW460" t="inlineStr">
        <is>
          <t>991000623279702656</t>
        </is>
      </c>
      <c r="AX460" t="inlineStr">
        <is>
          <t>991000623279702656</t>
        </is>
      </c>
      <c r="AY460" t="inlineStr">
        <is>
          <t>2260145570002656</t>
        </is>
      </c>
      <c r="AZ460" t="inlineStr">
        <is>
          <t>BOOK</t>
        </is>
      </c>
      <c r="BC460" t="inlineStr">
        <is>
          <t>32285001890952</t>
        </is>
      </c>
      <c r="BD460" t="inlineStr">
        <is>
          <t>893521853</t>
        </is>
      </c>
    </row>
    <row r="461">
      <c r="A461" t="inlineStr">
        <is>
          <t>No</t>
        </is>
      </c>
      <c r="B461" t="inlineStr">
        <is>
          <t>HQ1154 .S33 1982</t>
        </is>
      </c>
      <c r="C461" t="inlineStr">
        <is>
          <t>0                      HQ 1154000S  33          1982</t>
        </is>
      </c>
      <c r="D461" t="inlineStr">
        <is>
          <t>Scientific-technological change and the role of women in development / edited by Pamela M. D'Onofrio-Flores and Sheila M. Pfafflin.</t>
        </is>
      </c>
      <c r="F461" t="inlineStr">
        <is>
          <t>No</t>
        </is>
      </c>
      <c r="G461" t="inlineStr">
        <is>
          <t>1</t>
        </is>
      </c>
      <c r="H461" t="inlineStr">
        <is>
          <t>No</t>
        </is>
      </c>
      <c r="I461" t="inlineStr">
        <is>
          <t>No</t>
        </is>
      </c>
      <c r="J461" t="inlineStr">
        <is>
          <t>0</t>
        </is>
      </c>
      <c r="L461" t="inlineStr">
        <is>
          <t>Boulder, Colo. : Published for the United Nations Institute for Training and Research [by] Westview Press, 1982.</t>
        </is>
      </c>
      <c r="M461" t="inlineStr">
        <is>
          <t>1982</t>
        </is>
      </c>
      <c r="O461" t="inlineStr">
        <is>
          <t>eng</t>
        </is>
      </c>
      <c r="P461" t="inlineStr">
        <is>
          <t>cou</t>
        </is>
      </c>
      <c r="Q461" t="inlineStr">
        <is>
          <t>Westview special studies in social, political, and economic development</t>
        </is>
      </c>
      <c r="R461" t="inlineStr">
        <is>
          <t xml:space="preserve">HQ </t>
        </is>
      </c>
      <c r="S461" t="n">
        <v>4</v>
      </c>
      <c r="T461" t="n">
        <v>4</v>
      </c>
      <c r="U461" t="inlineStr">
        <is>
          <t>1994-04-25</t>
        </is>
      </c>
      <c r="V461" t="inlineStr">
        <is>
          <t>1994-04-25</t>
        </is>
      </c>
      <c r="W461" t="inlineStr">
        <is>
          <t>1992-02-24</t>
        </is>
      </c>
      <c r="X461" t="inlineStr">
        <is>
          <t>1992-02-24</t>
        </is>
      </c>
      <c r="Y461" t="n">
        <v>355</v>
      </c>
      <c r="Z461" t="n">
        <v>270</v>
      </c>
      <c r="AA461" t="n">
        <v>305</v>
      </c>
      <c r="AB461" t="n">
        <v>3</v>
      </c>
      <c r="AC461" t="n">
        <v>3</v>
      </c>
      <c r="AD461" t="n">
        <v>8</v>
      </c>
      <c r="AE461" t="n">
        <v>8</v>
      </c>
      <c r="AF461" t="n">
        <v>2</v>
      </c>
      <c r="AG461" t="n">
        <v>2</v>
      </c>
      <c r="AH461" t="n">
        <v>2</v>
      </c>
      <c r="AI461" t="n">
        <v>2</v>
      </c>
      <c r="AJ461" t="n">
        <v>4</v>
      </c>
      <c r="AK461" t="n">
        <v>4</v>
      </c>
      <c r="AL461" t="n">
        <v>2</v>
      </c>
      <c r="AM461" t="n">
        <v>2</v>
      </c>
      <c r="AN461" t="n">
        <v>0</v>
      </c>
      <c r="AO461" t="n">
        <v>0</v>
      </c>
      <c r="AP461" t="inlineStr">
        <is>
          <t>No</t>
        </is>
      </c>
      <c r="AQ461" t="inlineStr">
        <is>
          <t>Yes</t>
        </is>
      </c>
      <c r="AR461">
        <f>HYPERLINK("http://catalog.hathitrust.org/Record/000186473","HathiTrust Record")</f>
        <v/>
      </c>
      <c r="AS461">
        <f>HYPERLINK("https://creighton-primo.hosted.exlibrisgroup.com/primo-explore/search?tab=default_tab&amp;search_scope=EVERYTHING&amp;vid=01CRU&amp;lang=en_US&amp;offset=0&amp;query=any,contains,991005156349702656","Catalog Record")</f>
        <v/>
      </c>
      <c r="AT461">
        <f>HYPERLINK("http://www.worldcat.org/oclc/7740221","WorldCat Record")</f>
        <v/>
      </c>
      <c r="AU461" t="inlineStr">
        <is>
          <t>365875483:eng</t>
        </is>
      </c>
      <c r="AV461" t="inlineStr">
        <is>
          <t>7740221</t>
        </is>
      </c>
      <c r="AW461" t="inlineStr">
        <is>
          <t>991005156349702656</t>
        </is>
      </c>
      <c r="AX461" t="inlineStr">
        <is>
          <t>991005156349702656</t>
        </is>
      </c>
      <c r="AY461" t="inlineStr">
        <is>
          <t>2264305770002656</t>
        </is>
      </c>
      <c r="AZ461" t="inlineStr">
        <is>
          <t>BOOK</t>
        </is>
      </c>
      <c r="BB461" t="inlineStr">
        <is>
          <t>9780865311459</t>
        </is>
      </c>
      <c r="BC461" t="inlineStr">
        <is>
          <t>32285000974914</t>
        </is>
      </c>
      <c r="BD461" t="inlineStr">
        <is>
          <t>893437266</t>
        </is>
      </c>
    </row>
    <row r="462">
      <c r="A462" t="inlineStr">
        <is>
          <t>No</t>
        </is>
      </c>
      <c r="B462" t="inlineStr">
        <is>
          <t>HQ1154 .S45</t>
        </is>
      </c>
      <c r="C462" t="inlineStr">
        <is>
          <t>0                      HQ 1154000S  45</t>
        </is>
      </c>
      <c r="D462" t="inlineStr">
        <is>
          <t>Sex roles in changing society / edited by Georgene H. Seward and Robert C. Williamson.</t>
        </is>
      </c>
      <c r="F462" t="inlineStr">
        <is>
          <t>No</t>
        </is>
      </c>
      <c r="G462" t="inlineStr">
        <is>
          <t>1</t>
        </is>
      </c>
      <c r="H462" t="inlineStr">
        <is>
          <t>No</t>
        </is>
      </c>
      <c r="I462" t="inlineStr">
        <is>
          <t>No</t>
        </is>
      </c>
      <c r="J462" t="inlineStr">
        <is>
          <t>0</t>
        </is>
      </c>
      <c r="K462" t="inlineStr">
        <is>
          <t>Seward, Georgene H. (Georgene Hoffman), 1902-1992.</t>
        </is>
      </c>
      <c r="L462" t="inlineStr">
        <is>
          <t>New York : Random House, [1970]</t>
        </is>
      </c>
      <c r="M462" t="inlineStr">
        <is>
          <t>1970</t>
        </is>
      </c>
      <c r="O462" t="inlineStr">
        <is>
          <t>eng</t>
        </is>
      </c>
      <c r="P462" t="inlineStr">
        <is>
          <t>nyu</t>
        </is>
      </c>
      <c r="R462" t="inlineStr">
        <is>
          <t xml:space="preserve">HQ </t>
        </is>
      </c>
      <c r="S462" t="n">
        <v>8</v>
      </c>
      <c r="T462" t="n">
        <v>8</v>
      </c>
      <c r="U462" t="inlineStr">
        <is>
          <t>1996-12-04</t>
        </is>
      </c>
      <c r="V462" t="inlineStr">
        <is>
          <t>1996-12-04</t>
        </is>
      </c>
      <c r="W462" t="inlineStr">
        <is>
          <t>1990-10-02</t>
        </is>
      </c>
      <c r="X462" t="inlineStr">
        <is>
          <t>1990-10-02</t>
        </is>
      </c>
      <c r="Y462" t="n">
        <v>585</v>
      </c>
      <c r="Z462" t="n">
        <v>479</v>
      </c>
      <c r="AA462" t="n">
        <v>481</v>
      </c>
      <c r="AB462" t="n">
        <v>5</v>
      </c>
      <c r="AC462" t="n">
        <v>5</v>
      </c>
      <c r="AD462" t="n">
        <v>28</v>
      </c>
      <c r="AE462" t="n">
        <v>28</v>
      </c>
      <c r="AF462" t="n">
        <v>10</v>
      </c>
      <c r="AG462" t="n">
        <v>10</v>
      </c>
      <c r="AH462" t="n">
        <v>5</v>
      </c>
      <c r="AI462" t="n">
        <v>5</v>
      </c>
      <c r="AJ462" t="n">
        <v>15</v>
      </c>
      <c r="AK462" t="n">
        <v>15</v>
      </c>
      <c r="AL462" t="n">
        <v>4</v>
      </c>
      <c r="AM462" t="n">
        <v>4</v>
      </c>
      <c r="AN462" t="n">
        <v>0</v>
      </c>
      <c r="AO462" t="n">
        <v>0</v>
      </c>
      <c r="AP462" t="inlineStr">
        <is>
          <t>No</t>
        </is>
      </c>
      <c r="AQ462" t="inlineStr">
        <is>
          <t>Yes</t>
        </is>
      </c>
      <c r="AR462">
        <f>HYPERLINK("http://catalog.hathitrust.org/Record/001110335","HathiTrust Record")</f>
        <v/>
      </c>
      <c r="AS462">
        <f>HYPERLINK("https://creighton-primo.hosted.exlibrisgroup.com/primo-explore/search?tab=default_tab&amp;search_scope=EVERYTHING&amp;vid=01CRU&amp;lang=en_US&amp;offset=0&amp;query=any,contains,991000564409702656","Catalog Record")</f>
        <v/>
      </c>
      <c r="AT462">
        <f>HYPERLINK("http://www.worldcat.org/oclc/93852","WorldCat Record")</f>
        <v/>
      </c>
      <c r="AU462" t="inlineStr">
        <is>
          <t>350345791:eng</t>
        </is>
      </c>
      <c r="AV462" t="inlineStr">
        <is>
          <t>93852</t>
        </is>
      </c>
      <c r="AW462" t="inlineStr">
        <is>
          <t>991000564409702656</t>
        </is>
      </c>
      <c r="AX462" t="inlineStr">
        <is>
          <t>991000564409702656</t>
        </is>
      </c>
      <c r="AY462" t="inlineStr">
        <is>
          <t>2265644600002656</t>
        </is>
      </c>
      <c r="AZ462" t="inlineStr">
        <is>
          <t>BOOK</t>
        </is>
      </c>
      <c r="BC462" t="inlineStr">
        <is>
          <t>32285000324912</t>
        </is>
      </c>
      <c r="BD462" t="inlineStr">
        <is>
          <t>893897012</t>
        </is>
      </c>
    </row>
    <row r="463">
      <c r="A463" t="inlineStr">
        <is>
          <t>No</t>
        </is>
      </c>
      <c r="B463" t="inlineStr">
        <is>
          <t>HQ1154 .S46</t>
        </is>
      </c>
      <c r="C463" t="inlineStr">
        <is>
          <t>0                      HQ 1154000S  46</t>
        </is>
      </c>
      <c r="D463" t="inlineStr">
        <is>
          <t>Sex equality / edited by Jane English.</t>
        </is>
      </c>
      <c r="F463" t="inlineStr">
        <is>
          <t>No</t>
        </is>
      </c>
      <c r="G463" t="inlineStr">
        <is>
          <t>1</t>
        </is>
      </c>
      <c r="H463" t="inlineStr">
        <is>
          <t>No</t>
        </is>
      </c>
      <c r="I463" t="inlineStr">
        <is>
          <t>No</t>
        </is>
      </c>
      <c r="J463" t="inlineStr">
        <is>
          <t>0</t>
        </is>
      </c>
      <c r="L463" t="inlineStr">
        <is>
          <t>Englewood Cliffs, N.J. : Prentice-Hall, c1977.</t>
        </is>
      </c>
      <c r="M463" t="inlineStr">
        <is>
          <t>1977</t>
        </is>
      </c>
      <c r="O463" t="inlineStr">
        <is>
          <t>eng</t>
        </is>
      </c>
      <c r="P463" t="inlineStr">
        <is>
          <t>nju</t>
        </is>
      </c>
      <c r="R463" t="inlineStr">
        <is>
          <t xml:space="preserve">HQ </t>
        </is>
      </c>
      <c r="S463" t="n">
        <v>25</v>
      </c>
      <c r="T463" t="n">
        <v>25</v>
      </c>
      <c r="U463" t="inlineStr">
        <is>
          <t>2010-06-16</t>
        </is>
      </c>
      <c r="V463" t="inlineStr">
        <is>
          <t>2010-06-16</t>
        </is>
      </c>
      <c r="W463" t="inlineStr">
        <is>
          <t>1991-12-17</t>
        </is>
      </c>
      <c r="X463" t="inlineStr">
        <is>
          <t>1991-12-17</t>
        </is>
      </c>
      <c r="Y463" t="n">
        <v>446</v>
      </c>
      <c r="Z463" t="n">
        <v>387</v>
      </c>
      <c r="AA463" t="n">
        <v>394</v>
      </c>
      <c r="AB463" t="n">
        <v>2</v>
      </c>
      <c r="AC463" t="n">
        <v>2</v>
      </c>
      <c r="AD463" t="n">
        <v>18</v>
      </c>
      <c r="AE463" t="n">
        <v>18</v>
      </c>
      <c r="AF463" t="n">
        <v>6</v>
      </c>
      <c r="AG463" t="n">
        <v>6</v>
      </c>
      <c r="AH463" t="n">
        <v>3</v>
      </c>
      <c r="AI463" t="n">
        <v>3</v>
      </c>
      <c r="AJ463" t="n">
        <v>12</v>
      </c>
      <c r="AK463" t="n">
        <v>12</v>
      </c>
      <c r="AL463" t="n">
        <v>1</v>
      </c>
      <c r="AM463" t="n">
        <v>1</v>
      </c>
      <c r="AN463" t="n">
        <v>0</v>
      </c>
      <c r="AO463" t="n">
        <v>0</v>
      </c>
      <c r="AP463" t="inlineStr">
        <is>
          <t>No</t>
        </is>
      </c>
      <c r="AQ463" t="inlineStr">
        <is>
          <t>Yes</t>
        </is>
      </c>
      <c r="AR463">
        <f>HYPERLINK("http://catalog.hathitrust.org/Record/000723736","HathiTrust Record")</f>
        <v/>
      </c>
      <c r="AS463">
        <f>HYPERLINK("https://creighton-primo.hosted.exlibrisgroup.com/primo-explore/search?tab=default_tab&amp;search_scope=EVERYTHING&amp;vid=01CRU&amp;lang=en_US&amp;offset=0&amp;query=any,contains,991004266709702656","Catalog Record")</f>
        <v/>
      </c>
      <c r="AT463">
        <f>HYPERLINK("http://www.worldcat.org/oclc/2868999","WorldCat Record")</f>
        <v/>
      </c>
      <c r="AU463" t="inlineStr">
        <is>
          <t>181302676:eng</t>
        </is>
      </c>
      <c r="AV463" t="inlineStr">
        <is>
          <t>2868999</t>
        </is>
      </c>
      <c r="AW463" t="inlineStr">
        <is>
          <t>991004266709702656</t>
        </is>
      </c>
      <c r="AX463" t="inlineStr">
        <is>
          <t>991004266709702656</t>
        </is>
      </c>
      <c r="AY463" t="inlineStr">
        <is>
          <t>2262541700002656</t>
        </is>
      </c>
      <c r="AZ463" t="inlineStr">
        <is>
          <t>BOOK</t>
        </is>
      </c>
      <c r="BB463" t="inlineStr">
        <is>
          <t>9780138075941</t>
        </is>
      </c>
      <c r="BC463" t="inlineStr">
        <is>
          <t>32285000902063</t>
        </is>
      </c>
      <c r="BD463" t="inlineStr">
        <is>
          <t>893337510</t>
        </is>
      </c>
    </row>
    <row r="464">
      <c r="A464" t="inlineStr">
        <is>
          <t>No</t>
        </is>
      </c>
      <c r="B464" t="inlineStr">
        <is>
          <t>HQ1154 .S52 1998</t>
        </is>
      </c>
      <c r="C464" t="inlineStr">
        <is>
          <t>0                      HQ 1154000S  52          1998</t>
        </is>
      </c>
      <c r="D464" t="inlineStr">
        <is>
          <t>Frantz Fanon : conflicts and feminisms / T. Denean Sharpley-Whiting.</t>
        </is>
      </c>
      <c r="F464" t="inlineStr">
        <is>
          <t>No</t>
        </is>
      </c>
      <c r="G464" t="inlineStr">
        <is>
          <t>1</t>
        </is>
      </c>
      <c r="H464" t="inlineStr">
        <is>
          <t>No</t>
        </is>
      </c>
      <c r="I464" t="inlineStr">
        <is>
          <t>No</t>
        </is>
      </c>
      <c r="J464" t="inlineStr">
        <is>
          <t>0</t>
        </is>
      </c>
      <c r="K464" t="inlineStr">
        <is>
          <t>Sharpley-Whiting, T. Denean.</t>
        </is>
      </c>
      <c r="L464" t="inlineStr">
        <is>
          <t>Lanham, Md. : Rowman &amp; Littlefield, c1998.</t>
        </is>
      </c>
      <c r="M464" t="inlineStr">
        <is>
          <t>1998</t>
        </is>
      </c>
      <c r="O464" t="inlineStr">
        <is>
          <t>eng</t>
        </is>
      </c>
      <c r="P464" t="inlineStr">
        <is>
          <t>mdu</t>
        </is>
      </c>
      <c r="R464" t="inlineStr">
        <is>
          <t xml:space="preserve">HQ </t>
        </is>
      </c>
      <c r="S464" t="n">
        <v>1</v>
      </c>
      <c r="T464" t="n">
        <v>1</v>
      </c>
      <c r="U464" t="inlineStr">
        <is>
          <t>2005-11-08</t>
        </is>
      </c>
      <c r="V464" t="inlineStr">
        <is>
          <t>2005-11-08</t>
        </is>
      </c>
      <c r="W464" t="inlineStr">
        <is>
          <t>2000-01-04</t>
        </is>
      </c>
      <c r="X464" t="inlineStr">
        <is>
          <t>2000-01-04</t>
        </is>
      </c>
      <c r="Y464" t="n">
        <v>278</v>
      </c>
      <c r="Z464" t="n">
        <v>221</v>
      </c>
      <c r="AA464" t="n">
        <v>617</v>
      </c>
      <c r="AB464" t="n">
        <v>3</v>
      </c>
      <c r="AC464" t="n">
        <v>4</v>
      </c>
      <c r="AD464" t="n">
        <v>11</v>
      </c>
      <c r="AE464" t="n">
        <v>16</v>
      </c>
      <c r="AF464" t="n">
        <v>3</v>
      </c>
      <c r="AG464" t="n">
        <v>7</v>
      </c>
      <c r="AH464" t="n">
        <v>4</v>
      </c>
      <c r="AI464" t="n">
        <v>4</v>
      </c>
      <c r="AJ464" t="n">
        <v>6</v>
      </c>
      <c r="AK464" t="n">
        <v>7</v>
      </c>
      <c r="AL464" t="n">
        <v>2</v>
      </c>
      <c r="AM464" t="n">
        <v>3</v>
      </c>
      <c r="AN464" t="n">
        <v>0</v>
      </c>
      <c r="AO464" t="n">
        <v>0</v>
      </c>
      <c r="AP464" t="inlineStr">
        <is>
          <t>No</t>
        </is>
      </c>
      <c r="AQ464" t="inlineStr">
        <is>
          <t>Yes</t>
        </is>
      </c>
      <c r="AR464">
        <f>HYPERLINK("http://catalog.hathitrust.org/Record/003964866","HathiTrust Record")</f>
        <v/>
      </c>
      <c r="AS464">
        <f>HYPERLINK("https://creighton-primo.hosted.exlibrisgroup.com/primo-explore/search?tab=default_tab&amp;search_scope=EVERYTHING&amp;vid=01CRU&amp;lang=en_US&amp;offset=0&amp;query=any,contains,991002806229702656","Catalog Record")</f>
        <v/>
      </c>
      <c r="AT464">
        <f>HYPERLINK("http://www.worldcat.org/oclc/36865709","WorldCat Record")</f>
        <v/>
      </c>
      <c r="AU464" t="inlineStr">
        <is>
          <t>634720:eng</t>
        </is>
      </c>
      <c r="AV464" t="inlineStr">
        <is>
          <t>36865709</t>
        </is>
      </c>
      <c r="AW464" t="inlineStr">
        <is>
          <t>991002806229702656</t>
        </is>
      </c>
      <c r="AX464" t="inlineStr">
        <is>
          <t>991002806229702656</t>
        </is>
      </c>
      <c r="AY464" t="inlineStr">
        <is>
          <t>2262305390002656</t>
        </is>
      </c>
      <c r="AZ464" t="inlineStr">
        <is>
          <t>BOOK</t>
        </is>
      </c>
      <c r="BB464" t="inlineStr">
        <is>
          <t>9780847686384</t>
        </is>
      </c>
      <c r="BC464" t="inlineStr">
        <is>
          <t>32285003636007</t>
        </is>
      </c>
      <c r="BD464" t="inlineStr">
        <is>
          <t>893341877</t>
        </is>
      </c>
    </row>
    <row r="465">
      <c r="A465" t="inlineStr">
        <is>
          <t>No</t>
        </is>
      </c>
      <c r="B465" t="inlineStr">
        <is>
          <t>HQ1154 .S545 2003</t>
        </is>
      </c>
      <c r="C465" t="inlineStr">
        <is>
          <t>0                      HQ 1154000S  545         2003</t>
        </is>
      </c>
      <c r="D465" t="inlineStr">
        <is>
          <t>Sisterhood is forever : the women's anthology for a new millennium / compiled, edited, and with an introduction by Robin Morgan.</t>
        </is>
      </c>
      <c r="F465" t="inlineStr">
        <is>
          <t>No</t>
        </is>
      </c>
      <c r="G465" t="inlineStr">
        <is>
          <t>1</t>
        </is>
      </c>
      <c r="H465" t="inlineStr">
        <is>
          <t>No</t>
        </is>
      </c>
      <c r="I465" t="inlineStr">
        <is>
          <t>No</t>
        </is>
      </c>
      <c r="J465" t="inlineStr">
        <is>
          <t>0</t>
        </is>
      </c>
      <c r="L465" t="inlineStr">
        <is>
          <t>New York, NY : Washington Square Press ; c2003.</t>
        </is>
      </c>
      <c r="M465" t="inlineStr">
        <is>
          <t>2003</t>
        </is>
      </c>
      <c r="O465" t="inlineStr">
        <is>
          <t>eng</t>
        </is>
      </c>
      <c r="P465" t="inlineStr">
        <is>
          <t>nyu</t>
        </is>
      </c>
      <c r="R465" t="inlineStr">
        <is>
          <t xml:space="preserve">HQ </t>
        </is>
      </c>
      <c r="S465" t="n">
        <v>2</v>
      </c>
      <c r="T465" t="n">
        <v>2</v>
      </c>
      <c r="U465" t="inlineStr">
        <is>
          <t>2008-04-13</t>
        </is>
      </c>
      <c r="V465" t="inlineStr">
        <is>
          <t>2008-04-13</t>
        </is>
      </c>
      <c r="W465" t="inlineStr">
        <is>
          <t>2003-06-18</t>
        </is>
      </c>
      <c r="X465" t="inlineStr">
        <is>
          <t>2003-06-18</t>
        </is>
      </c>
      <c r="Y465" t="n">
        <v>646</v>
      </c>
      <c r="Z465" t="n">
        <v>577</v>
      </c>
      <c r="AA465" t="n">
        <v>597</v>
      </c>
      <c r="AB465" t="n">
        <v>4</v>
      </c>
      <c r="AC465" t="n">
        <v>4</v>
      </c>
      <c r="AD465" t="n">
        <v>29</v>
      </c>
      <c r="AE465" t="n">
        <v>29</v>
      </c>
      <c r="AF465" t="n">
        <v>12</v>
      </c>
      <c r="AG465" t="n">
        <v>12</v>
      </c>
      <c r="AH465" t="n">
        <v>6</v>
      </c>
      <c r="AI465" t="n">
        <v>6</v>
      </c>
      <c r="AJ465" t="n">
        <v>15</v>
      </c>
      <c r="AK465" t="n">
        <v>15</v>
      </c>
      <c r="AL465" t="n">
        <v>3</v>
      </c>
      <c r="AM465" t="n">
        <v>3</v>
      </c>
      <c r="AN465" t="n">
        <v>0</v>
      </c>
      <c r="AO465" t="n">
        <v>0</v>
      </c>
      <c r="AP465" t="inlineStr">
        <is>
          <t>No</t>
        </is>
      </c>
      <c r="AQ465" t="inlineStr">
        <is>
          <t>Yes</t>
        </is>
      </c>
      <c r="AR465">
        <f>HYPERLINK("http://catalog.hathitrust.org/Record/004314720","HathiTrust Record")</f>
        <v/>
      </c>
      <c r="AS465">
        <f>HYPERLINK("https://creighton-primo.hosted.exlibrisgroup.com/primo-explore/search?tab=default_tab&amp;search_scope=EVERYTHING&amp;vid=01CRU&amp;lang=en_US&amp;offset=0&amp;query=any,contains,991004074459702656","Catalog Record")</f>
        <v/>
      </c>
      <c r="AT465">
        <f>HYPERLINK("http://www.worldcat.org/oclc/51854519","WorldCat Record")</f>
        <v/>
      </c>
      <c r="AU465" t="inlineStr">
        <is>
          <t>895916503:eng</t>
        </is>
      </c>
      <c r="AV465" t="inlineStr">
        <is>
          <t>51854519</t>
        </is>
      </c>
      <c r="AW465" t="inlineStr">
        <is>
          <t>991004074459702656</t>
        </is>
      </c>
      <c r="AX465" t="inlineStr">
        <is>
          <t>991004074459702656</t>
        </is>
      </c>
      <c r="AY465" t="inlineStr">
        <is>
          <t>2271490540002656</t>
        </is>
      </c>
      <c r="AZ465" t="inlineStr">
        <is>
          <t>BOOK</t>
        </is>
      </c>
      <c r="BB465" t="inlineStr">
        <is>
          <t>9780743466271</t>
        </is>
      </c>
      <c r="BC465" t="inlineStr">
        <is>
          <t>32285004753819</t>
        </is>
      </c>
      <c r="BD465" t="inlineStr">
        <is>
          <t>893417193</t>
        </is>
      </c>
    </row>
    <row r="466">
      <c r="A466" t="inlineStr">
        <is>
          <t>No</t>
        </is>
      </c>
      <c r="B466" t="inlineStr">
        <is>
          <t>HQ1154 .S56 1985</t>
        </is>
      </c>
      <c r="C466" t="inlineStr">
        <is>
          <t>0                      HQ 1154000S  56          1985</t>
        </is>
      </c>
      <c r="D466" t="inlineStr">
        <is>
          <t>Smothered by invention : technology in women's lives / edited by Wendy Faulkner and Erik Arnold.</t>
        </is>
      </c>
      <c r="F466" t="inlineStr">
        <is>
          <t>No</t>
        </is>
      </c>
      <c r="G466" t="inlineStr">
        <is>
          <t>1</t>
        </is>
      </c>
      <c r="H466" t="inlineStr">
        <is>
          <t>No</t>
        </is>
      </c>
      <c r="I466" t="inlineStr">
        <is>
          <t>No</t>
        </is>
      </c>
      <c r="J466" t="inlineStr">
        <is>
          <t>0</t>
        </is>
      </c>
      <c r="L466" t="inlineStr">
        <is>
          <t>London : Pluto Press, 1985.</t>
        </is>
      </c>
      <c r="M466" t="inlineStr">
        <is>
          <t>1985</t>
        </is>
      </c>
      <c r="O466" t="inlineStr">
        <is>
          <t>eng</t>
        </is>
      </c>
      <c r="P466" t="inlineStr">
        <is>
          <t>enk</t>
        </is>
      </c>
      <c r="R466" t="inlineStr">
        <is>
          <t xml:space="preserve">HQ </t>
        </is>
      </c>
      <c r="S466" t="n">
        <v>2</v>
      </c>
      <c r="T466" t="n">
        <v>2</v>
      </c>
      <c r="U466" t="inlineStr">
        <is>
          <t>1999-03-22</t>
        </is>
      </c>
      <c r="V466" t="inlineStr">
        <is>
          <t>1999-03-22</t>
        </is>
      </c>
      <c r="W466" t="inlineStr">
        <is>
          <t>1993-02-11</t>
        </is>
      </c>
      <c r="X466" t="inlineStr">
        <is>
          <t>1993-02-11</t>
        </is>
      </c>
      <c r="Y466" t="n">
        <v>315</v>
      </c>
      <c r="Z466" t="n">
        <v>169</v>
      </c>
      <c r="AA466" t="n">
        <v>176</v>
      </c>
      <c r="AB466" t="n">
        <v>3</v>
      </c>
      <c r="AC466" t="n">
        <v>3</v>
      </c>
      <c r="AD466" t="n">
        <v>5</v>
      </c>
      <c r="AE466" t="n">
        <v>5</v>
      </c>
      <c r="AF466" t="n">
        <v>0</v>
      </c>
      <c r="AG466" t="n">
        <v>0</v>
      </c>
      <c r="AH466" t="n">
        <v>1</v>
      </c>
      <c r="AI466" t="n">
        <v>1</v>
      </c>
      <c r="AJ466" t="n">
        <v>3</v>
      </c>
      <c r="AK466" t="n">
        <v>3</v>
      </c>
      <c r="AL466" t="n">
        <v>2</v>
      </c>
      <c r="AM466" t="n">
        <v>2</v>
      </c>
      <c r="AN466" t="n">
        <v>0</v>
      </c>
      <c r="AO466" t="n">
        <v>0</v>
      </c>
      <c r="AP466" t="inlineStr">
        <is>
          <t>No</t>
        </is>
      </c>
      <c r="AQ466" t="inlineStr">
        <is>
          <t>Yes</t>
        </is>
      </c>
      <c r="AR466">
        <f>HYPERLINK("http://catalog.hathitrust.org/Record/000574953","HathiTrust Record")</f>
        <v/>
      </c>
      <c r="AS466">
        <f>HYPERLINK("https://creighton-primo.hosted.exlibrisgroup.com/primo-explore/search?tab=default_tab&amp;search_scope=EVERYTHING&amp;vid=01CRU&amp;lang=en_US&amp;offset=0&amp;query=any,contains,991000625499702656","Catalog Record")</f>
        <v/>
      </c>
      <c r="AT466">
        <f>HYPERLINK("http://www.worldcat.org/oclc/12019234","WorldCat Record")</f>
        <v/>
      </c>
      <c r="AU466" t="inlineStr">
        <is>
          <t>836710757:eng</t>
        </is>
      </c>
      <c r="AV466" t="inlineStr">
        <is>
          <t>12019234</t>
        </is>
      </c>
      <c r="AW466" t="inlineStr">
        <is>
          <t>991000625499702656</t>
        </is>
      </c>
      <c r="AX466" t="inlineStr">
        <is>
          <t>991000625499702656</t>
        </is>
      </c>
      <c r="AY466" t="inlineStr">
        <is>
          <t>2257383660002656</t>
        </is>
      </c>
      <c r="AZ466" t="inlineStr">
        <is>
          <t>BOOK</t>
        </is>
      </c>
      <c r="BB466" t="inlineStr">
        <is>
          <t>9780861047376</t>
        </is>
      </c>
      <c r="BC466" t="inlineStr">
        <is>
          <t>32285001500478</t>
        </is>
      </c>
      <c r="BD466" t="inlineStr">
        <is>
          <t>893432137</t>
        </is>
      </c>
    </row>
    <row r="467">
      <c r="A467" t="inlineStr">
        <is>
          <t>No</t>
        </is>
      </c>
      <c r="B467" t="inlineStr">
        <is>
          <t>HQ1154 .S58 1984</t>
        </is>
      </c>
      <c r="C467" t="inlineStr">
        <is>
          <t>0                      HQ 1154000S  58          1984</t>
        </is>
      </c>
      <c r="D467" t="inlineStr">
        <is>
          <t>The strength of the weak : toward a Christian feminist identity / by Dorothee Soelle ; translated by Robert and Rita Kimber.</t>
        </is>
      </c>
      <c r="F467" t="inlineStr">
        <is>
          <t>No</t>
        </is>
      </c>
      <c r="G467" t="inlineStr">
        <is>
          <t>1</t>
        </is>
      </c>
      <c r="H467" t="inlineStr">
        <is>
          <t>No</t>
        </is>
      </c>
      <c r="I467" t="inlineStr">
        <is>
          <t>No</t>
        </is>
      </c>
      <c r="J467" t="inlineStr">
        <is>
          <t>0</t>
        </is>
      </c>
      <c r="K467" t="inlineStr">
        <is>
          <t>Sölle, Dorothee.</t>
        </is>
      </c>
      <c r="L467" t="inlineStr">
        <is>
          <t>Philadelphia : Westminster Press, c1984.</t>
        </is>
      </c>
      <c r="M467" t="inlineStr">
        <is>
          <t>1984</t>
        </is>
      </c>
      <c r="N467" t="inlineStr">
        <is>
          <t>1st ed.</t>
        </is>
      </c>
      <c r="O467" t="inlineStr">
        <is>
          <t>eng</t>
        </is>
      </c>
      <c r="P467" t="inlineStr">
        <is>
          <t>pau</t>
        </is>
      </c>
      <c r="R467" t="inlineStr">
        <is>
          <t xml:space="preserve">HQ </t>
        </is>
      </c>
      <c r="S467" t="n">
        <v>6</v>
      </c>
      <c r="T467" t="n">
        <v>6</v>
      </c>
      <c r="U467" t="inlineStr">
        <is>
          <t>1995-12-19</t>
        </is>
      </c>
      <c r="V467" t="inlineStr">
        <is>
          <t>1995-12-19</t>
        </is>
      </c>
      <c r="W467" t="inlineStr">
        <is>
          <t>1991-08-19</t>
        </is>
      </c>
      <c r="X467" t="inlineStr">
        <is>
          <t>1991-08-19</t>
        </is>
      </c>
      <c r="Y467" t="n">
        <v>520</v>
      </c>
      <c r="Z467" t="n">
        <v>433</v>
      </c>
      <c r="AA467" t="n">
        <v>439</v>
      </c>
      <c r="AB467" t="n">
        <v>4</v>
      </c>
      <c r="AC467" t="n">
        <v>4</v>
      </c>
      <c r="AD467" t="n">
        <v>32</v>
      </c>
      <c r="AE467" t="n">
        <v>32</v>
      </c>
      <c r="AF467" t="n">
        <v>10</v>
      </c>
      <c r="AG467" t="n">
        <v>10</v>
      </c>
      <c r="AH467" t="n">
        <v>9</v>
      </c>
      <c r="AI467" t="n">
        <v>9</v>
      </c>
      <c r="AJ467" t="n">
        <v>21</v>
      </c>
      <c r="AK467" t="n">
        <v>21</v>
      </c>
      <c r="AL467" t="n">
        <v>3</v>
      </c>
      <c r="AM467" t="n">
        <v>3</v>
      </c>
      <c r="AN467" t="n">
        <v>0</v>
      </c>
      <c r="AO467" t="n">
        <v>0</v>
      </c>
      <c r="AP467" t="inlineStr">
        <is>
          <t>No</t>
        </is>
      </c>
      <c r="AQ467" t="inlineStr">
        <is>
          <t>Yes</t>
        </is>
      </c>
      <c r="AR467">
        <f>HYPERLINK("http://catalog.hathitrust.org/Record/000164038","HathiTrust Record")</f>
        <v/>
      </c>
      <c r="AS467">
        <f>HYPERLINK("https://creighton-primo.hosted.exlibrisgroup.com/primo-explore/search?tab=default_tab&amp;search_scope=EVERYTHING&amp;vid=01CRU&amp;lang=en_US&amp;offset=0&amp;query=any,contains,991000350389702656","Catalog Record")</f>
        <v/>
      </c>
      <c r="AT467">
        <f>HYPERLINK("http://www.worldcat.org/oclc/10301069","WorldCat Record")</f>
        <v/>
      </c>
      <c r="AU467" t="inlineStr">
        <is>
          <t>2672917:eng</t>
        </is>
      </c>
      <c r="AV467" t="inlineStr">
        <is>
          <t>10301069</t>
        </is>
      </c>
      <c r="AW467" t="inlineStr">
        <is>
          <t>991000350389702656</t>
        </is>
      </c>
      <c r="AX467" t="inlineStr">
        <is>
          <t>991000350389702656</t>
        </is>
      </c>
      <c r="AY467" t="inlineStr">
        <is>
          <t>2269963590002656</t>
        </is>
      </c>
      <c r="AZ467" t="inlineStr">
        <is>
          <t>BOOK</t>
        </is>
      </c>
      <c r="BB467" t="inlineStr">
        <is>
          <t>9780664246235</t>
        </is>
      </c>
      <c r="BC467" t="inlineStr">
        <is>
          <t>32285000696913</t>
        </is>
      </c>
      <c r="BD467" t="inlineStr">
        <is>
          <t>893314844</t>
        </is>
      </c>
    </row>
    <row r="468">
      <c r="A468" t="inlineStr">
        <is>
          <t>No</t>
        </is>
      </c>
      <c r="B468" t="inlineStr">
        <is>
          <t>HQ1154 .S59 1985</t>
        </is>
      </c>
      <c r="C468" t="inlineStr">
        <is>
          <t>0                      HQ 1154000S  59          1985</t>
        </is>
      </c>
      <c r="D468" t="inlineStr">
        <is>
          <t>Women .... a world survey / Ruth Leger Sivard.</t>
        </is>
      </c>
      <c r="F468" t="inlineStr">
        <is>
          <t>No</t>
        </is>
      </c>
      <c r="G468" t="inlineStr">
        <is>
          <t>1</t>
        </is>
      </c>
      <c r="H468" t="inlineStr">
        <is>
          <t>No</t>
        </is>
      </c>
      <c r="I468" t="inlineStr">
        <is>
          <t>No</t>
        </is>
      </c>
      <c r="J468" t="inlineStr">
        <is>
          <t>0</t>
        </is>
      </c>
      <c r="K468" t="inlineStr">
        <is>
          <t>Sivard, Ruth Leger.</t>
        </is>
      </c>
      <c r="L468" t="inlineStr">
        <is>
          <t>Washington : World Priorities, 1985.</t>
        </is>
      </c>
      <c r="M468" t="inlineStr">
        <is>
          <t>1985</t>
        </is>
      </c>
      <c r="O468" t="inlineStr">
        <is>
          <t>eng</t>
        </is>
      </c>
      <c r="P468" t="inlineStr">
        <is>
          <t xml:space="preserve">xx </t>
        </is>
      </c>
      <c r="R468" t="inlineStr">
        <is>
          <t xml:space="preserve">HQ </t>
        </is>
      </c>
      <c r="S468" t="n">
        <v>4</v>
      </c>
      <c r="T468" t="n">
        <v>4</v>
      </c>
      <c r="U468" t="inlineStr">
        <is>
          <t>1996-10-18</t>
        </is>
      </c>
      <c r="V468" t="inlineStr">
        <is>
          <t>1996-10-18</t>
        </is>
      </c>
      <c r="W468" t="inlineStr">
        <is>
          <t>1993-08-03</t>
        </is>
      </c>
      <c r="X468" t="inlineStr">
        <is>
          <t>1993-08-03</t>
        </is>
      </c>
      <c r="Y468" t="n">
        <v>306</v>
      </c>
      <c r="Z468" t="n">
        <v>250</v>
      </c>
      <c r="AA468" t="n">
        <v>309</v>
      </c>
      <c r="AB468" t="n">
        <v>1</v>
      </c>
      <c r="AC468" t="n">
        <v>1</v>
      </c>
      <c r="AD468" t="n">
        <v>6</v>
      </c>
      <c r="AE468" t="n">
        <v>9</v>
      </c>
      <c r="AF468" t="n">
        <v>1</v>
      </c>
      <c r="AG468" t="n">
        <v>3</v>
      </c>
      <c r="AH468" t="n">
        <v>3</v>
      </c>
      <c r="AI468" t="n">
        <v>4</v>
      </c>
      <c r="AJ468" t="n">
        <v>5</v>
      </c>
      <c r="AK468" t="n">
        <v>6</v>
      </c>
      <c r="AL468" t="n">
        <v>0</v>
      </c>
      <c r="AM468" t="n">
        <v>0</v>
      </c>
      <c r="AN468" t="n">
        <v>0</v>
      </c>
      <c r="AO468" t="n">
        <v>0</v>
      </c>
      <c r="AP468" t="inlineStr">
        <is>
          <t>No</t>
        </is>
      </c>
      <c r="AQ468" t="inlineStr">
        <is>
          <t>Yes</t>
        </is>
      </c>
      <c r="AR468">
        <f>HYPERLINK("http://catalog.hathitrust.org/Record/000467412","HathiTrust Record")</f>
        <v/>
      </c>
      <c r="AS468">
        <f>HYPERLINK("https://creighton-primo.hosted.exlibrisgroup.com/primo-explore/search?tab=default_tab&amp;search_scope=EVERYTHING&amp;vid=01CRU&amp;lang=en_US&amp;offset=0&amp;query=any,contains,991000615199702656","Catalog Record")</f>
        <v/>
      </c>
      <c r="AT468">
        <f>HYPERLINK("http://www.worldcat.org/oclc/13582426","WorldCat Record")</f>
        <v/>
      </c>
      <c r="AU468" t="inlineStr">
        <is>
          <t>7543700:eng</t>
        </is>
      </c>
      <c r="AV468" t="inlineStr">
        <is>
          <t>13582426</t>
        </is>
      </c>
      <c r="AW468" t="inlineStr">
        <is>
          <t>991000615199702656</t>
        </is>
      </c>
      <c r="AX468" t="inlineStr">
        <is>
          <t>991000615199702656</t>
        </is>
      </c>
      <c r="AY468" t="inlineStr">
        <is>
          <t>2272783740002656</t>
        </is>
      </c>
      <c r="AZ468" t="inlineStr">
        <is>
          <t>BOOK</t>
        </is>
      </c>
      <c r="BB468" t="inlineStr">
        <is>
          <t>9780918281005</t>
        </is>
      </c>
      <c r="BC468" t="inlineStr">
        <is>
          <t>32285001748499</t>
        </is>
      </c>
      <c r="BD468" t="inlineStr">
        <is>
          <t>893432124</t>
        </is>
      </c>
    </row>
    <row r="469">
      <c r="A469" t="inlineStr">
        <is>
          <t>No</t>
        </is>
      </c>
      <c r="B469" t="inlineStr">
        <is>
          <t>HQ1154 .S69 1982</t>
        </is>
      </c>
      <c r="C469" t="inlineStr">
        <is>
          <t>0                      HQ 1154000S  69          1982</t>
        </is>
      </c>
      <c r="D469" t="inlineStr">
        <is>
          <t>Traitors to the masculine cause : the men's campaigns for women's rights / Sylvia Strauss.</t>
        </is>
      </c>
      <c r="F469" t="inlineStr">
        <is>
          <t>No</t>
        </is>
      </c>
      <c r="G469" t="inlineStr">
        <is>
          <t>1</t>
        </is>
      </c>
      <c r="H469" t="inlineStr">
        <is>
          <t>No</t>
        </is>
      </c>
      <c r="I469" t="inlineStr">
        <is>
          <t>No</t>
        </is>
      </c>
      <c r="J469" t="inlineStr">
        <is>
          <t>0</t>
        </is>
      </c>
      <c r="K469" t="inlineStr">
        <is>
          <t>Strauss, Sylvia.</t>
        </is>
      </c>
      <c r="L469" t="inlineStr">
        <is>
          <t>Westport, Conn. : Greenwood Press, 1982.</t>
        </is>
      </c>
      <c r="M469" t="inlineStr">
        <is>
          <t>1982</t>
        </is>
      </c>
      <c r="O469" t="inlineStr">
        <is>
          <t>eng</t>
        </is>
      </c>
      <c r="P469" t="inlineStr">
        <is>
          <t>ctu</t>
        </is>
      </c>
      <c r="Q469" t="inlineStr">
        <is>
          <t>Contributions in women's studies, 0147-104X ; no. 35</t>
        </is>
      </c>
      <c r="R469" t="inlineStr">
        <is>
          <t xml:space="preserve">HQ </t>
        </is>
      </c>
      <c r="S469" t="n">
        <v>2</v>
      </c>
      <c r="T469" t="n">
        <v>2</v>
      </c>
      <c r="U469" t="inlineStr">
        <is>
          <t>1993-09-29</t>
        </is>
      </c>
      <c r="V469" t="inlineStr">
        <is>
          <t>1993-09-29</t>
        </is>
      </c>
      <c r="W469" t="inlineStr">
        <is>
          <t>1993-01-11</t>
        </is>
      </c>
      <c r="X469" t="inlineStr">
        <is>
          <t>1993-01-11</t>
        </is>
      </c>
      <c r="Y469" t="n">
        <v>414</v>
      </c>
      <c r="Z469" t="n">
        <v>331</v>
      </c>
      <c r="AA469" t="n">
        <v>337</v>
      </c>
      <c r="AB469" t="n">
        <v>6</v>
      </c>
      <c r="AC469" t="n">
        <v>6</v>
      </c>
      <c r="AD469" t="n">
        <v>12</v>
      </c>
      <c r="AE469" t="n">
        <v>12</v>
      </c>
      <c r="AF469" t="n">
        <v>2</v>
      </c>
      <c r="AG469" t="n">
        <v>2</v>
      </c>
      <c r="AH469" t="n">
        <v>1</v>
      </c>
      <c r="AI469" t="n">
        <v>1</v>
      </c>
      <c r="AJ469" t="n">
        <v>5</v>
      </c>
      <c r="AK469" t="n">
        <v>5</v>
      </c>
      <c r="AL469" t="n">
        <v>5</v>
      </c>
      <c r="AM469" t="n">
        <v>5</v>
      </c>
      <c r="AN469" t="n">
        <v>0</v>
      </c>
      <c r="AO469" t="n">
        <v>0</v>
      </c>
      <c r="AP469" t="inlineStr">
        <is>
          <t>No</t>
        </is>
      </c>
      <c r="AQ469" t="inlineStr">
        <is>
          <t>Yes</t>
        </is>
      </c>
      <c r="AR469">
        <f>HYPERLINK("http://catalog.hathitrust.org/Record/000312179","HathiTrust Record")</f>
        <v/>
      </c>
      <c r="AS469">
        <f>HYPERLINK("https://creighton-primo.hosted.exlibrisgroup.com/primo-explore/search?tab=default_tab&amp;search_scope=EVERYTHING&amp;vid=01CRU&amp;lang=en_US&amp;offset=0&amp;query=any,contains,991005203799702656","Catalog Record")</f>
        <v/>
      </c>
      <c r="AT469">
        <f>HYPERLINK("http://www.worldcat.org/oclc/8110468","WorldCat Record")</f>
        <v/>
      </c>
      <c r="AU469" t="inlineStr">
        <is>
          <t>370787728:eng</t>
        </is>
      </c>
      <c r="AV469" t="inlineStr">
        <is>
          <t>8110468</t>
        </is>
      </c>
      <c r="AW469" t="inlineStr">
        <is>
          <t>991005203799702656</t>
        </is>
      </c>
      <c r="AX469" t="inlineStr">
        <is>
          <t>991005203799702656</t>
        </is>
      </c>
      <c r="AY469" t="inlineStr">
        <is>
          <t>2255867610002656</t>
        </is>
      </c>
      <c r="AZ469" t="inlineStr">
        <is>
          <t>BOOK</t>
        </is>
      </c>
      <c r="BB469" t="inlineStr">
        <is>
          <t>9780313222382</t>
        </is>
      </c>
      <c r="BC469" t="inlineStr">
        <is>
          <t>32285001474542</t>
        </is>
      </c>
      <c r="BD469" t="inlineStr">
        <is>
          <t>893783196</t>
        </is>
      </c>
    </row>
    <row r="470">
      <c r="A470" t="inlineStr">
        <is>
          <t>No</t>
        </is>
      </c>
      <c r="B470" t="inlineStr">
        <is>
          <t>HQ1154 .T713 1973</t>
        </is>
      </c>
      <c r="C470" t="inlineStr">
        <is>
          <t>0                      HQ 1154000T  713         1973</t>
        </is>
      </c>
      <c r="D470" t="inlineStr">
        <is>
          <t>Women and the family / [by] Leon Trotsky.</t>
        </is>
      </c>
      <c r="F470" t="inlineStr">
        <is>
          <t>No</t>
        </is>
      </c>
      <c r="G470" t="inlineStr">
        <is>
          <t>1</t>
        </is>
      </c>
      <c r="H470" t="inlineStr">
        <is>
          <t>No</t>
        </is>
      </c>
      <c r="I470" t="inlineStr">
        <is>
          <t>No</t>
        </is>
      </c>
      <c r="J470" t="inlineStr">
        <is>
          <t>0</t>
        </is>
      </c>
      <c r="K470" t="inlineStr">
        <is>
          <t>Trotsky, Leon, 1879-1940.</t>
        </is>
      </c>
      <c r="L470" t="inlineStr">
        <is>
          <t>New York : Pathfinder Press, [1973, c1970]</t>
        </is>
      </c>
      <c r="M470" t="inlineStr">
        <is>
          <t>1973</t>
        </is>
      </c>
      <c r="N470" t="inlineStr">
        <is>
          <t>[2d ed.]</t>
        </is>
      </c>
      <c r="O470" t="inlineStr">
        <is>
          <t>eng</t>
        </is>
      </c>
      <c r="P470" t="inlineStr">
        <is>
          <t>nyu</t>
        </is>
      </c>
      <c r="R470" t="inlineStr">
        <is>
          <t xml:space="preserve">HQ </t>
        </is>
      </c>
      <c r="S470" t="n">
        <v>3</v>
      </c>
      <c r="T470" t="n">
        <v>3</v>
      </c>
      <c r="U470" t="inlineStr">
        <is>
          <t>1994-12-29</t>
        </is>
      </c>
      <c r="V470" t="inlineStr">
        <is>
          <t>1994-12-29</t>
        </is>
      </c>
      <c r="W470" t="inlineStr">
        <is>
          <t>1992-10-27</t>
        </is>
      </c>
      <c r="X470" t="inlineStr">
        <is>
          <t>1992-10-27</t>
        </is>
      </c>
      <c r="Y470" t="n">
        <v>398</v>
      </c>
      <c r="Z470" t="n">
        <v>329</v>
      </c>
      <c r="AA470" t="n">
        <v>371</v>
      </c>
      <c r="AB470" t="n">
        <v>2</v>
      </c>
      <c r="AC470" t="n">
        <v>2</v>
      </c>
      <c r="AD470" t="n">
        <v>11</v>
      </c>
      <c r="AE470" t="n">
        <v>12</v>
      </c>
      <c r="AF470" t="n">
        <v>2</v>
      </c>
      <c r="AG470" t="n">
        <v>2</v>
      </c>
      <c r="AH470" t="n">
        <v>4</v>
      </c>
      <c r="AI470" t="n">
        <v>5</v>
      </c>
      <c r="AJ470" t="n">
        <v>6</v>
      </c>
      <c r="AK470" t="n">
        <v>7</v>
      </c>
      <c r="AL470" t="n">
        <v>1</v>
      </c>
      <c r="AM470" t="n">
        <v>1</v>
      </c>
      <c r="AN470" t="n">
        <v>0</v>
      </c>
      <c r="AO470" t="n">
        <v>0</v>
      </c>
      <c r="AP470" t="inlineStr">
        <is>
          <t>No</t>
        </is>
      </c>
      <c r="AQ470" t="inlineStr">
        <is>
          <t>Yes</t>
        </is>
      </c>
      <c r="AR470">
        <f>HYPERLINK("http://catalog.hathitrust.org/Record/000978900","HathiTrust Record")</f>
        <v/>
      </c>
      <c r="AS470">
        <f>HYPERLINK("https://creighton-primo.hosted.exlibrisgroup.com/primo-explore/search?tab=default_tab&amp;search_scope=EVERYTHING&amp;vid=01CRU&amp;lang=en_US&amp;offset=0&amp;query=any,contains,991003018479702656","Catalog Record")</f>
        <v/>
      </c>
      <c r="AT470">
        <f>HYPERLINK("http://www.worldcat.org/oclc/583325","WorldCat Record")</f>
        <v/>
      </c>
      <c r="AU470" t="inlineStr">
        <is>
          <t>13377200:eng</t>
        </is>
      </c>
      <c r="AV470" t="inlineStr">
        <is>
          <t>583325</t>
        </is>
      </c>
      <c r="AW470" t="inlineStr">
        <is>
          <t>991003018479702656</t>
        </is>
      </c>
      <c r="AX470" t="inlineStr">
        <is>
          <t>991003018479702656</t>
        </is>
      </c>
      <c r="AY470" t="inlineStr">
        <is>
          <t>2272244290002656</t>
        </is>
      </c>
      <c r="AZ470" t="inlineStr">
        <is>
          <t>BOOK</t>
        </is>
      </c>
      <c r="BC470" t="inlineStr">
        <is>
          <t>32285001319747</t>
        </is>
      </c>
      <c r="BD470" t="inlineStr">
        <is>
          <t>893440829</t>
        </is>
      </c>
    </row>
    <row r="471">
      <c r="A471" t="inlineStr">
        <is>
          <t>No</t>
        </is>
      </c>
      <c r="B471" t="inlineStr">
        <is>
          <t>HQ1154 .W37 1992</t>
        </is>
      </c>
      <c r="C471" t="inlineStr">
        <is>
          <t>0                      HQ 1154000W  37          1992</t>
        </is>
      </c>
      <c r="D471" t="inlineStr">
        <is>
          <t>Beyond the pale : white women, racism, and history / Vron Ware.</t>
        </is>
      </c>
      <c r="F471" t="inlineStr">
        <is>
          <t>No</t>
        </is>
      </c>
      <c r="G471" t="inlineStr">
        <is>
          <t>1</t>
        </is>
      </c>
      <c r="H471" t="inlineStr">
        <is>
          <t>No</t>
        </is>
      </c>
      <c r="I471" t="inlineStr">
        <is>
          <t>No</t>
        </is>
      </c>
      <c r="J471" t="inlineStr">
        <is>
          <t>0</t>
        </is>
      </c>
      <c r="K471" t="inlineStr">
        <is>
          <t>Ware, Vron.</t>
        </is>
      </c>
      <c r="L471" t="inlineStr">
        <is>
          <t>London ; New York : Verso, 1992.</t>
        </is>
      </c>
      <c r="M471" t="inlineStr">
        <is>
          <t>1992</t>
        </is>
      </c>
      <c r="O471" t="inlineStr">
        <is>
          <t>eng</t>
        </is>
      </c>
      <c r="P471" t="inlineStr">
        <is>
          <t>enk</t>
        </is>
      </c>
      <c r="Q471" t="inlineStr">
        <is>
          <t>Questions for feminism</t>
        </is>
      </c>
      <c r="R471" t="inlineStr">
        <is>
          <t xml:space="preserve">HQ </t>
        </is>
      </c>
      <c r="S471" t="n">
        <v>1</v>
      </c>
      <c r="T471" t="n">
        <v>1</v>
      </c>
      <c r="U471" t="inlineStr">
        <is>
          <t>2003-05-16</t>
        </is>
      </c>
      <c r="V471" t="inlineStr">
        <is>
          <t>2003-05-16</t>
        </is>
      </c>
      <c r="W471" t="inlineStr">
        <is>
          <t>1992-09-05</t>
        </is>
      </c>
      <c r="X471" t="inlineStr">
        <is>
          <t>1992-09-05</t>
        </is>
      </c>
      <c r="Y471" t="n">
        <v>620</v>
      </c>
      <c r="Z471" t="n">
        <v>426</v>
      </c>
      <c r="AA471" t="n">
        <v>488</v>
      </c>
      <c r="AB471" t="n">
        <v>4</v>
      </c>
      <c r="AC471" t="n">
        <v>4</v>
      </c>
      <c r="AD471" t="n">
        <v>28</v>
      </c>
      <c r="AE471" t="n">
        <v>29</v>
      </c>
      <c r="AF471" t="n">
        <v>12</v>
      </c>
      <c r="AG471" t="n">
        <v>12</v>
      </c>
      <c r="AH471" t="n">
        <v>6</v>
      </c>
      <c r="AI471" t="n">
        <v>6</v>
      </c>
      <c r="AJ471" t="n">
        <v>14</v>
      </c>
      <c r="AK471" t="n">
        <v>15</v>
      </c>
      <c r="AL471" t="n">
        <v>3</v>
      </c>
      <c r="AM471" t="n">
        <v>3</v>
      </c>
      <c r="AN471" t="n">
        <v>0</v>
      </c>
      <c r="AO471" t="n">
        <v>0</v>
      </c>
      <c r="AP471" t="inlineStr">
        <is>
          <t>No</t>
        </is>
      </c>
      <c r="AQ471" t="inlineStr">
        <is>
          <t>Yes</t>
        </is>
      </c>
      <c r="AR471">
        <f>HYPERLINK("http://catalog.hathitrust.org/Record/002514719","HathiTrust Record")</f>
        <v/>
      </c>
      <c r="AS471">
        <f>HYPERLINK("https://creighton-primo.hosted.exlibrisgroup.com/primo-explore/search?tab=default_tab&amp;search_scope=EVERYTHING&amp;vid=01CRU&amp;lang=en_US&amp;offset=0&amp;query=any,contains,991001949359702656","Catalog Record")</f>
        <v/>
      </c>
      <c r="AT471">
        <f>HYPERLINK("http://www.worldcat.org/oclc/24630596","WorldCat Record")</f>
        <v/>
      </c>
      <c r="AU471" t="inlineStr">
        <is>
          <t>347520843:eng</t>
        </is>
      </c>
      <c r="AV471" t="inlineStr">
        <is>
          <t>24630596</t>
        </is>
      </c>
      <c r="AW471" t="inlineStr">
        <is>
          <t>991001949359702656</t>
        </is>
      </c>
      <c r="AX471" t="inlineStr">
        <is>
          <t>991001949359702656</t>
        </is>
      </c>
      <c r="AY471" t="inlineStr">
        <is>
          <t>2266812320002656</t>
        </is>
      </c>
      <c r="AZ471" t="inlineStr">
        <is>
          <t>BOOK</t>
        </is>
      </c>
      <c r="BB471" t="inlineStr">
        <is>
          <t>9780860913368</t>
        </is>
      </c>
      <c r="BC471" t="inlineStr">
        <is>
          <t>32285001286375</t>
        </is>
      </c>
      <c r="BD471" t="inlineStr">
        <is>
          <t>893516717</t>
        </is>
      </c>
    </row>
    <row r="472">
      <c r="A472" t="inlineStr">
        <is>
          <t>No</t>
        </is>
      </c>
      <c r="B472" t="inlineStr">
        <is>
          <t>HQ1154 .W42 1987</t>
        </is>
      </c>
      <c r="C472" t="inlineStr">
        <is>
          <t>0                      HQ 1154000W  42          1987</t>
        </is>
      </c>
      <c r="D472" t="inlineStr">
        <is>
          <t>Feminist practice and poststructuralist theory / Chris Weedon.</t>
        </is>
      </c>
      <c r="F472" t="inlineStr">
        <is>
          <t>No</t>
        </is>
      </c>
      <c r="G472" t="inlineStr">
        <is>
          <t>1</t>
        </is>
      </c>
      <c r="H472" t="inlineStr">
        <is>
          <t>No</t>
        </is>
      </c>
      <c r="I472" t="inlineStr">
        <is>
          <t>No</t>
        </is>
      </c>
      <c r="J472" t="inlineStr">
        <is>
          <t>0</t>
        </is>
      </c>
      <c r="K472" t="inlineStr">
        <is>
          <t>Weedon, Chris.</t>
        </is>
      </c>
      <c r="L472" t="inlineStr">
        <is>
          <t>Oxford, UK ; New York, NY, USA : B. Blackwell, 1987.</t>
        </is>
      </c>
      <c r="M472" t="inlineStr">
        <is>
          <t>1987</t>
        </is>
      </c>
      <c r="O472" t="inlineStr">
        <is>
          <t>eng</t>
        </is>
      </c>
      <c r="P472" t="inlineStr">
        <is>
          <t>enk</t>
        </is>
      </c>
      <c r="R472" t="inlineStr">
        <is>
          <t xml:space="preserve">HQ </t>
        </is>
      </c>
      <c r="S472" t="n">
        <v>6</v>
      </c>
      <c r="T472" t="n">
        <v>6</v>
      </c>
      <c r="U472" t="inlineStr">
        <is>
          <t>2009-07-17</t>
        </is>
      </c>
      <c r="V472" t="inlineStr">
        <is>
          <t>2009-07-17</t>
        </is>
      </c>
      <c r="W472" t="inlineStr">
        <is>
          <t>1991-09-03</t>
        </is>
      </c>
      <c r="X472" t="inlineStr">
        <is>
          <t>1991-09-03</t>
        </is>
      </c>
      <c r="Y472" t="n">
        <v>651</v>
      </c>
      <c r="Z472" t="n">
        <v>414</v>
      </c>
      <c r="AA472" t="n">
        <v>513</v>
      </c>
      <c r="AB472" t="n">
        <v>5</v>
      </c>
      <c r="AC472" t="n">
        <v>5</v>
      </c>
      <c r="AD472" t="n">
        <v>21</v>
      </c>
      <c r="AE472" t="n">
        <v>28</v>
      </c>
      <c r="AF472" t="n">
        <v>4</v>
      </c>
      <c r="AG472" t="n">
        <v>8</v>
      </c>
      <c r="AH472" t="n">
        <v>6</v>
      </c>
      <c r="AI472" t="n">
        <v>7</v>
      </c>
      <c r="AJ472" t="n">
        <v>11</v>
      </c>
      <c r="AK472" t="n">
        <v>15</v>
      </c>
      <c r="AL472" t="n">
        <v>4</v>
      </c>
      <c r="AM472" t="n">
        <v>4</v>
      </c>
      <c r="AN472" t="n">
        <v>1</v>
      </c>
      <c r="AO472" t="n">
        <v>1</v>
      </c>
      <c r="AP472" t="inlineStr">
        <is>
          <t>No</t>
        </is>
      </c>
      <c r="AQ472" t="inlineStr">
        <is>
          <t>No</t>
        </is>
      </c>
      <c r="AS472">
        <f>HYPERLINK("https://creighton-primo.hosted.exlibrisgroup.com/primo-explore/search?tab=default_tab&amp;search_scope=EVERYTHING&amp;vid=01CRU&amp;lang=en_US&amp;offset=0&amp;query=any,contains,991001035509702656","Catalog Record")</f>
        <v/>
      </c>
      <c r="AT472">
        <f>HYPERLINK("http://www.worldcat.org/oclc/15548854","WorldCat Record")</f>
        <v/>
      </c>
      <c r="AU472" t="inlineStr">
        <is>
          <t>10672764:eng</t>
        </is>
      </c>
      <c r="AV472" t="inlineStr">
        <is>
          <t>15548854</t>
        </is>
      </c>
      <c r="AW472" t="inlineStr">
        <is>
          <t>991001035509702656</t>
        </is>
      </c>
      <c r="AX472" t="inlineStr">
        <is>
          <t>991001035509702656</t>
        </is>
      </c>
      <c r="AY472" t="inlineStr">
        <is>
          <t>2261255460002656</t>
        </is>
      </c>
      <c r="AZ472" t="inlineStr">
        <is>
          <t>BOOK</t>
        </is>
      </c>
      <c r="BB472" t="inlineStr">
        <is>
          <t>9780631151883</t>
        </is>
      </c>
      <c r="BC472" t="inlineStr">
        <is>
          <t>32285000734425</t>
        </is>
      </c>
      <c r="BD472" t="inlineStr">
        <is>
          <t>893438820</t>
        </is>
      </c>
    </row>
    <row r="473">
      <c r="A473" t="inlineStr">
        <is>
          <t>No</t>
        </is>
      </c>
      <c r="B473" t="inlineStr">
        <is>
          <t>HQ1154 .W46 1986</t>
        </is>
      </c>
      <c r="C473" t="inlineStr">
        <is>
          <t>0                      HQ 1154000W  46          1986</t>
        </is>
      </c>
      <c r="D473" t="inlineStr">
        <is>
          <t>What is feminism? / [by Nancy Cott ... et al.] ; edited by Juliet Mitchell &amp; Ann Oakley.</t>
        </is>
      </c>
      <c r="F473" t="inlineStr">
        <is>
          <t>No</t>
        </is>
      </c>
      <c r="G473" t="inlineStr">
        <is>
          <t>1</t>
        </is>
      </c>
      <c r="H473" t="inlineStr">
        <is>
          <t>No</t>
        </is>
      </c>
      <c r="I473" t="inlineStr">
        <is>
          <t>No</t>
        </is>
      </c>
      <c r="J473" t="inlineStr">
        <is>
          <t>0</t>
        </is>
      </c>
      <c r="L473" t="inlineStr">
        <is>
          <t>New York : Pantheon Books, c1986.</t>
        </is>
      </c>
      <c r="M473" t="inlineStr">
        <is>
          <t>1986</t>
        </is>
      </c>
      <c r="N473" t="inlineStr">
        <is>
          <t>1st American ed.</t>
        </is>
      </c>
      <c r="O473" t="inlineStr">
        <is>
          <t>eng</t>
        </is>
      </c>
      <c r="P473" t="inlineStr">
        <is>
          <t>nyu</t>
        </is>
      </c>
      <c r="R473" t="inlineStr">
        <is>
          <t xml:space="preserve">HQ </t>
        </is>
      </c>
      <c r="S473" t="n">
        <v>14</v>
      </c>
      <c r="T473" t="n">
        <v>14</v>
      </c>
      <c r="U473" t="inlineStr">
        <is>
          <t>2009-10-16</t>
        </is>
      </c>
      <c r="V473" t="inlineStr">
        <is>
          <t>2009-10-16</t>
        </is>
      </c>
      <c r="W473" t="inlineStr">
        <is>
          <t>1990-02-27</t>
        </is>
      </c>
      <c r="X473" t="inlineStr">
        <is>
          <t>1990-02-27</t>
        </is>
      </c>
      <c r="Y473" t="n">
        <v>829</v>
      </c>
      <c r="Z473" t="n">
        <v>748</v>
      </c>
      <c r="AA473" t="n">
        <v>803</v>
      </c>
      <c r="AB473" t="n">
        <v>6</v>
      </c>
      <c r="AC473" t="n">
        <v>6</v>
      </c>
      <c r="AD473" t="n">
        <v>37</v>
      </c>
      <c r="AE473" t="n">
        <v>39</v>
      </c>
      <c r="AF473" t="n">
        <v>15</v>
      </c>
      <c r="AG473" t="n">
        <v>16</v>
      </c>
      <c r="AH473" t="n">
        <v>8</v>
      </c>
      <c r="AI473" t="n">
        <v>8</v>
      </c>
      <c r="AJ473" t="n">
        <v>16</v>
      </c>
      <c r="AK473" t="n">
        <v>18</v>
      </c>
      <c r="AL473" t="n">
        <v>5</v>
      </c>
      <c r="AM473" t="n">
        <v>5</v>
      </c>
      <c r="AN473" t="n">
        <v>1</v>
      </c>
      <c r="AO473" t="n">
        <v>1</v>
      </c>
      <c r="AP473" t="inlineStr">
        <is>
          <t>No</t>
        </is>
      </c>
      <c r="AQ473" t="inlineStr">
        <is>
          <t>Yes</t>
        </is>
      </c>
      <c r="AR473">
        <f>HYPERLINK("http://catalog.hathitrust.org/Record/007133617","HathiTrust Record")</f>
        <v/>
      </c>
      <c r="AS473">
        <f>HYPERLINK("https://creighton-primo.hosted.exlibrisgroup.com/primo-explore/search?tab=default_tab&amp;search_scope=EVERYTHING&amp;vid=01CRU&amp;lang=en_US&amp;offset=0&amp;query=any,contains,991000901779702656","Catalog Record")</f>
        <v/>
      </c>
      <c r="AT473">
        <f>HYPERLINK("http://www.worldcat.org/oclc/14068073","WorldCat Record")</f>
        <v/>
      </c>
      <c r="AU473" t="inlineStr">
        <is>
          <t>350014482:eng</t>
        </is>
      </c>
      <c r="AV473" t="inlineStr">
        <is>
          <t>14068073</t>
        </is>
      </c>
      <c r="AW473" t="inlineStr">
        <is>
          <t>991000901779702656</t>
        </is>
      </c>
      <c r="AX473" t="inlineStr">
        <is>
          <t>991000901779702656</t>
        </is>
      </c>
      <c r="AY473" t="inlineStr">
        <is>
          <t>2256853200002656</t>
        </is>
      </c>
      <c r="AZ473" t="inlineStr">
        <is>
          <t>BOOK</t>
        </is>
      </c>
      <c r="BB473" t="inlineStr">
        <is>
          <t>9780394722610</t>
        </is>
      </c>
      <c r="BC473" t="inlineStr">
        <is>
          <t>32285000071182</t>
        </is>
      </c>
      <c r="BD473" t="inlineStr">
        <is>
          <t>893515720</t>
        </is>
      </c>
    </row>
    <row r="474">
      <c r="A474" t="inlineStr">
        <is>
          <t>No</t>
        </is>
      </c>
      <c r="B474" t="inlineStr">
        <is>
          <t>HQ1154 .W49 1995</t>
        </is>
      </c>
      <c r="C474" t="inlineStr">
        <is>
          <t>0                      HQ 1154000W  49          1995</t>
        </is>
      </c>
      <c r="D474" t="inlineStr">
        <is>
          <t>Feminist generations : the persistence of the radical women's movement / Nancy Whittier.</t>
        </is>
      </c>
      <c r="F474" t="inlineStr">
        <is>
          <t>No</t>
        </is>
      </c>
      <c r="G474" t="inlineStr">
        <is>
          <t>1</t>
        </is>
      </c>
      <c r="H474" t="inlineStr">
        <is>
          <t>No</t>
        </is>
      </c>
      <c r="I474" t="inlineStr">
        <is>
          <t>No</t>
        </is>
      </c>
      <c r="J474" t="inlineStr">
        <is>
          <t>0</t>
        </is>
      </c>
      <c r="K474" t="inlineStr">
        <is>
          <t>Whittier, Nancy, 1966-</t>
        </is>
      </c>
      <c r="L474" t="inlineStr">
        <is>
          <t>Philadelphia : Temple University Press, 1995.</t>
        </is>
      </c>
      <c r="M474" t="inlineStr">
        <is>
          <t>1995</t>
        </is>
      </c>
      <c r="O474" t="inlineStr">
        <is>
          <t>eng</t>
        </is>
      </c>
      <c r="P474" t="inlineStr">
        <is>
          <t>pau</t>
        </is>
      </c>
      <c r="Q474" t="inlineStr">
        <is>
          <t>Women in the political economy</t>
        </is>
      </c>
      <c r="R474" t="inlineStr">
        <is>
          <t xml:space="preserve">HQ </t>
        </is>
      </c>
      <c r="S474" t="n">
        <v>7</v>
      </c>
      <c r="T474" t="n">
        <v>7</v>
      </c>
      <c r="U474" t="inlineStr">
        <is>
          <t>2010-11-15</t>
        </is>
      </c>
      <c r="V474" t="inlineStr">
        <is>
          <t>2010-11-15</t>
        </is>
      </c>
      <c r="W474" t="inlineStr">
        <is>
          <t>1996-03-18</t>
        </is>
      </c>
      <c r="X474" t="inlineStr">
        <is>
          <t>1996-03-18</t>
        </is>
      </c>
      <c r="Y474" t="n">
        <v>653</v>
      </c>
      <c r="Z474" t="n">
        <v>568</v>
      </c>
      <c r="AA474" t="n">
        <v>738</v>
      </c>
      <c r="AB474" t="n">
        <v>4</v>
      </c>
      <c r="AC474" t="n">
        <v>5</v>
      </c>
      <c r="AD474" t="n">
        <v>32</v>
      </c>
      <c r="AE474" t="n">
        <v>36</v>
      </c>
      <c r="AF474" t="n">
        <v>12</v>
      </c>
      <c r="AG474" t="n">
        <v>15</v>
      </c>
      <c r="AH474" t="n">
        <v>8</v>
      </c>
      <c r="AI474" t="n">
        <v>8</v>
      </c>
      <c r="AJ474" t="n">
        <v>16</v>
      </c>
      <c r="AK474" t="n">
        <v>16</v>
      </c>
      <c r="AL474" t="n">
        <v>3</v>
      </c>
      <c r="AM474" t="n">
        <v>4</v>
      </c>
      <c r="AN474" t="n">
        <v>2</v>
      </c>
      <c r="AO474" t="n">
        <v>2</v>
      </c>
      <c r="AP474" t="inlineStr">
        <is>
          <t>No</t>
        </is>
      </c>
      <c r="AQ474" t="inlineStr">
        <is>
          <t>No</t>
        </is>
      </c>
      <c r="AS474">
        <f>HYPERLINK("https://creighton-primo.hosted.exlibrisgroup.com/primo-explore/search?tab=default_tab&amp;search_scope=EVERYTHING&amp;vid=01CRU&amp;lang=en_US&amp;offset=0&amp;query=any,contains,991002357899702656","Catalog Record")</f>
        <v/>
      </c>
      <c r="AT474">
        <f>HYPERLINK("http://www.worldcat.org/oclc/30668319","WorldCat Record")</f>
        <v/>
      </c>
      <c r="AU474" t="inlineStr">
        <is>
          <t>797293530:eng</t>
        </is>
      </c>
      <c r="AV474" t="inlineStr">
        <is>
          <t>30668319</t>
        </is>
      </c>
      <c r="AW474" t="inlineStr">
        <is>
          <t>991002357899702656</t>
        </is>
      </c>
      <c r="AX474" t="inlineStr">
        <is>
          <t>991002357899702656</t>
        </is>
      </c>
      <c r="AY474" t="inlineStr">
        <is>
          <t>2270540680002656</t>
        </is>
      </c>
      <c r="AZ474" t="inlineStr">
        <is>
          <t>BOOK</t>
        </is>
      </c>
      <c r="BB474" t="inlineStr">
        <is>
          <t>9781566392815</t>
        </is>
      </c>
      <c r="BC474" t="inlineStr">
        <is>
          <t>32285002144326</t>
        </is>
      </c>
      <c r="BD474" t="inlineStr">
        <is>
          <t>893716343</t>
        </is>
      </c>
    </row>
    <row r="475">
      <c r="A475" t="inlineStr">
        <is>
          <t>No</t>
        </is>
      </c>
      <c r="B475" t="inlineStr">
        <is>
          <t>HQ1154 .W52 1994</t>
        </is>
      </c>
      <c r="C475" t="inlineStr">
        <is>
          <t>0                      HQ 1154000W  52          1994</t>
        </is>
      </c>
      <c r="D475" t="inlineStr">
        <is>
          <t>Feminism and international relations : towards a political economy of gender in interstate and non-governmental institutions / Sandra Whitworth.</t>
        </is>
      </c>
      <c r="F475" t="inlineStr">
        <is>
          <t>No</t>
        </is>
      </c>
      <c r="G475" t="inlineStr">
        <is>
          <t>1</t>
        </is>
      </c>
      <c r="H475" t="inlineStr">
        <is>
          <t>No</t>
        </is>
      </c>
      <c r="I475" t="inlineStr">
        <is>
          <t>No</t>
        </is>
      </c>
      <c r="J475" t="inlineStr">
        <is>
          <t>0</t>
        </is>
      </c>
      <c r="K475" t="inlineStr">
        <is>
          <t>Whitworth, Sandra.</t>
        </is>
      </c>
      <c r="L475" t="inlineStr">
        <is>
          <t>New York : St. Martin's Press, 1994.</t>
        </is>
      </c>
      <c r="M475" t="inlineStr">
        <is>
          <t>1994</t>
        </is>
      </c>
      <c r="O475" t="inlineStr">
        <is>
          <t>eng</t>
        </is>
      </c>
      <c r="P475" t="inlineStr">
        <is>
          <t>nyu</t>
        </is>
      </c>
      <c r="Q475" t="inlineStr">
        <is>
          <t>International political economy series</t>
        </is>
      </c>
      <c r="R475" t="inlineStr">
        <is>
          <t xml:space="preserve">HQ </t>
        </is>
      </c>
      <c r="S475" t="n">
        <v>3</v>
      </c>
      <c r="T475" t="n">
        <v>3</v>
      </c>
      <c r="U475" t="inlineStr">
        <is>
          <t>2002-08-23</t>
        </is>
      </c>
      <c r="V475" t="inlineStr">
        <is>
          <t>2002-08-23</t>
        </is>
      </c>
      <c r="W475" t="inlineStr">
        <is>
          <t>1996-06-11</t>
        </is>
      </c>
      <c r="X475" t="inlineStr">
        <is>
          <t>1996-06-11</t>
        </is>
      </c>
      <c r="Y475" t="n">
        <v>281</v>
      </c>
      <c r="Z475" t="n">
        <v>240</v>
      </c>
      <c r="AA475" t="n">
        <v>269</v>
      </c>
      <c r="AB475" t="n">
        <v>3</v>
      </c>
      <c r="AC475" t="n">
        <v>3</v>
      </c>
      <c r="AD475" t="n">
        <v>18</v>
      </c>
      <c r="AE475" t="n">
        <v>20</v>
      </c>
      <c r="AF475" t="n">
        <v>5</v>
      </c>
      <c r="AG475" t="n">
        <v>6</v>
      </c>
      <c r="AH475" t="n">
        <v>7</v>
      </c>
      <c r="AI475" t="n">
        <v>8</v>
      </c>
      <c r="AJ475" t="n">
        <v>8</v>
      </c>
      <c r="AK475" t="n">
        <v>10</v>
      </c>
      <c r="AL475" t="n">
        <v>2</v>
      </c>
      <c r="AM475" t="n">
        <v>2</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HYPERLINK("https://creighton-primo.hosted.exlibrisgroup.com/primo-explore/search?tab=default_tab&amp;search_scope=EVERYTHING&amp;vid=01CRU&amp;lang=en_US&amp;offset=0&amp;query=any,contains,991002357359702656","Catalog Record")</f>
        <v/>
      </c>
      <c r="AT475">
        <f>HYPERLINK("http://www.worldcat.org/oclc/30667729","WorldCat Record")</f>
        <v/>
      </c>
      <c r="AU475" t="inlineStr">
        <is>
          <t>32762812:eng</t>
        </is>
      </c>
      <c r="AV475" t="inlineStr">
        <is>
          <t>30667729</t>
        </is>
      </c>
      <c r="AW475" t="inlineStr">
        <is>
          <t>991002357359702656</t>
        </is>
      </c>
      <c r="AX475" t="inlineStr">
        <is>
          <t>991002357359702656</t>
        </is>
      </c>
      <c r="AY475" t="inlineStr">
        <is>
          <t>2268084590002656</t>
        </is>
      </c>
      <c r="AZ475" t="inlineStr">
        <is>
          <t>BOOK</t>
        </is>
      </c>
      <c r="BB475" t="inlineStr">
        <is>
          <t>9780312123116</t>
        </is>
      </c>
      <c r="BC475" t="inlineStr">
        <is>
          <t>32285002190725</t>
        </is>
      </c>
      <c r="BD475" t="inlineStr">
        <is>
          <t>893504318</t>
        </is>
      </c>
    </row>
    <row r="476">
      <c r="A476" t="inlineStr">
        <is>
          <t>No</t>
        </is>
      </c>
      <c r="B476" t="inlineStr">
        <is>
          <t>HQ1154 .W66 1994</t>
        </is>
      </c>
      <c r="C476" t="inlineStr">
        <is>
          <t>0                      HQ 1154000W  66          1994</t>
        </is>
      </c>
      <c r="D476" t="inlineStr">
        <is>
          <t>Women in cross-cultural transitions / by Jill M. Bystydzienski and Estelle P. Resnik.</t>
        </is>
      </c>
      <c r="F476" t="inlineStr">
        <is>
          <t>No</t>
        </is>
      </c>
      <c r="G476" t="inlineStr">
        <is>
          <t>1</t>
        </is>
      </c>
      <c r="H476" t="inlineStr">
        <is>
          <t>No</t>
        </is>
      </c>
      <c r="I476" t="inlineStr">
        <is>
          <t>No</t>
        </is>
      </c>
      <c r="J476" t="inlineStr">
        <is>
          <t>0</t>
        </is>
      </c>
      <c r="L476" t="inlineStr">
        <is>
          <t>Bloomington, Ind. : Phi Delta Kappa Educational Foundation, 1994.</t>
        </is>
      </c>
      <c r="M476" t="inlineStr">
        <is>
          <t>1994</t>
        </is>
      </c>
      <c r="O476" t="inlineStr">
        <is>
          <t>eng</t>
        </is>
      </c>
      <c r="P476" t="inlineStr">
        <is>
          <t>inu</t>
        </is>
      </c>
      <c r="R476" t="inlineStr">
        <is>
          <t xml:space="preserve">HQ </t>
        </is>
      </c>
      <c r="S476" t="n">
        <v>3</v>
      </c>
      <c r="T476" t="n">
        <v>3</v>
      </c>
      <c r="U476" t="inlineStr">
        <is>
          <t>2003-11-06</t>
        </is>
      </c>
      <c r="V476" t="inlineStr">
        <is>
          <t>2003-11-06</t>
        </is>
      </c>
      <c r="W476" t="inlineStr">
        <is>
          <t>1994-05-11</t>
        </is>
      </c>
      <c r="X476" t="inlineStr">
        <is>
          <t>1994-05-11</t>
        </is>
      </c>
      <c r="Y476" t="n">
        <v>745</v>
      </c>
      <c r="Z476" t="n">
        <v>707</v>
      </c>
      <c r="AA476" t="n">
        <v>752</v>
      </c>
      <c r="AB476" t="n">
        <v>5</v>
      </c>
      <c r="AC476" t="n">
        <v>5</v>
      </c>
      <c r="AD476" t="n">
        <v>26</v>
      </c>
      <c r="AE476" t="n">
        <v>27</v>
      </c>
      <c r="AF476" t="n">
        <v>13</v>
      </c>
      <c r="AG476" t="n">
        <v>13</v>
      </c>
      <c r="AH476" t="n">
        <v>4</v>
      </c>
      <c r="AI476" t="n">
        <v>4</v>
      </c>
      <c r="AJ476" t="n">
        <v>11</v>
      </c>
      <c r="AK476" t="n">
        <v>12</v>
      </c>
      <c r="AL476" t="n">
        <v>3</v>
      </c>
      <c r="AM476" t="n">
        <v>3</v>
      </c>
      <c r="AN476" t="n">
        <v>0</v>
      </c>
      <c r="AO476" t="n">
        <v>0</v>
      </c>
      <c r="AP476" t="inlineStr">
        <is>
          <t>No</t>
        </is>
      </c>
      <c r="AQ476" t="inlineStr">
        <is>
          <t>Yes</t>
        </is>
      </c>
      <c r="AR476">
        <f>HYPERLINK("http://catalog.hathitrust.org/Record/002876839","HathiTrust Record")</f>
        <v/>
      </c>
      <c r="AS476">
        <f>HYPERLINK("https://creighton-primo.hosted.exlibrisgroup.com/primo-explore/search?tab=default_tab&amp;search_scope=EVERYTHING&amp;vid=01CRU&amp;lang=en_US&amp;offset=0&amp;query=any,contains,991002302389702656","Catalog Record")</f>
        <v/>
      </c>
      <c r="AT476">
        <f>HYPERLINK("http://www.worldcat.org/oclc/29874566","WorldCat Record")</f>
        <v/>
      </c>
      <c r="AU476" t="inlineStr">
        <is>
          <t>355822958:eng</t>
        </is>
      </c>
      <c r="AV476" t="inlineStr">
        <is>
          <t>29874566</t>
        </is>
      </c>
      <c r="AW476" t="inlineStr">
        <is>
          <t>991002302389702656</t>
        </is>
      </c>
      <c r="AX476" t="inlineStr">
        <is>
          <t>991002302389702656</t>
        </is>
      </c>
      <c r="AY476" t="inlineStr">
        <is>
          <t>2256991870002656</t>
        </is>
      </c>
      <c r="AZ476" t="inlineStr">
        <is>
          <t>BOOK</t>
        </is>
      </c>
      <c r="BB476" t="inlineStr">
        <is>
          <t>9780873674638</t>
        </is>
      </c>
      <c r="BC476" t="inlineStr">
        <is>
          <t>32285001896140</t>
        </is>
      </c>
      <c r="BD476" t="inlineStr">
        <is>
          <t>893898598</t>
        </is>
      </c>
    </row>
    <row r="477">
      <c r="A477" t="inlineStr">
        <is>
          <t>No</t>
        </is>
      </c>
      <c r="B477" t="inlineStr">
        <is>
          <t>HQ1154 .W82 1985</t>
        </is>
      </c>
      <c r="C477" t="inlineStr">
        <is>
          <t>0                      HQ 1154000W  82          1985</t>
        </is>
      </c>
      <c r="D477" t="inlineStr">
        <is>
          <t>Women, a world report.</t>
        </is>
      </c>
      <c r="F477" t="inlineStr">
        <is>
          <t>No</t>
        </is>
      </c>
      <c r="G477" t="inlineStr">
        <is>
          <t>1</t>
        </is>
      </c>
      <c r="H477" t="inlineStr">
        <is>
          <t>No</t>
        </is>
      </c>
      <c r="I477" t="inlineStr">
        <is>
          <t>No</t>
        </is>
      </c>
      <c r="J477" t="inlineStr">
        <is>
          <t>0</t>
        </is>
      </c>
      <c r="L477" t="inlineStr">
        <is>
          <t>New York : Oxford University Press, 1985.</t>
        </is>
      </c>
      <c r="M477" t="inlineStr">
        <is>
          <t>1985</t>
        </is>
      </c>
      <c r="O477" t="inlineStr">
        <is>
          <t>eng</t>
        </is>
      </c>
      <c r="P477" t="inlineStr">
        <is>
          <t>nyu</t>
        </is>
      </c>
      <c r="R477" t="inlineStr">
        <is>
          <t xml:space="preserve">HQ </t>
        </is>
      </c>
      <c r="S477" t="n">
        <v>2</v>
      </c>
      <c r="T477" t="n">
        <v>2</v>
      </c>
      <c r="U477" t="inlineStr">
        <is>
          <t>1998-09-27</t>
        </is>
      </c>
      <c r="V477" t="inlineStr">
        <is>
          <t>1998-09-27</t>
        </is>
      </c>
      <c r="W477" t="inlineStr">
        <is>
          <t>1992-12-22</t>
        </is>
      </c>
      <c r="X477" t="inlineStr">
        <is>
          <t>1992-12-22</t>
        </is>
      </c>
      <c r="Y477" t="n">
        <v>886</v>
      </c>
      <c r="Z477" t="n">
        <v>814</v>
      </c>
      <c r="AA477" t="n">
        <v>816</v>
      </c>
      <c r="AB477" t="n">
        <v>3</v>
      </c>
      <c r="AC477" t="n">
        <v>3</v>
      </c>
      <c r="AD477" t="n">
        <v>28</v>
      </c>
      <c r="AE477" t="n">
        <v>28</v>
      </c>
      <c r="AF477" t="n">
        <v>15</v>
      </c>
      <c r="AG477" t="n">
        <v>15</v>
      </c>
      <c r="AH477" t="n">
        <v>6</v>
      </c>
      <c r="AI477" t="n">
        <v>6</v>
      </c>
      <c r="AJ477" t="n">
        <v>12</v>
      </c>
      <c r="AK477" t="n">
        <v>12</v>
      </c>
      <c r="AL477" t="n">
        <v>1</v>
      </c>
      <c r="AM477" t="n">
        <v>1</v>
      </c>
      <c r="AN477" t="n">
        <v>1</v>
      </c>
      <c r="AO477" t="n">
        <v>1</v>
      </c>
      <c r="AP477" t="inlineStr">
        <is>
          <t>No</t>
        </is>
      </c>
      <c r="AQ477" t="inlineStr">
        <is>
          <t>Yes</t>
        </is>
      </c>
      <c r="AR477">
        <f>HYPERLINK("http://catalog.hathitrust.org/Record/000375985","HathiTrust Record")</f>
        <v/>
      </c>
      <c r="AS477">
        <f>HYPERLINK("https://creighton-primo.hosted.exlibrisgroup.com/primo-explore/search?tab=default_tab&amp;search_scope=EVERYTHING&amp;vid=01CRU&amp;lang=en_US&amp;offset=0&amp;query=any,contains,991000645629702656","Catalog Record")</f>
        <v/>
      </c>
      <c r="AT477">
        <f>HYPERLINK("http://www.worldcat.org/oclc/12132628","WorldCat Record")</f>
        <v/>
      </c>
      <c r="AU477" t="inlineStr">
        <is>
          <t>10596742061:eng</t>
        </is>
      </c>
      <c r="AV477" t="inlineStr">
        <is>
          <t>12132628</t>
        </is>
      </c>
      <c r="AW477" t="inlineStr">
        <is>
          <t>991000645629702656</t>
        </is>
      </c>
      <c r="AX477" t="inlineStr">
        <is>
          <t>991000645629702656</t>
        </is>
      </c>
      <c r="AY477" t="inlineStr">
        <is>
          <t>2262256260002656</t>
        </is>
      </c>
      <c r="AZ477" t="inlineStr">
        <is>
          <t>BOOK</t>
        </is>
      </c>
      <c r="BB477" t="inlineStr">
        <is>
          <t>9780195204902</t>
        </is>
      </c>
      <c r="BC477" t="inlineStr">
        <is>
          <t>32285001470581</t>
        </is>
      </c>
      <c r="BD477" t="inlineStr">
        <is>
          <t>893339748</t>
        </is>
      </c>
    </row>
    <row r="478">
      <c r="A478" t="inlineStr">
        <is>
          <t>No</t>
        </is>
      </c>
      <c r="B478" t="inlineStr">
        <is>
          <t>HQ1154 .W877</t>
        </is>
      </c>
      <c r="C478" t="inlineStr">
        <is>
          <t>0                      HQ 1154000W  877</t>
        </is>
      </c>
      <c r="D478" t="inlineStr">
        <is>
          <t>Women and achievement : social and motivational analyses / Martha Tamara Shuch Mednick, Sandra Schwartz Tangri, Lois Wladis Hoffman, editors.</t>
        </is>
      </c>
      <c r="F478" t="inlineStr">
        <is>
          <t>No</t>
        </is>
      </c>
      <c r="G478" t="inlineStr">
        <is>
          <t>1</t>
        </is>
      </c>
      <c r="H478" t="inlineStr">
        <is>
          <t>No</t>
        </is>
      </c>
      <c r="I478" t="inlineStr">
        <is>
          <t>No</t>
        </is>
      </c>
      <c r="J478" t="inlineStr">
        <is>
          <t>0</t>
        </is>
      </c>
      <c r="L478" t="inlineStr">
        <is>
          <t>Washington : Hemisphere Pub. Corp. ; New York : distributed by Halsted Press, [1975]</t>
        </is>
      </c>
      <c r="M478" t="inlineStr">
        <is>
          <t>1975</t>
        </is>
      </c>
      <c r="O478" t="inlineStr">
        <is>
          <t>eng</t>
        </is>
      </c>
      <c r="P478" t="inlineStr">
        <is>
          <t>dcu</t>
        </is>
      </c>
      <c r="R478" t="inlineStr">
        <is>
          <t xml:space="preserve">HQ </t>
        </is>
      </c>
      <c r="S478" t="n">
        <v>3</v>
      </c>
      <c r="T478" t="n">
        <v>3</v>
      </c>
      <c r="U478" t="inlineStr">
        <is>
          <t>1993-10-28</t>
        </is>
      </c>
      <c r="V478" t="inlineStr">
        <is>
          <t>1993-10-28</t>
        </is>
      </c>
      <c r="W478" t="inlineStr">
        <is>
          <t>1991-01-10</t>
        </is>
      </c>
      <c r="X478" t="inlineStr">
        <is>
          <t>1991-01-10</t>
        </is>
      </c>
      <c r="Y478" t="n">
        <v>709</v>
      </c>
      <c r="Z478" t="n">
        <v>588</v>
      </c>
      <c r="AA478" t="n">
        <v>599</v>
      </c>
      <c r="AB478" t="n">
        <v>5</v>
      </c>
      <c r="AC478" t="n">
        <v>5</v>
      </c>
      <c r="AD478" t="n">
        <v>26</v>
      </c>
      <c r="AE478" t="n">
        <v>26</v>
      </c>
      <c r="AF478" t="n">
        <v>11</v>
      </c>
      <c r="AG478" t="n">
        <v>11</v>
      </c>
      <c r="AH478" t="n">
        <v>5</v>
      </c>
      <c r="AI478" t="n">
        <v>5</v>
      </c>
      <c r="AJ478" t="n">
        <v>15</v>
      </c>
      <c r="AK478" t="n">
        <v>15</v>
      </c>
      <c r="AL478" t="n">
        <v>3</v>
      </c>
      <c r="AM478" t="n">
        <v>3</v>
      </c>
      <c r="AN478" t="n">
        <v>0</v>
      </c>
      <c r="AO478" t="n">
        <v>0</v>
      </c>
      <c r="AP478" t="inlineStr">
        <is>
          <t>No</t>
        </is>
      </c>
      <c r="AQ478" t="inlineStr">
        <is>
          <t>Yes</t>
        </is>
      </c>
      <c r="AR478">
        <f>HYPERLINK("http://catalog.hathitrust.org/Record/000018770","HathiTrust Record")</f>
        <v/>
      </c>
      <c r="AS478">
        <f>HYPERLINK("https://creighton-primo.hosted.exlibrisgroup.com/primo-explore/search?tab=default_tab&amp;search_scope=EVERYTHING&amp;vid=01CRU&amp;lang=en_US&amp;offset=0&amp;query=any,contains,991003806109702656","Catalog Record")</f>
        <v/>
      </c>
      <c r="AT478">
        <f>HYPERLINK("http://www.worldcat.org/oclc/1530728","WorldCat Record")</f>
        <v/>
      </c>
      <c r="AU478" t="inlineStr">
        <is>
          <t>836681240:eng</t>
        </is>
      </c>
      <c r="AV478" t="inlineStr">
        <is>
          <t>1530728</t>
        </is>
      </c>
      <c r="AW478" t="inlineStr">
        <is>
          <t>991003806109702656</t>
        </is>
      </c>
      <c r="AX478" t="inlineStr">
        <is>
          <t>991003806109702656</t>
        </is>
      </c>
      <c r="AY478" t="inlineStr">
        <is>
          <t>2269778460002656</t>
        </is>
      </c>
      <c r="AZ478" t="inlineStr">
        <is>
          <t>BOOK</t>
        </is>
      </c>
      <c r="BB478" t="inlineStr">
        <is>
          <t>9780470590256</t>
        </is>
      </c>
      <c r="BC478" t="inlineStr">
        <is>
          <t>32285000430123</t>
        </is>
      </c>
      <c r="BD478" t="inlineStr">
        <is>
          <t>893318427</t>
        </is>
      </c>
    </row>
    <row r="479">
      <c r="A479" t="inlineStr">
        <is>
          <t>No</t>
        </is>
      </c>
      <c r="B479" t="inlineStr">
        <is>
          <t>HQ1154 .W879 1984</t>
        </is>
      </c>
      <c r="C479" t="inlineStr">
        <is>
          <t>0                      HQ 1154000W  879         1984</t>
        </is>
      </c>
      <c r="D479" t="inlineStr">
        <is>
          <t>Women and property--women as property / edited by Renée Hirschon.</t>
        </is>
      </c>
      <c r="F479" t="inlineStr">
        <is>
          <t>No</t>
        </is>
      </c>
      <c r="G479" t="inlineStr">
        <is>
          <t>1</t>
        </is>
      </c>
      <c r="H479" t="inlineStr">
        <is>
          <t>No</t>
        </is>
      </c>
      <c r="I479" t="inlineStr">
        <is>
          <t>No</t>
        </is>
      </c>
      <c r="J479" t="inlineStr">
        <is>
          <t>0</t>
        </is>
      </c>
      <c r="L479" t="inlineStr">
        <is>
          <t>New York : St. Martin's Press, 1984.</t>
        </is>
      </c>
      <c r="M479" t="inlineStr">
        <is>
          <t>1983</t>
        </is>
      </c>
      <c r="O479" t="inlineStr">
        <is>
          <t>eng</t>
        </is>
      </c>
      <c r="P479" t="inlineStr">
        <is>
          <t>nyu</t>
        </is>
      </c>
      <c r="R479" t="inlineStr">
        <is>
          <t xml:space="preserve">HQ </t>
        </is>
      </c>
      <c r="S479" t="n">
        <v>24</v>
      </c>
      <c r="T479" t="n">
        <v>24</v>
      </c>
      <c r="U479" t="inlineStr">
        <is>
          <t>2004-02-06</t>
        </is>
      </c>
      <c r="V479" t="inlineStr">
        <is>
          <t>2004-02-06</t>
        </is>
      </c>
      <c r="W479" t="inlineStr">
        <is>
          <t>1992-01-14</t>
        </is>
      </c>
      <c r="X479" t="inlineStr">
        <is>
          <t>1992-01-14</t>
        </is>
      </c>
      <c r="Y479" t="n">
        <v>238</v>
      </c>
      <c r="Z479" t="n">
        <v>208</v>
      </c>
      <c r="AA479" t="n">
        <v>424</v>
      </c>
      <c r="AB479" t="n">
        <v>2</v>
      </c>
      <c r="AC479" t="n">
        <v>4</v>
      </c>
      <c r="AD479" t="n">
        <v>14</v>
      </c>
      <c r="AE479" t="n">
        <v>25</v>
      </c>
      <c r="AF479" t="n">
        <v>4</v>
      </c>
      <c r="AG479" t="n">
        <v>6</v>
      </c>
      <c r="AH479" t="n">
        <v>3</v>
      </c>
      <c r="AI479" t="n">
        <v>5</v>
      </c>
      <c r="AJ479" t="n">
        <v>2</v>
      </c>
      <c r="AK479" t="n">
        <v>6</v>
      </c>
      <c r="AL479" t="n">
        <v>1</v>
      </c>
      <c r="AM479" t="n">
        <v>2</v>
      </c>
      <c r="AN479" t="n">
        <v>5</v>
      </c>
      <c r="AO479" t="n">
        <v>8</v>
      </c>
      <c r="AP479" t="inlineStr">
        <is>
          <t>No</t>
        </is>
      </c>
      <c r="AQ479" t="inlineStr">
        <is>
          <t>No</t>
        </is>
      </c>
      <c r="AS479">
        <f>HYPERLINK("https://creighton-primo.hosted.exlibrisgroup.com/primo-explore/search?tab=default_tab&amp;search_scope=EVERYTHING&amp;vid=01CRU&amp;lang=en_US&amp;offset=0&amp;query=any,contains,991000236309702656","Catalog Record")</f>
        <v/>
      </c>
      <c r="AT479">
        <f>HYPERLINK("http://www.worldcat.org/oclc/9647191","WorldCat Record")</f>
        <v/>
      </c>
      <c r="AU479" t="inlineStr">
        <is>
          <t>54580600:eng</t>
        </is>
      </c>
      <c r="AV479" t="inlineStr">
        <is>
          <t>9647191</t>
        </is>
      </c>
      <c r="AW479" t="inlineStr">
        <is>
          <t>991000236309702656</t>
        </is>
      </c>
      <c r="AX479" t="inlineStr">
        <is>
          <t>991000236309702656</t>
        </is>
      </c>
      <c r="AY479" t="inlineStr">
        <is>
          <t>2270655610002656</t>
        </is>
      </c>
      <c r="AZ479" t="inlineStr">
        <is>
          <t>BOOK</t>
        </is>
      </c>
      <c r="BB479" t="inlineStr">
        <is>
          <t>9780312887308</t>
        </is>
      </c>
      <c r="BC479" t="inlineStr">
        <is>
          <t>32285000914126</t>
        </is>
      </c>
      <c r="BD479" t="inlineStr">
        <is>
          <t>893796527</t>
        </is>
      </c>
    </row>
    <row r="480">
      <c r="A480" t="inlineStr">
        <is>
          <t>No</t>
        </is>
      </c>
      <c r="B480" t="inlineStr">
        <is>
          <t>HQ1154 .W883</t>
        </is>
      </c>
      <c r="C480" t="inlineStr">
        <is>
          <t>0                      HQ 1154000W  883</t>
        </is>
      </c>
      <c r="D480" t="inlineStr">
        <is>
          <t>Women in a changing world / edited by Uta West.</t>
        </is>
      </c>
      <c r="F480" t="inlineStr">
        <is>
          <t>No</t>
        </is>
      </c>
      <c r="G480" t="inlineStr">
        <is>
          <t>1</t>
        </is>
      </c>
      <c r="H480" t="inlineStr">
        <is>
          <t>No</t>
        </is>
      </c>
      <c r="I480" t="inlineStr">
        <is>
          <t>No</t>
        </is>
      </c>
      <c r="J480" t="inlineStr">
        <is>
          <t>0</t>
        </is>
      </c>
      <c r="L480" t="inlineStr">
        <is>
          <t>New York : McGraw-Hill, [1975]</t>
        </is>
      </c>
      <c r="M480" t="inlineStr">
        <is>
          <t>1975</t>
        </is>
      </c>
      <c r="O480" t="inlineStr">
        <is>
          <t>eng</t>
        </is>
      </c>
      <c r="P480" t="inlineStr">
        <is>
          <t>nyu</t>
        </is>
      </c>
      <c r="Q480" t="inlineStr">
        <is>
          <t>McGraw-Hill paperbacks</t>
        </is>
      </c>
      <c r="R480" t="inlineStr">
        <is>
          <t xml:space="preserve">HQ </t>
        </is>
      </c>
      <c r="S480" t="n">
        <v>3</v>
      </c>
      <c r="T480" t="n">
        <v>3</v>
      </c>
      <c r="U480" t="inlineStr">
        <is>
          <t>1993-12-01</t>
        </is>
      </c>
      <c r="V480" t="inlineStr">
        <is>
          <t>1993-12-01</t>
        </is>
      </c>
      <c r="W480" t="inlineStr">
        <is>
          <t>1993-11-18</t>
        </is>
      </c>
      <c r="X480" t="inlineStr">
        <is>
          <t>1993-11-18</t>
        </is>
      </c>
      <c r="Y480" t="n">
        <v>415</v>
      </c>
      <c r="Z480" t="n">
        <v>351</v>
      </c>
      <c r="AA480" t="n">
        <v>358</v>
      </c>
      <c r="AB480" t="n">
        <v>4</v>
      </c>
      <c r="AC480" t="n">
        <v>4</v>
      </c>
      <c r="AD480" t="n">
        <v>14</v>
      </c>
      <c r="AE480" t="n">
        <v>14</v>
      </c>
      <c r="AF480" t="n">
        <v>3</v>
      </c>
      <c r="AG480" t="n">
        <v>3</v>
      </c>
      <c r="AH480" t="n">
        <v>5</v>
      </c>
      <c r="AI480" t="n">
        <v>5</v>
      </c>
      <c r="AJ480" t="n">
        <v>6</v>
      </c>
      <c r="AK480" t="n">
        <v>6</v>
      </c>
      <c r="AL480" t="n">
        <v>3</v>
      </c>
      <c r="AM480" t="n">
        <v>3</v>
      </c>
      <c r="AN480" t="n">
        <v>0</v>
      </c>
      <c r="AO480" t="n">
        <v>0</v>
      </c>
      <c r="AP480" t="inlineStr">
        <is>
          <t>No</t>
        </is>
      </c>
      <c r="AQ480" t="inlineStr">
        <is>
          <t>Yes</t>
        </is>
      </c>
      <c r="AR480">
        <f>HYPERLINK("http://catalog.hathitrust.org/Record/000018952","HathiTrust Record")</f>
        <v/>
      </c>
      <c r="AS480">
        <f>HYPERLINK("https://creighton-primo.hosted.exlibrisgroup.com/primo-explore/search?tab=default_tab&amp;search_scope=EVERYTHING&amp;vid=01CRU&amp;lang=en_US&amp;offset=0&amp;query=any,contains,991003806489702656","Catalog Record")</f>
        <v/>
      </c>
      <c r="AT480">
        <f>HYPERLINK("http://www.worldcat.org/oclc/1530822","WorldCat Record")</f>
        <v/>
      </c>
      <c r="AU480" t="inlineStr">
        <is>
          <t>566691555:eng</t>
        </is>
      </c>
      <c r="AV480" t="inlineStr">
        <is>
          <t>1530822</t>
        </is>
      </c>
      <c r="AW480" t="inlineStr">
        <is>
          <t>991003806489702656</t>
        </is>
      </c>
      <c r="AX480" t="inlineStr">
        <is>
          <t>991003806489702656</t>
        </is>
      </c>
      <c r="AY480" t="inlineStr">
        <is>
          <t>2269638140002656</t>
        </is>
      </c>
      <c r="AZ480" t="inlineStr">
        <is>
          <t>BOOK</t>
        </is>
      </c>
      <c r="BB480" t="inlineStr">
        <is>
          <t>9780070694651</t>
        </is>
      </c>
      <c r="BC480" t="inlineStr">
        <is>
          <t>32285001813277</t>
        </is>
      </c>
      <c r="BD480" t="inlineStr">
        <is>
          <t>893598993</t>
        </is>
      </c>
    </row>
    <row r="481">
      <c r="A481" t="inlineStr">
        <is>
          <t>No</t>
        </is>
      </c>
      <c r="B481" t="inlineStr">
        <is>
          <t>HQ1154 .W8837 1982</t>
        </is>
      </c>
      <c r="C481" t="inlineStr">
        <is>
          <t>0                      HQ 1154000W  8837        1982</t>
        </is>
      </c>
      <c r="D481" t="inlineStr">
        <is>
          <t>Women in the middle years : current knowledge and directions for research and policy / sponsored by the Social Science Research Council ; edited by Janet Zollinger Giele.</t>
        </is>
      </c>
      <c r="F481" t="inlineStr">
        <is>
          <t>No</t>
        </is>
      </c>
      <c r="G481" t="inlineStr">
        <is>
          <t>1</t>
        </is>
      </c>
      <c r="H481" t="inlineStr">
        <is>
          <t>Yes</t>
        </is>
      </c>
      <c r="I481" t="inlineStr">
        <is>
          <t>No</t>
        </is>
      </c>
      <c r="J481" t="inlineStr">
        <is>
          <t>0</t>
        </is>
      </c>
      <c r="L481" t="inlineStr">
        <is>
          <t>New York : Wiley, c1982.</t>
        </is>
      </c>
      <c r="M481" t="inlineStr">
        <is>
          <t>1982</t>
        </is>
      </c>
      <c r="O481" t="inlineStr">
        <is>
          <t>eng</t>
        </is>
      </c>
      <c r="P481" t="inlineStr">
        <is>
          <t>nyu</t>
        </is>
      </c>
      <c r="Q481" t="inlineStr">
        <is>
          <t>Wiley series on personality processes</t>
        </is>
      </c>
      <c r="R481" t="inlineStr">
        <is>
          <t xml:space="preserve">HQ </t>
        </is>
      </c>
      <c r="S481" t="n">
        <v>2</v>
      </c>
      <c r="T481" t="n">
        <v>2</v>
      </c>
      <c r="U481" t="inlineStr">
        <is>
          <t>2000-11-09</t>
        </is>
      </c>
      <c r="V481" t="inlineStr">
        <is>
          <t>2000-11-09</t>
        </is>
      </c>
      <c r="W481" t="inlineStr">
        <is>
          <t>1992-12-01</t>
        </is>
      </c>
      <c r="X481" t="inlineStr">
        <is>
          <t>1992-12-01</t>
        </is>
      </c>
      <c r="Y481" t="n">
        <v>537</v>
      </c>
      <c r="Z481" t="n">
        <v>455</v>
      </c>
      <c r="AA481" t="n">
        <v>463</v>
      </c>
      <c r="AB481" t="n">
        <v>5</v>
      </c>
      <c r="AC481" t="n">
        <v>5</v>
      </c>
      <c r="AD481" t="n">
        <v>24</v>
      </c>
      <c r="AE481" t="n">
        <v>24</v>
      </c>
      <c r="AF481" t="n">
        <v>13</v>
      </c>
      <c r="AG481" t="n">
        <v>13</v>
      </c>
      <c r="AH481" t="n">
        <v>4</v>
      </c>
      <c r="AI481" t="n">
        <v>4</v>
      </c>
      <c r="AJ481" t="n">
        <v>14</v>
      </c>
      <c r="AK481" t="n">
        <v>14</v>
      </c>
      <c r="AL481" t="n">
        <v>3</v>
      </c>
      <c r="AM481" t="n">
        <v>3</v>
      </c>
      <c r="AN481" t="n">
        <v>0</v>
      </c>
      <c r="AO481" t="n">
        <v>0</v>
      </c>
      <c r="AP481" t="inlineStr">
        <is>
          <t>No</t>
        </is>
      </c>
      <c r="AQ481" t="inlineStr">
        <is>
          <t>Yes</t>
        </is>
      </c>
      <c r="AR481">
        <f>HYPERLINK("http://catalog.hathitrust.org/Record/000101833","HathiTrust Record")</f>
        <v/>
      </c>
      <c r="AS481">
        <f>HYPERLINK("https://creighton-primo.hosted.exlibrisgroup.com/primo-explore/search?tab=default_tab&amp;search_scope=EVERYTHING&amp;vid=01CRU&amp;lang=en_US&amp;offset=0&amp;query=any,contains,991001766979702656","Catalog Record")</f>
        <v/>
      </c>
      <c r="AT481">
        <f>HYPERLINK("http://www.worldcat.org/oclc/8169449","WorldCat Record")</f>
        <v/>
      </c>
      <c r="AU481" t="inlineStr">
        <is>
          <t>899390819:eng</t>
        </is>
      </c>
      <c r="AV481" t="inlineStr">
        <is>
          <t>8169449</t>
        </is>
      </c>
      <c r="AW481" t="inlineStr">
        <is>
          <t>991001766979702656</t>
        </is>
      </c>
      <c r="AX481" t="inlineStr">
        <is>
          <t>991001766979702656</t>
        </is>
      </c>
      <c r="AY481" t="inlineStr">
        <is>
          <t>2269836090002656</t>
        </is>
      </c>
      <c r="AZ481" t="inlineStr">
        <is>
          <t>BOOK</t>
        </is>
      </c>
      <c r="BB481" t="inlineStr">
        <is>
          <t>9780471096115</t>
        </is>
      </c>
      <c r="BC481" t="inlineStr">
        <is>
          <t>32285001410660</t>
        </is>
      </c>
      <c r="BD481" t="inlineStr">
        <is>
          <t>893328355</t>
        </is>
      </c>
    </row>
    <row r="482">
      <c r="A482" t="inlineStr">
        <is>
          <t>No</t>
        </is>
      </c>
      <c r="B482" t="inlineStr">
        <is>
          <t>HQ1154 .W8838 1986</t>
        </is>
      </c>
      <c r="C482" t="inlineStr">
        <is>
          <t>0                      HQ 1154000W  8838        1986</t>
        </is>
      </c>
      <c r="D482" t="inlineStr">
        <is>
          <t>Women in the world, 1975-1985 : the women's decade / Lynne B. Iglitzin and Ruth Ross, editors.</t>
        </is>
      </c>
      <c r="F482" t="inlineStr">
        <is>
          <t>No</t>
        </is>
      </c>
      <c r="G482" t="inlineStr">
        <is>
          <t>1</t>
        </is>
      </c>
      <c r="H482" t="inlineStr">
        <is>
          <t>No</t>
        </is>
      </c>
      <c r="I482" t="inlineStr">
        <is>
          <t>No</t>
        </is>
      </c>
      <c r="J482" t="inlineStr">
        <is>
          <t>0</t>
        </is>
      </c>
      <c r="L482" t="inlineStr">
        <is>
          <t>Santa Barbara, Calif. : ABC-Clio Information Services, c1986.</t>
        </is>
      </c>
      <c r="M482" t="inlineStr">
        <is>
          <t>1985</t>
        </is>
      </c>
      <c r="N482" t="inlineStr">
        <is>
          <t>2nd rev. ed.</t>
        </is>
      </c>
      <c r="O482" t="inlineStr">
        <is>
          <t>eng</t>
        </is>
      </c>
      <c r="P482" t="inlineStr">
        <is>
          <t>cau</t>
        </is>
      </c>
      <c r="Q482" t="inlineStr">
        <is>
          <t>Studies in international and comparative politics ; 16</t>
        </is>
      </c>
      <c r="R482" t="inlineStr">
        <is>
          <t xml:space="preserve">HQ </t>
        </is>
      </c>
      <c r="S482" t="n">
        <v>14</v>
      </c>
      <c r="T482" t="n">
        <v>14</v>
      </c>
      <c r="U482" t="inlineStr">
        <is>
          <t>1998-11-05</t>
        </is>
      </c>
      <c r="V482" t="inlineStr">
        <is>
          <t>1998-11-05</t>
        </is>
      </c>
      <c r="W482" t="inlineStr">
        <is>
          <t>1990-04-03</t>
        </is>
      </c>
      <c r="X482" t="inlineStr">
        <is>
          <t>1990-04-03</t>
        </is>
      </c>
      <c r="Y482" t="n">
        <v>643</v>
      </c>
      <c r="Z482" t="n">
        <v>568</v>
      </c>
      <c r="AA482" t="n">
        <v>583</v>
      </c>
      <c r="AB482" t="n">
        <v>3</v>
      </c>
      <c r="AC482" t="n">
        <v>3</v>
      </c>
      <c r="AD482" t="n">
        <v>26</v>
      </c>
      <c r="AE482" t="n">
        <v>26</v>
      </c>
      <c r="AF482" t="n">
        <v>9</v>
      </c>
      <c r="AG482" t="n">
        <v>9</v>
      </c>
      <c r="AH482" t="n">
        <v>8</v>
      </c>
      <c r="AI482" t="n">
        <v>8</v>
      </c>
      <c r="AJ482" t="n">
        <v>15</v>
      </c>
      <c r="AK482" t="n">
        <v>15</v>
      </c>
      <c r="AL482" t="n">
        <v>2</v>
      </c>
      <c r="AM482" t="n">
        <v>2</v>
      </c>
      <c r="AN482" t="n">
        <v>0</v>
      </c>
      <c r="AO482" t="n">
        <v>0</v>
      </c>
      <c r="AP482" t="inlineStr">
        <is>
          <t>No</t>
        </is>
      </c>
      <c r="AQ482" t="inlineStr">
        <is>
          <t>Yes</t>
        </is>
      </c>
      <c r="AR482">
        <f>HYPERLINK("http://catalog.hathitrust.org/Record/000576554","HathiTrust Record")</f>
        <v/>
      </c>
      <c r="AS482">
        <f>HYPERLINK("https://creighton-primo.hosted.exlibrisgroup.com/primo-explore/search?tab=default_tab&amp;search_scope=EVERYTHING&amp;vid=01CRU&amp;lang=en_US&amp;offset=0&amp;query=any,contains,991000613899702656","Catalog Record")</f>
        <v/>
      </c>
      <c r="AT482">
        <f>HYPERLINK("http://www.worldcat.org/oclc/11918230","WorldCat Record")</f>
        <v/>
      </c>
      <c r="AU482" t="inlineStr">
        <is>
          <t>865160642:eng</t>
        </is>
      </c>
      <c r="AV482" t="inlineStr">
        <is>
          <t>11918230</t>
        </is>
      </c>
      <c r="AW482" t="inlineStr">
        <is>
          <t>991000613899702656</t>
        </is>
      </c>
      <c r="AX482" t="inlineStr">
        <is>
          <t>991000613899702656</t>
        </is>
      </c>
      <c r="AY482" t="inlineStr">
        <is>
          <t>2259533550002656</t>
        </is>
      </c>
      <c r="AZ482" t="inlineStr">
        <is>
          <t>BOOK</t>
        </is>
      </c>
      <c r="BB482" t="inlineStr">
        <is>
          <t>9780874364095</t>
        </is>
      </c>
      <c r="BC482" t="inlineStr">
        <is>
          <t>32285000108331</t>
        </is>
      </c>
      <c r="BD482" t="inlineStr">
        <is>
          <t>893413517</t>
        </is>
      </c>
    </row>
    <row r="483">
      <c r="A483" t="inlineStr">
        <is>
          <t>No</t>
        </is>
      </c>
      <c r="B483" t="inlineStr">
        <is>
          <t>HQ1154 .W88385 1985</t>
        </is>
      </c>
      <c r="C483" t="inlineStr">
        <is>
          <t>0                      HQ 1154000W  88385       1985</t>
        </is>
      </c>
      <c r="D483" t="inlineStr">
        <is>
          <t>Women living change / edited by Susan C. Bourque and Donna Robinson Divine.</t>
        </is>
      </c>
      <c r="F483" t="inlineStr">
        <is>
          <t>No</t>
        </is>
      </c>
      <c r="G483" t="inlineStr">
        <is>
          <t>1</t>
        </is>
      </c>
      <c r="H483" t="inlineStr">
        <is>
          <t>No</t>
        </is>
      </c>
      <c r="I483" t="inlineStr">
        <is>
          <t>No</t>
        </is>
      </c>
      <c r="J483" t="inlineStr">
        <is>
          <t>0</t>
        </is>
      </c>
      <c r="L483" t="inlineStr">
        <is>
          <t>Philadelphia : Temple University Press, 1985.</t>
        </is>
      </c>
      <c r="M483" t="inlineStr">
        <is>
          <t>1985</t>
        </is>
      </c>
      <c r="O483" t="inlineStr">
        <is>
          <t>eng</t>
        </is>
      </c>
      <c r="P483" t="inlineStr">
        <is>
          <t>pau</t>
        </is>
      </c>
      <c r="Q483" t="inlineStr">
        <is>
          <t>Women in the political economy</t>
        </is>
      </c>
      <c r="R483" t="inlineStr">
        <is>
          <t xml:space="preserve">HQ </t>
        </is>
      </c>
      <c r="S483" t="n">
        <v>1</v>
      </c>
      <c r="T483" t="n">
        <v>1</v>
      </c>
      <c r="U483" t="inlineStr">
        <is>
          <t>2001-03-30</t>
        </is>
      </c>
      <c r="V483" t="inlineStr">
        <is>
          <t>2001-03-30</t>
        </is>
      </c>
      <c r="W483" t="inlineStr">
        <is>
          <t>1993-04-27</t>
        </is>
      </c>
      <c r="X483" t="inlineStr">
        <is>
          <t>1993-04-27</t>
        </is>
      </c>
      <c r="Y483" t="n">
        <v>407</v>
      </c>
      <c r="Z483" t="n">
        <v>352</v>
      </c>
      <c r="AA483" t="n">
        <v>357</v>
      </c>
      <c r="AB483" t="n">
        <v>3</v>
      </c>
      <c r="AC483" t="n">
        <v>3</v>
      </c>
      <c r="AD483" t="n">
        <v>15</v>
      </c>
      <c r="AE483" t="n">
        <v>15</v>
      </c>
      <c r="AF483" t="n">
        <v>2</v>
      </c>
      <c r="AG483" t="n">
        <v>2</v>
      </c>
      <c r="AH483" t="n">
        <v>5</v>
      </c>
      <c r="AI483" t="n">
        <v>5</v>
      </c>
      <c r="AJ483" t="n">
        <v>9</v>
      </c>
      <c r="AK483" t="n">
        <v>9</v>
      </c>
      <c r="AL483" t="n">
        <v>2</v>
      </c>
      <c r="AM483" t="n">
        <v>2</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HYPERLINK("https://creighton-primo.hosted.exlibrisgroup.com/primo-explore/search?tab=default_tab&amp;search_scope=EVERYTHING&amp;vid=01CRU&amp;lang=en_US&amp;offset=0&amp;query=any,contains,991000545119702656","Catalog Record")</f>
        <v/>
      </c>
      <c r="AT483">
        <f>HYPERLINK("http://www.worldcat.org/oclc/11517558","WorldCat Record")</f>
        <v/>
      </c>
      <c r="AU483" t="inlineStr">
        <is>
          <t>351783892:eng</t>
        </is>
      </c>
      <c r="AV483" t="inlineStr">
        <is>
          <t>11517558</t>
        </is>
      </c>
      <c r="AW483" t="inlineStr">
        <is>
          <t>991000545119702656</t>
        </is>
      </c>
      <c r="AX483" t="inlineStr">
        <is>
          <t>991000545119702656</t>
        </is>
      </c>
      <c r="AY483" t="inlineStr">
        <is>
          <t>2269085750002656</t>
        </is>
      </c>
      <c r="AZ483" t="inlineStr">
        <is>
          <t>BOOK</t>
        </is>
      </c>
      <c r="BB483" t="inlineStr">
        <is>
          <t>9780877223696</t>
        </is>
      </c>
      <c r="BC483" t="inlineStr">
        <is>
          <t>32285001628139</t>
        </is>
      </c>
      <c r="BD483" t="inlineStr">
        <is>
          <t>893890795</t>
        </is>
      </c>
    </row>
    <row r="484">
      <c r="A484" t="inlineStr">
        <is>
          <t>No</t>
        </is>
      </c>
      <c r="B484" t="inlineStr">
        <is>
          <t>HQ1154 .W884</t>
        </is>
      </c>
      <c r="C484" t="inlineStr">
        <is>
          <t>0                      HQ 1154000W  884</t>
        </is>
      </c>
      <c r="D484" t="inlineStr">
        <is>
          <t>Women : roles and status in eight countries / edited by Janet Zollinger Giele, Audrey Chapman Smock.</t>
        </is>
      </c>
      <c r="F484" t="inlineStr">
        <is>
          <t>No</t>
        </is>
      </c>
      <c r="G484" t="inlineStr">
        <is>
          <t>1</t>
        </is>
      </c>
      <c r="H484" t="inlineStr">
        <is>
          <t>No</t>
        </is>
      </c>
      <c r="I484" t="inlineStr">
        <is>
          <t>No</t>
        </is>
      </c>
      <c r="J484" t="inlineStr">
        <is>
          <t>0</t>
        </is>
      </c>
      <c r="L484" t="inlineStr">
        <is>
          <t>New York : Wiley, c1977.</t>
        </is>
      </c>
      <c r="M484" t="inlineStr">
        <is>
          <t>1977</t>
        </is>
      </c>
      <c r="O484" t="inlineStr">
        <is>
          <t>eng</t>
        </is>
      </c>
      <c r="P484" t="inlineStr">
        <is>
          <t>nyu</t>
        </is>
      </c>
      <c r="R484" t="inlineStr">
        <is>
          <t xml:space="preserve">HQ </t>
        </is>
      </c>
      <c r="S484" t="n">
        <v>24</v>
      </c>
      <c r="T484" t="n">
        <v>24</v>
      </c>
      <c r="U484" t="inlineStr">
        <is>
          <t>2010-11-15</t>
        </is>
      </c>
      <c r="V484" t="inlineStr">
        <is>
          <t>2010-11-15</t>
        </is>
      </c>
      <c r="W484" t="inlineStr">
        <is>
          <t>1992-04-23</t>
        </is>
      </c>
      <c r="X484" t="inlineStr">
        <is>
          <t>1992-04-23</t>
        </is>
      </c>
      <c r="Y484" t="n">
        <v>995</v>
      </c>
      <c r="Z484" t="n">
        <v>820</v>
      </c>
      <c r="AA484" t="n">
        <v>827</v>
      </c>
      <c r="AB484" t="n">
        <v>7</v>
      </c>
      <c r="AC484" t="n">
        <v>7</v>
      </c>
      <c r="AD484" t="n">
        <v>37</v>
      </c>
      <c r="AE484" t="n">
        <v>37</v>
      </c>
      <c r="AF484" t="n">
        <v>12</v>
      </c>
      <c r="AG484" t="n">
        <v>12</v>
      </c>
      <c r="AH484" t="n">
        <v>9</v>
      </c>
      <c r="AI484" t="n">
        <v>9</v>
      </c>
      <c r="AJ484" t="n">
        <v>19</v>
      </c>
      <c r="AK484" t="n">
        <v>19</v>
      </c>
      <c r="AL484" t="n">
        <v>6</v>
      </c>
      <c r="AM484" t="n">
        <v>6</v>
      </c>
      <c r="AN484" t="n">
        <v>1</v>
      </c>
      <c r="AO484" t="n">
        <v>1</v>
      </c>
      <c r="AP484" t="inlineStr">
        <is>
          <t>No</t>
        </is>
      </c>
      <c r="AQ484" t="inlineStr">
        <is>
          <t>Yes</t>
        </is>
      </c>
      <c r="AR484">
        <f>HYPERLINK("http://catalog.hathitrust.org/Record/000210953","HathiTrust Record")</f>
        <v/>
      </c>
      <c r="AS484">
        <f>HYPERLINK("https://creighton-primo.hosted.exlibrisgroup.com/primo-explore/search?tab=default_tab&amp;search_scope=EVERYTHING&amp;vid=01CRU&amp;lang=en_US&amp;offset=0&amp;query=any,contains,991004314939702656","Catalog Record")</f>
        <v/>
      </c>
      <c r="AT484">
        <f>HYPERLINK("http://www.worldcat.org/oclc/3003378","WorldCat Record")</f>
        <v/>
      </c>
      <c r="AU484" t="inlineStr">
        <is>
          <t>899387313:eng</t>
        </is>
      </c>
      <c r="AV484" t="inlineStr">
        <is>
          <t>3003378</t>
        </is>
      </c>
      <c r="AW484" t="inlineStr">
        <is>
          <t>991004314939702656</t>
        </is>
      </c>
      <c r="AX484" t="inlineStr">
        <is>
          <t>991004314939702656</t>
        </is>
      </c>
      <c r="AY484" t="inlineStr">
        <is>
          <t>2270921520002656</t>
        </is>
      </c>
      <c r="AZ484" t="inlineStr">
        <is>
          <t>BOOK</t>
        </is>
      </c>
      <c r="BB484" t="inlineStr">
        <is>
          <t>9780471015048</t>
        </is>
      </c>
      <c r="BC484" t="inlineStr">
        <is>
          <t>32285001085504</t>
        </is>
      </c>
      <c r="BD484" t="inlineStr">
        <is>
          <t>893337559</t>
        </is>
      </c>
    </row>
    <row r="485">
      <c r="A485" t="inlineStr">
        <is>
          <t>No</t>
        </is>
      </c>
      <c r="B485" t="inlineStr">
        <is>
          <t>HQ1155 .C44 2005</t>
        </is>
      </c>
      <c r="C485" t="inlineStr">
        <is>
          <t>0                      HQ 1155000C  44          2005</t>
        </is>
      </c>
      <c r="D485" t="inlineStr">
        <is>
          <t>The death of feminism : what's next in the struggle for women's freedom / Phyllis Chesler.</t>
        </is>
      </c>
      <c r="F485" t="inlineStr">
        <is>
          <t>No</t>
        </is>
      </c>
      <c r="G485" t="inlineStr">
        <is>
          <t>1</t>
        </is>
      </c>
      <c r="H485" t="inlineStr">
        <is>
          <t>No</t>
        </is>
      </c>
      <c r="I485" t="inlineStr">
        <is>
          <t>No</t>
        </is>
      </c>
      <c r="J485" t="inlineStr">
        <is>
          <t>0</t>
        </is>
      </c>
      <c r="K485" t="inlineStr">
        <is>
          <t>Chesler, Phyllis.</t>
        </is>
      </c>
      <c r="L485" t="inlineStr">
        <is>
          <t>New York : Palgrave Macmillan, 2005.</t>
        </is>
      </c>
      <c r="M485" t="inlineStr">
        <is>
          <t>2005</t>
        </is>
      </c>
      <c r="N485" t="inlineStr">
        <is>
          <t>1st ed.</t>
        </is>
      </c>
      <c r="O485" t="inlineStr">
        <is>
          <t>eng</t>
        </is>
      </c>
      <c r="P485" t="inlineStr">
        <is>
          <t>nyu</t>
        </is>
      </c>
      <c r="R485" t="inlineStr">
        <is>
          <t xml:space="preserve">HQ </t>
        </is>
      </c>
      <c r="S485" t="n">
        <v>2</v>
      </c>
      <c r="T485" t="n">
        <v>2</v>
      </c>
      <c r="U485" t="inlineStr">
        <is>
          <t>2007-04-26</t>
        </is>
      </c>
      <c r="V485" t="inlineStr">
        <is>
          <t>2007-04-26</t>
        </is>
      </c>
      <c r="W485" t="inlineStr">
        <is>
          <t>2005-11-16</t>
        </is>
      </c>
      <c r="X485" t="inlineStr">
        <is>
          <t>2005-11-16</t>
        </is>
      </c>
      <c r="Y485" t="n">
        <v>824</v>
      </c>
      <c r="Z485" t="n">
        <v>702</v>
      </c>
      <c r="AA485" t="n">
        <v>707</v>
      </c>
      <c r="AB485" t="n">
        <v>5</v>
      </c>
      <c r="AC485" t="n">
        <v>5</v>
      </c>
      <c r="AD485" t="n">
        <v>28</v>
      </c>
      <c r="AE485" t="n">
        <v>28</v>
      </c>
      <c r="AF485" t="n">
        <v>9</v>
      </c>
      <c r="AG485" t="n">
        <v>9</v>
      </c>
      <c r="AH485" t="n">
        <v>9</v>
      </c>
      <c r="AI485" t="n">
        <v>9</v>
      </c>
      <c r="AJ485" t="n">
        <v>12</v>
      </c>
      <c r="AK485" t="n">
        <v>12</v>
      </c>
      <c r="AL485" t="n">
        <v>4</v>
      </c>
      <c r="AM485" t="n">
        <v>4</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HYPERLINK("https://creighton-primo.hosted.exlibrisgroup.com/primo-explore/search?tab=default_tab&amp;search_scope=EVERYTHING&amp;vid=01CRU&amp;lang=en_US&amp;offset=0&amp;query=any,contains,991004655809702656","Catalog Record")</f>
        <v/>
      </c>
      <c r="AT485">
        <f>HYPERLINK("http://www.worldcat.org/oclc/60590171","WorldCat Record")</f>
        <v/>
      </c>
      <c r="AU485" t="inlineStr">
        <is>
          <t>935263:eng</t>
        </is>
      </c>
      <c r="AV485" t="inlineStr">
        <is>
          <t>60590171</t>
        </is>
      </c>
      <c r="AW485" t="inlineStr">
        <is>
          <t>991004655809702656</t>
        </is>
      </c>
      <c r="AX485" t="inlineStr">
        <is>
          <t>991004655809702656</t>
        </is>
      </c>
      <c r="AY485" t="inlineStr">
        <is>
          <t>2272358970002656</t>
        </is>
      </c>
      <c r="AZ485" t="inlineStr">
        <is>
          <t>BOOK</t>
        </is>
      </c>
      <c r="BB485" t="inlineStr">
        <is>
          <t>9781403968982</t>
        </is>
      </c>
      <c r="BC485" t="inlineStr">
        <is>
          <t>32285005147433</t>
        </is>
      </c>
      <c r="BD485" t="inlineStr">
        <is>
          <t>893801189</t>
        </is>
      </c>
    </row>
    <row r="486">
      <c r="A486" t="inlineStr">
        <is>
          <t>No</t>
        </is>
      </c>
      <c r="B486" t="inlineStr">
        <is>
          <t>HQ1155 .D545 2005</t>
        </is>
      </c>
      <c r="C486" t="inlineStr">
        <is>
          <t>0                      HQ 1155000D  545         2005</t>
        </is>
      </c>
      <c r="D486" t="inlineStr">
        <is>
          <t>Different wavelengths : studies of the contemporary women's movement / edited by Jo Reger.</t>
        </is>
      </c>
      <c r="F486" t="inlineStr">
        <is>
          <t>No</t>
        </is>
      </c>
      <c r="G486" t="inlineStr">
        <is>
          <t>1</t>
        </is>
      </c>
      <c r="H486" t="inlineStr">
        <is>
          <t>No</t>
        </is>
      </c>
      <c r="I486" t="inlineStr">
        <is>
          <t>No</t>
        </is>
      </c>
      <c r="J486" t="inlineStr">
        <is>
          <t>0</t>
        </is>
      </c>
      <c r="L486" t="inlineStr">
        <is>
          <t>New York : Routledge, 2005.</t>
        </is>
      </c>
      <c r="M486" t="inlineStr">
        <is>
          <t>2005</t>
        </is>
      </c>
      <c r="O486" t="inlineStr">
        <is>
          <t>eng</t>
        </is>
      </c>
      <c r="P486" t="inlineStr">
        <is>
          <t>nyu</t>
        </is>
      </c>
      <c r="R486" t="inlineStr">
        <is>
          <t xml:space="preserve">HQ </t>
        </is>
      </c>
      <c r="S486" t="n">
        <v>2</v>
      </c>
      <c r="T486" t="n">
        <v>2</v>
      </c>
      <c r="U486" t="inlineStr">
        <is>
          <t>2008-04-24</t>
        </is>
      </c>
      <c r="V486" t="inlineStr">
        <is>
          <t>2008-04-24</t>
        </is>
      </c>
      <c r="W486" t="inlineStr">
        <is>
          <t>2006-03-15</t>
        </is>
      </c>
      <c r="X486" t="inlineStr">
        <is>
          <t>2006-03-15</t>
        </is>
      </c>
      <c r="Y486" t="n">
        <v>383</v>
      </c>
      <c r="Z486" t="n">
        <v>280</v>
      </c>
      <c r="AA486" t="n">
        <v>300</v>
      </c>
      <c r="AB486" t="n">
        <v>2</v>
      </c>
      <c r="AC486" t="n">
        <v>2</v>
      </c>
      <c r="AD486" t="n">
        <v>16</v>
      </c>
      <c r="AE486" t="n">
        <v>16</v>
      </c>
      <c r="AF486" t="n">
        <v>3</v>
      </c>
      <c r="AG486" t="n">
        <v>3</v>
      </c>
      <c r="AH486" t="n">
        <v>6</v>
      </c>
      <c r="AI486" t="n">
        <v>6</v>
      </c>
      <c r="AJ486" t="n">
        <v>11</v>
      </c>
      <c r="AK486" t="n">
        <v>11</v>
      </c>
      <c r="AL486" t="n">
        <v>1</v>
      </c>
      <c r="AM486" t="n">
        <v>1</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HYPERLINK("https://creighton-primo.hosted.exlibrisgroup.com/primo-explore/search?tab=default_tab&amp;search_scope=EVERYTHING&amp;vid=01CRU&amp;lang=en_US&amp;offset=0&amp;query=any,contains,991004719009702656","Catalog Record")</f>
        <v/>
      </c>
      <c r="AT486">
        <f>HYPERLINK("http://www.worldcat.org/oclc/57319757","WorldCat Record")</f>
        <v/>
      </c>
      <c r="AU486" t="inlineStr">
        <is>
          <t>905864183:eng</t>
        </is>
      </c>
      <c r="AV486" t="inlineStr">
        <is>
          <t>57319757</t>
        </is>
      </c>
      <c r="AW486" t="inlineStr">
        <is>
          <t>991004719009702656</t>
        </is>
      </c>
      <c r="AX486" t="inlineStr">
        <is>
          <t>991004719009702656</t>
        </is>
      </c>
      <c r="AY486" t="inlineStr">
        <is>
          <t>2257181250002656</t>
        </is>
      </c>
      <c r="AZ486" t="inlineStr">
        <is>
          <t>BOOK</t>
        </is>
      </c>
      <c r="BB486" t="inlineStr">
        <is>
          <t>9780415948784</t>
        </is>
      </c>
      <c r="BC486" t="inlineStr">
        <is>
          <t>32285005165856</t>
        </is>
      </c>
      <c r="BD486" t="inlineStr">
        <is>
          <t>893594014</t>
        </is>
      </c>
    </row>
    <row r="487">
      <c r="A487" t="inlineStr">
        <is>
          <t>No</t>
        </is>
      </c>
      <c r="B487" t="inlineStr">
        <is>
          <t>HQ1155 .E57 2006</t>
        </is>
      </c>
      <c r="C487" t="inlineStr">
        <is>
          <t>0                      HQ 1155000E  57          2006</t>
        </is>
      </c>
      <c r="D487" t="inlineStr">
        <is>
          <t>Insecure at last : losing it in our security-obsessed world / Eve Ensler.</t>
        </is>
      </c>
      <c r="F487" t="inlineStr">
        <is>
          <t>No</t>
        </is>
      </c>
      <c r="G487" t="inlineStr">
        <is>
          <t>1</t>
        </is>
      </c>
      <c r="H487" t="inlineStr">
        <is>
          <t>No</t>
        </is>
      </c>
      <c r="I487" t="inlineStr">
        <is>
          <t>No</t>
        </is>
      </c>
      <c r="J487" t="inlineStr">
        <is>
          <t>0</t>
        </is>
      </c>
      <c r="K487" t="inlineStr">
        <is>
          <t>Ensler, Eve, 1953-</t>
        </is>
      </c>
      <c r="L487" t="inlineStr">
        <is>
          <t>New York : Villard, c2006.</t>
        </is>
      </c>
      <c r="M487" t="inlineStr">
        <is>
          <t>2006</t>
        </is>
      </c>
      <c r="N487" t="inlineStr">
        <is>
          <t>1st ed.</t>
        </is>
      </c>
      <c r="O487" t="inlineStr">
        <is>
          <t>eng</t>
        </is>
      </c>
      <c r="P487" t="inlineStr">
        <is>
          <t>nyu</t>
        </is>
      </c>
      <c r="R487" t="inlineStr">
        <is>
          <t xml:space="preserve">HQ </t>
        </is>
      </c>
      <c r="S487" t="n">
        <v>2</v>
      </c>
      <c r="T487" t="n">
        <v>2</v>
      </c>
      <c r="U487" t="inlineStr">
        <is>
          <t>2010-04-27</t>
        </is>
      </c>
      <c r="V487" t="inlineStr">
        <is>
          <t>2010-04-27</t>
        </is>
      </c>
      <c r="W487" t="inlineStr">
        <is>
          <t>2006-10-17</t>
        </is>
      </c>
      <c r="X487" t="inlineStr">
        <is>
          <t>2006-10-17</t>
        </is>
      </c>
      <c r="Y487" t="n">
        <v>853</v>
      </c>
      <c r="Z487" t="n">
        <v>800</v>
      </c>
      <c r="AA487" t="n">
        <v>899</v>
      </c>
      <c r="AB487" t="n">
        <v>5</v>
      </c>
      <c r="AC487" t="n">
        <v>5</v>
      </c>
      <c r="AD487" t="n">
        <v>16</v>
      </c>
      <c r="AE487" t="n">
        <v>17</v>
      </c>
      <c r="AF487" t="n">
        <v>6</v>
      </c>
      <c r="AG487" t="n">
        <v>6</v>
      </c>
      <c r="AH487" t="n">
        <v>4</v>
      </c>
      <c r="AI487" t="n">
        <v>5</v>
      </c>
      <c r="AJ487" t="n">
        <v>7</v>
      </c>
      <c r="AK487" t="n">
        <v>7</v>
      </c>
      <c r="AL487" t="n">
        <v>2</v>
      </c>
      <c r="AM487" t="n">
        <v>2</v>
      </c>
      <c r="AN487" t="n">
        <v>0</v>
      </c>
      <c r="AO487" t="n">
        <v>0</v>
      </c>
      <c r="AP487" t="inlineStr">
        <is>
          <t>No</t>
        </is>
      </c>
      <c r="AQ487" t="inlineStr">
        <is>
          <t>Yes</t>
        </is>
      </c>
      <c r="AR487">
        <f>HYPERLINK("http://catalog.hathitrust.org/Record/005345376","HathiTrust Record")</f>
        <v/>
      </c>
      <c r="AS487">
        <f>HYPERLINK("https://creighton-primo.hosted.exlibrisgroup.com/primo-explore/search?tab=default_tab&amp;search_scope=EVERYTHING&amp;vid=01CRU&amp;lang=en_US&amp;offset=0&amp;query=any,contains,991004909539702656","Catalog Record")</f>
        <v/>
      </c>
      <c r="AT487">
        <f>HYPERLINK("http://www.worldcat.org/oclc/70129196","WorldCat Record")</f>
        <v/>
      </c>
      <c r="AU487" t="inlineStr">
        <is>
          <t>198201982:eng</t>
        </is>
      </c>
      <c r="AV487" t="inlineStr">
        <is>
          <t>70129196</t>
        </is>
      </c>
      <c r="AW487" t="inlineStr">
        <is>
          <t>991004909539702656</t>
        </is>
      </c>
      <c r="AX487" t="inlineStr">
        <is>
          <t>991004909539702656</t>
        </is>
      </c>
      <c r="AY487" t="inlineStr">
        <is>
          <t>2271615240002656</t>
        </is>
      </c>
      <c r="AZ487" t="inlineStr">
        <is>
          <t>BOOK</t>
        </is>
      </c>
      <c r="BB487" t="inlineStr">
        <is>
          <t>9781400063345</t>
        </is>
      </c>
      <c r="BC487" t="inlineStr">
        <is>
          <t>32285005231039</t>
        </is>
      </c>
      <c r="BD487" t="inlineStr">
        <is>
          <t>893241958</t>
        </is>
      </c>
    </row>
    <row r="488">
      <c r="A488" t="inlineStr">
        <is>
          <t>No</t>
        </is>
      </c>
      <c r="B488" t="inlineStr">
        <is>
          <t>HQ1155 .H57 2006</t>
        </is>
      </c>
      <c r="C488" t="inlineStr">
        <is>
          <t>0                      HQ 1155000H  57          2006</t>
        </is>
      </c>
      <c r="D488" t="inlineStr">
        <is>
          <t>Get to work : a manifesto for women of the world / Linda R. Hirshman.</t>
        </is>
      </c>
      <c r="F488" t="inlineStr">
        <is>
          <t>No</t>
        </is>
      </c>
      <c r="G488" t="inlineStr">
        <is>
          <t>1</t>
        </is>
      </c>
      <c r="H488" t="inlineStr">
        <is>
          <t>No</t>
        </is>
      </c>
      <c r="I488" t="inlineStr">
        <is>
          <t>No</t>
        </is>
      </c>
      <c r="J488" t="inlineStr">
        <is>
          <t>0</t>
        </is>
      </c>
      <c r="K488" t="inlineStr">
        <is>
          <t>Hirshman, Linda R.</t>
        </is>
      </c>
      <c r="L488" t="inlineStr">
        <is>
          <t>New York : Viking, 2006.</t>
        </is>
      </c>
      <c r="M488" t="inlineStr">
        <is>
          <t>2006</t>
        </is>
      </c>
      <c r="O488" t="inlineStr">
        <is>
          <t>eng</t>
        </is>
      </c>
      <c r="P488" t="inlineStr">
        <is>
          <t>nyu</t>
        </is>
      </c>
      <c r="R488" t="inlineStr">
        <is>
          <t xml:space="preserve">HQ </t>
        </is>
      </c>
      <c r="S488" t="n">
        <v>7</v>
      </c>
      <c r="T488" t="n">
        <v>7</v>
      </c>
      <c r="U488" t="inlineStr">
        <is>
          <t>2009-04-06</t>
        </is>
      </c>
      <c r="V488" t="inlineStr">
        <is>
          <t>2009-04-06</t>
        </is>
      </c>
      <c r="W488" t="inlineStr">
        <is>
          <t>2006-08-29</t>
        </is>
      </c>
      <c r="X488" t="inlineStr">
        <is>
          <t>2006-08-29</t>
        </is>
      </c>
      <c r="Y488" t="n">
        <v>751</v>
      </c>
      <c r="Z488" t="n">
        <v>700</v>
      </c>
      <c r="AA488" t="n">
        <v>705</v>
      </c>
      <c r="AB488" t="n">
        <v>4</v>
      </c>
      <c r="AC488" t="n">
        <v>4</v>
      </c>
      <c r="AD488" t="n">
        <v>23</v>
      </c>
      <c r="AE488" t="n">
        <v>23</v>
      </c>
      <c r="AF488" t="n">
        <v>10</v>
      </c>
      <c r="AG488" t="n">
        <v>10</v>
      </c>
      <c r="AH488" t="n">
        <v>6</v>
      </c>
      <c r="AI488" t="n">
        <v>6</v>
      </c>
      <c r="AJ488" t="n">
        <v>10</v>
      </c>
      <c r="AK488" t="n">
        <v>10</v>
      </c>
      <c r="AL488" t="n">
        <v>3</v>
      </c>
      <c r="AM488" t="n">
        <v>3</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HYPERLINK("https://creighton-primo.hosted.exlibrisgroup.com/primo-explore/search?tab=default_tab&amp;search_scope=EVERYTHING&amp;vid=01CRU&amp;lang=en_US&amp;offset=0&amp;query=any,contains,991004902649702656","Catalog Record")</f>
        <v/>
      </c>
      <c r="AT488">
        <f>HYPERLINK("http://www.worldcat.org/oclc/67393056","WorldCat Record")</f>
        <v/>
      </c>
      <c r="AU488" t="inlineStr">
        <is>
          <t>2452900933:eng</t>
        </is>
      </c>
      <c r="AV488" t="inlineStr">
        <is>
          <t>67393056</t>
        </is>
      </c>
      <c r="AW488" t="inlineStr">
        <is>
          <t>991004902649702656</t>
        </is>
      </c>
      <c r="AX488" t="inlineStr">
        <is>
          <t>991004902649702656</t>
        </is>
      </c>
      <c r="AY488" t="inlineStr">
        <is>
          <t>2255554140002656</t>
        </is>
      </c>
      <c r="AZ488" t="inlineStr">
        <is>
          <t>BOOK</t>
        </is>
      </c>
      <c r="BB488" t="inlineStr">
        <is>
          <t>9780670038121</t>
        </is>
      </c>
      <c r="BC488" t="inlineStr">
        <is>
          <t>32285005221220</t>
        </is>
      </c>
      <c r="BD488" t="inlineStr">
        <is>
          <t>893600346</t>
        </is>
      </c>
    </row>
    <row r="489">
      <c r="A489" t="inlineStr">
        <is>
          <t>No</t>
        </is>
      </c>
      <c r="B489" t="inlineStr">
        <is>
          <t>HQ1161 .C763 2004</t>
        </is>
      </c>
      <c r="C489" t="inlineStr">
        <is>
          <t>0                      HQ 1161000C  763         2004</t>
        </is>
      </c>
      <c r="D489" t="inlineStr">
        <is>
          <t>Crossing borders : re-mapping women's movements at the turn of the 21st century / edited by Hilda Rømer Christensen, Beatrice Halsaa, Aino Saarinen.</t>
        </is>
      </c>
      <c r="F489" t="inlineStr">
        <is>
          <t>No</t>
        </is>
      </c>
      <c r="G489" t="inlineStr">
        <is>
          <t>1</t>
        </is>
      </c>
      <c r="H489" t="inlineStr">
        <is>
          <t>No</t>
        </is>
      </c>
      <c r="I489" t="inlineStr">
        <is>
          <t>No</t>
        </is>
      </c>
      <c r="J489" t="inlineStr">
        <is>
          <t>0</t>
        </is>
      </c>
      <c r="L489" t="inlineStr">
        <is>
          <t>Odense : University Press of Southern Denmark, c2004.</t>
        </is>
      </c>
      <c r="M489" t="inlineStr">
        <is>
          <t>2004</t>
        </is>
      </c>
      <c r="O489" t="inlineStr">
        <is>
          <t>eng</t>
        </is>
      </c>
      <c r="P489" t="inlineStr">
        <is>
          <t xml:space="preserve">dk </t>
        </is>
      </c>
      <c r="Q489" t="inlineStr">
        <is>
          <t>University of Southern Denmark studies in history and social sciences, 0078-3307 ; v. 280</t>
        </is>
      </c>
      <c r="R489" t="inlineStr">
        <is>
          <t xml:space="preserve">HQ </t>
        </is>
      </c>
      <c r="S489" t="n">
        <v>1</v>
      </c>
      <c r="T489" t="n">
        <v>1</v>
      </c>
      <c r="U489" t="inlineStr">
        <is>
          <t>2005-10-13</t>
        </is>
      </c>
      <c r="V489" t="inlineStr">
        <is>
          <t>2005-10-13</t>
        </is>
      </c>
      <c r="W489" t="inlineStr">
        <is>
          <t>2005-10-12</t>
        </is>
      </c>
      <c r="X489" t="inlineStr">
        <is>
          <t>2005-10-12</t>
        </is>
      </c>
      <c r="Y489" t="n">
        <v>451</v>
      </c>
      <c r="Z489" t="n">
        <v>372</v>
      </c>
      <c r="AA489" t="n">
        <v>376</v>
      </c>
      <c r="AB489" t="n">
        <v>3</v>
      </c>
      <c r="AC489" t="n">
        <v>3</v>
      </c>
      <c r="AD489" t="n">
        <v>20</v>
      </c>
      <c r="AE489" t="n">
        <v>20</v>
      </c>
      <c r="AF489" t="n">
        <v>9</v>
      </c>
      <c r="AG489" t="n">
        <v>9</v>
      </c>
      <c r="AH489" t="n">
        <v>6</v>
      </c>
      <c r="AI489" t="n">
        <v>6</v>
      </c>
      <c r="AJ489" t="n">
        <v>9</v>
      </c>
      <c r="AK489" t="n">
        <v>9</v>
      </c>
      <c r="AL489" t="n">
        <v>2</v>
      </c>
      <c r="AM489" t="n">
        <v>2</v>
      </c>
      <c r="AN489" t="n">
        <v>0</v>
      </c>
      <c r="AO489" t="n">
        <v>0</v>
      </c>
      <c r="AP489" t="inlineStr">
        <is>
          <t>No</t>
        </is>
      </c>
      <c r="AQ489" t="inlineStr">
        <is>
          <t>Yes</t>
        </is>
      </c>
      <c r="AR489">
        <f>HYPERLINK("http://catalog.hathitrust.org/Record/004907988","HathiTrust Record")</f>
        <v/>
      </c>
      <c r="AS489">
        <f>HYPERLINK("https://creighton-primo.hosted.exlibrisgroup.com/primo-explore/search?tab=default_tab&amp;search_scope=EVERYTHING&amp;vid=01CRU&amp;lang=en_US&amp;offset=0&amp;query=any,contains,991004645139702656","Catalog Record")</f>
        <v/>
      </c>
      <c r="AT489">
        <f>HYPERLINK("http://www.worldcat.org/oclc/55888251","WorldCat Record")</f>
        <v/>
      </c>
      <c r="AU489" t="inlineStr">
        <is>
          <t>905457632:eng</t>
        </is>
      </c>
      <c r="AV489" t="inlineStr">
        <is>
          <t>55888251</t>
        </is>
      </c>
      <c r="AW489" t="inlineStr">
        <is>
          <t>991004645139702656</t>
        </is>
      </c>
      <c r="AX489" t="inlineStr">
        <is>
          <t>991004645139702656</t>
        </is>
      </c>
      <c r="AY489" t="inlineStr">
        <is>
          <t>2266183040002656</t>
        </is>
      </c>
      <c r="AZ489" t="inlineStr">
        <is>
          <t>BOOK</t>
        </is>
      </c>
      <c r="BB489" t="inlineStr">
        <is>
          <t>9788778388599</t>
        </is>
      </c>
      <c r="BC489" t="inlineStr">
        <is>
          <t>32285005088819</t>
        </is>
      </c>
      <c r="BD489" t="inlineStr">
        <is>
          <t>893876358</t>
        </is>
      </c>
    </row>
    <row r="490">
      <c r="A490" t="inlineStr">
        <is>
          <t>No</t>
        </is>
      </c>
      <c r="B490" t="inlineStr">
        <is>
          <t>HQ1161 .E45 2004</t>
        </is>
      </c>
      <c r="C490" t="inlineStr">
        <is>
          <t>0                      HQ 1161000E  45          2004</t>
        </is>
      </c>
      <c r="D490" t="inlineStr">
        <is>
          <t>Sisters around the world : the global struggle for female equality / Trudie M. Eklund.</t>
        </is>
      </c>
      <c r="F490" t="inlineStr">
        <is>
          <t>No</t>
        </is>
      </c>
      <c r="G490" t="inlineStr">
        <is>
          <t>1</t>
        </is>
      </c>
      <c r="H490" t="inlineStr">
        <is>
          <t>No</t>
        </is>
      </c>
      <c r="I490" t="inlineStr">
        <is>
          <t>No</t>
        </is>
      </c>
      <c r="J490" t="inlineStr">
        <is>
          <t>0</t>
        </is>
      </c>
      <c r="K490" t="inlineStr">
        <is>
          <t>Eklund, Trudie M.</t>
        </is>
      </c>
      <c r="L490" t="inlineStr">
        <is>
          <t>Lanham, MD : Hamilton Books, c2004.</t>
        </is>
      </c>
      <c r="M490" t="inlineStr">
        <is>
          <t>2004</t>
        </is>
      </c>
      <c r="O490" t="inlineStr">
        <is>
          <t>eng</t>
        </is>
      </c>
      <c r="P490" t="inlineStr">
        <is>
          <t>mdu</t>
        </is>
      </c>
      <c r="R490" t="inlineStr">
        <is>
          <t xml:space="preserve">HQ </t>
        </is>
      </c>
      <c r="S490" t="n">
        <v>2</v>
      </c>
      <c r="T490" t="n">
        <v>2</v>
      </c>
      <c r="U490" t="inlineStr">
        <is>
          <t>2008-04-24</t>
        </is>
      </c>
      <c r="V490" t="inlineStr">
        <is>
          <t>2008-04-24</t>
        </is>
      </c>
      <c r="W490" t="inlineStr">
        <is>
          <t>2004-08-30</t>
        </is>
      </c>
      <c r="X490" t="inlineStr">
        <is>
          <t>2004-08-30</t>
        </is>
      </c>
      <c r="Y490" t="n">
        <v>163</v>
      </c>
      <c r="Z490" t="n">
        <v>128</v>
      </c>
      <c r="AA490" t="n">
        <v>128</v>
      </c>
      <c r="AB490" t="n">
        <v>2</v>
      </c>
      <c r="AC490" t="n">
        <v>2</v>
      </c>
      <c r="AD490" t="n">
        <v>9</v>
      </c>
      <c r="AE490" t="n">
        <v>9</v>
      </c>
      <c r="AF490" t="n">
        <v>2</v>
      </c>
      <c r="AG490" t="n">
        <v>2</v>
      </c>
      <c r="AH490" t="n">
        <v>3</v>
      </c>
      <c r="AI490" t="n">
        <v>3</v>
      </c>
      <c r="AJ490" t="n">
        <v>6</v>
      </c>
      <c r="AK490" t="n">
        <v>6</v>
      </c>
      <c r="AL490" t="n">
        <v>1</v>
      </c>
      <c r="AM490" t="n">
        <v>1</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HYPERLINK("https://creighton-primo.hosted.exlibrisgroup.com/primo-explore/search?tab=default_tab&amp;search_scope=EVERYTHING&amp;vid=01CRU&amp;lang=en_US&amp;offset=0&amp;query=any,contains,991004330449702656","Catalog Record")</f>
        <v/>
      </c>
      <c r="AT490">
        <f>HYPERLINK("http://www.worldcat.org/oclc/56332822","WorldCat Record")</f>
        <v/>
      </c>
      <c r="AU490" t="inlineStr">
        <is>
          <t>16185382:eng</t>
        </is>
      </c>
      <c r="AV490" t="inlineStr">
        <is>
          <t>56332822</t>
        </is>
      </c>
      <c r="AW490" t="inlineStr">
        <is>
          <t>991004330449702656</t>
        </is>
      </c>
      <c r="AX490" t="inlineStr">
        <is>
          <t>991004330449702656</t>
        </is>
      </c>
      <c r="AY490" t="inlineStr">
        <is>
          <t>2266856230002656</t>
        </is>
      </c>
      <c r="AZ490" t="inlineStr">
        <is>
          <t>BOOK</t>
        </is>
      </c>
      <c r="BB490" t="inlineStr">
        <is>
          <t>9780761828198</t>
        </is>
      </c>
      <c r="BC490" t="inlineStr">
        <is>
          <t>32285004984018</t>
        </is>
      </c>
      <c r="BD490" t="inlineStr">
        <is>
          <t>893794734</t>
        </is>
      </c>
    </row>
    <row r="491">
      <c r="A491" t="inlineStr">
        <is>
          <t>No</t>
        </is>
      </c>
      <c r="B491" t="inlineStr">
        <is>
          <t>HQ1161 .W648 2006</t>
        </is>
      </c>
      <c r="C491" t="inlineStr">
        <is>
          <t>0                      HQ 1161000W  648         2006</t>
        </is>
      </c>
      <c r="D491" t="inlineStr">
        <is>
          <t>Women in the new millennium : the global revolution / [edited by] Anne R. Breneman, Rebecca A. Mbuh.</t>
        </is>
      </c>
      <c r="F491" t="inlineStr">
        <is>
          <t>No</t>
        </is>
      </c>
      <c r="G491" t="inlineStr">
        <is>
          <t>1</t>
        </is>
      </c>
      <c r="H491" t="inlineStr">
        <is>
          <t>No</t>
        </is>
      </c>
      <c r="I491" t="inlineStr">
        <is>
          <t>No</t>
        </is>
      </c>
      <c r="J491" t="inlineStr">
        <is>
          <t>0</t>
        </is>
      </c>
      <c r="L491" t="inlineStr">
        <is>
          <t>Lanham, Md. : Hamilton Books, c2006.</t>
        </is>
      </c>
      <c r="M491" t="inlineStr">
        <is>
          <t>2006</t>
        </is>
      </c>
      <c r="O491" t="inlineStr">
        <is>
          <t>eng</t>
        </is>
      </c>
      <c r="P491" t="inlineStr">
        <is>
          <t>mdu</t>
        </is>
      </c>
      <c r="R491" t="inlineStr">
        <is>
          <t xml:space="preserve">HQ </t>
        </is>
      </c>
      <c r="S491" t="n">
        <v>4</v>
      </c>
      <c r="T491" t="n">
        <v>4</v>
      </c>
      <c r="U491" t="inlineStr">
        <is>
          <t>2009-04-06</t>
        </is>
      </c>
      <c r="V491" t="inlineStr">
        <is>
          <t>2009-04-06</t>
        </is>
      </c>
      <c r="W491" t="inlineStr">
        <is>
          <t>2006-05-30</t>
        </is>
      </c>
      <c r="X491" t="inlineStr">
        <is>
          <t>2006-05-30</t>
        </is>
      </c>
      <c r="Y491" t="n">
        <v>245</v>
      </c>
      <c r="Z491" t="n">
        <v>198</v>
      </c>
      <c r="AA491" t="n">
        <v>312</v>
      </c>
      <c r="AB491" t="n">
        <v>2</v>
      </c>
      <c r="AC491" t="n">
        <v>2</v>
      </c>
      <c r="AD491" t="n">
        <v>12</v>
      </c>
      <c r="AE491" t="n">
        <v>18</v>
      </c>
      <c r="AF491" t="n">
        <v>4</v>
      </c>
      <c r="AG491" t="n">
        <v>6</v>
      </c>
      <c r="AH491" t="n">
        <v>4</v>
      </c>
      <c r="AI491" t="n">
        <v>8</v>
      </c>
      <c r="AJ491" t="n">
        <v>6</v>
      </c>
      <c r="AK491" t="n">
        <v>8</v>
      </c>
      <c r="AL491" t="n">
        <v>1</v>
      </c>
      <c r="AM491" t="n">
        <v>1</v>
      </c>
      <c r="AN491" t="n">
        <v>0</v>
      </c>
      <c r="AO491" t="n">
        <v>0</v>
      </c>
      <c r="AP491" t="inlineStr">
        <is>
          <t>No</t>
        </is>
      </c>
      <c r="AQ491" t="inlineStr">
        <is>
          <t>Yes</t>
        </is>
      </c>
      <c r="AR491">
        <f>HYPERLINK("http://catalog.hathitrust.org/Record/005210483","HathiTrust Record")</f>
        <v/>
      </c>
      <c r="AS491">
        <f>HYPERLINK("https://creighton-primo.hosted.exlibrisgroup.com/primo-explore/search?tab=default_tab&amp;search_scope=EVERYTHING&amp;vid=01CRU&amp;lang=en_US&amp;offset=0&amp;query=any,contains,991004811689702656","Catalog Record")</f>
        <v/>
      </c>
      <c r="AT491">
        <f>HYPERLINK("http://www.worldcat.org/oclc/67834835","WorldCat Record")</f>
        <v/>
      </c>
      <c r="AU491" t="inlineStr">
        <is>
          <t>466095213:eng</t>
        </is>
      </c>
      <c r="AV491" t="inlineStr">
        <is>
          <t>67834835</t>
        </is>
      </c>
      <c r="AW491" t="inlineStr">
        <is>
          <t>991004811689702656</t>
        </is>
      </c>
      <c r="AX491" t="inlineStr">
        <is>
          <t>991004811689702656</t>
        </is>
      </c>
      <c r="AY491" t="inlineStr">
        <is>
          <t>2255383900002656</t>
        </is>
      </c>
      <c r="AZ491" t="inlineStr">
        <is>
          <t>BOOK</t>
        </is>
      </c>
      <c r="BB491" t="inlineStr">
        <is>
          <t>9780761833420</t>
        </is>
      </c>
      <c r="BC491" t="inlineStr">
        <is>
          <t>32285005189575</t>
        </is>
      </c>
      <c r="BD491" t="inlineStr">
        <is>
          <t>893430520</t>
        </is>
      </c>
    </row>
    <row r="492">
      <c r="A492" t="inlineStr">
        <is>
          <t>No</t>
        </is>
      </c>
      <c r="B492" t="inlineStr">
        <is>
          <t>HQ117 .O27 1982</t>
        </is>
      </c>
      <c r="C492" t="inlineStr">
        <is>
          <t>0                      HQ 0117000O  27          1982</t>
        </is>
      </c>
      <c r="D492" t="inlineStr">
        <is>
          <t>All the girls / Martin O'Brien.</t>
        </is>
      </c>
      <c r="F492" t="inlineStr">
        <is>
          <t>No</t>
        </is>
      </c>
      <c r="G492" t="inlineStr">
        <is>
          <t>1</t>
        </is>
      </c>
      <c r="H492" t="inlineStr">
        <is>
          <t>No</t>
        </is>
      </c>
      <c r="I492" t="inlineStr">
        <is>
          <t>No</t>
        </is>
      </c>
      <c r="J492" t="inlineStr">
        <is>
          <t>0</t>
        </is>
      </c>
      <c r="K492" t="inlineStr">
        <is>
          <t>O'Brien, Martin.</t>
        </is>
      </c>
      <c r="L492" t="inlineStr">
        <is>
          <t>New York, N.Y. : St. Martin's Press/Marek, c1982.</t>
        </is>
      </c>
      <c r="M492" t="inlineStr">
        <is>
          <t>1982</t>
        </is>
      </c>
      <c r="N492" t="inlineStr">
        <is>
          <t>1st ed.</t>
        </is>
      </c>
      <c r="O492" t="inlineStr">
        <is>
          <t>eng</t>
        </is>
      </c>
      <c r="P492" t="inlineStr">
        <is>
          <t>nyu</t>
        </is>
      </c>
      <c r="R492" t="inlineStr">
        <is>
          <t xml:space="preserve">HQ </t>
        </is>
      </c>
      <c r="S492" t="n">
        <v>8</v>
      </c>
      <c r="T492" t="n">
        <v>8</v>
      </c>
      <c r="U492" t="inlineStr">
        <is>
          <t>2006-04-11</t>
        </is>
      </c>
      <c r="V492" t="inlineStr">
        <is>
          <t>2006-04-11</t>
        </is>
      </c>
      <c r="W492" t="inlineStr">
        <is>
          <t>1990-03-28</t>
        </is>
      </c>
      <c r="X492" t="inlineStr">
        <is>
          <t>1990-03-28</t>
        </is>
      </c>
      <c r="Y492" t="n">
        <v>119</v>
      </c>
      <c r="Z492" t="n">
        <v>109</v>
      </c>
      <c r="AA492" t="n">
        <v>122</v>
      </c>
      <c r="AB492" t="n">
        <v>2</v>
      </c>
      <c r="AC492" t="n">
        <v>2</v>
      </c>
      <c r="AD492" t="n">
        <v>1</v>
      </c>
      <c r="AE492" t="n">
        <v>1</v>
      </c>
      <c r="AF492" t="n">
        <v>0</v>
      </c>
      <c r="AG492" t="n">
        <v>0</v>
      </c>
      <c r="AH492" t="n">
        <v>0</v>
      </c>
      <c r="AI492" t="n">
        <v>0</v>
      </c>
      <c r="AJ492" t="n">
        <v>0</v>
      </c>
      <c r="AK492" t="n">
        <v>0</v>
      </c>
      <c r="AL492" t="n">
        <v>1</v>
      </c>
      <c r="AM492" t="n">
        <v>1</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HYPERLINK("https://creighton-primo.hosted.exlibrisgroup.com/primo-explore/search?tab=default_tab&amp;search_scope=EVERYTHING&amp;vid=01CRU&amp;lang=en_US&amp;offset=0&amp;query=any,contains,991005244239702656","Catalog Record")</f>
        <v/>
      </c>
      <c r="AT492">
        <f>HYPERLINK("http://www.worldcat.org/oclc/8451157","WorldCat Record")</f>
        <v/>
      </c>
      <c r="AU492" t="inlineStr">
        <is>
          <t>441516:eng</t>
        </is>
      </c>
      <c r="AV492" t="inlineStr">
        <is>
          <t>8451157</t>
        </is>
      </c>
      <c r="AW492" t="inlineStr">
        <is>
          <t>991005244239702656</t>
        </is>
      </c>
      <c r="AX492" t="inlineStr">
        <is>
          <t>991005244239702656</t>
        </is>
      </c>
      <c r="AY492" t="inlineStr">
        <is>
          <t>2266109060002656</t>
        </is>
      </c>
      <c r="AZ492" t="inlineStr">
        <is>
          <t>BOOK</t>
        </is>
      </c>
      <c r="BB492" t="inlineStr">
        <is>
          <t>9780312020033</t>
        </is>
      </c>
      <c r="BC492" t="inlineStr">
        <is>
          <t>32285000105816</t>
        </is>
      </c>
      <c r="BD492" t="inlineStr">
        <is>
          <t>893808065</t>
        </is>
      </c>
    </row>
    <row r="493">
      <c r="A493" t="inlineStr">
        <is>
          <t>No</t>
        </is>
      </c>
      <c r="B493" t="inlineStr">
        <is>
          <t>HQ117 .S65 1965</t>
        </is>
      </c>
      <c r="C493" t="inlineStr">
        <is>
          <t>0                      HQ 0117000S  65          1965</t>
        </is>
      </c>
      <c r="D493" t="inlineStr">
        <is>
          <t>Painted ladies of the cowtown frontier / by Joseph W. Snell ; [illustrations by Gus Shafer, Frank Steinman and Byron B. Wolfe.]</t>
        </is>
      </c>
      <c r="F493" t="inlineStr">
        <is>
          <t>No</t>
        </is>
      </c>
      <c r="G493" t="inlineStr">
        <is>
          <t>1</t>
        </is>
      </c>
      <c r="H493" t="inlineStr">
        <is>
          <t>No</t>
        </is>
      </c>
      <c r="I493" t="inlineStr">
        <is>
          <t>No</t>
        </is>
      </c>
      <c r="J493" t="inlineStr">
        <is>
          <t>0</t>
        </is>
      </c>
      <c r="K493" t="inlineStr">
        <is>
          <t>Snell, Joseph W.</t>
        </is>
      </c>
      <c r="L493" t="inlineStr">
        <is>
          <t>Kansas City, Mo. : [The Lowell Press], 1965.</t>
        </is>
      </c>
      <c r="M493" t="inlineStr">
        <is>
          <t>1965</t>
        </is>
      </c>
      <c r="O493" t="inlineStr">
        <is>
          <t>eng</t>
        </is>
      </c>
      <c r="P493" t="inlineStr">
        <is>
          <t>mou</t>
        </is>
      </c>
      <c r="R493" t="inlineStr">
        <is>
          <t xml:space="preserve">HQ </t>
        </is>
      </c>
      <c r="S493" t="n">
        <v>1</v>
      </c>
      <c r="T493" t="n">
        <v>1</v>
      </c>
      <c r="U493" t="inlineStr">
        <is>
          <t>2005-09-28</t>
        </is>
      </c>
      <c r="V493" t="inlineStr">
        <is>
          <t>2005-09-28</t>
        </is>
      </c>
      <c r="W493" t="inlineStr">
        <is>
          <t>2005-09-28</t>
        </is>
      </c>
      <c r="X493" t="inlineStr">
        <is>
          <t>2005-09-28</t>
        </is>
      </c>
      <c r="Y493" t="n">
        <v>7</v>
      </c>
      <c r="Z493" t="n">
        <v>7</v>
      </c>
      <c r="AA493" t="n">
        <v>62</v>
      </c>
      <c r="AB493" t="n">
        <v>1</v>
      </c>
      <c r="AC493" t="n">
        <v>2</v>
      </c>
      <c r="AD493" t="n">
        <v>0</v>
      </c>
      <c r="AE493" t="n">
        <v>1</v>
      </c>
      <c r="AF493" t="n">
        <v>0</v>
      </c>
      <c r="AG493" t="n">
        <v>0</v>
      </c>
      <c r="AH493" t="n">
        <v>0</v>
      </c>
      <c r="AI493" t="n">
        <v>0</v>
      </c>
      <c r="AJ493" t="n">
        <v>0</v>
      </c>
      <c r="AK493" t="n">
        <v>0</v>
      </c>
      <c r="AL493" t="n">
        <v>0</v>
      </c>
      <c r="AM493" t="n">
        <v>1</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HYPERLINK("https://creighton-primo.hosted.exlibrisgroup.com/primo-explore/search?tab=default_tab&amp;search_scope=EVERYTHING&amp;vid=01CRU&amp;lang=en_US&amp;offset=0&amp;query=any,contains,991004668399702656","Catalog Record")</f>
        <v/>
      </c>
      <c r="AT493">
        <f>HYPERLINK("http://www.worldcat.org/oclc/28861381","WorldCat Record")</f>
        <v/>
      </c>
      <c r="AU493" t="inlineStr">
        <is>
          <t>29429062:eng</t>
        </is>
      </c>
      <c r="AV493" t="inlineStr">
        <is>
          <t>28861381</t>
        </is>
      </c>
      <c r="AW493" t="inlineStr">
        <is>
          <t>991004668399702656</t>
        </is>
      </c>
      <c r="AX493" t="inlineStr">
        <is>
          <t>991004668399702656</t>
        </is>
      </c>
      <c r="AY493" t="inlineStr">
        <is>
          <t>2255024750002656</t>
        </is>
      </c>
      <c r="AZ493" t="inlineStr">
        <is>
          <t>BOOK</t>
        </is>
      </c>
      <c r="BC493" t="inlineStr">
        <is>
          <t>32285005086169</t>
        </is>
      </c>
      <c r="BD493" t="inlineStr">
        <is>
          <t>893795133</t>
        </is>
      </c>
    </row>
    <row r="494">
      <c r="A494" t="inlineStr">
        <is>
          <t>No</t>
        </is>
      </c>
      <c r="B494" t="inlineStr">
        <is>
          <t>HQ1170 .H48 1999</t>
        </is>
      </c>
      <c r="C494" t="inlineStr">
        <is>
          <t>0                      HQ 1170000H  48          1999</t>
        </is>
      </c>
      <c r="D494" t="inlineStr">
        <is>
          <t>Hermeneutics and honor : negotiating female "public" space in Islamic/ate societies / edited by Asma Afsaruddin ; foreword by Mary-Jo DelVecchio Good ; with contributions by Anan Ameri ... [et al.].</t>
        </is>
      </c>
      <c r="F494" t="inlineStr">
        <is>
          <t>No</t>
        </is>
      </c>
      <c r="G494" t="inlineStr">
        <is>
          <t>1</t>
        </is>
      </c>
      <c r="H494" t="inlineStr">
        <is>
          <t>No</t>
        </is>
      </c>
      <c r="I494" t="inlineStr">
        <is>
          <t>No</t>
        </is>
      </c>
      <c r="J494" t="inlineStr">
        <is>
          <t>0</t>
        </is>
      </c>
      <c r="L494" t="inlineStr">
        <is>
          <t>Cambridge, Mass. : Distributed for the Center for Middle Eastern Studies of Harvard University by Harvard University Press, c1999.</t>
        </is>
      </c>
      <c r="M494" t="inlineStr">
        <is>
          <t>1999</t>
        </is>
      </c>
      <c r="O494" t="inlineStr">
        <is>
          <t>eng</t>
        </is>
      </c>
      <c r="P494" t="inlineStr">
        <is>
          <t>mau</t>
        </is>
      </c>
      <c r="Q494" t="inlineStr">
        <is>
          <t>Harvard Middle Eastern monographs ; 32</t>
        </is>
      </c>
      <c r="R494" t="inlineStr">
        <is>
          <t xml:space="preserve">HQ </t>
        </is>
      </c>
      <c r="S494" t="n">
        <v>5</v>
      </c>
      <c r="T494" t="n">
        <v>5</v>
      </c>
      <c r="U494" t="inlineStr">
        <is>
          <t>2007-12-04</t>
        </is>
      </c>
      <c r="V494" t="inlineStr">
        <is>
          <t>2007-12-04</t>
        </is>
      </c>
      <c r="W494" t="inlineStr">
        <is>
          <t>2000-12-13</t>
        </is>
      </c>
      <c r="X494" t="inlineStr">
        <is>
          <t>2000-12-13</t>
        </is>
      </c>
      <c r="Y494" t="n">
        <v>315</v>
      </c>
      <c r="Z494" t="n">
        <v>244</v>
      </c>
      <c r="AA494" t="n">
        <v>249</v>
      </c>
      <c r="AB494" t="n">
        <v>1</v>
      </c>
      <c r="AC494" t="n">
        <v>1</v>
      </c>
      <c r="AD494" t="n">
        <v>13</v>
      </c>
      <c r="AE494" t="n">
        <v>13</v>
      </c>
      <c r="AF494" t="n">
        <v>3</v>
      </c>
      <c r="AG494" t="n">
        <v>3</v>
      </c>
      <c r="AH494" t="n">
        <v>4</v>
      </c>
      <c r="AI494" t="n">
        <v>4</v>
      </c>
      <c r="AJ494" t="n">
        <v>9</v>
      </c>
      <c r="AK494" t="n">
        <v>9</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HYPERLINK("https://creighton-primo.hosted.exlibrisgroup.com/primo-explore/search?tab=default_tab&amp;search_scope=EVERYTHING&amp;vid=01CRU&amp;lang=en_US&amp;offset=0&amp;query=any,contains,991003321709702656","Catalog Record")</f>
        <v/>
      </c>
      <c r="AT494">
        <f>HYPERLINK("http://www.worldcat.org/oclc/43111758","WorldCat Record")</f>
        <v/>
      </c>
      <c r="AU494" t="inlineStr">
        <is>
          <t>837033127:eng</t>
        </is>
      </c>
      <c r="AV494" t="inlineStr">
        <is>
          <t>43111758</t>
        </is>
      </c>
      <c r="AW494" t="inlineStr">
        <is>
          <t>991003321709702656</t>
        </is>
      </c>
      <c r="AX494" t="inlineStr">
        <is>
          <t>991003321709702656</t>
        </is>
      </c>
      <c r="AY494" t="inlineStr">
        <is>
          <t>2262328720002656</t>
        </is>
      </c>
      <c r="AZ494" t="inlineStr">
        <is>
          <t>BOOK</t>
        </is>
      </c>
      <c r="BB494" t="inlineStr">
        <is>
          <t>9780932885210</t>
        </is>
      </c>
      <c r="BC494" t="inlineStr">
        <is>
          <t>32285004276522</t>
        </is>
      </c>
      <c r="BD494" t="inlineStr">
        <is>
          <t>893441169</t>
        </is>
      </c>
    </row>
    <row r="495">
      <c r="A495" t="inlineStr">
        <is>
          <t>No</t>
        </is>
      </c>
      <c r="B495" t="inlineStr">
        <is>
          <t>HQ1170 .M53</t>
        </is>
      </c>
      <c r="C495" t="inlineStr">
        <is>
          <t>0                      HQ 1170000M  53</t>
        </is>
      </c>
      <c r="D495" t="inlineStr">
        <is>
          <t>Middle Eastern Muslim women speak / edited by Elizabeth Warnock Fernea and Basima Qattan Bezirgan.</t>
        </is>
      </c>
      <c r="F495" t="inlineStr">
        <is>
          <t>No</t>
        </is>
      </c>
      <c r="G495" t="inlineStr">
        <is>
          <t>1</t>
        </is>
      </c>
      <c r="H495" t="inlineStr">
        <is>
          <t>No</t>
        </is>
      </c>
      <c r="I495" t="inlineStr">
        <is>
          <t>No</t>
        </is>
      </c>
      <c r="J495" t="inlineStr">
        <is>
          <t>0</t>
        </is>
      </c>
      <c r="L495" t="inlineStr">
        <is>
          <t>Austin : University of Texas Press, c1977.</t>
        </is>
      </c>
      <c r="M495" t="inlineStr">
        <is>
          <t>1977</t>
        </is>
      </c>
      <c r="O495" t="inlineStr">
        <is>
          <t>eng</t>
        </is>
      </c>
      <c r="P495" t="inlineStr">
        <is>
          <t>txu</t>
        </is>
      </c>
      <c r="Q495" t="inlineStr">
        <is>
          <t>The Dan Danciger publication series</t>
        </is>
      </c>
      <c r="R495" t="inlineStr">
        <is>
          <t xml:space="preserve">HQ </t>
        </is>
      </c>
      <c r="S495" t="n">
        <v>19</v>
      </c>
      <c r="T495" t="n">
        <v>19</v>
      </c>
      <c r="U495" t="inlineStr">
        <is>
          <t>2006-03-31</t>
        </is>
      </c>
      <c r="V495" t="inlineStr">
        <is>
          <t>2006-03-31</t>
        </is>
      </c>
      <c r="W495" t="inlineStr">
        <is>
          <t>1990-10-23</t>
        </is>
      </c>
      <c r="X495" t="inlineStr">
        <is>
          <t>1990-10-23</t>
        </is>
      </c>
      <c r="Y495" t="n">
        <v>1004</v>
      </c>
      <c r="Z495" t="n">
        <v>850</v>
      </c>
      <c r="AA495" t="n">
        <v>946</v>
      </c>
      <c r="AB495" t="n">
        <v>4</v>
      </c>
      <c r="AC495" t="n">
        <v>6</v>
      </c>
      <c r="AD495" t="n">
        <v>35</v>
      </c>
      <c r="AE495" t="n">
        <v>39</v>
      </c>
      <c r="AF495" t="n">
        <v>16</v>
      </c>
      <c r="AG495" t="n">
        <v>17</v>
      </c>
      <c r="AH495" t="n">
        <v>9</v>
      </c>
      <c r="AI495" t="n">
        <v>10</v>
      </c>
      <c r="AJ495" t="n">
        <v>17</v>
      </c>
      <c r="AK495" t="n">
        <v>18</v>
      </c>
      <c r="AL495" t="n">
        <v>3</v>
      </c>
      <c r="AM495" t="n">
        <v>5</v>
      </c>
      <c r="AN495" t="n">
        <v>0</v>
      </c>
      <c r="AO495" t="n">
        <v>0</v>
      </c>
      <c r="AP495" t="inlineStr">
        <is>
          <t>No</t>
        </is>
      </c>
      <c r="AQ495" t="inlineStr">
        <is>
          <t>Yes</t>
        </is>
      </c>
      <c r="AR495">
        <f>HYPERLINK("http://catalog.hathitrust.org/Record/000706822","HathiTrust Record")</f>
        <v/>
      </c>
      <c r="AS495">
        <f>HYPERLINK("https://creighton-primo.hosted.exlibrisgroup.com/primo-explore/search?tab=default_tab&amp;search_scope=EVERYTHING&amp;vid=01CRU&amp;lang=en_US&amp;offset=0&amp;query=any,contains,991004055879702656","Catalog Record")</f>
        <v/>
      </c>
      <c r="AT495">
        <f>HYPERLINK("http://www.worldcat.org/oclc/2225075","WorldCat Record")</f>
        <v/>
      </c>
      <c r="AU495" t="inlineStr">
        <is>
          <t>355937263:eng</t>
        </is>
      </c>
      <c r="AV495" t="inlineStr">
        <is>
          <t>2225075</t>
        </is>
      </c>
      <c r="AW495" t="inlineStr">
        <is>
          <t>991004055879702656</t>
        </is>
      </c>
      <c r="AX495" t="inlineStr">
        <is>
          <t>991004055879702656</t>
        </is>
      </c>
      <c r="AY495" t="inlineStr">
        <is>
          <t>2259195150002656</t>
        </is>
      </c>
      <c r="AZ495" t="inlineStr">
        <is>
          <t>BOOK</t>
        </is>
      </c>
      <c r="BB495" t="inlineStr">
        <is>
          <t>9780292750333</t>
        </is>
      </c>
      <c r="BC495" t="inlineStr">
        <is>
          <t>32285000352657</t>
        </is>
      </c>
      <c r="BD495" t="inlineStr">
        <is>
          <t>893882007</t>
        </is>
      </c>
    </row>
    <row r="496">
      <c r="A496" t="inlineStr">
        <is>
          <t>No</t>
        </is>
      </c>
      <c r="B496" t="inlineStr">
        <is>
          <t>HQ1170 .M8473 1997</t>
        </is>
      </c>
      <c r="C496" t="inlineStr">
        <is>
          <t>0                      HQ 1170000M  8473        1997</t>
        </is>
      </c>
      <c r="D496" t="inlineStr">
        <is>
          <t>Muslim women and the politics of participation : implementing the Beijing platform / edited by Mahnaz Afkhami and Erika Friedl.</t>
        </is>
      </c>
      <c r="F496" t="inlineStr">
        <is>
          <t>No</t>
        </is>
      </c>
      <c r="G496" t="inlineStr">
        <is>
          <t>1</t>
        </is>
      </c>
      <c r="H496" t="inlineStr">
        <is>
          <t>No</t>
        </is>
      </c>
      <c r="I496" t="inlineStr">
        <is>
          <t>No</t>
        </is>
      </c>
      <c r="J496" t="inlineStr">
        <is>
          <t>0</t>
        </is>
      </c>
      <c r="L496" t="inlineStr">
        <is>
          <t>[Syracuse, NY] : Syracuse University Press, 1997.</t>
        </is>
      </c>
      <c r="M496" t="inlineStr">
        <is>
          <t>1997</t>
        </is>
      </c>
      <c r="N496" t="inlineStr">
        <is>
          <t>1st ed.</t>
        </is>
      </c>
      <c r="O496" t="inlineStr">
        <is>
          <t>eng</t>
        </is>
      </c>
      <c r="P496" t="inlineStr">
        <is>
          <t>nyu</t>
        </is>
      </c>
      <c r="Q496" t="inlineStr">
        <is>
          <t>Gender, culture, and politics in the Middle East</t>
        </is>
      </c>
      <c r="R496" t="inlineStr">
        <is>
          <t xml:space="preserve">HQ </t>
        </is>
      </c>
      <c r="S496" t="n">
        <v>26</v>
      </c>
      <c r="T496" t="n">
        <v>26</v>
      </c>
      <c r="U496" t="inlineStr">
        <is>
          <t>2006-10-23</t>
        </is>
      </c>
      <c r="V496" t="inlineStr">
        <is>
          <t>2006-10-23</t>
        </is>
      </c>
      <c r="W496" t="inlineStr">
        <is>
          <t>1998-02-04</t>
        </is>
      </c>
      <c r="X496" t="inlineStr">
        <is>
          <t>1998-02-04</t>
        </is>
      </c>
      <c r="Y496" t="n">
        <v>367</v>
      </c>
      <c r="Z496" t="n">
        <v>282</v>
      </c>
      <c r="AA496" t="n">
        <v>285</v>
      </c>
      <c r="AB496" t="n">
        <v>2</v>
      </c>
      <c r="AC496" t="n">
        <v>2</v>
      </c>
      <c r="AD496" t="n">
        <v>16</v>
      </c>
      <c r="AE496" t="n">
        <v>16</v>
      </c>
      <c r="AF496" t="n">
        <v>4</v>
      </c>
      <c r="AG496" t="n">
        <v>4</v>
      </c>
      <c r="AH496" t="n">
        <v>4</v>
      </c>
      <c r="AI496" t="n">
        <v>4</v>
      </c>
      <c r="AJ496" t="n">
        <v>9</v>
      </c>
      <c r="AK496" t="n">
        <v>9</v>
      </c>
      <c r="AL496" t="n">
        <v>1</v>
      </c>
      <c r="AM496" t="n">
        <v>1</v>
      </c>
      <c r="AN496" t="n">
        <v>1</v>
      </c>
      <c r="AO496" t="n">
        <v>1</v>
      </c>
      <c r="AP496" t="inlineStr">
        <is>
          <t>No</t>
        </is>
      </c>
      <c r="AQ496" t="inlineStr">
        <is>
          <t>Yes</t>
        </is>
      </c>
      <c r="AR496">
        <f>HYPERLINK("http://catalog.hathitrust.org/Record/003956267","HathiTrust Record")</f>
        <v/>
      </c>
      <c r="AS496">
        <f>HYPERLINK("https://creighton-primo.hosted.exlibrisgroup.com/primo-explore/search?tab=default_tab&amp;search_scope=EVERYTHING&amp;vid=01CRU&amp;lang=en_US&amp;offset=0&amp;query=any,contains,991002823189702656","Catalog Record")</f>
        <v/>
      </c>
      <c r="AT496">
        <f>HYPERLINK("http://www.worldcat.org/oclc/37156268","WorldCat Record")</f>
        <v/>
      </c>
      <c r="AU496" t="inlineStr">
        <is>
          <t>373774556:eng</t>
        </is>
      </c>
      <c r="AV496" t="inlineStr">
        <is>
          <t>37156268</t>
        </is>
      </c>
      <c r="AW496" t="inlineStr">
        <is>
          <t>991002823189702656</t>
        </is>
      </c>
      <c r="AX496" t="inlineStr">
        <is>
          <t>991002823189702656</t>
        </is>
      </c>
      <c r="AY496" t="inlineStr">
        <is>
          <t>2270991390002656</t>
        </is>
      </c>
      <c r="AZ496" t="inlineStr">
        <is>
          <t>BOOK</t>
        </is>
      </c>
      <c r="BB496" t="inlineStr">
        <is>
          <t>9780815627593</t>
        </is>
      </c>
      <c r="BC496" t="inlineStr">
        <is>
          <t>32285003312112</t>
        </is>
      </c>
      <c r="BD496" t="inlineStr">
        <is>
          <t>893716963</t>
        </is>
      </c>
    </row>
    <row r="497">
      <c r="A497" t="inlineStr">
        <is>
          <t>No</t>
        </is>
      </c>
      <c r="B497" t="inlineStr">
        <is>
          <t>HQ1170 .T44 1986</t>
        </is>
      </c>
      <c r="C497" t="inlineStr">
        <is>
          <t>0                      HQ 1170000T  44          1986</t>
        </is>
      </c>
      <c r="D497" t="inlineStr">
        <is>
          <t>Speak out, black sisters : feminism and oppression in Black Africa / Awa Thiam ; translated by Dorothy S. Blair.</t>
        </is>
      </c>
      <c r="F497" t="inlineStr">
        <is>
          <t>No</t>
        </is>
      </c>
      <c r="G497" t="inlineStr">
        <is>
          <t>1</t>
        </is>
      </c>
      <c r="H497" t="inlineStr">
        <is>
          <t>No</t>
        </is>
      </c>
      <c r="I497" t="inlineStr">
        <is>
          <t>No</t>
        </is>
      </c>
      <c r="J497" t="inlineStr">
        <is>
          <t>0</t>
        </is>
      </c>
      <c r="K497" t="inlineStr">
        <is>
          <t>Thiam, Awa.</t>
        </is>
      </c>
      <c r="L497" t="inlineStr">
        <is>
          <t>London : Pluto, 1986.</t>
        </is>
      </c>
      <c r="M497" t="inlineStr">
        <is>
          <t>1986</t>
        </is>
      </c>
      <c r="O497" t="inlineStr">
        <is>
          <t>eng</t>
        </is>
      </c>
      <c r="P497" t="inlineStr">
        <is>
          <t>enk</t>
        </is>
      </c>
      <c r="R497" t="inlineStr">
        <is>
          <t xml:space="preserve">HQ </t>
        </is>
      </c>
      <c r="S497" t="n">
        <v>13</v>
      </c>
      <c r="T497" t="n">
        <v>13</v>
      </c>
      <c r="U497" t="inlineStr">
        <is>
          <t>2000-12-04</t>
        </is>
      </c>
      <c r="V497" t="inlineStr">
        <is>
          <t>2000-12-04</t>
        </is>
      </c>
      <c r="W497" t="inlineStr">
        <is>
          <t>1992-04-28</t>
        </is>
      </c>
      <c r="X497" t="inlineStr">
        <is>
          <t>1992-04-28</t>
        </is>
      </c>
      <c r="Y497" t="n">
        <v>256</v>
      </c>
      <c r="Z497" t="n">
        <v>163</v>
      </c>
      <c r="AA497" t="n">
        <v>201</v>
      </c>
      <c r="AB497" t="n">
        <v>2</v>
      </c>
      <c r="AC497" t="n">
        <v>2</v>
      </c>
      <c r="AD497" t="n">
        <v>7</v>
      </c>
      <c r="AE497" t="n">
        <v>10</v>
      </c>
      <c r="AF497" t="n">
        <v>1</v>
      </c>
      <c r="AG497" t="n">
        <v>2</v>
      </c>
      <c r="AH497" t="n">
        <v>2</v>
      </c>
      <c r="AI497" t="n">
        <v>3</v>
      </c>
      <c r="AJ497" t="n">
        <v>4</v>
      </c>
      <c r="AK497" t="n">
        <v>5</v>
      </c>
      <c r="AL497" t="n">
        <v>1</v>
      </c>
      <c r="AM497" t="n">
        <v>1</v>
      </c>
      <c r="AN497" t="n">
        <v>0</v>
      </c>
      <c r="AO497" t="n">
        <v>0</v>
      </c>
      <c r="AP497" t="inlineStr">
        <is>
          <t>No</t>
        </is>
      </c>
      <c r="AQ497" t="inlineStr">
        <is>
          <t>Yes</t>
        </is>
      </c>
      <c r="AR497">
        <f>HYPERLINK("http://catalog.hathitrust.org/Record/000849016","HathiTrust Record")</f>
        <v/>
      </c>
      <c r="AS497">
        <f>HYPERLINK("https://creighton-primo.hosted.exlibrisgroup.com/primo-explore/search?tab=default_tab&amp;search_scope=EVERYTHING&amp;vid=01CRU&amp;lang=en_US&amp;offset=0&amp;query=any,contains,991000749939702656","Catalog Record")</f>
        <v/>
      </c>
      <c r="AT497">
        <f>HYPERLINK("http://www.worldcat.org/oclc/20824297","WorldCat Record")</f>
        <v/>
      </c>
      <c r="AU497" t="inlineStr">
        <is>
          <t>17451737:eng</t>
        </is>
      </c>
      <c r="AV497" t="inlineStr">
        <is>
          <t>20824297</t>
        </is>
      </c>
      <c r="AW497" t="inlineStr">
        <is>
          <t>991000749939702656</t>
        </is>
      </c>
      <c r="AX497" t="inlineStr">
        <is>
          <t>991000749939702656</t>
        </is>
      </c>
      <c r="AY497" t="inlineStr">
        <is>
          <t>2268423270002656</t>
        </is>
      </c>
      <c r="AZ497" t="inlineStr">
        <is>
          <t>BOOK</t>
        </is>
      </c>
      <c r="BB497" t="inlineStr">
        <is>
          <t>9780745300504</t>
        </is>
      </c>
      <c r="BC497" t="inlineStr">
        <is>
          <t>32285001090033</t>
        </is>
      </c>
      <c r="BD497" t="inlineStr">
        <is>
          <t>893438565</t>
        </is>
      </c>
    </row>
    <row r="498">
      <c r="A498" t="inlineStr">
        <is>
          <t>No</t>
        </is>
      </c>
      <c r="B498" t="inlineStr">
        <is>
          <t>HQ1170 .W588 1998</t>
        </is>
      </c>
      <c r="C498" t="inlineStr">
        <is>
          <t>0                      HQ 1170000W  588         1998</t>
        </is>
      </c>
      <c r="D498" t="inlineStr">
        <is>
          <t>Women in the medieval Islamic world : power, patronage, and piety / edited by Gavin R.G. Hambly.</t>
        </is>
      </c>
      <c r="F498" t="inlineStr">
        <is>
          <t>No</t>
        </is>
      </c>
      <c r="G498" t="inlineStr">
        <is>
          <t>1</t>
        </is>
      </c>
      <c r="H498" t="inlineStr">
        <is>
          <t>No</t>
        </is>
      </c>
      <c r="I498" t="inlineStr">
        <is>
          <t>No</t>
        </is>
      </c>
      <c r="J498" t="inlineStr">
        <is>
          <t>0</t>
        </is>
      </c>
      <c r="L498" t="inlineStr">
        <is>
          <t>New York : St. Martin's Press, 1998.</t>
        </is>
      </c>
      <c r="M498" t="inlineStr">
        <is>
          <t>1998</t>
        </is>
      </c>
      <c r="N498" t="inlineStr">
        <is>
          <t>1st ed.</t>
        </is>
      </c>
      <c r="O498" t="inlineStr">
        <is>
          <t>eng</t>
        </is>
      </c>
      <c r="P498" t="inlineStr">
        <is>
          <t>nyu</t>
        </is>
      </c>
      <c r="Q498" t="inlineStr">
        <is>
          <t>The new Middle Ages ; v. 6</t>
        </is>
      </c>
      <c r="R498" t="inlineStr">
        <is>
          <t xml:space="preserve">HQ </t>
        </is>
      </c>
      <c r="S498" t="n">
        <v>10</v>
      </c>
      <c r="T498" t="n">
        <v>10</v>
      </c>
      <c r="U498" t="inlineStr">
        <is>
          <t>2003-12-07</t>
        </is>
      </c>
      <c r="V498" t="inlineStr">
        <is>
          <t>2003-12-07</t>
        </is>
      </c>
      <c r="W498" t="inlineStr">
        <is>
          <t>1999-03-22</t>
        </is>
      </c>
      <c r="X498" t="inlineStr">
        <is>
          <t>1999-03-22</t>
        </is>
      </c>
      <c r="Y498" t="n">
        <v>515</v>
      </c>
      <c r="Z498" t="n">
        <v>445</v>
      </c>
      <c r="AA498" t="n">
        <v>528</v>
      </c>
      <c r="AB498" t="n">
        <v>5</v>
      </c>
      <c r="AC498" t="n">
        <v>5</v>
      </c>
      <c r="AD498" t="n">
        <v>27</v>
      </c>
      <c r="AE498" t="n">
        <v>33</v>
      </c>
      <c r="AF498" t="n">
        <v>11</v>
      </c>
      <c r="AG498" t="n">
        <v>13</v>
      </c>
      <c r="AH498" t="n">
        <v>6</v>
      </c>
      <c r="AI498" t="n">
        <v>8</v>
      </c>
      <c r="AJ498" t="n">
        <v>14</v>
      </c>
      <c r="AK498" t="n">
        <v>16</v>
      </c>
      <c r="AL498" t="n">
        <v>4</v>
      </c>
      <c r="AM498" t="n">
        <v>4</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HYPERLINK("https://creighton-primo.hosted.exlibrisgroup.com/primo-explore/search?tab=default_tab&amp;search_scope=EVERYTHING&amp;vid=01CRU&amp;lang=en_US&amp;offset=0&amp;query=any,contains,991002872899702656","Catalog Record")</f>
        <v/>
      </c>
      <c r="AT498">
        <f>HYPERLINK("http://www.worldcat.org/oclc/37864688","WorldCat Record")</f>
        <v/>
      </c>
      <c r="AU498" t="inlineStr">
        <is>
          <t>836969994:eng</t>
        </is>
      </c>
      <c r="AV498" t="inlineStr">
        <is>
          <t>37864688</t>
        </is>
      </c>
      <c r="AW498" t="inlineStr">
        <is>
          <t>991002872899702656</t>
        </is>
      </c>
      <c r="AX498" t="inlineStr">
        <is>
          <t>991002872899702656</t>
        </is>
      </c>
      <c r="AY498" t="inlineStr">
        <is>
          <t>2265452890002656</t>
        </is>
      </c>
      <c r="AZ498" t="inlineStr">
        <is>
          <t>BOOK</t>
        </is>
      </c>
      <c r="BB498" t="inlineStr">
        <is>
          <t>9780312210571</t>
        </is>
      </c>
      <c r="BC498" t="inlineStr">
        <is>
          <t>32285003534434</t>
        </is>
      </c>
      <c r="BD498" t="inlineStr">
        <is>
          <t>893245756</t>
        </is>
      </c>
    </row>
    <row r="499">
      <c r="A499" t="inlineStr">
        <is>
          <t>No</t>
        </is>
      </c>
      <c r="B499" t="inlineStr">
        <is>
          <t>HQ1172 .J48</t>
        </is>
      </c>
      <c r="C499" t="inlineStr">
        <is>
          <t>0                      HQ 1172000J  48</t>
        </is>
      </c>
      <c r="D499" t="inlineStr">
        <is>
          <t>The Jewish woman : new perspectives / edited by Elizabeth Koltun.</t>
        </is>
      </c>
      <c r="F499" t="inlineStr">
        <is>
          <t>No</t>
        </is>
      </c>
      <c r="G499" t="inlineStr">
        <is>
          <t>1</t>
        </is>
      </c>
      <c r="H499" t="inlineStr">
        <is>
          <t>No</t>
        </is>
      </c>
      <c r="I499" t="inlineStr">
        <is>
          <t>No</t>
        </is>
      </c>
      <c r="J499" t="inlineStr">
        <is>
          <t>0</t>
        </is>
      </c>
      <c r="L499" t="inlineStr">
        <is>
          <t>New York : Schocken Books, 1976.</t>
        </is>
      </c>
      <c r="M499" t="inlineStr">
        <is>
          <t>1976</t>
        </is>
      </c>
      <c r="O499" t="inlineStr">
        <is>
          <t>eng</t>
        </is>
      </c>
      <c r="P499" t="inlineStr">
        <is>
          <t>nyu</t>
        </is>
      </c>
      <c r="R499" t="inlineStr">
        <is>
          <t xml:space="preserve">HQ </t>
        </is>
      </c>
      <c r="S499" t="n">
        <v>13</v>
      </c>
      <c r="T499" t="n">
        <v>13</v>
      </c>
      <c r="U499" t="inlineStr">
        <is>
          <t>2005-04-27</t>
        </is>
      </c>
      <c r="V499" t="inlineStr">
        <is>
          <t>2005-04-27</t>
        </is>
      </c>
      <c r="W499" t="inlineStr">
        <is>
          <t>1991-12-13</t>
        </is>
      </c>
      <c r="X499" t="inlineStr">
        <is>
          <t>1991-12-13</t>
        </is>
      </c>
      <c r="Y499" t="n">
        <v>647</v>
      </c>
      <c r="Z499" t="n">
        <v>565</v>
      </c>
      <c r="AA499" t="n">
        <v>572</v>
      </c>
      <c r="AB499" t="n">
        <v>4</v>
      </c>
      <c r="AC499" t="n">
        <v>4</v>
      </c>
      <c r="AD499" t="n">
        <v>24</v>
      </c>
      <c r="AE499" t="n">
        <v>24</v>
      </c>
      <c r="AF499" t="n">
        <v>8</v>
      </c>
      <c r="AG499" t="n">
        <v>8</v>
      </c>
      <c r="AH499" t="n">
        <v>7</v>
      </c>
      <c r="AI499" t="n">
        <v>7</v>
      </c>
      <c r="AJ499" t="n">
        <v>14</v>
      </c>
      <c r="AK499" t="n">
        <v>14</v>
      </c>
      <c r="AL499" t="n">
        <v>3</v>
      </c>
      <c r="AM499" t="n">
        <v>3</v>
      </c>
      <c r="AN499" t="n">
        <v>0</v>
      </c>
      <c r="AO499" t="n">
        <v>0</v>
      </c>
      <c r="AP499" t="inlineStr">
        <is>
          <t>No</t>
        </is>
      </c>
      <c r="AQ499" t="inlineStr">
        <is>
          <t>Yes</t>
        </is>
      </c>
      <c r="AR499">
        <f>HYPERLINK("http://catalog.hathitrust.org/Record/000745825","HathiTrust Record")</f>
        <v/>
      </c>
      <c r="AS499">
        <f>HYPERLINK("https://creighton-primo.hosted.exlibrisgroup.com/primo-explore/search?tab=default_tab&amp;search_scope=EVERYTHING&amp;vid=01CRU&amp;lang=en_US&amp;offset=0&amp;query=any,contains,991004130069702656","Catalog Record")</f>
        <v/>
      </c>
      <c r="AT499">
        <f>HYPERLINK("http://www.worldcat.org/oclc/2464933","WorldCat Record")</f>
        <v/>
      </c>
      <c r="AU499" t="inlineStr">
        <is>
          <t>460414:eng</t>
        </is>
      </c>
      <c r="AV499" t="inlineStr">
        <is>
          <t>2464933</t>
        </is>
      </c>
      <c r="AW499" t="inlineStr">
        <is>
          <t>991004130069702656</t>
        </is>
      </c>
      <c r="AX499" t="inlineStr">
        <is>
          <t>991004130069702656</t>
        </is>
      </c>
      <c r="AY499" t="inlineStr">
        <is>
          <t>2269036050002656</t>
        </is>
      </c>
      <c r="AZ499" t="inlineStr">
        <is>
          <t>BOOK</t>
        </is>
      </c>
      <c r="BB499" t="inlineStr">
        <is>
          <t>9780805236149</t>
        </is>
      </c>
      <c r="BC499" t="inlineStr">
        <is>
          <t>32285000877067</t>
        </is>
      </c>
      <c r="BD499" t="inlineStr">
        <is>
          <t>893324963</t>
        </is>
      </c>
    </row>
    <row r="500">
      <c r="A500" t="inlineStr">
        <is>
          <t>No</t>
        </is>
      </c>
      <c r="B500" t="inlineStr">
        <is>
          <t>HQ1178 .G35 2004</t>
        </is>
      </c>
      <c r="C500" t="inlineStr">
        <is>
          <t>0                      HQ 1178000G  35          2004</t>
        </is>
      </c>
      <c r="D500" t="inlineStr">
        <is>
          <t>Cyber selves : feminist ethnographies of South Asian women / Radhika Gajjala.</t>
        </is>
      </c>
      <c r="F500" t="inlineStr">
        <is>
          <t>No</t>
        </is>
      </c>
      <c r="G500" t="inlineStr">
        <is>
          <t>1</t>
        </is>
      </c>
      <c r="H500" t="inlineStr">
        <is>
          <t>No</t>
        </is>
      </c>
      <c r="I500" t="inlineStr">
        <is>
          <t>No</t>
        </is>
      </c>
      <c r="J500" t="inlineStr">
        <is>
          <t>0</t>
        </is>
      </c>
      <c r="K500" t="inlineStr">
        <is>
          <t>Gajjala, Radhika, 1960-</t>
        </is>
      </c>
      <c r="L500" t="inlineStr">
        <is>
          <t>Walnut Creek, CA : AltaMira Press, c2004.</t>
        </is>
      </c>
      <c r="M500" t="inlineStr">
        <is>
          <t>2004</t>
        </is>
      </c>
      <c r="O500" t="inlineStr">
        <is>
          <t>eng</t>
        </is>
      </c>
      <c r="P500" t="inlineStr">
        <is>
          <t>cau</t>
        </is>
      </c>
      <c r="R500" t="inlineStr">
        <is>
          <t xml:space="preserve">HQ </t>
        </is>
      </c>
      <c r="S500" t="n">
        <v>1</v>
      </c>
      <c r="T500" t="n">
        <v>1</v>
      </c>
      <c r="U500" t="inlineStr">
        <is>
          <t>2005-12-19</t>
        </is>
      </c>
      <c r="V500" t="inlineStr">
        <is>
          <t>2005-12-19</t>
        </is>
      </c>
      <c r="W500" t="inlineStr">
        <is>
          <t>2005-12-19</t>
        </is>
      </c>
      <c r="X500" t="inlineStr">
        <is>
          <t>2005-12-19</t>
        </is>
      </c>
      <c r="Y500" t="n">
        <v>213</v>
      </c>
      <c r="Z500" t="n">
        <v>157</v>
      </c>
      <c r="AA500" t="n">
        <v>178</v>
      </c>
      <c r="AB500" t="n">
        <v>2</v>
      </c>
      <c r="AC500" t="n">
        <v>2</v>
      </c>
      <c r="AD500" t="n">
        <v>8</v>
      </c>
      <c r="AE500" t="n">
        <v>11</v>
      </c>
      <c r="AF500" t="n">
        <v>2</v>
      </c>
      <c r="AG500" t="n">
        <v>3</v>
      </c>
      <c r="AH500" t="n">
        <v>1</v>
      </c>
      <c r="AI500" t="n">
        <v>3</v>
      </c>
      <c r="AJ500" t="n">
        <v>6</v>
      </c>
      <c r="AK500" t="n">
        <v>6</v>
      </c>
      <c r="AL500" t="n">
        <v>1</v>
      </c>
      <c r="AM500" t="n">
        <v>1</v>
      </c>
      <c r="AN500" t="n">
        <v>0</v>
      </c>
      <c r="AO500" t="n">
        <v>1</v>
      </c>
      <c r="AP500" t="inlineStr">
        <is>
          <t>No</t>
        </is>
      </c>
      <c r="AQ500" t="inlineStr">
        <is>
          <t>Yes</t>
        </is>
      </c>
      <c r="AR500">
        <f>HYPERLINK("http://catalog.hathitrust.org/Record/004961663","HathiTrust Record")</f>
        <v/>
      </c>
      <c r="AS500">
        <f>HYPERLINK("https://creighton-primo.hosted.exlibrisgroup.com/primo-explore/search?tab=default_tab&amp;search_scope=EVERYTHING&amp;vid=01CRU&amp;lang=en_US&amp;offset=0&amp;query=any,contains,991004689349702656","Catalog Record")</f>
        <v/>
      </c>
      <c r="AT500">
        <f>HYPERLINK("http://www.worldcat.org/oclc/54852939","WorldCat Record")</f>
        <v/>
      </c>
      <c r="AU500" t="inlineStr">
        <is>
          <t>946237:eng</t>
        </is>
      </c>
      <c r="AV500" t="inlineStr">
        <is>
          <t>54852939</t>
        </is>
      </c>
      <c r="AW500" t="inlineStr">
        <is>
          <t>991004689349702656</t>
        </is>
      </c>
      <c r="AX500" t="inlineStr">
        <is>
          <t>991004689349702656</t>
        </is>
      </c>
      <c r="AY500" t="inlineStr">
        <is>
          <t>2270919550002656</t>
        </is>
      </c>
      <c r="AZ500" t="inlineStr">
        <is>
          <t>BOOK</t>
        </is>
      </c>
      <c r="BB500" t="inlineStr">
        <is>
          <t>9780759106918</t>
        </is>
      </c>
      <c r="BC500" t="inlineStr">
        <is>
          <t>32285005152961</t>
        </is>
      </c>
      <c r="BD500" t="inlineStr">
        <is>
          <t>893593971</t>
        </is>
      </c>
    </row>
    <row r="501">
      <c r="A501" t="inlineStr">
        <is>
          <t>No</t>
        </is>
      </c>
      <c r="B501" t="inlineStr">
        <is>
          <t>HQ1180 .B43</t>
        </is>
      </c>
      <c r="C501" t="inlineStr">
        <is>
          <t>0                      HQ 1180000B  43</t>
        </is>
      </c>
      <c r="D501" t="inlineStr">
        <is>
          <t>Women and women's issues : a handbook of tests and measures / Carol A. Beere.</t>
        </is>
      </c>
      <c r="F501" t="inlineStr">
        <is>
          <t>No</t>
        </is>
      </c>
      <c r="G501" t="inlineStr">
        <is>
          <t>1</t>
        </is>
      </c>
      <c r="H501" t="inlineStr">
        <is>
          <t>No</t>
        </is>
      </c>
      <c r="I501" t="inlineStr">
        <is>
          <t>No</t>
        </is>
      </c>
      <c r="J501" t="inlineStr">
        <is>
          <t>0</t>
        </is>
      </c>
      <c r="K501" t="inlineStr">
        <is>
          <t>Beere, Carole A., 1944-</t>
        </is>
      </c>
      <c r="L501" t="inlineStr">
        <is>
          <t>San Francisco : Jossey-Bass, 1979.</t>
        </is>
      </c>
      <c r="M501" t="inlineStr">
        <is>
          <t>1979</t>
        </is>
      </c>
      <c r="N501" t="inlineStr">
        <is>
          <t>1st ed.</t>
        </is>
      </c>
      <c r="O501" t="inlineStr">
        <is>
          <t>eng</t>
        </is>
      </c>
      <c r="P501" t="inlineStr">
        <is>
          <t>cau</t>
        </is>
      </c>
      <c r="Q501" t="inlineStr">
        <is>
          <t>The Jossey-Bass social and behavioral science series</t>
        </is>
      </c>
      <c r="R501" t="inlineStr">
        <is>
          <t xml:space="preserve">HQ </t>
        </is>
      </c>
      <c r="S501" t="n">
        <v>3</v>
      </c>
      <c r="T501" t="n">
        <v>3</v>
      </c>
      <c r="U501" t="inlineStr">
        <is>
          <t>2002-06-20</t>
        </is>
      </c>
      <c r="V501" t="inlineStr">
        <is>
          <t>2002-06-20</t>
        </is>
      </c>
      <c r="W501" t="inlineStr">
        <is>
          <t>1993-04-27</t>
        </is>
      </c>
      <c r="X501" t="inlineStr">
        <is>
          <t>1993-04-27</t>
        </is>
      </c>
      <c r="Y501" t="n">
        <v>662</v>
      </c>
      <c r="Z501" t="n">
        <v>560</v>
      </c>
      <c r="AA501" t="n">
        <v>569</v>
      </c>
      <c r="AB501" t="n">
        <v>4</v>
      </c>
      <c r="AC501" t="n">
        <v>4</v>
      </c>
      <c r="AD501" t="n">
        <v>28</v>
      </c>
      <c r="AE501" t="n">
        <v>28</v>
      </c>
      <c r="AF501" t="n">
        <v>9</v>
      </c>
      <c r="AG501" t="n">
        <v>9</v>
      </c>
      <c r="AH501" t="n">
        <v>7</v>
      </c>
      <c r="AI501" t="n">
        <v>7</v>
      </c>
      <c r="AJ501" t="n">
        <v>20</v>
      </c>
      <c r="AK501" t="n">
        <v>20</v>
      </c>
      <c r="AL501" t="n">
        <v>3</v>
      </c>
      <c r="AM501" t="n">
        <v>3</v>
      </c>
      <c r="AN501" t="n">
        <v>0</v>
      </c>
      <c r="AO501" t="n">
        <v>0</v>
      </c>
      <c r="AP501" t="inlineStr">
        <is>
          <t>No</t>
        </is>
      </c>
      <c r="AQ501" t="inlineStr">
        <is>
          <t>Yes</t>
        </is>
      </c>
      <c r="AR501">
        <f>HYPERLINK("http://catalog.hathitrust.org/Record/000029093","HathiTrust Record")</f>
        <v/>
      </c>
      <c r="AS501">
        <f>HYPERLINK("https://creighton-primo.hosted.exlibrisgroup.com/primo-explore/search?tab=default_tab&amp;search_scope=EVERYTHING&amp;vid=01CRU&amp;lang=en_US&amp;offset=0&amp;query=any,contains,991004774699702656","Catalog Record")</f>
        <v/>
      </c>
      <c r="AT501">
        <f>HYPERLINK("http://www.worldcat.org/oclc/5100759","WorldCat Record")</f>
        <v/>
      </c>
      <c r="AU501" t="inlineStr">
        <is>
          <t>889783133:eng</t>
        </is>
      </c>
      <c r="AV501" t="inlineStr">
        <is>
          <t>5100759</t>
        </is>
      </c>
      <c r="AW501" t="inlineStr">
        <is>
          <t>991004774699702656</t>
        </is>
      </c>
      <c r="AX501" t="inlineStr">
        <is>
          <t>991004774699702656</t>
        </is>
      </c>
      <c r="AY501" t="inlineStr">
        <is>
          <t>2258522850002656</t>
        </is>
      </c>
      <c r="AZ501" t="inlineStr">
        <is>
          <t>BOOK</t>
        </is>
      </c>
      <c r="BB501" t="inlineStr">
        <is>
          <t>9780875894188</t>
        </is>
      </c>
      <c r="BC501" t="inlineStr">
        <is>
          <t>32285001628154</t>
        </is>
      </c>
      <c r="BD501" t="inlineStr">
        <is>
          <t>893344243</t>
        </is>
      </c>
    </row>
    <row r="502">
      <c r="A502" t="inlineStr">
        <is>
          <t>No</t>
        </is>
      </c>
      <c r="B502" t="inlineStr">
        <is>
          <t>HQ1180 .D48 1999</t>
        </is>
      </c>
      <c r="C502" t="inlineStr">
        <is>
          <t>0                      HQ 1180000D  48          1999</t>
        </is>
      </c>
      <c r="D502" t="inlineStr">
        <is>
          <t>Liberating method : feminism and social research / Marjorie L. DeVault.</t>
        </is>
      </c>
      <c r="F502" t="inlineStr">
        <is>
          <t>No</t>
        </is>
      </c>
      <c r="G502" t="inlineStr">
        <is>
          <t>1</t>
        </is>
      </c>
      <c r="H502" t="inlineStr">
        <is>
          <t>No</t>
        </is>
      </c>
      <c r="I502" t="inlineStr">
        <is>
          <t>No</t>
        </is>
      </c>
      <c r="J502" t="inlineStr">
        <is>
          <t>0</t>
        </is>
      </c>
      <c r="K502" t="inlineStr">
        <is>
          <t>DeVault, Marjorie L., 1950-</t>
        </is>
      </c>
      <c r="L502" t="inlineStr">
        <is>
          <t>Philadelphia : Temple University Press, 1999.</t>
        </is>
      </c>
      <c r="M502" t="inlineStr">
        <is>
          <t>1999</t>
        </is>
      </c>
      <c r="O502" t="inlineStr">
        <is>
          <t>eng</t>
        </is>
      </c>
      <c r="P502" t="inlineStr">
        <is>
          <t>pau</t>
        </is>
      </c>
      <c r="R502" t="inlineStr">
        <is>
          <t xml:space="preserve">HQ </t>
        </is>
      </c>
      <c r="S502" t="n">
        <v>4</v>
      </c>
      <c r="T502" t="n">
        <v>4</v>
      </c>
      <c r="U502" t="inlineStr">
        <is>
          <t>2008-10-08</t>
        </is>
      </c>
      <c r="V502" t="inlineStr">
        <is>
          <t>2008-10-08</t>
        </is>
      </c>
      <c r="W502" t="inlineStr">
        <is>
          <t>2000-03-16</t>
        </is>
      </c>
      <c r="X502" t="inlineStr">
        <is>
          <t>2000-03-16</t>
        </is>
      </c>
      <c r="Y502" t="n">
        <v>463</v>
      </c>
      <c r="Z502" t="n">
        <v>367</v>
      </c>
      <c r="AA502" t="n">
        <v>367</v>
      </c>
      <c r="AB502" t="n">
        <v>3</v>
      </c>
      <c r="AC502" t="n">
        <v>3</v>
      </c>
      <c r="AD502" t="n">
        <v>20</v>
      </c>
      <c r="AE502" t="n">
        <v>20</v>
      </c>
      <c r="AF502" t="n">
        <v>6</v>
      </c>
      <c r="AG502" t="n">
        <v>6</v>
      </c>
      <c r="AH502" t="n">
        <v>5</v>
      </c>
      <c r="AI502" t="n">
        <v>5</v>
      </c>
      <c r="AJ502" t="n">
        <v>13</v>
      </c>
      <c r="AK502" t="n">
        <v>13</v>
      </c>
      <c r="AL502" t="n">
        <v>2</v>
      </c>
      <c r="AM502" t="n">
        <v>2</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HYPERLINK("https://creighton-primo.hosted.exlibrisgroup.com/primo-explore/search?tab=default_tab&amp;search_scope=EVERYTHING&amp;vid=01CRU&amp;lang=en_US&amp;offset=0&amp;query=any,contains,991002979379702656","Catalog Record")</f>
        <v/>
      </c>
      <c r="AT502">
        <f>HYPERLINK("http://www.worldcat.org/oclc/40051032","WorldCat Record")</f>
        <v/>
      </c>
      <c r="AU502" t="inlineStr">
        <is>
          <t>143632318:eng</t>
        </is>
      </c>
      <c r="AV502" t="inlineStr">
        <is>
          <t>40051032</t>
        </is>
      </c>
      <c r="AW502" t="inlineStr">
        <is>
          <t>991002979379702656</t>
        </is>
      </c>
      <c r="AX502" t="inlineStr">
        <is>
          <t>991002979379702656</t>
        </is>
      </c>
      <c r="AY502" t="inlineStr">
        <is>
          <t>2260046410002656</t>
        </is>
      </c>
      <c r="AZ502" t="inlineStr">
        <is>
          <t>BOOK</t>
        </is>
      </c>
      <c r="BB502" t="inlineStr">
        <is>
          <t>9781566396974</t>
        </is>
      </c>
      <c r="BC502" t="inlineStr">
        <is>
          <t>32285003670337</t>
        </is>
      </c>
      <c r="BD502" t="inlineStr">
        <is>
          <t>893880683</t>
        </is>
      </c>
    </row>
    <row r="503">
      <c r="A503" t="inlineStr">
        <is>
          <t>No</t>
        </is>
      </c>
      <c r="B503" t="inlineStr">
        <is>
          <t>HQ1180 .F68 1990b</t>
        </is>
      </c>
      <c r="C503" t="inlineStr">
        <is>
          <t>0                      HQ 1180000F  68          1990b</t>
        </is>
      </c>
      <c r="D503" t="inlineStr">
        <is>
          <t>Foundations for a feminist restructuring of the academic disciplines / edited by Michele A. Paludi, Gertrude A. Steuernagel.</t>
        </is>
      </c>
      <c r="F503" t="inlineStr">
        <is>
          <t>No</t>
        </is>
      </c>
      <c r="G503" t="inlineStr">
        <is>
          <t>1</t>
        </is>
      </c>
      <c r="H503" t="inlineStr">
        <is>
          <t>No</t>
        </is>
      </c>
      <c r="I503" t="inlineStr">
        <is>
          <t>No</t>
        </is>
      </c>
      <c r="J503" t="inlineStr">
        <is>
          <t>0</t>
        </is>
      </c>
      <c r="L503" t="inlineStr">
        <is>
          <t>New York : Haworth Press, c1990.</t>
        </is>
      </c>
      <c r="M503" t="inlineStr">
        <is>
          <t>1990</t>
        </is>
      </c>
      <c r="O503" t="inlineStr">
        <is>
          <t>eng</t>
        </is>
      </c>
      <c r="P503" t="inlineStr">
        <is>
          <t>nyu</t>
        </is>
      </c>
      <c r="Q503" t="inlineStr">
        <is>
          <t>Haworth series on women ; #3</t>
        </is>
      </c>
      <c r="R503" t="inlineStr">
        <is>
          <t xml:space="preserve">HQ </t>
        </is>
      </c>
      <c r="S503" t="n">
        <v>3</v>
      </c>
      <c r="T503" t="n">
        <v>3</v>
      </c>
      <c r="U503" t="inlineStr">
        <is>
          <t>1996-10-17</t>
        </is>
      </c>
      <c r="V503" t="inlineStr">
        <is>
          <t>1996-10-17</t>
        </is>
      </c>
      <c r="W503" t="inlineStr">
        <is>
          <t>1996-01-25</t>
        </is>
      </c>
      <c r="X503" t="inlineStr">
        <is>
          <t>1996-01-25</t>
        </is>
      </c>
      <c r="Y503" t="n">
        <v>343</v>
      </c>
      <c r="Z503" t="n">
        <v>267</v>
      </c>
      <c r="AA503" t="n">
        <v>381</v>
      </c>
      <c r="AB503" t="n">
        <v>3</v>
      </c>
      <c r="AC503" t="n">
        <v>5</v>
      </c>
      <c r="AD503" t="n">
        <v>17</v>
      </c>
      <c r="AE503" t="n">
        <v>23</v>
      </c>
      <c r="AF503" t="n">
        <v>4</v>
      </c>
      <c r="AG503" t="n">
        <v>7</v>
      </c>
      <c r="AH503" t="n">
        <v>5</v>
      </c>
      <c r="AI503" t="n">
        <v>5</v>
      </c>
      <c r="AJ503" t="n">
        <v>10</v>
      </c>
      <c r="AK503" t="n">
        <v>14</v>
      </c>
      <c r="AL503" t="n">
        <v>2</v>
      </c>
      <c r="AM503" t="n">
        <v>4</v>
      </c>
      <c r="AN503" t="n">
        <v>1</v>
      </c>
      <c r="AO503" t="n">
        <v>1</v>
      </c>
      <c r="AP503" t="inlineStr">
        <is>
          <t>No</t>
        </is>
      </c>
      <c r="AQ503" t="inlineStr">
        <is>
          <t>Yes</t>
        </is>
      </c>
      <c r="AR503">
        <f>HYPERLINK("http://catalog.hathitrust.org/Record/002555736","HathiTrust Record")</f>
        <v/>
      </c>
      <c r="AS503">
        <f>HYPERLINK("https://creighton-primo.hosted.exlibrisgroup.com/primo-explore/search?tab=default_tab&amp;search_scope=EVERYTHING&amp;vid=01CRU&amp;lang=en_US&amp;offset=0&amp;query=any,contains,991001530039702656","Catalog Record")</f>
        <v/>
      </c>
      <c r="AT503">
        <f>HYPERLINK("http://www.worldcat.org/oclc/20016882","WorldCat Record")</f>
        <v/>
      </c>
      <c r="AU503" t="inlineStr">
        <is>
          <t>351867390:eng</t>
        </is>
      </c>
      <c r="AV503" t="inlineStr">
        <is>
          <t>20016882</t>
        </is>
      </c>
      <c r="AW503" t="inlineStr">
        <is>
          <t>991001530039702656</t>
        </is>
      </c>
      <c r="AX503" t="inlineStr">
        <is>
          <t>991001530039702656</t>
        </is>
      </c>
      <c r="AY503" t="inlineStr">
        <is>
          <t>2258328030002656</t>
        </is>
      </c>
      <c r="AZ503" t="inlineStr">
        <is>
          <t>BOOK</t>
        </is>
      </c>
      <c r="BB503" t="inlineStr">
        <is>
          <t>9780866568784</t>
        </is>
      </c>
      <c r="BC503" t="inlineStr">
        <is>
          <t>32285002125903</t>
        </is>
      </c>
      <c r="BD503" t="inlineStr">
        <is>
          <t>893602657</t>
        </is>
      </c>
    </row>
    <row r="504">
      <c r="A504" t="inlineStr">
        <is>
          <t>No</t>
        </is>
      </c>
      <c r="B504" t="inlineStr">
        <is>
          <t>HQ1180 .J33</t>
        </is>
      </c>
      <c r="C504" t="inlineStr">
        <is>
          <t>0                      HQ 1180000J  33</t>
        </is>
      </c>
      <c r="D504" t="inlineStr">
        <is>
          <t>Women in perspective; a guide for cross-cultural studies.</t>
        </is>
      </c>
      <c r="F504" t="inlineStr">
        <is>
          <t>No</t>
        </is>
      </c>
      <c r="G504" t="inlineStr">
        <is>
          <t>1</t>
        </is>
      </c>
      <c r="H504" t="inlineStr">
        <is>
          <t>No</t>
        </is>
      </c>
      <c r="I504" t="inlineStr">
        <is>
          <t>No</t>
        </is>
      </c>
      <c r="J504" t="inlineStr">
        <is>
          <t>0</t>
        </is>
      </c>
      <c r="K504" t="inlineStr">
        <is>
          <t>Jacobs, Sue-Ellen.</t>
        </is>
      </c>
      <c r="L504" t="inlineStr">
        <is>
          <t>Urbana, University of Illinois Press [1974]</t>
        </is>
      </c>
      <c r="M504" t="inlineStr">
        <is>
          <t>1974</t>
        </is>
      </c>
      <c r="O504" t="inlineStr">
        <is>
          <t>eng</t>
        </is>
      </c>
      <c r="P504" t="inlineStr">
        <is>
          <t>ilu</t>
        </is>
      </c>
      <c r="R504" t="inlineStr">
        <is>
          <t xml:space="preserve">HQ </t>
        </is>
      </c>
      <c r="S504" t="n">
        <v>1</v>
      </c>
      <c r="T504" t="n">
        <v>1</v>
      </c>
      <c r="U504" t="inlineStr">
        <is>
          <t>1999-02-13</t>
        </is>
      </c>
      <c r="V504" t="inlineStr">
        <is>
          <t>1999-02-13</t>
        </is>
      </c>
      <c r="W504" t="inlineStr">
        <is>
          <t>1997-08-14</t>
        </is>
      </c>
      <c r="X504" t="inlineStr">
        <is>
          <t>1997-08-14</t>
        </is>
      </c>
      <c r="Y504" t="n">
        <v>614</v>
      </c>
      <c r="Z504" t="n">
        <v>489</v>
      </c>
      <c r="AA504" t="n">
        <v>495</v>
      </c>
      <c r="AB504" t="n">
        <v>4</v>
      </c>
      <c r="AC504" t="n">
        <v>4</v>
      </c>
      <c r="AD504" t="n">
        <v>20</v>
      </c>
      <c r="AE504" t="n">
        <v>20</v>
      </c>
      <c r="AF504" t="n">
        <v>9</v>
      </c>
      <c r="AG504" t="n">
        <v>9</v>
      </c>
      <c r="AH504" t="n">
        <v>3</v>
      </c>
      <c r="AI504" t="n">
        <v>3</v>
      </c>
      <c r="AJ504" t="n">
        <v>11</v>
      </c>
      <c r="AK504" t="n">
        <v>11</v>
      </c>
      <c r="AL504" t="n">
        <v>3</v>
      </c>
      <c r="AM504" t="n">
        <v>3</v>
      </c>
      <c r="AN504" t="n">
        <v>1</v>
      </c>
      <c r="AO504" t="n">
        <v>1</v>
      </c>
      <c r="AP504" t="inlineStr">
        <is>
          <t>No</t>
        </is>
      </c>
      <c r="AQ504" t="inlineStr">
        <is>
          <t>Yes</t>
        </is>
      </c>
      <c r="AR504">
        <f>HYPERLINK("http://catalog.hathitrust.org/Record/000227582","HathiTrust Record")</f>
        <v/>
      </c>
      <c r="AS504">
        <f>HYPERLINK("https://creighton-primo.hosted.exlibrisgroup.com/primo-explore/search?tab=default_tab&amp;search_scope=EVERYTHING&amp;vid=01CRU&amp;lang=en_US&amp;offset=0&amp;query=any,contains,991003498989702656","Catalog Record")</f>
        <v/>
      </c>
      <c r="AT504">
        <f>HYPERLINK("http://www.worldcat.org/oclc/1050797","WorldCat Record")</f>
        <v/>
      </c>
      <c r="AU504" t="inlineStr">
        <is>
          <t>421005:eng</t>
        </is>
      </c>
      <c r="AV504" t="inlineStr">
        <is>
          <t>1050797</t>
        </is>
      </c>
      <c r="AW504" t="inlineStr">
        <is>
          <t>991003498989702656</t>
        </is>
      </c>
      <c r="AX504" t="inlineStr">
        <is>
          <t>991003498989702656</t>
        </is>
      </c>
      <c r="AY504" t="inlineStr">
        <is>
          <t>2267624100002656</t>
        </is>
      </c>
      <c r="AZ504" t="inlineStr">
        <is>
          <t>BOOK</t>
        </is>
      </c>
      <c r="BB504" t="inlineStr">
        <is>
          <t>9780252002991</t>
        </is>
      </c>
      <c r="BC504" t="inlineStr">
        <is>
          <t>32285003103966</t>
        </is>
      </c>
      <c r="BD504" t="inlineStr">
        <is>
          <t>893900032</t>
        </is>
      </c>
    </row>
    <row r="505">
      <c r="A505" t="inlineStr">
        <is>
          <t>No</t>
        </is>
      </c>
      <c r="B505" t="inlineStr">
        <is>
          <t>HQ1180 .M54 1991</t>
        </is>
      </c>
      <c r="C505" t="inlineStr">
        <is>
          <t>0                      HQ 1180000M  54          1991</t>
        </is>
      </c>
      <c r="D505" t="inlineStr">
        <is>
          <t>Feminist research methods : an annotated bibliography / Connie Miller, with Corinna Treitel.</t>
        </is>
      </c>
      <c r="F505" t="inlineStr">
        <is>
          <t>No</t>
        </is>
      </c>
      <c r="G505" t="inlineStr">
        <is>
          <t>1</t>
        </is>
      </c>
      <c r="H505" t="inlineStr">
        <is>
          <t>No</t>
        </is>
      </c>
      <c r="I505" t="inlineStr">
        <is>
          <t>No</t>
        </is>
      </c>
      <c r="J505" t="inlineStr">
        <is>
          <t>0</t>
        </is>
      </c>
      <c r="K505" t="inlineStr">
        <is>
          <t>Miller, Connie.</t>
        </is>
      </c>
      <c r="L505" t="inlineStr">
        <is>
          <t>New York : Greenwood, 1991.</t>
        </is>
      </c>
      <c r="M505" t="inlineStr">
        <is>
          <t>1991</t>
        </is>
      </c>
      <c r="O505" t="inlineStr">
        <is>
          <t>eng</t>
        </is>
      </c>
      <c r="P505" t="inlineStr">
        <is>
          <t>nyu</t>
        </is>
      </c>
      <c r="Q505" t="inlineStr">
        <is>
          <t>Bibliographies and indexes in women's studies, 0742-6941 ; no. 13</t>
        </is>
      </c>
      <c r="R505" t="inlineStr">
        <is>
          <t xml:space="preserve">HQ </t>
        </is>
      </c>
      <c r="S505" t="n">
        <v>7</v>
      </c>
      <c r="T505" t="n">
        <v>7</v>
      </c>
      <c r="U505" t="inlineStr">
        <is>
          <t>2005-09-23</t>
        </is>
      </c>
      <c r="V505" t="inlineStr">
        <is>
          <t>2005-09-23</t>
        </is>
      </c>
      <c r="W505" t="inlineStr">
        <is>
          <t>1992-06-22</t>
        </is>
      </c>
      <c r="X505" t="inlineStr">
        <is>
          <t>1992-06-22</t>
        </is>
      </c>
      <c r="Y505" t="n">
        <v>446</v>
      </c>
      <c r="Z505" t="n">
        <v>354</v>
      </c>
      <c r="AA505" t="n">
        <v>359</v>
      </c>
      <c r="AB505" t="n">
        <v>3</v>
      </c>
      <c r="AC505" t="n">
        <v>3</v>
      </c>
      <c r="AD505" t="n">
        <v>14</v>
      </c>
      <c r="AE505" t="n">
        <v>14</v>
      </c>
      <c r="AF505" t="n">
        <v>5</v>
      </c>
      <c r="AG505" t="n">
        <v>5</v>
      </c>
      <c r="AH505" t="n">
        <v>2</v>
      </c>
      <c r="AI505" t="n">
        <v>2</v>
      </c>
      <c r="AJ505" t="n">
        <v>8</v>
      </c>
      <c r="AK505" t="n">
        <v>8</v>
      </c>
      <c r="AL505" t="n">
        <v>2</v>
      </c>
      <c r="AM505" t="n">
        <v>2</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HYPERLINK("https://creighton-primo.hosted.exlibrisgroup.com/primo-explore/search?tab=default_tab&amp;search_scope=EVERYTHING&amp;vid=01CRU&amp;lang=en_US&amp;offset=0&amp;query=any,contains,991001875839702656","Catalog Record")</f>
        <v/>
      </c>
      <c r="AT505">
        <f>HYPERLINK("http://www.worldcat.org/oclc/23687671","WorldCat Record")</f>
        <v/>
      </c>
      <c r="AU505" t="inlineStr">
        <is>
          <t>341413401:eng</t>
        </is>
      </c>
      <c r="AV505" t="inlineStr">
        <is>
          <t>23687671</t>
        </is>
      </c>
      <c r="AW505" t="inlineStr">
        <is>
          <t>991001875839702656</t>
        </is>
      </c>
      <c r="AX505" t="inlineStr">
        <is>
          <t>991001875839702656</t>
        </is>
      </c>
      <c r="AY505" t="inlineStr">
        <is>
          <t>2268025190002656</t>
        </is>
      </c>
      <c r="AZ505" t="inlineStr">
        <is>
          <t>BOOK</t>
        </is>
      </c>
      <c r="BB505" t="inlineStr">
        <is>
          <t>9780313260292</t>
        </is>
      </c>
      <c r="BC505" t="inlineStr">
        <is>
          <t>32285001129765</t>
        </is>
      </c>
      <c r="BD505" t="inlineStr">
        <is>
          <t>893497503</t>
        </is>
      </c>
    </row>
    <row r="506">
      <c r="A506" t="inlineStr">
        <is>
          <t>No</t>
        </is>
      </c>
      <c r="B506" t="inlineStr">
        <is>
          <t>HQ1180 .R448 1992</t>
        </is>
      </c>
      <c r="C506" t="inlineStr">
        <is>
          <t>0                      HQ 1180000R  448         1992</t>
        </is>
      </c>
      <c r="D506" t="inlineStr">
        <is>
          <t>Feminist methods in social research / Shulamit Reinharz with the assistance of Lynn Davidman.</t>
        </is>
      </c>
      <c r="F506" t="inlineStr">
        <is>
          <t>No</t>
        </is>
      </c>
      <c r="G506" t="inlineStr">
        <is>
          <t>1</t>
        </is>
      </c>
      <c r="H506" t="inlineStr">
        <is>
          <t>No</t>
        </is>
      </c>
      <c r="I506" t="inlineStr">
        <is>
          <t>No</t>
        </is>
      </c>
      <c r="J506" t="inlineStr">
        <is>
          <t>0</t>
        </is>
      </c>
      <c r="K506" t="inlineStr">
        <is>
          <t>Reinharz, Shulamit.</t>
        </is>
      </c>
      <c r="L506" t="inlineStr">
        <is>
          <t>New York : Oxford University Press, 1992.</t>
        </is>
      </c>
      <c r="M506" t="inlineStr">
        <is>
          <t>1992</t>
        </is>
      </c>
      <c r="O506" t="inlineStr">
        <is>
          <t>eng</t>
        </is>
      </c>
      <c r="P506" t="inlineStr">
        <is>
          <t>nyu</t>
        </is>
      </c>
      <c r="R506" t="inlineStr">
        <is>
          <t xml:space="preserve">HQ </t>
        </is>
      </c>
      <c r="S506" t="n">
        <v>8</v>
      </c>
      <c r="T506" t="n">
        <v>8</v>
      </c>
      <c r="U506" t="inlineStr">
        <is>
          <t>2007-09-06</t>
        </is>
      </c>
      <c r="V506" t="inlineStr">
        <is>
          <t>2007-09-06</t>
        </is>
      </c>
      <c r="W506" t="inlineStr">
        <is>
          <t>1993-02-11</t>
        </is>
      </c>
      <c r="X506" t="inlineStr">
        <is>
          <t>1993-02-11</t>
        </is>
      </c>
      <c r="Y506" t="n">
        <v>1000</v>
      </c>
      <c r="Z506" t="n">
        <v>721</v>
      </c>
      <c r="AA506" t="n">
        <v>1067</v>
      </c>
      <c r="AB506" t="n">
        <v>8</v>
      </c>
      <c r="AC506" t="n">
        <v>10</v>
      </c>
      <c r="AD506" t="n">
        <v>43</v>
      </c>
      <c r="AE506" t="n">
        <v>48</v>
      </c>
      <c r="AF506" t="n">
        <v>16</v>
      </c>
      <c r="AG506" t="n">
        <v>20</v>
      </c>
      <c r="AH506" t="n">
        <v>10</v>
      </c>
      <c r="AI506" t="n">
        <v>10</v>
      </c>
      <c r="AJ506" t="n">
        <v>21</v>
      </c>
      <c r="AK506" t="n">
        <v>22</v>
      </c>
      <c r="AL506" t="n">
        <v>7</v>
      </c>
      <c r="AM506" t="n">
        <v>8</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HYPERLINK("https://creighton-primo.hosted.exlibrisgroup.com/primo-explore/search?tab=default_tab&amp;search_scope=EVERYTHING&amp;vid=01CRU&amp;lang=en_US&amp;offset=0&amp;query=any,contains,991001916469702656","Catalog Record")</f>
        <v/>
      </c>
      <c r="AT506">
        <f>HYPERLINK("http://www.worldcat.org/oclc/24211005","WorldCat Record")</f>
        <v/>
      </c>
      <c r="AU506" t="inlineStr">
        <is>
          <t>986307:eng</t>
        </is>
      </c>
      <c r="AV506" t="inlineStr">
        <is>
          <t>24211005</t>
        </is>
      </c>
      <c r="AW506" t="inlineStr">
        <is>
          <t>991001916469702656</t>
        </is>
      </c>
      <c r="AX506" t="inlineStr">
        <is>
          <t>991001916469702656</t>
        </is>
      </c>
      <c r="AY506" t="inlineStr">
        <is>
          <t>2255785360002656</t>
        </is>
      </c>
      <c r="AZ506" t="inlineStr">
        <is>
          <t>BOOK</t>
        </is>
      </c>
      <c r="BB506" t="inlineStr">
        <is>
          <t>9780195073867</t>
        </is>
      </c>
      <c r="BC506" t="inlineStr">
        <is>
          <t>32285001495331</t>
        </is>
      </c>
      <c r="BD506" t="inlineStr">
        <is>
          <t>893439547</t>
        </is>
      </c>
    </row>
    <row r="507">
      <c r="A507" t="inlineStr">
        <is>
          <t>No</t>
        </is>
      </c>
      <c r="B507" t="inlineStr">
        <is>
          <t>HQ1180 .R64 2002</t>
        </is>
      </c>
      <c r="C507" t="inlineStr">
        <is>
          <t>0                      HQ 1180000R  64          2002</t>
        </is>
      </c>
      <c r="D507" t="inlineStr">
        <is>
          <t>Who's afraid of women's studies? : feminisms in everyday life / Mary F. Rogers and C.D. Garrett.</t>
        </is>
      </c>
      <c r="F507" t="inlineStr">
        <is>
          <t>No</t>
        </is>
      </c>
      <c r="G507" t="inlineStr">
        <is>
          <t>1</t>
        </is>
      </c>
      <c r="H507" t="inlineStr">
        <is>
          <t>No</t>
        </is>
      </c>
      <c r="I507" t="inlineStr">
        <is>
          <t>No</t>
        </is>
      </c>
      <c r="J507" t="inlineStr">
        <is>
          <t>0</t>
        </is>
      </c>
      <c r="K507" t="inlineStr">
        <is>
          <t>Rogers, Mary F. (Mary Frances), 1944-</t>
        </is>
      </c>
      <c r="L507" t="inlineStr">
        <is>
          <t>Walnut Creek, CA : AltaMira Press, c2002.</t>
        </is>
      </c>
      <c r="M507" t="inlineStr">
        <is>
          <t>2002</t>
        </is>
      </c>
      <c r="O507" t="inlineStr">
        <is>
          <t>eng</t>
        </is>
      </c>
      <c r="P507" t="inlineStr">
        <is>
          <t>cau</t>
        </is>
      </c>
      <c r="R507" t="inlineStr">
        <is>
          <t xml:space="preserve">HQ </t>
        </is>
      </c>
      <c r="S507" t="n">
        <v>3</v>
      </c>
      <c r="T507" t="n">
        <v>3</v>
      </c>
      <c r="U507" t="inlineStr">
        <is>
          <t>2002-11-16</t>
        </is>
      </c>
      <c r="V507" t="inlineStr">
        <is>
          <t>2002-11-16</t>
        </is>
      </c>
      <c r="W507" t="inlineStr">
        <is>
          <t>2002-10-30</t>
        </is>
      </c>
      <c r="X507" t="inlineStr">
        <is>
          <t>2002-10-30</t>
        </is>
      </c>
      <c r="Y507" t="n">
        <v>452</v>
      </c>
      <c r="Z507" t="n">
        <v>378</v>
      </c>
      <c r="AA507" t="n">
        <v>379</v>
      </c>
      <c r="AB507" t="n">
        <v>4</v>
      </c>
      <c r="AC507" t="n">
        <v>4</v>
      </c>
      <c r="AD507" t="n">
        <v>24</v>
      </c>
      <c r="AE507" t="n">
        <v>24</v>
      </c>
      <c r="AF507" t="n">
        <v>10</v>
      </c>
      <c r="AG507" t="n">
        <v>10</v>
      </c>
      <c r="AH507" t="n">
        <v>8</v>
      </c>
      <c r="AI507" t="n">
        <v>8</v>
      </c>
      <c r="AJ507" t="n">
        <v>9</v>
      </c>
      <c r="AK507" t="n">
        <v>9</v>
      </c>
      <c r="AL507" t="n">
        <v>3</v>
      </c>
      <c r="AM507" t="n">
        <v>3</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HYPERLINK("https://creighton-primo.hosted.exlibrisgroup.com/primo-explore/search?tab=default_tab&amp;search_scope=EVERYTHING&amp;vid=01CRU&amp;lang=en_US&amp;offset=0&amp;query=any,contains,991003873169702656","Catalog Record")</f>
        <v/>
      </c>
      <c r="AT507">
        <f>HYPERLINK("http://www.worldcat.org/oclc/50530054","WorldCat Record")</f>
        <v/>
      </c>
      <c r="AU507" t="inlineStr">
        <is>
          <t>375422155:eng</t>
        </is>
      </c>
      <c r="AV507" t="inlineStr">
        <is>
          <t>50530054</t>
        </is>
      </c>
      <c r="AW507" t="inlineStr">
        <is>
          <t>991003873169702656</t>
        </is>
      </c>
      <c r="AX507" t="inlineStr">
        <is>
          <t>991003873169702656</t>
        </is>
      </c>
      <c r="AY507" t="inlineStr">
        <is>
          <t>2255748770002656</t>
        </is>
      </c>
      <c r="AZ507" t="inlineStr">
        <is>
          <t>BOOK</t>
        </is>
      </c>
      <c r="BB507" t="inlineStr">
        <is>
          <t>9780759101739</t>
        </is>
      </c>
      <c r="BC507" t="inlineStr">
        <is>
          <t>32285004659149</t>
        </is>
      </c>
      <c r="BD507" t="inlineStr">
        <is>
          <t>893599087</t>
        </is>
      </c>
    </row>
    <row r="508">
      <c r="A508" t="inlineStr">
        <is>
          <t>No</t>
        </is>
      </c>
      <c r="B508" t="inlineStr">
        <is>
          <t>HQ1180 .T73 2001</t>
        </is>
      </c>
      <c r="C508" t="inlineStr">
        <is>
          <t>0                      HQ 1180000T  73          2001</t>
        </is>
      </c>
      <c r="D508" t="inlineStr">
        <is>
          <t>Transforming the disciplines : a women's studies primer / Elizabeth L. MacNabb ... [et al.].</t>
        </is>
      </c>
      <c r="F508" t="inlineStr">
        <is>
          <t>No</t>
        </is>
      </c>
      <c r="G508" t="inlineStr">
        <is>
          <t>1</t>
        </is>
      </c>
      <c r="H508" t="inlineStr">
        <is>
          <t>No</t>
        </is>
      </c>
      <c r="I508" t="inlineStr">
        <is>
          <t>No</t>
        </is>
      </c>
      <c r="J508" t="inlineStr">
        <is>
          <t>0</t>
        </is>
      </c>
      <c r="L508" t="inlineStr">
        <is>
          <t>New York : Haworth Press, c2001.</t>
        </is>
      </c>
      <c r="M508" t="inlineStr">
        <is>
          <t>2001</t>
        </is>
      </c>
      <c r="O508" t="inlineStr">
        <is>
          <t>eng</t>
        </is>
      </c>
      <c r="P508" t="inlineStr">
        <is>
          <t>nyu</t>
        </is>
      </c>
      <c r="R508" t="inlineStr">
        <is>
          <t xml:space="preserve">HQ </t>
        </is>
      </c>
      <c r="S508" t="n">
        <v>5</v>
      </c>
      <c r="T508" t="n">
        <v>5</v>
      </c>
      <c r="U508" t="inlineStr">
        <is>
          <t>2001-11-27</t>
        </is>
      </c>
      <c r="V508" t="inlineStr">
        <is>
          <t>2001-11-27</t>
        </is>
      </c>
      <c r="W508" t="inlineStr">
        <is>
          <t>2001-09-12</t>
        </is>
      </c>
      <c r="X508" t="inlineStr">
        <is>
          <t>2001-09-12</t>
        </is>
      </c>
      <c r="Y508" t="n">
        <v>665</v>
      </c>
      <c r="Z508" t="n">
        <v>589</v>
      </c>
      <c r="AA508" t="n">
        <v>749</v>
      </c>
      <c r="AB508" t="n">
        <v>4</v>
      </c>
      <c r="AC508" t="n">
        <v>4</v>
      </c>
      <c r="AD508" t="n">
        <v>27</v>
      </c>
      <c r="AE508" t="n">
        <v>29</v>
      </c>
      <c r="AF508" t="n">
        <v>13</v>
      </c>
      <c r="AG508" t="n">
        <v>14</v>
      </c>
      <c r="AH508" t="n">
        <v>8</v>
      </c>
      <c r="AI508" t="n">
        <v>8</v>
      </c>
      <c r="AJ508" t="n">
        <v>12</v>
      </c>
      <c r="AK508" t="n">
        <v>13</v>
      </c>
      <c r="AL508" t="n">
        <v>2</v>
      </c>
      <c r="AM508" t="n">
        <v>2</v>
      </c>
      <c r="AN508" t="n">
        <v>0</v>
      </c>
      <c r="AO508" t="n">
        <v>0</v>
      </c>
      <c r="AP508" t="inlineStr">
        <is>
          <t>No</t>
        </is>
      </c>
      <c r="AQ508" t="inlineStr">
        <is>
          <t>Yes</t>
        </is>
      </c>
      <c r="AR508">
        <f>HYPERLINK("http://catalog.hathitrust.org/Record/004178086","HathiTrust Record")</f>
        <v/>
      </c>
      <c r="AS508">
        <f>HYPERLINK("https://creighton-primo.hosted.exlibrisgroup.com/primo-explore/search?tab=default_tab&amp;search_scope=EVERYTHING&amp;vid=01CRU&amp;lang=en_US&amp;offset=0&amp;query=any,contains,991003598449702656","Catalog Record")</f>
        <v/>
      </c>
      <c r="AT508">
        <f>HYPERLINK("http://www.worldcat.org/oclc/44118091","WorldCat Record")</f>
        <v/>
      </c>
      <c r="AU508" t="inlineStr">
        <is>
          <t>797214098:eng</t>
        </is>
      </c>
      <c r="AV508" t="inlineStr">
        <is>
          <t>44118091</t>
        </is>
      </c>
      <c r="AW508" t="inlineStr">
        <is>
          <t>991003598449702656</t>
        </is>
      </c>
      <c r="AX508" t="inlineStr">
        <is>
          <t>991003598449702656</t>
        </is>
      </c>
      <c r="AY508" t="inlineStr">
        <is>
          <t>2266048970002656</t>
        </is>
      </c>
      <c r="AZ508" t="inlineStr">
        <is>
          <t>BOOK</t>
        </is>
      </c>
      <c r="BB508" t="inlineStr">
        <is>
          <t>9781560239598</t>
        </is>
      </c>
      <c r="BC508" t="inlineStr">
        <is>
          <t>32285004390927</t>
        </is>
      </c>
      <c r="BD508" t="inlineStr">
        <is>
          <t>893781163</t>
        </is>
      </c>
    </row>
    <row r="509">
      <c r="A509" t="inlineStr">
        <is>
          <t>No</t>
        </is>
      </c>
      <c r="B509" t="inlineStr">
        <is>
          <t>HQ1180 .W57 1996</t>
        </is>
      </c>
      <c r="C509" t="inlineStr">
        <is>
          <t>0                      HQ 1180000W  57          1996</t>
        </is>
      </c>
      <c r="D509" t="inlineStr">
        <is>
          <t>Wired women : gender and new realities in cyberspace / edited by Lynn Cherny and Elizabeth Reba Weise.</t>
        </is>
      </c>
      <c r="F509" t="inlineStr">
        <is>
          <t>No</t>
        </is>
      </c>
      <c r="G509" t="inlineStr">
        <is>
          <t>1</t>
        </is>
      </c>
      <c r="H509" t="inlineStr">
        <is>
          <t>No</t>
        </is>
      </c>
      <c r="I509" t="inlineStr">
        <is>
          <t>No</t>
        </is>
      </c>
      <c r="J509" t="inlineStr">
        <is>
          <t>0</t>
        </is>
      </c>
      <c r="L509" t="inlineStr">
        <is>
          <t>Seattle, Wash. : Seal Press ; [Emeryville, CA] : Distributed to the trade by Publishers Group West, c1996.</t>
        </is>
      </c>
      <c r="M509" t="inlineStr">
        <is>
          <t>1996</t>
        </is>
      </c>
      <c r="O509" t="inlineStr">
        <is>
          <t>eng</t>
        </is>
      </c>
      <c r="P509" t="inlineStr">
        <is>
          <t>wau</t>
        </is>
      </c>
      <c r="R509" t="inlineStr">
        <is>
          <t xml:space="preserve">HQ </t>
        </is>
      </c>
      <c r="S509" t="n">
        <v>15</v>
      </c>
      <c r="T509" t="n">
        <v>15</v>
      </c>
      <c r="U509" t="inlineStr">
        <is>
          <t>2003-05-05</t>
        </is>
      </c>
      <c r="V509" t="inlineStr">
        <is>
          <t>2003-05-05</t>
        </is>
      </c>
      <c r="W509" t="inlineStr">
        <is>
          <t>1996-06-19</t>
        </is>
      </c>
      <c r="X509" t="inlineStr">
        <is>
          <t>1996-06-19</t>
        </is>
      </c>
      <c r="Y509" t="n">
        <v>604</v>
      </c>
      <c r="Z509" t="n">
        <v>464</v>
      </c>
      <c r="AA509" t="n">
        <v>469</v>
      </c>
      <c r="AB509" t="n">
        <v>4</v>
      </c>
      <c r="AC509" t="n">
        <v>4</v>
      </c>
      <c r="AD509" t="n">
        <v>20</v>
      </c>
      <c r="AE509" t="n">
        <v>20</v>
      </c>
      <c r="AF509" t="n">
        <v>7</v>
      </c>
      <c r="AG509" t="n">
        <v>7</v>
      </c>
      <c r="AH509" t="n">
        <v>4</v>
      </c>
      <c r="AI509" t="n">
        <v>4</v>
      </c>
      <c r="AJ509" t="n">
        <v>12</v>
      </c>
      <c r="AK509" t="n">
        <v>12</v>
      </c>
      <c r="AL509" t="n">
        <v>3</v>
      </c>
      <c r="AM509" t="n">
        <v>3</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HYPERLINK("https://creighton-primo.hosted.exlibrisgroup.com/primo-explore/search?tab=default_tab&amp;search_scope=EVERYTHING&amp;vid=01CRU&amp;lang=en_US&amp;offset=0&amp;query=any,contains,991005422929702656","Catalog Record")</f>
        <v/>
      </c>
      <c r="AT509">
        <f>HYPERLINK("http://www.worldcat.org/oclc/33947404","WorldCat Record")</f>
        <v/>
      </c>
      <c r="AU509" t="inlineStr">
        <is>
          <t>855067100:eng</t>
        </is>
      </c>
      <c r="AV509" t="inlineStr">
        <is>
          <t>33947404</t>
        </is>
      </c>
      <c r="AW509" t="inlineStr">
        <is>
          <t>991005422929702656</t>
        </is>
      </c>
      <c r="AX509" t="inlineStr">
        <is>
          <t>991005422929702656</t>
        </is>
      </c>
      <c r="AY509" t="inlineStr">
        <is>
          <t>2261932330002656</t>
        </is>
      </c>
      <c r="AZ509" t="inlineStr">
        <is>
          <t>BOOK</t>
        </is>
      </c>
      <c r="BB509" t="inlineStr">
        <is>
          <t>9781878067739</t>
        </is>
      </c>
      <c r="BC509" t="inlineStr">
        <is>
          <t>32285002194560</t>
        </is>
      </c>
      <c r="BD509" t="inlineStr">
        <is>
          <t>893431484</t>
        </is>
      </c>
    </row>
    <row r="510">
      <c r="A510" t="inlineStr">
        <is>
          <t>No</t>
        </is>
      </c>
      <c r="B510" t="inlineStr">
        <is>
          <t>HQ1180 .W6754 2001</t>
        </is>
      </c>
      <c r="C510" t="inlineStr">
        <is>
          <t>0                      HQ 1180000W  6754        2001</t>
        </is>
      </c>
      <c r="D510" t="inlineStr">
        <is>
          <t>Women's studies : an interdisciplinary anthology / Roberta Rosenberg, editor.</t>
        </is>
      </c>
      <c r="F510" t="inlineStr">
        <is>
          <t>No</t>
        </is>
      </c>
      <c r="G510" t="inlineStr">
        <is>
          <t>1</t>
        </is>
      </c>
      <c r="H510" t="inlineStr">
        <is>
          <t>No</t>
        </is>
      </c>
      <c r="I510" t="inlineStr">
        <is>
          <t>No</t>
        </is>
      </c>
      <c r="J510" t="inlineStr">
        <is>
          <t>0</t>
        </is>
      </c>
      <c r="L510" t="inlineStr">
        <is>
          <t>New York : Peter Lang, c2001.</t>
        </is>
      </c>
      <c r="M510" t="inlineStr">
        <is>
          <t>2001</t>
        </is>
      </c>
      <c r="O510" t="inlineStr">
        <is>
          <t>eng</t>
        </is>
      </c>
      <c r="P510" t="inlineStr">
        <is>
          <t>nyu</t>
        </is>
      </c>
      <c r="R510" t="inlineStr">
        <is>
          <t xml:space="preserve">HQ </t>
        </is>
      </c>
      <c r="S510" t="n">
        <v>3</v>
      </c>
      <c r="T510" t="n">
        <v>3</v>
      </c>
      <c r="U510" t="inlineStr">
        <is>
          <t>2005-09-07</t>
        </is>
      </c>
      <c r="V510" t="inlineStr">
        <is>
          <t>2005-09-07</t>
        </is>
      </c>
      <c r="W510" t="inlineStr">
        <is>
          <t>2001-09-12</t>
        </is>
      </c>
      <c r="X510" t="inlineStr">
        <is>
          <t>2001-09-12</t>
        </is>
      </c>
      <c r="Y510" t="n">
        <v>179</v>
      </c>
      <c r="Z510" t="n">
        <v>143</v>
      </c>
      <c r="AA510" t="n">
        <v>179</v>
      </c>
      <c r="AB510" t="n">
        <v>1</v>
      </c>
      <c r="AC510" t="n">
        <v>1</v>
      </c>
      <c r="AD510" t="n">
        <v>7</v>
      </c>
      <c r="AE510" t="n">
        <v>8</v>
      </c>
      <c r="AF510" t="n">
        <v>1</v>
      </c>
      <c r="AG510" t="n">
        <v>2</v>
      </c>
      <c r="AH510" t="n">
        <v>4</v>
      </c>
      <c r="AI510" t="n">
        <v>4</v>
      </c>
      <c r="AJ510" t="n">
        <v>5</v>
      </c>
      <c r="AK510" t="n">
        <v>5</v>
      </c>
      <c r="AL510" t="n">
        <v>0</v>
      </c>
      <c r="AM510" t="n">
        <v>0</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HYPERLINK("https://creighton-primo.hosted.exlibrisgroup.com/primo-explore/search?tab=default_tab&amp;search_scope=EVERYTHING&amp;vid=01CRU&amp;lang=en_US&amp;offset=0&amp;query=any,contains,991003610209702656","Catalog Record")</f>
        <v/>
      </c>
      <c r="AT510">
        <f>HYPERLINK("http://www.worldcat.org/oclc/45115816","WorldCat Record")</f>
        <v/>
      </c>
      <c r="AU510" t="inlineStr">
        <is>
          <t>793975870:eng</t>
        </is>
      </c>
      <c r="AV510" t="inlineStr">
        <is>
          <t>45115816</t>
        </is>
      </c>
      <c r="AW510" t="inlineStr">
        <is>
          <t>991003610209702656</t>
        </is>
      </c>
      <c r="AX510" t="inlineStr">
        <is>
          <t>991003610209702656</t>
        </is>
      </c>
      <c r="AY510" t="inlineStr">
        <is>
          <t>2268458040002656</t>
        </is>
      </c>
      <c r="AZ510" t="inlineStr">
        <is>
          <t>BOOK</t>
        </is>
      </c>
      <c r="BB510" t="inlineStr">
        <is>
          <t>9780820444437</t>
        </is>
      </c>
      <c r="BC510" t="inlineStr">
        <is>
          <t>32285004390786</t>
        </is>
      </c>
      <c r="BD510" t="inlineStr">
        <is>
          <t>893611223</t>
        </is>
      </c>
    </row>
    <row r="511">
      <c r="A511" t="inlineStr">
        <is>
          <t>No</t>
        </is>
      </c>
      <c r="B511" t="inlineStr">
        <is>
          <t>HQ1180 .W6765 2005</t>
        </is>
      </c>
      <c r="C511" t="inlineStr">
        <is>
          <t>0                      HQ 1180000W  6765        2005</t>
        </is>
      </c>
      <c r="D511" t="inlineStr">
        <is>
          <t>Women's studies for the future : foundations, interrogations, politics / edited by Elizabeth Lapovsky Kennedy, Agatha Beins.</t>
        </is>
      </c>
      <c r="F511" t="inlineStr">
        <is>
          <t>No</t>
        </is>
      </c>
      <c r="G511" t="inlineStr">
        <is>
          <t>1</t>
        </is>
      </c>
      <c r="H511" t="inlineStr">
        <is>
          <t>No</t>
        </is>
      </c>
      <c r="I511" t="inlineStr">
        <is>
          <t>No</t>
        </is>
      </c>
      <c r="J511" t="inlineStr">
        <is>
          <t>0</t>
        </is>
      </c>
      <c r="L511" t="inlineStr">
        <is>
          <t>New Brunswick, N.J. : Rutgers University Press, c2005.</t>
        </is>
      </c>
      <c r="M511" t="inlineStr">
        <is>
          <t>2005</t>
        </is>
      </c>
      <c r="O511" t="inlineStr">
        <is>
          <t>eng</t>
        </is>
      </c>
      <c r="P511" t="inlineStr">
        <is>
          <t>nju</t>
        </is>
      </c>
      <c r="R511" t="inlineStr">
        <is>
          <t xml:space="preserve">HQ </t>
        </is>
      </c>
      <c r="S511" t="n">
        <v>1</v>
      </c>
      <c r="T511" t="n">
        <v>1</v>
      </c>
      <c r="U511" t="inlineStr">
        <is>
          <t>2005-10-27</t>
        </is>
      </c>
      <c r="V511" t="inlineStr">
        <is>
          <t>2005-10-27</t>
        </is>
      </c>
      <c r="W511" t="inlineStr">
        <is>
          <t>2005-10-27</t>
        </is>
      </c>
      <c r="X511" t="inlineStr">
        <is>
          <t>2005-10-27</t>
        </is>
      </c>
      <c r="Y511" t="n">
        <v>360</v>
      </c>
      <c r="Z511" t="n">
        <v>289</v>
      </c>
      <c r="AA511" t="n">
        <v>327</v>
      </c>
      <c r="AB511" t="n">
        <v>2</v>
      </c>
      <c r="AC511" t="n">
        <v>2</v>
      </c>
      <c r="AD511" t="n">
        <v>16</v>
      </c>
      <c r="AE511" t="n">
        <v>17</v>
      </c>
      <c r="AF511" t="n">
        <v>4</v>
      </c>
      <c r="AG511" t="n">
        <v>5</v>
      </c>
      <c r="AH511" t="n">
        <v>4</v>
      </c>
      <c r="AI511" t="n">
        <v>4</v>
      </c>
      <c r="AJ511" t="n">
        <v>10</v>
      </c>
      <c r="AK511" t="n">
        <v>10</v>
      </c>
      <c r="AL511" t="n">
        <v>1</v>
      </c>
      <c r="AM511" t="n">
        <v>1</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HYPERLINK("https://creighton-primo.hosted.exlibrisgroup.com/primo-explore/search?tab=default_tab&amp;search_scope=EVERYTHING&amp;vid=01CRU&amp;lang=en_US&amp;offset=0&amp;query=any,contains,991004614009702656","Catalog Record")</f>
        <v/>
      </c>
      <c r="AT511">
        <f>HYPERLINK("http://www.worldcat.org/oclc/56951279","WorldCat Record")</f>
        <v/>
      </c>
      <c r="AU511" t="inlineStr">
        <is>
          <t>905885172:eng</t>
        </is>
      </c>
      <c r="AV511" t="inlineStr">
        <is>
          <t>56951279</t>
        </is>
      </c>
      <c r="AW511" t="inlineStr">
        <is>
          <t>991004614009702656</t>
        </is>
      </c>
      <c r="AX511" t="inlineStr">
        <is>
          <t>991004614009702656</t>
        </is>
      </c>
      <c r="AY511" t="inlineStr">
        <is>
          <t>2263418800002656</t>
        </is>
      </c>
      <c r="AZ511" t="inlineStr">
        <is>
          <t>BOOK</t>
        </is>
      </c>
      <c r="BB511" t="inlineStr">
        <is>
          <t>9780813536187</t>
        </is>
      </c>
      <c r="BC511" t="inlineStr">
        <is>
          <t>32285005142723</t>
        </is>
      </c>
      <c r="BD511" t="inlineStr">
        <is>
          <t>893606240</t>
        </is>
      </c>
    </row>
    <row r="512">
      <c r="A512" t="inlineStr">
        <is>
          <t>No</t>
        </is>
      </c>
      <c r="B512" t="inlineStr">
        <is>
          <t>HQ1181.D65 D63 2000</t>
        </is>
      </c>
      <c r="C512" t="inlineStr">
        <is>
          <t>0                      HQ 1181000D  65                 D  63          2000</t>
        </is>
      </c>
      <c r="D512" t="inlineStr">
        <is>
          <t>Documents of dissidence: selected writings of Dominican women / compilation, bibliography and intoduction by Daisy Cocco De Filippis.</t>
        </is>
      </c>
      <c r="F512" t="inlineStr">
        <is>
          <t>No</t>
        </is>
      </c>
      <c r="G512" t="inlineStr">
        <is>
          <t>1</t>
        </is>
      </c>
      <c r="H512" t="inlineStr">
        <is>
          <t>No</t>
        </is>
      </c>
      <c r="I512" t="inlineStr">
        <is>
          <t>No</t>
        </is>
      </c>
      <c r="J512" t="inlineStr">
        <is>
          <t>0</t>
        </is>
      </c>
      <c r="K512" t="inlineStr">
        <is>
          <t>Cocco-DeFilippis, Daisy, 1949-</t>
        </is>
      </c>
      <c r="L512" t="inlineStr">
        <is>
          <t>New York : CUNY Dominican Studies Institute, c2000.</t>
        </is>
      </c>
      <c r="M512" t="inlineStr">
        <is>
          <t>2000</t>
        </is>
      </c>
      <c r="O512" t="inlineStr">
        <is>
          <t>eng</t>
        </is>
      </c>
      <c r="P512" t="inlineStr">
        <is>
          <t>nyu</t>
        </is>
      </c>
      <c r="Q512" t="inlineStr">
        <is>
          <t>Dominican research monographs</t>
        </is>
      </c>
      <c r="R512" t="inlineStr">
        <is>
          <t xml:space="preserve">HQ </t>
        </is>
      </c>
      <c r="S512" t="n">
        <v>3</v>
      </c>
      <c r="T512" t="n">
        <v>3</v>
      </c>
      <c r="U512" t="inlineStr">
        <is>
          <t>2009-03-02</t>
        </is>
      </c>
      <c r="V512" t="inlineStr">
        <is>
          <t>2009-03-02</t>
        </is>
      </c>
      <c r="W512" t="inlineStr">
        <is>
          <t>2001-06-13</t>
        </is>
      </c>
      <c r="X512" t="inlineStr">
        <is>
          <t>2001-06-13</t>
        </is>
      </c>
      <c r="Y512" t="n">
        <v>75</v>
      </c>
      <c r="Z512" t="n">
        <v>72</v>
      </c>
      <c r="AA512" t="n">
        <v>74</v>
      </c>
      <c r="AB512" t="n">
        <v>1</v>
      </c>
      <c r="AC512" t="n">
        <v>1</v>
      </c>
      <c r="AD512" t="n">
        <v>4</v>
      </c>
      <c r="AE512" t="n">
        <v>4</v>
      </c>
      <c r="AF512" t="n">
        <v>1</v>
      </c>
      <c r="AG512" t="n">
        <v>1</v>
      </c>
      <c r="AH512" t="n">
        <v>2</v>
      </c>
      <c r="AI512" t="n">
        <v>2</v>
      </c>
      <c r="AJ512" t="n">
        <v>2</v>
      </c>
      <c r="AK512" t="n">
        <v>2</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HYPERLINK("https://creighton-primo.hosted.exlibrisgroup.com/primo-explore/search?tab=default_tab&amp;search_scope=EVERYTHING&amp;vid=01CRU&amp;lang=en_US&amp;offset=0&amp;query=any,contains,991003546019702656","Catalog Record")</f>
        <v/>
      </c>
      <c r="AT512">
        <f>HYPERLINK("http://www.worldcat.org/oclc/44273825","WorldCat Record")</f>
        <v/>
      </c>
      <c r="AU512" t="inlineStr">
        <is>
          <t>33334708:eng</t>
        </is>
      </c>
      <c r="AV512" t="inlineStr">
        <is>
          <t>44273825</t>
        </is>
      </c>
      <c r="AW512" t="inlineStr">
        <is>
          <t>991003546019702656</t>
        </is>
      </c>
      <c r="AX512" t="inlineStr">
        <is>
          <t>991003546019702656</t>
        </is>
      </c>
      <c r="AY512" t="inlineStr">
        <is>
          <t>2260347980002656</t>
        </is>
      </c>
      <c r="AZ512" t="inlineStr">
        <is>
          <t>BOOK</t>
        </is>
      </c>
      <c r="BB512" t="inlineStr">
        <is>
          <t>9780967674124</t>
        </is>
      </c>
      <c r="BC512" t="inlineStr">
        <is>
          <t>32285004327309</t>
        </is>
      </c>
      <c r="BD512" t="inlineStr">
        <is>
          <t>893234274</t>
        </is>
      </c>
    </row>
    <row r="513">
      <c r="A513" t="inlineStr">
        <is>
          <t>No</t>
        </is>
      </c>
      <c r="B513" t="inlineStr">
        <is>
          <t>HQ1181.U5 M37 2000</t>
        </is>
      </c>
      <c r="C513" t="inlineStr">
        <is>
          <t>0                      HQ 1181000U  5                  M  37          2000</t>
        </is>
      </c>
      <c r="D513" t="inlineStr">
        <is>
          <t>Can we wear our pearls and still be feminists? : memoirs of a campus struggle / Joan D. Mandle.</t>
        </is>
      </c>
      <c r="F513" t="inlineStr">
        <is>
          <t>No</t>
        </is>
      </c>
      <c r="G513" t="inlineStr">
        <is>
          <t>1</t>
        </is>
      </c>
      <c r="H513" t="inlineStr">
        <is>
          <t>No</t>
        </is>
      </c>
      <c r="I513" t="inlineStr">
        <is>
          <t>No</t>
        </is>
      </c>
      <c r="J513" t="inlineStr">
        <is>
          <t>0</t>
        </is>
      </c>
      <c r="K513" t="inlineStr">
        <is>
          <t>Mandle, Joan D.</t>
        </is>
      </c>
      <c r="L513" t="inlineStr">
        <is>
          <t>Columbia : University of Missouri Press, c2000.</t>
        </is>
      </c>
      <c r="M513" t="inlineStr">
        <is>
          <t>2000</t>
        </is>
      </c>
      <c r="O513" t="inlineStr">
        <is>
          <t>eng</t>
        </is>
      </c>
      <c r="P513" t="inlineStr">
        <is>
          <t>mou</t>
        </is>
      </c>
      <c r="R513" t="inlineStr">
        <is>
          <t xml:space="preserve">HQ </t>
        </is>
      </c>
      <c r="S513" t="n">
        <v>3</v>
      </c>
      <c r="T513" t="n">
        <v>3</v>
      </c>
      <c r="U513" t="inlineStr">
        <is>
          <t>2007-12-14</t>
        </is>
      </c>
      <c r="V513" t="inlineStr">
        <is>
          <t>2007-12-14</t>
        </is>
      </c>
      <c r="W513" t="inlineStr">
        <is>
          <t>2001-05-14</t>
        </is>
      </c>
      <c r="X513" t="inlineStr">
        <is>
          <t>2001-05-14</t>
        </is>
      </c>
      <c r="Y513" t="n">
        <v>405</v>
      </c>
      <c r="Z513" t="n">
        <v>365</v>
      </c>
      <c r="AA513" t="n">
        <v>938</v>
      </c>
      <c r="AB513" t="n">
        <v>1</v>
      </c>
      <c r="AC513" t="n">
        <v>7</v>
      </c>
      <c r="AD513" t="n">
        <v>19</v>
      </c>
      <c r="AE513" t="n">
        <v>35</v>
      </c>
      <c r="AF513" t="n">
        <v>5</v>
      </c>
      <c r="AG513" t="n">
        <v>10</v>
      </c>
      <c r="AH513" t="n">
        <v>10</v>
      </c>
      <c r="AI513" t="n">
        <v>10</v>
      </c>
      <c r="AJ513" t="n">
        <v>11</v>
      </c>
      <c r="AK513" t="n">
        <v>15</v>
      </c>
      <c r="AL513" t="n">
        <v>0</v>
      </c>
      <c r="AM513" t="n">
        <v>6</v>
      </c>
      <c r="AN513" t="n">
        <v>0</v>
      </c>
      <c r="AO513" t="n">
        <v>1</v>
      </c>
      <c r="AP513" t="inlineStr">
        <is>
          <t>No</t>
        </is>
      </c>
      <c r="AQ513" t="inlineStr">
        <is>
          <t>Yes</t>
        </is>
      </c>
      <c r="AR513">
        <f>HYPERLINK("http://catalog.hathitrust.org/Record/004103921","HathiTrust Record")</f>
        <v/>
      </c>
      <c r="AS513">
        <f>HYPERLINK("https://creighton-primo.hosted.exlibrisgroup.com/primo-explore/search?tab=default_tab&amp;search_scope=EVERYTHING&amp;vid=01CRU&amp;lang=en_US&amp;offset=0&amp;query=any,contains,991003514779702656","Catalog Record")</f>
        <v/>
      </c>
      <c r="AT513">
        <f>HYPERLINK("http://www.worldcat.org/oclc/43757499","WorldCat Record")</f>
        <v/>
      </c>
      <c r="AU513" t="inlineStr">
        <is>
          <t>793876673:eng</t>
        </is>
      </c>
      <c r="AV513" t="inlineStr">
        <is>
          <t>43757499</t>
        </is>
      </c>
      <c r="AW513" t="inlineStr">
        <is>
          <t>991003514779702656</t>
        </is>
      </c>
      <c r="AX513" t="inlineStr">
        <is>
          <t>991003514779702656</t>
        </is>
      </c>
      <c r="AY513" t="inlineStr">
        <is>
          <t>2270096170002656</t>
        </is>
      </c>
      <c r="AZ513" t="inlineStr">
        <is>
          <t>BOOK</t>
        </is>
      </c>
      <c r="BB513" t="inlineStr">
        <is>
          <t>9780826212894</t>
        </is>
      </c>
      <c r="BC513" t="inlineStr">
        <is>
          <t>32285004317318</t>
        </is>
      </c>
      <c r="BD513" t="inlineStr">
        <is>
          <t>893524891</t>
        </is>
      </c>
    </row>
    <row r="514">
      <c r="A514" t="inlineStr">
        <is>
          <t>No</t>
        </is>
      </c>
      <c r="B514" t="inlineStr">
        <is>
          <t>HQ1181.U5 P65 2000</t>
        </is>
      </c>
      <c r="C514" t="inlineStr">
        <is>
          <t>0                      HQ 1181000U  5                  P  65          2000</t>
        </is>
      </c>
      <c r="D514" t="inlineStr">
        <is>
          <t>The politics of women's studies : testimony from thirty founding mothers / edited by Florence Howe ; introduction by Mari Jo Buhle.</t>
        </is>
      </c>
      <c r="F514" t="inlineStr">
        <is>
          <t>No</t>
        </is>
      </c>
      <c r="G514" t="inlineStr">
        <is>
          <t>1</t>
        </is>
      </c>
      <c r="H514" t="inlineStr">
        <is>
          <t>No</t>
        </is>
      </c>
      <c r="I514" t="inlineStr">
        <is>
          <t>No</t>
        </is>
      </c>
      <c r="J514" t="inlineStr">
        <is>
          <t>0</t>
        </is>
      </c>
      <c r="L514" t="inlineStr">
        <is>
          <t>New York : Feminist Press, c2000.</t>
        </is>
      </c>
      <c r="M514" t="inlineStr">
        <is>
          <t>2000</t>
        </is>
      </c>
      <c r="N514" t="inlineStr">
        <is>
          <t>1st ed.</t>
        </is>
      </c>
      <c r="O514" t="inlineStr">
        <is>
          <t>eng</t>
        </is>
      </c>
      <c r="P514" t="inlineStr">
        <is>
          <t>nyu</t>
        </is>
      </c>
      <c r="Q514" t="inlineStr">
        <is>
          <t>The women's studies history series ; v. 1</t>
        </is>
      </c>
      <c r="R514" t="inlineStr">
        <is>
          <t xml:space="preserve">HQ </t>
        </is>
      </c>
      <c r="S514" t="n">
        <v>2</v>
      </c>
      <c r="T514" t="n">
        <v>2</v>
      </c>
      <c r="U514" t="inlineStr">
        <is>
          <t>2003-07-10</t>
        </is>
      </c>
      <c r="V514" t="inlineStr">
        <is>
          <t>2003-07-10</t>
        </is>
      </c>
      <c r="W514" t="inlineStr">
        <is>
          <t>2003-06-23</t>
        </is>
      </c>
      <c r="X514" t="inlineStr">
        <is>
          <t>2003-06-23</t>
        </is>
      </c>
      <c r="Y514" t="n">
        <v>519</v>
      </c>
      <c r="Z514" t="n">
        <v>470</v>
      </c>
      <c r="AA514" t="n">
        <v>478</v>
      </c>
      <c r="AB514" t="n">
        <v>3</v>
      </c>
      <c r="AC514" t="n">
        <v>3</v>
      </c>
      <c r="AD514" t="n">
        <v>29</v>
      </c>
      <c r="AE514" t="n">
        <v>29</v>
      </c>
      <c r="AF514" t="n">
        <v>10</v>
      </c>
      <c r="AG514" t="n">
        <v>10</v>
      </c>
      <c r="AH514" t="n">
        <v>7</v>
      </c>
      <c r="AI514" t="n">
        <v>7</v>
      </c>
      <c r="AJ514" t="n">
        <v>14</v>
      </c>
      <c r="AK514" t="n">
        <v>14</v>
      </c>
      <c r="AL514" t="n">
        <v>2</v>
      </c>
      <c r="AM514" t="n">
        <v>2</v>
      </c>
      <c r="AN514" t="n">
        <v>2</v>
      </c>
      <c r="AO514" t="n">
        <v>2</v>
      </c>
      <c r="AP514" t="inlineStr">
        <is>
          <t>No</t>
        </is>
      </c>
      <c r="AQ514" t="inlineStr">
        <is>
          <t>No</t>
        </is>
      </c>
      <c r="AS514">
        <f>HYPERLINK("https://creighton-primo.hosted.exlibrisgroup.com/primo-explore/search?tab=default_tab&amp;search_scope=EVERYTHING&amp;vid=01CRU&amp;lang=en_US&amp;offset=0&amp;query=any,contains,991004072799702656","Catalog Record")</f>
        <v/>
      </c>
      <c r="AT514">
        <f>HYPERLINK("http://www.worldcat.org/oclc/44313456","WorldCat Record")</f>
        <v/>
      </c>
      <c r="AU514" t="inlineStr">
        <is>
          <t>905882155:eng</t>
        </is>
      </c>
      <c r="AV514" t="inlineStr">
        <is>
          <t>44313456</t>
        </is>
      </c>
      <c r="AW514" t="inlineStr">
        <is>
          <t>991004072799702656</t>
        </is>
      </c>
      <c r="AX514" t="inlineStr">
        <is>
          <t>991004072799702656</t>
        </is>
      </c>
      <c r="AY514" t="inlineStr">
        <is>
          <t>2257068490002656</t>
        </is>
      </c>
      <c r="AZ514" t="inlineStr">
        <is>
          <t>BOOK</t>
        </is>
      </c>
      <c r="BB514" t="inlineStr">
        <is>
          <t>9781558612402</t>
        </is>
      </c>
      <c r="BC514" t="inlineStr">
        <is>
          <t>32285004754171</t>
        </is>
      </c>
      <c r="BD514" t="inlineStr">
        <is>
          <t>893788242</t>
        </is>
      </c>
    </row>
    <row r="515">
      <c r="A515" t="inlineStr">
        <is>
          <t>No</t>
        </is>
      </c>
      <c r="B515" t="inlineStr">
        <is>
          <t>HQ1181.U5 P7 2000</t>
        </is>
      </c>
      <c r="C515" t="inlineStr">
        <is>
          <t>0                      HQ 1181000U  5                  P  7           2000</t>
        </is>
      </c>
      <c r="D515" t="inlineStr">
        <is>
          <t>The practice of change : concepts and models for service-learning in women's studies / Barbara J. Balliet and Kerrissa Heffernan, volume editors ; Edward Zlotkowski, series editor.</t>
        </is>
      </c>
      <c r="F515" t="inlineStr">
        <is>
          <t>No</t>
        </is>
      </c>
      <c r="G515" t="inlineStr">
        <is>
          <t>1</t>
        </is>
      </c>
      <c r="H515" t="inlineStr">
        <is>
          <t>No</t>
        </is>
      </c>
      <c r="I515" t="inlineStr">
        <is>
          <t>No</t>
        </is>
      </c>
      <c r="J515" t="inlineStr">
        <is>
          <t>0</t>
        </is>
      </c>
      <c r="L515" t="inlineStr">
        <is>
          <t>Washington, DC : American Association for Higher Education, c2000.</t>
        </is>
      </c>
      <c r="M515" t="inlineStr">
        <is>
          <t>2000</t>
        </is>
      </c>
      <c r="O515" t="inlineStr">
        <is>
          <t>eng</t>
        </is>
      </c>
      <c r="P515" t="inlineStr">
        <is>
          <t>dcu</t>
        </is>
      </c>
      <c r="Q515" t="inlineStr">
        <is>
          <t>AAHE's series on service-learning in the disciplines</t>
        </is>
      </c>
      <c r="R515" t="inlineStr">
        <is>
          <t xml:space="preserve">HQ </t>
        </is>
      </c>
      <c r="S515" t="n">
        <v>1</v>
      </c>
      <c r="T515" t="n">
        <v>1</v>
      </c>
      <c r="U515" t="inlineStr">
        <is>
          <t>2000-08-29</t>
        </is>
      </c>
      <c r="V515" t="inlineStr">
        <is>
          <t>2000-08-29</t>
        </is>
      </c>
      <c r="W515" t="inlineStr">
        <is>
          <t>2000-08-29</t>
        </is>
      </c>
      <c r="X515" t="inlineStr">
        <is>
          <t>2000-08-29</t>
        </is>
      </c>
      <c r="Y515" t="n">
        <v>399</v>
      </c>
      <c r="Z515" t="n">
        <v>384</v>
      </c>
      <c r="AA515" t="n">
        <v>394</v>
      </c>
      <c r="AB515" t="n">
        <v>6</v>
      </c>
      <c r="AC515" t="n">
        <v>6</v>
      </c>
      <c r="AD515" t="n">
        <v>29</v>
      </c>
      <c r="AE515" t="n">
        <v>29</v>
      </c>
      <c r="AF515" t="n">
        <v>12</v>
      </c>
      <c r="AG515" t="n">
        <v>12</v>
      </c>
      <c r="AH515" t="n">
        <v>6</v>
      </c>
      <c r="AI515" t="n">
        <v>6</v>
      </c>
      <c r="AJ515" t="n">
        <v>13</v>
      </c>
      <c r="AK515" t="n">
        <v>13</v>
      </c>
      <c r="AL515" t="n">
        <v>5</v>
      </c>
      <c r="AM515" t="n">
        <v>5</v>
      </c>
      <c r="AN515" t="n">
        <v>0</v>
      </c>
      <c r="AO515" t="n">
        <v>0</v>
      </c>
      <c r="AP515" t="inlineStr">
        <is>
          <t>No</t>
        </is>
      </c>
      <c r="AQ515" t="inlineStr">
        <is>
          <t>Yes</t>
        </is>
      </c>
      <c r="AR515">
        <f>HYPERLINK("http://catalog.hathitrust.org/Record/003503333","HathiTrust Record")</f>
        <v/>
      </c>
      <c r="AS515">
        <f>HYPERLINK("https://creighton-primo.hosted.exlibrisgroup.com/primo-explore/search?tab=default_tab&amp;search_scope=EVERYTHING&amp;vid=01CRU&amp;lang=en_US&amp;offset=0&amp;query=any,contains,991003265579702656","Catalog Record")</f>
        <v/>
      </c>
      <c r="AT515">
        <f>HYPERLINK("http://www.worldcat.org/oclc/44752096","WorldCat Record")</f>
        <v/>
      </c>
      <c r="AU515" t="inlineStr">
        <is>
          <t>475883491:eng</t>
        </is>
      </c>
      <c r="AV515" t="inlineStr">
        <is>
          <t>44752096</t>
        </is>
      </c>
      <c r="AW515" t="inlineStr">
        <is>
          <t>991003265579702656</t>
        </is>
      </c>
      <c r="AX515" t="inlineStr">
        <is>
          <t>991003265579702656</t>
        </is>
      </c>
      <c r="AY515" t="inlineStr">
        <is>
          <t>2258441020002656</t>
        </is>
      </c>
      <c r="AZ515" t="inlineStr">
        <is>
          <t>BOOK</t>
        </is>
      </c>
      <c r="BB515" t="inlineStr">
        <is>
          <t>9781563770234</t>
        </is>
      </c>
      <c r="BC515" t="inlineStr">
        <is>
          <t>32285003759908</t>
        </is>
      </c>
      <c r="BD515" t="inlineStr">
        <is>
          <t>893899790</t>
        </is>
      </c>
    </row>
    <row r="516">
      <c r="A516" t="inlineStr">
        <is>
          <t>No</t>
        </is>
      </c>
      <c r="B516" t="inlineStr">
        <is>
          <t>HQ1181.U5 R8 1983</t>
        </is>
      </c>
      <c r="C516" t="inlineStr">
        <is>
          <t>0                      HQ 1181000U  5                  R  8           1983</t>
        </is>
      </c>
      <c r="D516" t="inlineStr">
        <is>
          <t>How to get money for research / Mary Rubin and the Business and Professional Women's Foundation ; foreword by Mariam Chamberlain.</t>
        </is>
      </c>
      <c r="F516" t="inlineStr">
        <is>
          <t>No</t>
        </is>
      </c>
      <c r="G516" t="inlineStr">
        <is>
          <t>1</t>
        </is>
      </c>
      <c r="H516" t="inlineStr">
        <is>
          <t>No</t>
        </is>
      </c>
      <c r="I516" t="inlineStr">
        <is>
          <t>No</t>
        </is>
      </c>
      <c r="J516" t="inlineStr">
        <is>
          <t>0</t>
        </is>
      </c>
      <c r="K516" t="inlineStr">
        <is>
          <t>Rubin, Mary, 1957-</t>
        </is>
      </c>
      <c r="L516" t="inlineStr">
        <is>
          <t>Old Westbury, N.Y. : Feminist Press, c1983.</t>
        </is>
      </c>
      <c r="M516" t="inlineStr">
        <is>
          <t>1983</t>
        </is>
      </c>
      <c r="N516" t="inlineStr">
        <is>
          <t>1st ed.</t>
        </is>
      </c>
      <c r="O516" t="inlineStr">
        <is>
          <t>eng</t>
        </is>
      </c>
      <c r="P516" t="inlineStr">
        <is>
          <t>nyu</t>
        </is>
      </c>
      <c r="R516" t="inlineStr">
        <is>
          <t xml:space="preserve">HQ </t>
        </is>
      </c>
      <c r="S516" t="n">
        <v>5</v>
      </c>
      <c r="T516" t="n">
        <v>5</v>
      </c>
      <c r="U516" t="inlineStr">
        <is>
          <t>1995-11-19</t>
        </is>
      </c>
      <c r="V516" t="inlineStr">
        <is>
          <t>1995-11-19</t>
        </is>
      </c>
      <c r="W516" t="inlineStr">
        <is>
          <t>1993-04-27</t>
        </is>
      </c>
      <c r="X516" t="inlineStr">
        <is>
          <t>1993-04-27</t>
        </is>
      </c>
      <c r="Y516" t="n">
        <v>288</v>
      </c>
      <c r="Z516" t="n">
        <v>272</v>
      </c>
      <c r="AA516" t="n">
        <v>278</v>
      </c>
      <c r="AB516" t="n">
        <v>2</v>
      </c>
      <c r="AC516" t="n">
        <v>2</v>
      </c>
      <c r="AD516" t="n">
        <v>5</v>
      </c>
      <c r="AE516" t="n">
        <v>5</v>
      </c>
      <c r="AF516" t="n">
        <v>0</v>
      </c>
      <c r="AG516" t="n">
        <v>0</v>
      </c>
      <c r="AH516" t="n">
        <v>1</v>
      </c>
      <c r="AI516" t="n">
        <v>1</v>
      </c>
      <c r="AJ516" t="n">
        <v>2</v>
      </c>
      <c r="AK516" t="n">
        <v>2</v>
      </c>
      <c r="AL516" t="n">
        <v>1</v>
      </c>
      <c r="AM516" t="n">
        <v>1</v>
      </c>
      <c r="AN516" t="n">
        <v>1</v>
      </c>
      <c r="AO516" t="n">
        <v>1</v>
      </c>
      <c r="AP516" t="inlineStr">
        <is>
          <t>No</t>
        </is>
      </c>
      <c r="AQ516" t="inlineStr">
        <is>
          <t>Yes</t>
        </is>
      </c>
      <c r="AR516">
        <f>HYPERLINK("http://catalog.hathitrust.org/Record/000775141","HathiTrust Record")</f>
        <v/>
      </c>
      <c r="AS516">
        <f>HYPERLINK("https://creighton-primo.hosted.exlibrisgroup.com/primo-explore/search?tab=default_tab&amp;search_scope=EVERYTHING&amp;vid=01CRU&amp;lang=en_US&amp;offset=0&amp;query=any,contains,991000148219702656","Catalog Record")</f>
        <v/>
      </c>
      <c r="AT516">
        <f>HYPERLINK("http://www.worldcat.org/oclc/9197035","WorldCat Record")</f>
        <v/>
      </c>
      <c r="AU516" t="inlineStr">
        <is>
          <t>43711354:eng</t>
        </is>
      </c>
      <c r="AV516" t="inlineStr">
        <is>
          <t>9197035</t>
        </is>
      </c>
      <c r="AW516" t="inlineStr">
        <is>
          <t>991000148219702656</t>
        </is>
      </c>
      <c r="AX516" t="inlineStr">
        <is>
          <t>991000148219702656</t>
        </is>
      </c>
      <c r="AY516" t="inlineStr">
        <is>
          <t>2265915990002656</t>
        </is>
      </c>
      <c r="AZ516" t="inlineStr">
        <is>
          <t>BOOK</t>
        </is>
      </c>
      <c r="BB516" t="inlineStr">
        <is>
          <t>9780935312188</t>
        </is>
      </c>
      <c r="BC516" t="inlineStr">
        <is>
          <t>32285001628220</t>
        </is>
      </c>
      <c r="BD516" t="inlineStr">
        <is>
          <t>893884166</t>
        </is>
      </c>
    </row>
    <row r="517">
      <c r="A517" t="inlineStr">
        <is>
          <t>No</t>
        </is>
      </c>
      <c r="B517" t="inlineStr">
        <is>
          <t>HQ1181.U5 S78</t>
        </is>
      </c>
      <c r="C517" t="inlineStr">
        <is>
          <t>0                      HQ 1181000U  5                  S  78</t>
        </is>
      </c>
      <c r="D517" t="inlineStr">
        <is>
          <t>The study of women : enlarging perspectives of social reality / Eloise C. Snyder, editor ; foreword and afterword by Jessie Bernard ; contributors, Denise Lardner Carmody ... [et al.].</t>
        </is>
      </c>
      <c r="F517" t="inlineStr">
        <is>
          <t>No</t>
        </is>
      </c>
      <c r="G517" t="inlineStr">
        <is>
          <t>1</t>
        </is>
      </c>
      <c r="H517" t="inlineStr">
        <is>
          <t>No</t>
        </is>
      </c>
      <c r="I517" t="inlineStr">
        <is>
          <t>No</t>
        </is>
      </c>
      <c r="J517" t="inlineStr">
        <is>
          <t>0</t>
        </is>
      </c>
      <c r="L517" t="inlineStr">
        <is>
          <t>New York : Harper &amp; Row, c1979.</t>
        </is>
      </c>
      <c r="M517" t="inlineStr">
        <is>
          <t>1979</t>
        </is>
      </c>
      <c r="O517" t="inlineStr">
        <is>
          <t>eng</t>
        </is>
      </c>
      <c r="P517" t="inlineStr">
        <is>
          <t>nyu</t>
        </is>
      </c>
      <c r="R517" t="inlineStr">
        <is>
          <t xml:space="preserve">HQ </t>
        </is>
      </c>
      <c r="S517" t="n">
        <v>1</v>
      </c>
      <c r="T517" t="n">
        <v>1</v>
      </c>
      <c r="U517" t="inlineStr">
        <is>
          <t>2008-04-11</t>
        </is>
      </c>
      <c r="V517" t="inlineStr">
        <is>
          <t>2008-04-11</t>
        </is>
      </c>
      <c r="W517" t="inlineStr">
        <is>
          <t>1993-08-03</t>
        </is>
      </c>
      <c r="X517" t="inlineStr">
        <is>
          <t>1993-08-03</t>
        </is>
      </c>
      <c r="Y517" t="n">
        <v>386</v>
      </c>
      <c r="Z517" t="n">
        <v>322</v>
      </c>
      <c r="AA517" t="n">
        <v>324</v>
      </c>
      <c r="AB517" t="n">
        <v>5</v>
      </c>
      <c r="AC517" t="n">
        <v>5</v>
      </c>
      <c r="AD517" t="n">
        <v>18</v>
      </c>
      <c r="AE517" t="n">
        <v>18</v>
      </c>
      <c r="AF517" t="n">
        <v>6</v>
      </c>
      <c r="AG517" t="n">
        <v>6</v>
      </c>
      <c r="AH517" t="n">
        <v>4</v>
      </c>
      <c r="AI517" t="n">
        <v>4</v>
      </c>
      <c r="AJ517" t="n">
        <v>10</v>
      </c>
      <c r="AK517" t="n">
        <v>10</v>
      </c>
      <c r="AL517" t="n">
        <v>3</v>
      </c>
      <c r="AM517" t="n">
        <v>3</v>
      </c>
      <c r="AN517" t="n">
        <v>0</v>
      </c>
      <c r="AO517" t="n">
        <v>0</v>
      </c>
      <c r="AP517" t="inlineStr">
        <is>
          <t>No</t>
        </is>
      </c>
      <c r="AQ517" t="inlineStr">
        <is>
          <t>Yes</t>
        </is>
      </c>
      <c r="AR517">
        <f>HYPERLINK("http://catalog.hathitrust.org/Record/000184837","HathiTrust Record")</f>
        <v/>
      </c>
      <c r="AS517">
        <f>HYPERLINK("https://creighton-primo.hosted.exlibrisgroup.com/primo-explore/search?tab=default_tab&amp;search_scope=EVERYTHING&amp;vid=01CRU&amp;lang=en_US&amp;offset=0&amp;query=any,contains,991004661399702656","Catalog Record")</f>
        <v/>
      </c>
      <c r="AT517">
        <f>HYPERLINK("http://www.worldcat.org/oclc/4496970","WorldCat Record")</f>
        <v/>
      </c>
      <c r="AU517" t="inlineStr">
        <is>
          <t>365647228:eng</t>
        </is>
      </c>
      <c r="AV517" t="inlineStr">
        <is>
          <t>4496970</t>
        </is>
      </c>
      <c r="AW517" t="inlineStr">
        <is>
          <t>991004661399702656</t>
        </is>
      </c>
      <c r="AX517" t="inlineStr">
        <is>
          <t>991004661399702656</t>
        </is>
      </c>
      <c r="AY517" t="inlineStr">
        <is>
          <t>2268626100002656</t>
        </is>
      </c>
      <c r="AZ517" t="inlineStr">
        <is>
          <t>BOOK</t>
        </is>
      </c>
      <c r="BB517" t="inlineStr">
        <is>
          <t>9780060463526</t>
        </is>
      </c>
      <c r="BC517" t="inlineStr">
        <is>
          <t>32285001748481</t>
        </is>
      </c>
      <c r="BD517" t="inlineStr">
        <is>
          <t>893612606</t>
        </is>
      </c>
    </row>
    <row r="518">
      <c r="A518" t="inlineStr">
        <is>
          <t>No</t>
        </is>
      </c>
      <c r="B518" t="inlineStr">
        <is>
          <t>HQ1181.U5 W653 1995</t>
        </is>
      </c>
      <c r="C518" t="inlineStr">
        <is>
          <t>0                      HQ 1181000U  5                  W  653         1995</t>
        </is>
      </c>
      <c r="D518" t="inlineStr">
        <is>
          <t>Women's realities, women's choices : an introduction to women's studies / Hunter College Women's Studies Collective.</t>
        </is>
      </c>
      <c r="F518" t="inlineStr">
        <is>
          <t>No</t>
        </is>
      </c>
      <c r="G518" t="inlineStr">
        <is>
          <t>1</t>
        </is>
      </c>
      <c r="H518" t="inlineStr">
        <is>
          <t>No</t>
        </is>
      </c>
      <c r="I518" t="inlineStr">
        <is>
          <t>No</t>
        </is>
      </c>
      <c r="J518" t="inlineStr">
        <is>
          <t>0</t>
        </is>
      </c>
      <c r="L518" t="inlineStr">
        <is>
          <t>New York : Oxford University Press, 1995.</t>
        </is>
      </c>
      <c r="M518" t="inlineStr">
        <is>
          <t>1995</t>
        </is>
      </c>
      <c r="N518" t="inlineStr">
        <is>
          <t>2nd ed.</t>
        </is>
      </c>
      <c r="O518" t="inlineStr">
        <is>
          <t>eng</t>
        </is>
      </c>
      <c r="P518" t="inlineStr">
        <is>
          <t>nyu</t>
        </is>
      </c>
      <c r="R518" t="inlineStr">
        <is>
          <t xml:space="preserve">HQ </t>
        </is>
      </c>
      <c r="S518" t="n">
        <v>15</v>
      </c>
      <c r="T518" t="n">
        <v>15</v>
      </c>
      <c r="U518" t="inlineStr">
        <is>
          <t>1999-09-20</t>
        </is>
      </c>
      <c r="V518" t="inlineStr">
        <is>
          <t>1999-09-20</t>
        </is>
      </c>
      <c r="W518" t="inlineStr">
        <is>
          <t>1995-04-03</t>
        </is>
      </c>
      <c r="X518" t="inlineStr">
        <is>
          <t>1995-04-03</t>
        </is>
      </c>
      <c r="Y518" t="n">
        <v>335</v>
      </c>
      <c r="Z518" t="n">
        <v>258</v>
      </c>
      <c r="AA518" t="n">
        <v>806</v>
      </c>
      <c r="AB518" t="n">
        <v>3</v>
      </c>
      <c r="AC518" t="n">
        <v>4</v>
      </c>
      <c r="AD518" t="n">
        <v>16</v>
      </c>
      <c r="AE518" t="n">
        <v>38</v>
      </c>
      <c r="AF518" t="n">
        <v>9</v>
      </c>
      <c r="AG518" t="n">
        <v>16</v>
      </c>
      <c r="AH518" t="n">
        <v>3</v>
      </c>
      <c r="AI518" t="n">
        <v>8</v>
      </c>
      <c r="AJ518" t="n">
        <v>7</v>
      </c>
      <c r="AK518" t="n">
        <v>22</v>
      </c>
      <c r="AL518" t="n">
        <v>2</v>
      </c>
      <c r="AM518" t="n">
        <v>3</v>
      </c>
      <c r="AN518" t="n">
        <v>1</v>
      </c>
      <c r="AO518" t="n">
        <v>1</v>
      </c>
      <c r="AP518" t="inlineStr">
        <is>
          <t>No</t>
        </is>
      </c>
      <c r="AQ518" t="inlineStr">
        <is>
          <t>No</t>
        </is>
      </c>
      <c r="AS518">
        <f>HYPERLINK("https://creighton-primo.hosted.exlibrisgroup.com/primo-explore/search?tab=default_tab&amp;search_scope=EVERYTHING&amp;vid=01CRU&amp;lang=en_US&amp;offset=0&amp;query=any,contains,991002327389702656","Catalog Record")</f>
        <v/>
      </c>
      <c r="AT518">
        <f>HYPERLINK("http://www.worldcat.org/oclc/30318281","WorldCat Record")</f>
        <v/>
      </c>
      <c r="AU518" t="inlineStr">
        <is>
          <t>796485499:eng</t>
        </is>
      </c>
      <c r="AV518" t="inlineStr">
        <is>
          <t>30318281</t>
        </is>
      </c>
      <c r="AW518" t="inlineStr">
        <is>
          <t>991002327389702656</t>
        </is>
      </c>
      <c r="AX518" t="inlineStr">
        <is>
          <t>991002327389702656</t>
        </is>
      </c>
      <c r="AY518" t="inlineStr">
        <is>
          <t>2265436950002656</t>
        </is>
      </c>
      <c r="AZ518" t="inlineStr">
        <is>
          <t>BOOK</t>
        </is>
      </c>
      <c r="BB518" t="inlineStr">
        <is>
          <t>9780195058833</t>
        </is>
      </c>
      <c r="BC518" t="inlineStr">
        <is>
          <t>32285002015815</t>
        </is>
      </c>
      <c r="BD518" t="inlineStr">
        <is>
          <t>893427478</t>
        </is>
      </c>
    </row>
    <row r="519">
      <c r="A519" t="inlineStr">
        <is>
          <t>No</t>
        </is>
      </c>
      <c r="B519" t="inlineStr">
        <is>
          <t>HQ1181.U5 Z56 1993</t>
        </is>
      </c>
      <c r="C519" t="inlineStr">
        <is>
          <t>0                      HQ 1181000U  5                  Z  56          1993</t>
        </is>
      </c>
      <c r="D519" t="inlineStr">
        <is>
          <t>History &amp; feminism : a glass half full / Judith P. Zinsser.</t>
        </is>
      </c>
      <c r="F519" t="inlineStr">
        <is>
          <t>No</t>
        </is>
      </c>
      <c r="G519" t="inlineStr">
        <is>
          <t>1</t>
        </is>
      </c>
      <c r="H519" t="inlineStr">
        <is>
          <t>No</t>
        </is>
      </c>
      <c r="I519" t="inlineStr">
        <is>
          <t>No</t>
        </is>
      </c>
      <c r="J519" t="inlineStr">
        <is>
          <t>0</t>
        </is>
      </c>
      <c r="K519" t="inlineStr">
        <is>
          <t>Zinsser, Judith P.</t>
        </is>
      </c>
      <c r="L519" t="inlineStr">
        <is>
          <t>New York : Twayne Publishers, c1993.</t>
        </is>
      </c>
      <c r="M519" t="inlineStr">
        <is>
          <t>1993</t>
        </is>
      </c>
      <c r="O519" t="inlineStr">
        <is>
          <t>eng</t>
        </is>
      </c>
      <c r="P519" t="inlineStr">
        <is>
          <t>nyu</t>
        </is>
      </c>
      <c r="Q519" t="inlineStr">
        <is>
          <t>The Impact of feminism on the arts &amp; sciences</t>
        </is>
      </c>
      <c r="R519" t="inlineStr">
        <is>
          <t xml:space="preserve">HQ </t>
        </is>
      </c>
      <c r="S519" t="n">
        <v>16</v>
      </c>
      <c r="T519" t="n">
        <v>16</v>
      </c>
      <c r="U519" t="inlineStr">
        <is>
          <t>2008-10-16</t>
        </is>
      </c>
      <c r="V519" t="inlineStr">
        <is>
          <t>2008-10-16</t>
        </is>
      </c>
      <c r="W519" t="inlineStr">
        <is>
          <t>1993-09-28</t>
        </is>
      </c>
      <c r="X519" t="inlineStr">
        <is>
          <t>1993-09-28</t>
        </is>
      </c>
      <c r="Y519" t="n">
        <v>772</v>
      </c>
      <c r="Z519" t="n">
        <v>679</v>
      </c>
      <c r="AA519" t="n">
        <v>692</v>
      </c>
      <c r="AB519" t="n">
        <v>5</v>
      </c>
      <c r="AC519" t="n">
        <v>5</v>
      </c>
      <c r="AD519" t="n">
        <v>36</v>
      </c>
      <c r="AE519" t="n">
        <v>36</v>
      </c>
      <c r="AF519" t="n">
        <v>16</v>
      </c>
      <c r="AG519" t="n">
        <v>16</v>
      </c>
      <c r="AH519" t="n">
        <v>9</v>
      </c>
      <c r="AI519" t="n">
        <v>9</v>
      </c>
      <c r="AJ519" t="n">
        <v>17</v>
      </c>
      <c r="AK519" t="n">
        <v>17</v>
      </c>
      <c r="AL519" t="n">
        <v>4</v>
      </c>
      <c r="AM519" t="n">
        <v>4</v>
      </c>
      <c r="AN519" t="n">
        <v>0</v>
      </c>
      <c r="AO519" t="n">
        <v>0</v>
      </c>
      <c r="AP519" t="inlineStr">
        <is>
          <t>No</t>
        </is>
      </c>
      <c r="AQ519" t="inlineStr">
        <is>
          <t>Yes</t>
        </is>
      </c>
      <c r="AR519">
        <f>HYPERLINK("http://catalog.hathitrust.org/Record/002608150","HathiTrust Record")</f>
        <v/>
      </c>
      <c r="AS519">
        <f>HYPERLINK("https://creighton-primo.hosted.exlibrisgroup.com/primo-explore/search?tab=default_tab&amp;search_scope=EVERYTHING&amp;vid=01CRU&amp;lang=en_US&amp;offset=0&amp;query=any,contains,991002062469702656","Catalog Record")</f>
        <v/>
      </c>
      <c r="AT519">
        <f>HYPERLINK("http://www.worldcat.org/oclc/26397196","WorldCat Record")</f>
        <v/>
      </c>
      <c r="AU519" t="inlineStr">
        <is>
          <t>889916889:eng</t>
        </is>
      </c>
      <c r="AV519" t="inlineStr">
        <is>
          <t>26397196</t>
        </is>
      </c>
      <c r="AW519" t="inlineStr">
        <is>
          <t>991002062469702656</t>
        </is>
      </c>
      <c r="AX519" t="inlineStr">
        <is>
          <t>991002062469702656</t>
        </is>
      </c>
      <c r="AY519" t="inlineStr">
        <is>
          <t>2255830550002656</t>
        </is>
      </c>
      <c r="AZ519" t="inlineStr">
        <is>
          <t>BOOK</t>
        </is>
      </c>
      <c r="BB519" t="inlineStr">
        <is>
          <t>9780805797510</t>
        </is>
      </c>
      <c r="BC519" t="inlineStr">
        <is>
          <t>32285001768323</t>
        </is>
      </c>
      <c r="BD519" t="inlineStr">
        <is>
          <t>893503979</t>
        </is>
      </c>
    </row>
    <row r="520">
      <c r="A520" t="inlineStr">
        <is>
          <t>No</t>
        </is>
      </c>
      <c r="B520" t="inlineStr">
        <is>
          <t>HQ1186.U6 F87 2005</t>
        </is>
      </c>
      <c r="C520" t="inlineStr">
        <is>
          <t>0                      HQ 1186000U  6                  F  87          2005</t>
        </is>
      </c>
      <c r="D520" t="inlineStr">
        <is>
          <t>Telling our lives : conversations on solidarity and difference / Frida Kerner Furman, Elizabeth A. Kelly, Linda Williamson Nelson.</t>
        </is>
      </c>
      <c r="F520" t="inlineStr">
        <is>
          <t>No</t>
        </is>
      </c>
      <c r="G520" t="inlineStr">
        <is>
          <t>1</t>
        </is>
      </c>
      <c r="H520" t="inlineStr">
        <is>
          <t>No</t>
        </is>
      </c>
      <c r="I520" t="inlineStr">
        <is>
          <t>No</t>
        </is>
      </c>
      <c r="J520" t="inlineStr">
        <is>
          <t>0</t>
        </is>
      </c>
      <c r="K520" t="inlineStr">
        <is>
          <t>Furman, Frida Kerner, 1948-</t>
        </is>
      </c>
      <c r="L520" t="inlineStr">
        <is>
          <t>Lanham : Rowman &amp; Littlefield, c2005.</t>
        </is>
      </c>
      <c r="M520" t="inlineStr">
        <is>
          <t>2005</t>
        </is>
      </c>
      <c r="O520" t="inlineStr">
        <is>
          <t>eng</t>
        </is>
      </c>
      <c r="P520" t="inlineStr">
        <is>
          <t>mdu</t>
        </is>
      </c>
      <c r="Q520" t="inlineStr">
        <is>
          <t>Feminist constructions</t>
        </is>
      </c>
      <c r="R520" t="inlineStr">
        <is>
          <t xml:space="preserve">HQ </t>
        </is>
      </c>
      <c r="S520" t="n">
        <v>1</v>
      </c>
      <c r="T520" t="n">
        <v>1</v>
      </c>
      <c r="U520" t="inlineStr">
        <is>
          <t>2007-01-09</t>
        </is>
      </c>
      <c r="V520" t="inlineStr">
        <is>
          <t>2007-01-09</t>
        </is>
      </c>
      <c r="W520" t="inlineStr">
        <is>
          <t>2007-01-09</t>
        </is>
      </c>
      <c r="X520" t="inlineStr">
        <is>
          <t>2007-01-09</t>
        </is>
      </c>
      <c r="Y520" t="n">
        <v>204</v>
      </c>
      <c r="Z520" t="n">
        <v>173</v>
      </c>
      <c r="AA520" t="n">
        <v>175</v>
      </c>
      <c r="AB520" t="n">
        <v>3</v>
      </c>
      <c r="AC520" t="n">
        <v>3</v>
      </c>
      <c r="AD520" t="n">
        <v>9</v>
      </c>
      <c r="AE520" t="n">
        <v>9</v>
      </c>
      <c r="AF520" t="n">
        <v>3</v>
      </c>
      <c r="AG520" t="n">
        <v>3</v>
      </c>
      <c r="AH520" t="n">
        <v>2</v>
      </c>
      <c r="AI520" t="n">
        <v>2</v>
      </c>
      <c r="AJ520" t="n">
        <v>4</v>
      </c>
      <c r="AK520" t="n">
        <v>4</v>
      </c>
      <c r="AL520" t="n">
        <v>2</v>
      </c>
      <c r="AM520" t="n">
        <v>2</v>
      </c>
      <c r="AN520" t="n">
        <v>0</v>
      </c>
      <c r="AO520" t="n">
        <v>0</v>
      </c>
      <c r="AP520" t="inlineStr">
        <is>
          <t>No</t>
        </is>
      </c>
      <c r="AQ520" t="inlineStr">
        <is>
          <t>Yes</t>
        </is>
      </c>
      <c r="AR520">
        <f>HYPERLINK("http://catalog.hathitrust.org/Record/005040008","HathiTrust Record")</f>
        <v/>
      </c>
      <c r="AS520">
        <f>HYPERLINK("https://creighton-primo.hosted.exlibrisgroup.com/primo-explore/search?tab=default_tab&amp;search_scope=EVERYTHING&amp;vid=01CRU&amp;lang=en_US&amp;offset=0&amp;query=any,contains,991004995809702656","Catalog Record")</f>
        <v/>
      </c>
      <c r="AT520">
        <f>HYPERLINK("http://www.worldcat.org/oclc/57311257","WorldCat Record")</f>
        <v/>
      </c>
      <c r="AU520" t="inlineStr">
        <is>
          <t>315501174:eng</t>
        </is>
      </c>
      <c r="AV520" t="inlineStr">
        <is>
          <t>57311257</t>
        </is>
      </c>
      <c r="AW520" t="inlineStr">
        <is>
          <t>991004995809702656</t>
        </is>
      </c>
      <c r="AX520" t="inlineStr">
        <is>
          <t>991004995809702656</t>
        </is>
      </c>
      <c r="AY520" t="inlineStr">
        <is>
          <t>2259987430002656</t>
        </is>
      </c>
      <c r="AZ520" t="inlineStr">
        <is>
          <t>BOOK</t>
        </is>
      </c>
      <c r="BB520" t="inlineStr">
        <is>
          <t>9780742541733</t>
        </is>
      </c>
      <c r="BC520" t="inlineStr">
        <is>
          <t>32285005269914</t>
        </is>
      </c>
      <c r="BD520" t="inlineStr">
        <is>
          <t>893688454</t>
        </is>
      </c>
    </row>
    <row r="521">
      <c r="A521" t="inlineStr">
        <is>
          <t>No</t>
        </is>
      </c>
      <c r="B521" t="inlineStr">
        <is>
          <t>HQ1190 .A56 1994</t>
        </is>
      </c>
      <c r="C521" t="inlineStr">
        <is>
          <t>0                      HQ 1190000A  56          1994</t>
        </is>
      </c>
      <c r="D521" t="inlineStr">
        <is>
          <t>Why women are oppressed / Anna G. Jónasdóttir ; foreword by Kathleen B. Jones.</t>
        </is>
      </c>
      <c r="F521" t="inlineStr">
        <is>
          <t>No</t>
        </is>
      </c>
      <c r="G521" t="inlineStr">
        <is>
          <t>1</t>
        </is>
      </c>
      <c r="H521" t="inlineStr">
        <is>
          <t>No</t>
        </is>
      </c>
      <c r="I521" t="inlineStr">
        <is>
          <t>No</t>
        </is>
      </c>
      <c r="J521" t="inlineStr">
        <is>
          <t>0</t>
        </is>
      </c>
      <c r="K521" t="inlineStr">
        <is>
          <t>Anna G. Jónasdóttir.</t>
        </is>
      </c>
      <c r="L521" t="inlineStr">
        <is>
          <t>Philadelphia : Temple University Press, 1994.</t>
        </is>
      </c>
      <c r="M521" t="inlineStr">
        <is>
          <t>1994</t>
        </is>
      </c>
      <c r="O521" t="inlineStr">
        <is>
          <t>eng</t>
        </is>
      </c>
      <c r="P521" t="inlineStr">
        <is>
          <t>pau</t>
        </is>
      </c>
      <c r="R521" t="inlineStr">
        <is>
          <t xml:space="preserve">HQ </t>
        </is>
      </c>
      <c r="S521" t="n">
        <v>6</v>
      </c>
      <c r="T521" t="n">
        <v>6</v>
      </c>
      <c r="U521" t="inlineStr">
        <is>
          <t>2010-10-08</t>
        </is>
      </c>
      <c r="V521" t="inlineStr">
        <is>
          <t>2010-10-08</t>
        </is>
      </c>
      <c r="W521" t="inlineStr">
        <is>
          <t>1994-06-28</t>
        </is>
      </c>
      <c r="X521" t="inlineStr">
        <is>
          <t>1994-06-28</t>
        </is>
      </c>
      <c r="Y521" t="n">
        <v>352</v>
      </c>
      <c r="Z521" t="n">
        <v>310</v>
      </c>
      <c r="AA521" t="n">
        <v>310</v>
      </c>
      <c r="AB521" t="n">
        <v>3</v>
      </c>
      <c r="AC521" t="n">
        <v>3</v>
      </c>
      <c r="AD521" t="n">
        <v>20</v>
      </c>
      <c r="AE521" t="n">
        <v>20</v>
      </c>
      <c r="AF521" t="n">
        <v>4</v>
      </c>
      <c r="AG521" t="n">
        <v>4</v>
      </c>
      <c r="AH521" t="n">
        <v>6</v>
      </c>
      <c r="AI521" t="n">
        <v>6</v>
      </c>
      <c r="AJ521" t="n">
        <v>10</v>
      </c>
      <c r="AK521" t="n">
        <v>10</v>
      </c>
      <c r="AL521" t="n">
        <v>2</v>
      </c>
      <c r="AM521" t="n">
        <v>2</v>
      </c>
      <c r="AN521" t="n">
        <v>2</v>
      </c>
      <c r="AO521" t="n">
        <v>2</v>
      </c>
      <c r="AP521" t="inlineStr">
        <is>
          <t>No</t>
        </is>
      </c>
      <c r="AQ521" t="inlineStr">
        <is>
          <t>No</t>
        </is>
      </c>
      <c r="AS521">
        <f>HYPERLINK("https://creighton-primo.hosted.exlibrisgroup.com/primo-explore/search?tab=default_tab&amp;search_scope=EVERYTHING&amp;vid=01CRU&amp;lang=en_US&amp;offset=0&amp;query=any,contains,991002199629702656","Catalog Record")</f>
        <v/>
      </c>
      <c r="AT521">
        <f>HYPERLINK("http://www.worldcat.org/oclc/28292701","WorldCat Record")</f>
        <v/>
      </c>
      <c r="AU521" t="inlineStr">
        <is>
          <t>30955537:eng</t>
        </is>
      </c>
      <c r="AV521" t="inlineStr">
        <is>
          <t>28292701</t>
        </is>
      </c>
      <c r="AW521" t="inlineStr">
        <is>
          <t>991002199629702656</t>
        </is>
      </c>
      <c r="AX521" t="inlineStr">
        <is>
          <t>991002199629702656</t>
        </is>
      </c>
      <c r="AY521" t="inlineStr">
        <is>
          <t>2257326110002656</t>
        </is>
      </c>
      <c r="AZ521" t="inlineStr">
        <is>
          <t>BOOK</t>
        </is>
      </c>
      <c r="BB521" t="inlineStr">
        <is>
          <t>9781566391108</t>
        </is>
      </c>
      <c r="BC521" t="inlineStr">
        <is>
          <t>32285001924827</t>
        </is>
      </c>
      <c r="BD521" t="inlineStr">
        <is>
          <t>893892265</t>
        </is>
      </c>
    </row>
    <row r="522">
      <c r="A522" t="inlineStr">
        <is>
          <t>No</t>
        </is>
      </c>
      <c r="B522" t="inlineStr">
        <is>
          <t>HQ1190 .B383 2002</t>
        </is>
      </c>
      <c r="C522" t="inlineStr">
        <is>
          <t>0                      HQ 1190000B  383         2002</t>
        </is>
      </c>
      <c r="D522" t="inlineStr">
        <is>
          <t>"Sympathy and solidarity" and other essays / Sandra Lee Bartky.</t>
        </is>
      </c>
      <c r="F522" t="inlineStr">
        <is>
          <t>No</t>
        </is>
      </c>
      <c r="G522" t="inlineStr">
        <is>
          <t>1</t>
        </is>
      </c>
      <c r="H522" t="inlineStr">
        <is>
          <t>No</t>
        </is>
      </c>
      <c r="I522" t="inlineStr">
        <is>
          <t>No</t>
        </is>
      </c>
      <c r="J522" t="inlineStr">
        <is>
          <t>0</t>
        </is>
      </c>
      <c r="K522" t="inlineStr">
        <is>
          <t>Bartky, Sandra Lee.</t>
        </is>
      </c>
      <c r="L522" t="inlineStr">
        <is>
          <t>Lanham, Md. : Rowman &amp; Littlefield, c2002.</t>
        </is>
      </c>
      <c r="M522" t="inlineStr">
        <is>
          <t>2002</t>
        </is>
      </c>
      <c r="O522" t="inlineStr">
        <is>
          <t>eng</t>
        </is>
      </c>
      <c r="P522" t="inlineStr">
        <is>
          <t>mdu</t>
        </is>
      </c>
      <c r="Q522" t="inlineStr">
        <is>
          <t>Feminist constructions</t>
        </is>
      </c>
      <c r="R522" t="inlineStr">
        <is>
          <t xml:space="preserve">HQ </t>
        </is>
      </c>
      <c r="S522" t="n">
        <v>2</v>
      </c>
      <c r="T522" t="n">
        <v>2</v>
      </c>
      <c r="U522" t="inlineStr">
        <is>
          <t>2003-10-09</t>
        </is>
      </c>
      <c r="V522" t="inlineStr">
        <is>
          <t>2003-10-09</t>
        </is>
      </c>
      <c r="W522" t="inlineStr">
        <is>
          <t>2003-10-09</t>
        </is>
      </c>
      <c r="X522" t="inlineStr">
        <is>
          <t>2003-10-09</t>
        </is>
      </c>
      <c r="Y522" t="n">
        <v>250</v>
      </c>
      <c r="Z522" t="n">
        <v>188</v>
      </c>
      <c r="AA522" t="n">
        <v>206</v>
      </c>
      <c r="AB522" t="n">
        <v>2</v>
      </c>
      <c r="AC522" t="n">
        <v>2</v>
      </c>
      <c r="AD522" t="n">
        <v>11</v>
      </c>
      <c r="AE522" t="n">
        <v>12</v>
      </c>
      <c r="AF522" t="n">
        <v>5</v>
      </c>
      <c r="AG522" t="n">
        <v>6</v>
      </c>
      <c r="AH522" t="n">
        <v>3</v>
      </c>
      <c r="AI522" t="n">
        <v>4</v>
      </c>
      <c r="AJ522" t="n">
        <v>7</v>
      </c>
      <c r="AK522" t="n">
        <v>7</v>
      </c>
      <c r="AL522" t="n">
        <v>1</v>
      </c>
      <c r="AM522" t="n">
        <v>1</v>
      </c>
      <c r="AN522" t="n">
        <v>0</v>
      </c>
      <c r="AO522" t="n">
        <v>0</v>
      </c>
      <c r="AP522" t="inlineStr">
        <is>
          <t>No</t>
        </is>
      </c>
      <c r="AQ522" t="inlineStr">
        <is>
          <t>Yes</t>
        </is>
      </c>
      <c r="AR522">
        <f>HYPERLINK("http://catalog.hathitrust.org/Record/004228472","HathiTrust Record")</f>
        <v/>
      </c>
      <c r="AS522">
        <f>HYPERLINK("https://creighton-primo.hosted.exlibrisgroup.com/primo-explore/search?tab=default_tab&amp;search_scope=EVERYTHING&amp;vid=01CRU&amp;lang=en_US&amp;offset=0&amp;query=any,contains,991004141149702656","Catalog Record")</f>
        <v/>
      </c>
      <c r="AT522">
        <f>HYPERLINK("http://www.worldcat.org/oclc/48222819","WorldCat Record")</f>
        <v/>
      </c>
      <c r="AU522" t="inlineStr">
        <is>
          <t>2840339:eng</t>
        </is>
      </c>
      <c r="AV522" t="inlineStr">
        <is>
          <t>48222819</t>
        </is>
      </c>
      <c r="AW522" t="inlineStr">
        <is>
          <t>991004141149702656</t>
        </is>
      </c>
      <c r="AX522" t="inlineStr">
        <is>
          <t>991004141149702656</t>
        </is>
      </c>
      <c r="AY522" t="inlineStr">
        <is>
          <t>2256623800002656</t>
        </is>
      </c>
      <c r="AZ522" t="inlineStr">
        <is>
          <t>BOOK</t>
        </is>
      </c>
      <c r="BB522" t="inlineStr">
        <is>
          <t>9780847697786</t>
        </is>
      </c>
      <c r="BC522" t="inlineStr">
        <is>
          <t>32285004787650</t>
        </is>
      </c>
      <c r="BD522" t="inlineStr">
        <is>
          <t>893894609</t>
        </is>
      </c>
    </row>
    <row r="523">
      <c r="A523" t="inlineStr">
        <is>
          <t>No</t>
        </is>
      </c>
      <c r="B523" t="inlineStr">
        <is>
          <t>HQ1190 .B465 2006</t>
        </is>
      </c>
      <c r="C523" t="inlineStr">
        <is>
          <t>0                      HQ 1190000B  465         2006</t>
        </is>
      </c>
      <c r="D523" t="inlineStr">
        <is>
          <t>Belief, bodies, and being : feminist reflections on embodiment / edited by Deborah Orr ... [et al.].</t>
        </is>
      </c>
      <c r="F523" t="inlineStr">
        <is>
          <t>No</t>
        </is>
      </c>
      <c r="G523" t="inlineStr">
        <is>
          <t>1</t>
        </is>
      </c>
      <c r="H523" t="inlineStr">
        <is>
          <t>No</t>
        </is>
      </c>
      <c r="I523" t="inlineStr">
        <is>
          <t>No</t>
        </is>
      </c>
      <c r="J523" t="inlineStr">
        <is>
          <t>0</t>
        </is>
      </c>
      <c r="L523" t="inlineStr">
        <is>
          <t>Lanham, Md. : Rowman &amp; Littlefield Publishers, c2006.</t>
        </is>
      </c>
      <c r="M523" t="inlineStr">
        <is>
          <t>2006</t>
        </is>
      </c>
      <c r="O523" t="inlineStr">
        <is>
          <t>eng</t>
        </is>
      </c>
      <c r="P523" t="inlineStr">
        <is>
          <t>mdu</t>
        </is>
      </c>
      <c r="R523" t="inlineStr">
        <is>
          <t xml:space="preserve">HQ </t>
        </is>
      </c>
      <c r="S523" t="n">
        <v>1</v>
      </c>
      <c r="T523" t="n">
        <v>1</v>
      </c>
      <c r="U523" t="inlineStr">
        <is>
          <t>2007-01-23</t>
        </is>
      </c>
      <c r="V523" t="inlineStr">
        <is>
          <t>2007-01-23</t>
        </is>
      </c>
      <c r="W523" t="inlineStr">
        <is>
          <t>2007-01-23</t>
        </is>
      </c>
      <c r="X523" t="inlineStr">
        <is>
          <t>2007-01-23</t>
        </is>
      </c>
      <c r="Y523" t="n">
        <v>222</v>
      </c>
      <c r="Z523" t="n">
        <v>149</v>
      </c>
      <c r="AA523" t="n">
        <v>151</v>
      </c>
      <c r="AB523" t="n">
        <v>2</v>
      </c>
      <c r="AC523" t="n">
        <v>2</v>
      </c>
      <c r="AD523" t="n">
        <v>6</v>
      </c>
      <c r="AE523" t="n">
        <v>6</v>
      </c>
      <c r="AF523" t="n">
        <v>2</v>
      </c>
      <c r="AG523" t="n">
        <v>2</v>
      </c>
      <c r="AH523" t="n">
        <v>2</v>
      </c>
      <c r="AI523" t="n">
        <v>2</v>
      </c>
      <c r="AJ523" t="n">
        <v>4</v>
      </c>
      <c r="AK523" t="n">
        <v>4</v>
      </c>
      <c r="AL523" t="n">
        <v>1</v>
      </c>
      <c r="AM523" t="n">
        <v>1</v>
      </c>
      <c r="AN523" t="n">
        <v>0</v>
      </c>
      <c r="AO523" t="n">
        <v>0</v>
      </c>
      <c r="AP523" t="inlineStr">
        <is>
          <t>No</t>
        </is>
      </c>
      <c r="AQ523" t="inlineStr">
        <is>
          <t>Yes</t>
        </is>
      </c>
      <c r="AR523">
        <f>HYPERLINK("http://catalog.hathitrust.org/Record/005229323","HathiTrust Record")</f>
        <v/>
      </c>
      <c r="AS523">
        <f>HYPERLINK("https://creighton-primo.hosted.exlibrisgroup.com/primo-explore/search?tab=default_tab&amp;search_scope=EVERYTHING&amp;vid=01CRU&amp;lang=en_US&amp;offset=0&amp;query=any,contains,991004995869702656","Catalog Record")</f>
        <v/>
      </c>
      <c r="AT523">
        <f>HYPERLINK("http://www.worldcat.org/oclc/61757944","WorldCat Record")</f>
        <v/>
      </c>
      <c r="AU523" t="inlineStr">
        <is>
          <t>896353408:eng</t>
        </is>
      </c>
      <c r="AV523" t="inlineStr">
        <is>
          <t>61757944</t>
        </is>
      </c>
      <c r="AW523" t="inlineStr">
        <is>
          <t>991004995869702656</t>
        </is>
      </c>
      <c r="AX523" t="inlineStr">
        <is>
          <t>991004995869702656</t>
        </is>
      </c>
      <c r="AY523" t="inlineStr">
        <is>
          <t>2269801750002656</t>
        </is>
      </c>
      <c r="AZ523" t="inlineStr">
        <is>
          <t>BOOK</t>
        </is>
      </c>
      <c r="BB523" t="inlineStr">
        <is>
          <t>9780742514140</t>
        </is>
      </c>
      <c r="BC523" t="inlineStr">
        <is>
          <t>32285005272397</t>
        </is>
      </c>
      <c r="BD523" t="inlineStr">
        <is>
          <t>893254306</t>
        </is>
      </c>
    </row>
    <row r="524">
      <c r="A524" t="inlineStr">
        <is>
          <t>No</t>
        </is>
      </c>
      <c r="B524" t="inlineStr">
        <is>
          <t>HQ1190 .B48 1993</t>
        </is>
      </c>
      <c r="C524" t="inlineStr">
        <is>
          <t>0                      HQ 1190000B  48          1993</t>
        </is>
      </c>
      <c r="D524" t="inlineStr">
        <is>
          <t>Beyond economic man : feminist theory and economics / edited by Marianne A. Ferber and Julie A. Nelson.</t>
        </is>
      </c>
      <c r="F524" t="inlineStr">
        <is>
          <t>No</t>
        </is>
      </c>
      <c r="G524" t="inlineStr">
        <is>
          <t>1</t>
        </is>
      </c>
      <c r="H524" t="inlineStr">
        <is>
          <t>No</t>
        </is>
      </c>
      <c r="I524" t="inlineStr">
        <is>
          <t>No</t>
        </is>
      </c>
      <c r="J524" t="inlineStr">
        <is>
          <t>0</t>
        </is>
      </c>
      <c r="L524" t="inlineStr">
        <is>
          <t>Chicago : The University of Chicago Press, 1993.</t>
        </is>
      </c>
      <c r="M524" t="inlineStr">
        <is>
          <t>1993</t>
        </is>
      </c>
      <c r="O524" t="inlineStr">
        <is>
          <t>eng</t>
        </is>
      </c>
      <c r="P524" t="inlineStr">
        <is>
          <t>ilu</t>
        </is>
      </c>
      <c r="R524" t="inlineStr">
        <is>
          <t xml:space="preserve">HQ </t>
        </is>
      </c>
      <c r="S524" t="n">
        <v>5</v>
      </c>
      <c r="T524" t="n">
        <v>5</v>
      </c>
      <c r="U524" t="inlineStr">
        <is>
          <t>2002-04-17</t>
        </is>
      </c>
      <c r="V524" t="inlineStr">
        <is>
          <t>2002-04-17</t>
        </is>
      </c>
      <c r="W524" t="inlineStr">
        <is>
          <t>1994-02-15</t>
        </is>
      </c>
      <c r="X524" t="inlineStr">
        <is>
          <t>1994-02-15</t>
        </is>
      </c>
      <c r="Y524" t="n">
        <v>741</v>
      </c>
      <c r="Z524" t="n">
        <v>594</v>
      </c>
      <c r="AA524" t="n">
        <v>948</v>
      </c>
      <c r="AB524" t="n">
        <v>5</v>
      </c>
      <c r="AC524" t="n">
        <v>11</v>
      </c>
      <c r="AD524" t="n">
        <v>36</v>
      </c>
      <c r="AE524" t="n">
        <v>46</v>
      </c>
      <c r="AF524" t="n">
        <v>13</v>
      </c>
      <c r="AG524" t="n">
        <v>14</v>
      </c>
      <c r="AH524" t="n">
        <v>8</v>
      </c>
      <c r="AI524" t="n">
        <v>9</v>
      </c>
      <c r="AJ524" t="n">
        <v>17</v>
      </c>
      <c r="AK524" t="n">
        <v>20</v>
      </c>
      <c r="AL524" t="n">
        <v>4</v>
      </c>
      <c r="AM524" t="n">
        <v>9</v>
      </c>
      <c r="AN524" t="n">
        <v>2</v>
      </c>
      <c r="AO524" t="n">
        <v>3</v>
      </c>
      <c r="AP524" t="inlineStr">
        <is>
          <t>No</t>
        </is>
      </c>
      <c r="AQ524" t="inlineStr">
        <is>
          <t>No</t>
        </is>
      </c>
      <c r="AS524">
        <f>HYPERLINK("https://creighton-primo.hosted.exlibrisgroup.com/primo-explore/search?tab=default_tab&amp;search_scope=EVERYTHING&amp;vid=01CRU&amp;lang=en_US&amp;offset=0&amp;query=any,contains,991002107939702656","Catalog Record")</f>
        <v/>
      </c>
      <c r="AT524">
        <f>HYPERLINK("http://www.worldcat.org/oclc/27034372","WorldCat Record")</f>
        <v/>
      </c>
      <c r="AU524" t="inlineStr">
        <is>
          <t>797245481:eng</t>
        </is>
      </c>
      <c r="AV524" t="inlineStr">
        <is>
          <t>27034372</t>
        </is>
      </c>
      <c r="AW524" t="inlineStr">
        <is>
          <t>991002107939702656</t>
        </is>
      </c>
      <c r="AX524" t="inlineStr">
        <is>
          <t>991002107939702656</t>
        </is>
      </c>
      <c r="AY524" t="inlineStr">
        <is>
          <t>2267346950002656</t>
        </is>
      </c>
      <c r="AZ524" t="inlineStr">
        <is>
          <t>BOOK</t>
        </is>
      </c>
      <c r="BB524" t="inlineStr">
        <is>
          <t>9780226242002</t>
        </is>
      </c>
      <c r="BC524" t="inlineStr">
        <is>
          <t>32285001842383</t>
        </is>
      </c>
      <c r="BD524" t="inlineStr">
        <is>
          <t>893439777</t>
        </is>
      </c>
    </row>
    <row r="525">
      <c r="A525" t="inlineStr">
        <is>
          <t>No</t>
        </is>
      </c>
      <c r="B525" t="inlineStr">
        <is>
          <t>HQ1190 .B49 1992</t>
        </is>
      </c>
      <c r="C525" t="inlineStr">
        <is>
          <t>0                      HQ 1190000B  49          1992</t>
        </is>
      </c>
      <c r="D525" t="inlineStr">
        <is>
          <t>Beyond equality and difference : citizenship, feminist politics and female subjectivity / edited by Gisela Bock and Susan James.</t>
        </is>
      </c>
      <c r="F525" t="inlineStr">
        <is>
          <t>No</t>
        </is>
      </c>
      <c r="G525" t="inlineStr">
        <is>
          <t>1</t>
        </is>
      </c>
      <c r="H525" t="inlineStr">
        <is>
          <t>No</t>
        </is>
      </c>
      <c r="I525" t="inlineStr">
        <is>
          <t>No</t>
        </is>
      </c>
      <c r="J525" t="inlineStr">
        <is>
          <t>0</t>
        </is>
      </c>
      <c r="L525" t="inlineStr">
        <is>
          <t>London ; New York : Routledge, 1992.</t>
        </is>
      </c>
      <c r="M525" t="inlineStr">
        <is>
          <t>1992</t>
        </is>
      </c>
      <c r="O525" t="inlineStr">
        <is>
          <t>eng</t>
        </is>
      </c>
      <c r="P525" t="inlineStr">
        <is>
          <t>nyu</t>
        </is>
      </c>
      <c r="R525" t="inlineStr">
        <is>
          <t xml:space="preserve">HQ </t>
        </is>
      </c>
      <c r="S525" t="n">
        <v>10</v>
      </c>
      <c r="T525" t="n">
        <v>10</v>
      </c>
      <c r="U525" t="inlineStr">
        <is>
          <t>2008-09-04</t>
        </is>
      </c>
      <c r="V525" t="inlineStr">
        <is>
          <t>2008-09-04</t>
        </is>
      </c>
      <c r="W525" t="inlineStr">
        <is>
          <t>1994-01-26</t>
        </is>
      </c>
      <c r="X525" t="inlineStr">
        <is>
          <t>1994-01-26</t>
        </is>
      </c>
      <c r="Y525" t="n">
        <v>531</v>
      </c>
      <c r="Z525" t="n">
        <v>321</v>
      </c>
      <c r="AA525" t="n">
        <v>357</v>
      </c>
      <c r="AB525" t="n">
        <v>3</v>
      </c>
      <c r="AC525" t="n">
        <v>3</v>
      </c>
      <c r="AD525" t="n">
        <v>26</v>
      </c>
      <c r="AE525" t="n">
        <v>26</v>
      </c>
      <c r="AF525" t="n">
        <v>6</v>
      </c>
      <c r="AG525" t="n">
        <v>6</v>
      </c>
      <c r="AH525" t="n">
        <v>5</v>
      </c>
      <c r="AI525" t="n">
        <v>5</v>
      </c>
      <c r="AJ525" t="n">
        <v>7</v>
      </c>
      <c r="AK525" t="n">
        <v>7</v>
      </c>
      <c r="AL525" t="n">
        <v>2</v>
      </c>
      <c r="AM525" t="n">
        <v>2</v>
      </c>
      <c r="AN525" t="n">
        <v>9</v>
      </c>
      <c r="AO525" t="n">
        <v>9</v>
      </c>
      <c r="AP525" t="inlineStr">
        <is>
          <t>No</t>
        </is>
      </c>
      <c r="AQ525" t="inlineStr">
        <is>
          <t>No</t>
        </is>
      </c>
      <c r="AS525">
        <f>HYPERLINK("https://creighton-primo.hosted.exlibrisgroup.com/primo-explore/search?tab=default_tab&amp;search_scope=EVERYTHING&amp;vid=01CRU&amp;lang=en_US&amp;offset=0&amp;query=any,contains,991001982579702656","Catalog Record")</f>
        <v/>
      </c>
      <c r="AT525">
        <f>HYPERLINK("http://www.worldcat.org/oclc/25164397","WorldCat Record")</f>
        <v/>
      </c>
      <c r="AU525" t="inlineStr">
        <is>
          <t>1050957341:eng</t>
        </is>
      </c>
      <c r="AV525" t="inlineStr">
        <is>
          <t>25164397</t>
        </is>
      </c>
      <c r="AW525" t="inlineStr">
        <is>
          <t>991001982579702656</t>
        </is>
      </c>
      <c r="AX525" t="inlineStr">
        <is>
          <t>991001982579702656</t>
        </is>
      </c>
      <c r="AY525" t="inlineStr">
        <is>
          <t>2263801330002656</t>
        </is>
      </c>
      <c r="AZ525" t="inlineStr">
        <is>
          <t>BOOK</t>
        </is>
      </c>
      <c r="BB525" t="inlineStr">
        <is>
          <t>9780415079884</t>
        </is>
      </c>
      <c r="BC525" t="inlineStr">
        <is>
          <t>32285001833804</t>
        </is>
      </c>
      <c r="BD525" t="inlineStr">
        <is>
          <t>893879376</t>
        </is>
      </c>
    </row>
    <row r="526">
      <c r="A526" t="inlineStr">
        <is>
          <t>No</t>
        </is>
      </c>
      <c r="B526" t="inlineStr">
        <is>
          <t>HQ1190 .B54 1991</t>
        </is>
      </c>
      <c r="C526" t="inlineStr">
        <is>
          <t>0                      HQ 1190000B  54          1991</t>
        </is>
      </c>
      <c r="D526" t="inlineStr">
        <is>
          <t>Rethinking ecofeminist politics / by Janet Biehl.</t>
        </is>
      </c>
      <c r="F526" t="inlineStr">
        <is>
          <t>No</t>
        </is>
      </c>
      <c r="G526" t="inlineStr">
        <is>
          <t>1</t>
        </is>
      </c>
      <c r="H526" t="inlineStr">
        <is>
          <t>No</t>
        </is>
      </c>
      <c r="I526" t="inlineStr">
        <is>
          <t>No</t>
        </is>
      </c>
      <c r="J526" t="inlineStr">
        <is>
          <t>0</t>
        </is>
      </c>
      <c r="K526" t="inlineStr">
        <is>
          <t>Biehl, Janet, 1953-</t>
        </is>
      </c>
      <c r="L526" t="inlineStr">
        <is>
          <t>Boston : South End Press, c1991.</t>
        </is>
      </c>
      <c r="M526" t="inlineStr">
        <is>
          <t>1991</t>
        </is>
      </c>
      <c r="O526" t="inlineStr">
        <is>
          <t>eng</t>
        </is>
      </c>
      <c r="P526" t="inlineStr">
        <is>
          <t>mau</t>
        </is>
      </c>
      <c r="R526" t="inlineStr">
        <is>
          <t xml:space="preserve">HQ </t>
        </is>
      </c>
      <c r="S526" t="n">
        <v>3</v>
      </c>
      <c r="T526" t="n">
        <v>3</v>
      </c>
      <c r="U526" t="inlineStr">
        <is>
          <t>1999-05-11</t>
        </is>
      </c>
      <c r="V526" t="inlineStr">
        <is>
          <t>1999-05-11</t>
        </is>
      </c>
      <c r="W526" t="inlineStr">
        <is>
          <t>1991-12-19</t>
        </is>
      </c>
      <c r="X526" t="inlineStr">
        <is>
          <t>1991-12-19</t>
        </is>
      </c>
      <c r="Y526" t="n">
        <v>415</v>
      </c>
      <c r="Z526" t="n">
        <v>346</v>
      </c>
      <c r="AA526" t="n">
        <v>354</v>
      </c>
      <c r="AB526" t="n">
        <v>4</v>
      </c>
      <c r="AC526" t="n">
        <v>4</v>
      </c>
      <c r="AD526" t="n">
        <v>20</v>
      </c>
      <c r="AE526" t="n">
        <v>20</v>
      </c>
      <c r="AF526" t="n">
        <v>7</v>
      </c>
      <c r="AG526" t="n">
        <v>7</v>
      </c>
      <c r="AH526" t="n">
        <v>5</v>
      </c>
      <c r="AI526" t="n">
        <v>5</v>
      </c>
      <c r="AJ526" t="n">
        <v>11</v>
      </c>
      <c r="AK526" t="n">
        <v>11</v>
      </c>
      <c r="AL526" t="n">
        <v>3</v>
      </c>
      <c r="AM526" t="n">
        <v>3</v>
      </c>
      <c r="AN526" t="n">
        <v>1</v>
      </c>
      <c r="AO526" t="n">
        <v>1</v>
      </c>
      <c r="AP526" t="inlineStr">
        <is>
          <t>No</t>
        </is>
      </c>
      <c r="AQ526" t="inlineStr">
        <is>
          <t>Yes</t>
        </is>
      </c>
      <c r="AR526">
        <f>HYPERLINK("http://catalog.hathitrust.org/Record/002465179","HathiTrust Record")</f>
        <v/>
      </c>
      <c r="AS526">
        <f>HYPERLINK("https://creighton-primo.hosted.exlibrisgroup.com/primo-explore/search?tab=default_tab&amp;search_scope=EVERYTHING&amp;vid=01CRU&amp;lang=en_US&amp;offset=0&amp;query=any,contains,991001828029702656","Catalog Record")</f>
        <v/>
      </c>
      <c r="AT526">
        <f>HYPERLINK("http://www.worldcat.org/oclc/22957079","WorldCat Record")</f>
        <v/>
      </c>
      <c r="AU526" t="inlineStr">
        <is>
          <t>24057950:eng</t>
        </is>
      </c>
      <c r="AV526" t="inlineStr">
        <is>
          <t>22957079</t>
        </is>
      </c>
      <c r="AW526" t="inlineStr">
        <is>
          <t>991001828029702656</t>
        </is>
      </c>
      <c r="AX526" t="inlineStr">
        <is>
          <t>991001828029702656</t>
        </is>
      </c>
      <c r="AY526" t="inlineStr">
        <is>
          <t>2261214400002656</t>
        </is>
      </c>
      <c r="AZ526" t="inlineStr">
        <is>
          <t>BOOK</t>
        </is>
      </c>
      <c r="BB526" t="inlineStr">
        <is>
          <t>9780896083912</t>
        </is>
      </c>
      <c r="BC526" t="inlineStr">
        <is>
          <t>32285000861541</t>
        </is>
      </c>
      <c r="BD526" t="inlineStr">
        <is>
          <t>893791746</t>
        </is>
      </c>
    </row>
    <row r="527">
      <c r="A527" t="inlineStr">
        <is>
          <t>No</t>
        </is>
      </c>
      <c r="B527" t="inlineStr">
        <is>
          <t>HQ1190 .B7313 1991</t>
        </is>
      </c>
      <c r="C527" t="inlineStr">
        <is>
          <t>0                      HQ 1190000B  7313        1991</t>
        </is>
      </c>
      <c r="D527" t="inlineStr">
        <is>
          <t>Patterns of dissonance : a study of women in contemporary philosophy / Rosi Braidotti ; translated by Elizabeth Guild.</t>
        </is>
      </c>
      <c r="F527" t="inlineStr">
        <is>
          <t>No</t>
        </is>
      </c>
      <c r="G527" t="inlineStr">
        <is>
          <t>1</t>
        </is>
      </c>
      <c r="H527" t="inlineStr">
        <is>
          <t>No</t>
        </is>
      </c>
      <c r="I527" t="inlineStr">
        <is>
          <t>No</t>
        </is>
      </c>
      <c r="J527" t="inlineStr">
        <is>
          <t>0</t>
        </is>
      </c>
      <c r="K527" t="inlineStr">
        <is>
          <t>Braidotti, Rosi.</t>
        </is>
      </c>
      <c r="L527" t="inlineStr">
        <is>
          <t>New York : Routledge, 1991.</t>
        </is>
      </c>
      <c r="M527" t="inlineStr">
        <is>
          <t>1991</t>
        </is>
      </c>
      <c r="O527" t="inlineStr">
        <is>
          <t>eng</t>
        </is>
      </c>
      <c r="P527" t="inlineStr">
        <is>
          <t>nyu</t>
        </is>
      </c>
      <c r="R527" t="inlineStr">
        <is>
          <t xml:space="preserve">HQ </t>
        </is>
      </c>
      <c r="S527" t="n">
        <v>5</v>
      </c>
      <c r="T527" t="n">
        <v>5</v>
      </c>
      <c r="U527" t="inlineStr">
        <is>
          <t>1999-05-11</t>
        </is>
      </c>
      <c r="V527" t="inlineStr">
        <is>
          <t>1999-05-11</t>
        </is>
      </c>
      <c r="W527" t="inlineStr">
        <is>
          <t>1992-03-25</t>
        </is>
      </c>
      <c r="X527" t="inlineStr">
        <is>
          <t>1992-03-25</t>
        </is>
      </c>
      <c r="Y527" t="n">
        <v>312</v>
      </c>
      <c r="Z527" t="n">
        <v>250</v>
      </c>
      <c r="AA527" t="n">
        <v>314</v>
      </c>
      <c r="AB527" t="n">
        <v>2</v>
      </c>
      <c r="AC527" t="n">
        <v>3</v>
      </c>
      <c r="AD527" t="n">
        <v>14</v>
      </c>
      <c r="AE527" t="n">
        <v>19</v>
      </c>
      <c r="AF527" t="n">
        <v>7</v>
      </c>
      <c r="AG527" t="n">
        <v>8</v>
      </c>
      <c r="AH527" t="n">
        <v>4</v>
      </c>
      <c r="AI527" t="n">
        <v>6</v>
      </c>
      <c r="AJ527" t="n">
        <v>7</v>
      </c>
      <c r="AK527" t="n">
        <v>10</v>
      </c>
      <c r="AL527" t="n">
        <v>1</v>
      </c>
      <c r="AM527" t="n">
        <v>2</v>
      </c>
      <c r="AN527" t="n">
        <v>0</v>
      </c>
      <c r="AO527" t="n">
        <v>0</v>
      </c>
      <c r="AP527" t="inlineStr">
        <is>
          <t>No</t>
        </is>
      </c>
      <c r="AQ527" t="inlineStr">
        <is>
          <t>Yes</t>
        </is>
      </c>
      <c r="AR527">
        <f>HYPERLINK("http://catalog.hathitrust.org/Record/009921516","HathiTrust Record")</f>
        <v/>
      </c>
      <c r="AS527">
        <f>HYPERLINK("https://creighton-primo.hosted.exlibrisgroup.com/primo-explore/search?tab=default_tab&amp;search_scope=EVERYTHING&amp;vid=01CRU&amp;lang=en_US&amp;offset=0&amp;query=any,contains,991001860299702656","Catalog Record")</f>
        <v/>
      </c>
      <c r="AT527">
        <f>HYPERLINK("http://www.worldcat.org/oclc/23382009","WorldCat Record")</f>
        <v/>
      </c>
      <c r="AU527" t="inlineStr">
        <is>
          <t>19395481:eng</t>
        </is>
      </c>
      <c r="AV527" t="inlineStr">
        <is>
          <t>23382009</t>
        </is>
      </c>
      <c r="AW527" t="inlineStr">
        <is>
          <t>991001860299702656</t>
        </is>
      </c>
      <c r="AX527" t="inlineStr">
        <is>
          <t>991001860299702656</t>
        </is>
      </c>
      <c r="AY527" t="inlineStr">
        <is>
          <t>2266459960002656</t>
        </is>
      </c>
      <c r="AZ527" t="inlineStr">
        <is>
          <t>BOOK</t>
        </is>
      </c>
      <c r="BB527" t="inlineStr">
        <is>
          <t>9780415904919</t>
        </is>
      </c>
      <c r="BC527" t="inlineStr">
        <is>
          <t>32285001005619</t>
        </is>
      </c>
      <c r="BD527" t="inlineStr">
        <is>
          <t>893226186</t>
        </is>
      </c>
    </row>
    <row r="528">
      <c r="A528" t="inlineStr">
        <is>
          <t>No</t>
        </is>
      </c>
      <c r="B528" t="inlineStr">
        <is>
          <t>HQ1190 .B79 2003</t>
        </is>
      </c>
      <c r="C528" t="inlineStr">
        <is>
          <t>0                      HQ 1190000B  79          2003</t>
        </is>
      </c>
      <c r="D528" t="inlineStr">
        <is>
          <t>Feminist political theory : an introduction / Valerie Bryson ; consultant editor, Jo Campling.</t>
        </is>
      </c>
      <c r="F528" t="inlineStr">
        <is>
          <t>No</t>
        </is>
      </c>
      <c r="G528" t="inlineStr">
        <is>
          <t>1</t>
        </is>
      </c>
      <c r="H528" t="inlineStr">
        <is>
          <t>No</t>
        </is>
      </c>
      <c r="I528" t="inlineStr">
        <is>
          <t>No</t>
        </is>
      </c>
      <c r="J528" t="inlineStr">
        <is>
          <t>0</t>
        </is>
      </c>
      <c r="K528" t="inlineStr">
        <is>
          <t>Bryson, Valerie, 1948-</t>
        </is>
      </c>
      <c r="L528" t="inlineStr">
        <is>
          <t>Houndmills, Basingstoke, Hampshire ; New York : Palgrave Macmillan, 2003.</t>
        </is>
      </c>
      <c r="M528" t="inlineStr">
        <is>
          <t>2003</t>
        </is>
      </c>
      <c r="N528" t="inlineStr">
        <is>
          <t>2nd ed.</t>
        </is>
      </c>
      <c r="O528" t="inlineStr">
        <is>
          <t>eng</t>
        </is>
      </c>
      <c r="P528" t="inlineStr">
        <is>
          <t>nyu</t>
        </is>
      </c>
      <c r="R528" t="inlineStr">
        <is>
          <t xml:space="preserve">HQ </t>
        </is>
      </c>
      <c r="S528" t="n">
        <v>8</v>
      </c>
      <c r="T528" t="n">
        <v>8</v>
      </c>
      <c r="U528" t="inlineStr">
        <is>
          <t>2009-11-09</t>
        </is>
      </c>
      <c r="V528" t="inlineStr">
        <is>
          <t>2009-11-09</t>
        </is>
      </c>
      <c r="W528" t="inlineStr">
        <is>
          <t>2003-12-16</t>
        </is>
      </c>
      <c r="X528" t="inlineStr">
        <is>
          <t>2003-12-16</t>
        </is>
      </c>
      <c r="Y528" t="n">
        <v>309</v>
      </c>
      <c r="Z528" t="n">
        <v>155</v>
      </c>
      <c r="AA528" t="n">
        <v>380</v>
      </c>
      <c r="AB528" t="n">
        <v>2</v>
      </c>
      <c r="AC528" t="n">
        <v>4</v>
      </c>
      <c r="AD528" t="n">
        <v>8</v>
      </c>
      <c r="AE528" t="n">
        <v>20</v>
      </c>
      <c r="AF528" t="n">
        <v>2</v>
      </c>
      <c r="AG528" t="n">
        <v>7</v>
      </c>
      <c r="AH528" t="n">
        <v>4</v>
      </c>
      <c r="AI528" t="n">
        <v>5</v>
      </c>
      <c r="AJ528" t="n">
        <v>3</v>
      </c>
      <c r="AK528" t="n">
        <v>10</v>
      </c>
      <c r="AL528" t="n">
        <v>1</v>
      </c>
      <c r="AM528" t="n">
        <v>3</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HYPERLINK("https://creighton-primo.hosted.exlibrisgroup.com/primo-explore/search?tab=default_tab&amp;search_scope=EVERYTHING&amp;vid=01CRU&amp;lang=en_US&amp;offset=0&amp;query=any,contains,991004180749702656","Catalog Record")</f>
        <v/>
      </c>
      <c r="AT528">
        <f>HYPERLINK("http://www.worldcat.org/oclc/52203095","WorldCat Record")</f>
        <v/>
      </c>
      <c r="AU528" t="inlineStr">
        <is>
          <t>681747:eng</t>
        </is>
      </c>
      <c r="AV528" t="inlineStr">
        <is>
          <t>52203095</t>
        </is>
      </c>
      <c r="AW528" t="inlineStr">
        <is>
          <t>991004180749702656</t>
        </is>
      </c>
      <c r="AX528" t="inlineStr">
        <is>
          <t>991004180749702656</t>
        </is>
      </c>
      <c r="AY528" t="inlineStr">
        <is>
          <t>2259140780002656</t>
        </is>
      </c>
      <c r="AZ528" t="inlineStr">
        <is>
          <t>BOOK</t>
        </is>
      </c>
      <c r="BB528" t="inlineStr">
        <is>
          <t>9780333945681</t>
        </is>
      </c>
      <c r="BC528" t="inlineStr">
        <is>
          <t>32285004847124</t>
        </is>
      </c>
      <c r="BD528" t="inlineStr">
        <is>
          <t>893411218</t>
        </is>
      </c>
    </row>
    <row r="529">
      <c r="A529" t="inlineStr">
        <is>
          <t>No</t>
        </is>
      </c>
      <c r="B529" t="inlineStr">
        <is>
          <t>HQ1190 .C665 1998</t>
        </is>
      </c>
      <c r="C529" t="inlineStr">
        <is>
          <t>0                      HQ 1190000C  665         1998</t>
        </is>
      </c>
      <c r="D529" t="inlineStr">
        <is>
          <t>A companion to feminist philosophy / edited by Alison M. Jaggar and Iris Marion Young.</t>
        </is>
      </c>
      <c r="F529" t="inlineStr">
        <is>
          <t>No</t>
        </is>
      </c>
      <c r="G529" t="inlineStr">
        <is>
          <t>1</t>
        </is>
      </c>
      <c r="H529" t="inlineStr">
        <is>
          <t>No</t>
        </is>
      </c>
      <c r="I529" t="inlineStr">
        <is>
          <t>No</t>
        </is>
      </c>
      <c r="J529" t="inlineStr">
        <is>
          <t>0</t>
        </is>
      </c>
      <c r="L529" t="inlineStr">
        <is>
          <t>Malden, Mass. : Blackwell, 1998.</t>
        </is>
      </c>
      <c r="M529" t="inlineStr">
        <is>
          <t>1998</t>
        </is>
      </c>
      <c r="O529" t="inlineStr">
        <is>
          <t>eng</t>
        </is>
      </c>
      <c r="P529" t="inlineStr">
        <is>
          <t>mau</t>
        </is>
      </c>
      <c r="Q529" t="inlineStr">
        <is>
          <t>Blackwell companions to philosophy ; 13</t>
        </is>
      </c>
      <c r="R529" t="inlineStr">
        <is>
          <t xml:space="preserve">HQ </t>
        </is>
      </c>
      <c r="S529" t="n">
        <v>9</v>
      </c>
      <c r="T529" t="n">
        <v>9</v>
      </c>
      <c r="U529" t="inlineStr">
        <is>
          <t>2010-08-30</t>
        </is>
      </c>
      <c r="V529" t="inlineStr">
        <is>
          <t>2010-08-30</t>
        </is>
      </c>
      <c r="W529" t="inlineStr">
        <is>
          <t>1999-12-15</t>
        </is>
      </c>
      <c r="X529" t="inlineStr">
        <is>
          <t>1999-12-15</t>
        </is>
      </c>
      <c r="Y529" t="n">
        <v>603</v>
      </c>
      <c r="Z529" t="n">
        <v>423</v>
      </c>
      <c r="AA529" t="n">
        <v>1460</v>
      </c>
      <c r="AB529" t="n">
        <v>3</v>
      </c>
      <c r="AC529" t="n">
        <v>44</v>
      </c>
      <c r="AD529" t="n">
        <v>27</v>
      </c>
      <c r="AE529" t="n">
        <v>52</v>
      </c>
      <c r="AF529" t="n">
        <v>11</v>
      </c>
      <c r="AG529" t="n">
        <v>18</v>
      </c>
      <c r="AH529" t="n">
        <v>9</v>
      </c>
      <c r="AI529" t="n">
        <v>11</v>
      </c>
      <c r="AJ529" t="n">
        <v>15</v>
      </c>
      <c r="AK529" t="n">
        <v>21</v>
      </c>
      <c r="AL529" t="n">
        <v>2</v>
      </c>
      <c r="AM529" t="n">
        <v>13</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HYPERLINK("https://creighton-primo.hosted.exlibrisgroup.com/primo-explore/search?tab=default_tab&amp;search_scope=EVERYTHING&amp;vid=01CRU&amp;lang=en_US&amp;offset=0&amp;query=any,contains,991002786599702656","Catalog Record")</f>
        <v/>
      </c>
      <c r="AT529">
        <f>HYPERLINK("http://www.worldcat.org/oclc/36589219","WorldCat Record")</f>
        <v/>
      </c>
      <c r="AU529" t="inlineStr">
        <is>
          <t>864032702:eng</t>
        </is>
      </c>
      <c r="AV529" t="inlineStr">
        <is>
          <t>36589219</t>
        </is>
      </c>
      <c r="AW529" t="inlineStr">
        <is>
          <t>991002786599702656</t>
        </is>
      </c>
      <c r="AX529" t="inlineStr">
        <is>
          <t>991002786599702656</t>
        </is>
      </c>
      <c r="AY529" t="inlineStr">
        <is>
          <t>2264410570002656</t>
        </is>
      </c>
      <c r="AZ529" t="inlineStr">
        <is>
          <t>BOOK</t>
        </is>
      </c>
      <c r="BB529" t="inlineStr">
        <is>
          <t>9781557866592</t>
        </is>
      </c>
      <c r="BC529" t="inlineStr">
        <is>
          <t>32285003633319</t>
        </is>
      </c>
      <c r="BD529" t="inlineStr">
        <is>
          <t>893716909</t>
        </is>
      </c>
    </row>
    <row r="530">
      <c r="A530" t="inlineStr">
        <is>
          <t>No</t>
        </is>
      </c>
      <c r="B530" t="inlineStr">
        <is>
          <t>HQ1190 .C67 1991</t>
        </is>
      </c>
      <c r="C530" t="inlineStr">
        <is>
          <t>0                      HQ 1190000C  67          1991</t>
        </is>
      </c>
      <c r="D530" t="inlineStr">
        <is>
          <t>Beyond accommodation : ethical feminism, deconstruction, and the law / Drucilla Cornell.</t>
        </is>
      </c>
      <c r="F530" t="inlineStr">
        <is>
          <t>No</t>
        </is>
      </c>
      <c r="G530" t="inlineStr">
        <is>
          <t>1</t>
        </is>
      </c>
      <c r="H530" t="inlineStr">
        <is>
          <t>Yes</t>
        </is>
      </c>
      <c r="I530" t="inlineStr">
        <is>
          <t>No</t>
        </is>
      </c>
      <c r="J530" t="inlineStr">
        <is>
          <t>0</t>
        </is>
      </c>
      <c r="K530" t="inlineStr">
        <is>
          <t>Cornell, Drucilla.</t>
        </is>
      </c>
      <c r="L530" t="inlineStr">
        <is>
          <t>New York : Routledge, 1991.</t>
        </is>
      </c>
      <c r="M530" t="inlineStr">
        <is>
          <t>1991</t>
        </is>
      </c>
      <c r="O530" t="inlineStr">
        <is>
          <t>eng</t>
        </is>
      </c>
      <c r="P530" t="inlineStr">
        <is>
          <t>nyu</t>
        </is>
      </c>
      <c r="Q530" t="inlineStr">
        <is>
          <t>Thinking gender</t>
        </is>
      </c>
      <c r="R530" t="inlineStr">
        <is>
          <t xml:space="preserve">HQ </t>
        </is>
      </c>
      <c r="S530" t="n">
        <v>9</v>
      </c>
      <c r="T530" t="n">
        <v>9</v>
      </c>
      <c r="U530" t="inlineStr">
        <is>
          <t>2003-04-14</t>
        </is>
      </c>
      <c r="V530" t="inlineStr">
        <is>
          <t>2003-04-14</t>
        </is>
      </c>
      <c r="W530" t="inlineStr">
        <is>
          <t>1994-01-04</t>
        </is>
      </c>
      <c r="X530" t="inlineStr">
        <is>
          <t>1994-01-04</t>
        </is>
      </c>
      <c r="Y530" t="n">
        <v>543</v>
      </c>
      <c r="Z530" t="n">
        <v>399</v>
      </c>
      <c r="AA530" t="n">
        <v>530</v>
      </c>
      <c r="AB530" t="n">
        <v>4</v>
      </c>
      <c r="AC530" t="n">
        <v>4</v>
      </c>
      <c r="AD530" t="n">
        <v>36</v>
      </c>
      <c r="AE530" t="n">
        <v>43</v>
      </c>
      <c r="AF530" t="n">
        <v>7</v>
      </c>
      <c r="AG530" t="n">
        <v>10</v>
      </c>
      <c r="AH530" t="n">
        <v>4</v>
      </c>
      <c r="AI530" t="n">
        <v>8</v>
      </c>
      <c r="AJ530" t="n">
        <v>12</v>
      </c>
      <c r="AK530" t="n">
        <v>14</v>
      </c>
      <c r="AL530" t="n">
        <v>2</v>
      </c>
      <c r="AM530" t="n">
        <v>2</v>
      </c>
      <c r="AN530" t="n">
        <v>16</v>
      </c>
      <c r="AO530" t="n">
        <v>17</v>
      </c>
      <c r="AP530" t="inlineStr">
        <is>
          <t>No</t>
        </is>
      </c>
      <c r="AQ530" t="inlineStr">
        <is>
          <t>Yes</t>
        </is>
      </c>
      <c r="AR530">
        <f>HYPERLINK("http://catalog.hathitrust.org/Record/002518359","HathiTrust Record")</f>
        <v/>
      </c>
      <c r="AS530">
        <f>HYPERLINK("https://creighton-primo.hosted.exlibrisgroup.com/primo-explore/search?tab=default_tab&amp;search_scope=EVERYTHING&amp;vid=01CRU&amp;lang=en_US&amp;offset=0&amp;query=any,contains,991001648029702656","Catalog Record")</f>
        <v/>
      </c>
      <c r="AT530">
        <f>HYPERLINK("http://www.worldcat.org/oclc/23139105","WorldCat Record")</f>
        <v/>
      </c>
      <c r="AU530" t="inlineStr">
        <is>
          <t>24612395:eng</t>
        </is>
      </c>
      <c r="AV530" t="inlineStr">
        <is>
          <t>23139105</t>
        </is>
      </c>
      <c r="AW530" t="inlineStr">
        <is>
          <t>991001648029702656</t>
        </is>
      </c>
      <c r="AX530" t="inlineStr">
        <is>
          <t>991001648029702656</t>
        </is>
      </c>
      <c r="AY530" t="inlineStr">
        <is>
          <t>2261659530002656</t>
        </is>
      </c>
      <c r="AZ530" t="inlineStr">
        <is>
          <t>BOOK</t>
        </is>
      </c>
      <c r="BB530" t="inlineStr">
        <is>
          <t>9780415901055</t>
        </is>
      </c>
      <c r="BC530" t="inlineStr">
        <is>
          <t>32285001819977</t>
        </is>
      </c>
      <c r="BD530" t="inlineStr">
        <is>
          <t>893340572</t>
        </is>
      </c>
    </row>
    <row r="531">
      <c r="A531" t="inlineStr">
        <is>
          <t>No</t>
        </is>
      </c>
      <c r="B531" t="inlineStr">
        <is>
          <t>HQ1190 .C69 1993</t>
        </is>
      </c>
      <c r="C531" t="inlineStr">
        <is>
          <t>0                      HQ 1190000C  69          1993</t>
        </is>
      </c>
      <c r="D531" t="inlineStr">
        <is>
          <t>Transformations : recollective imagination and sexual difference / Drucilla Cornell.</t>
        </is>
      </c>
      <c r="F531" t="inlineStr">
        <is>
          <t>No</t>
        </is>
      </c>
      <c r="G531" t="inlineStr">
        <is>
          <t>1</t>
        </is>
      </c>
      <c r="H531" t="inlineStr">
        <is>
          <t>No</t>
        </is>
      </c>
      <c r="I531" t="inlineStr">
        <is>
          <t>No</t>
        </is>
      </c>
      <c r="J531" t="inlineStr">
        <is>
          <t>0</t>
        </is>
      </c>
      <c r="K531" t="inlineStr">
        <is>
          <t>Cornell, Drucilla.</t>
        </is>
      </c>
      <c r="L531" t="inlineStr">
        <is>
          <t>New York : Routledge, 1993.</t>
        </is>
      </c>
      <c r="M531" t="inlineStr">
        <is>
          <t>1993</t>
        </is>
      </c>
      <c r="O531" t="inlineStr">
        <is>
          <t>eng</t>
        </is>
      </c>
      <c r="P531" t="inlineStr">
        <is>
          <t>nyu</t>
        </is>
      </c>
      <c r="R531" t="inlineStr">
        <is>
          <t xml:space="preserve">HQ </t>
        </is>
      </c>
      <c r="S531" t="n">
        <v>14</v>
      </c>
      <c r="T531" t="n">
        <v>14</v>
      </c>
      <c r="U531" t="inlineStr">
        <is>
          <t>1996-06-23</t>
        </is>
      </c>
      <c r="V531" t="inlineStr">
        <is>
          <t>1996-06-23</t>
        </is>
      </c>
      <c r="W531" t="inlineStr">
        <is>
          <t>1993-10-21</t>
        </is>
      </c>
      <c r="X531" t="inlineStr">
        <is>
          <t>1993-10-21</t>
        </is>
      </c>
      <c r="Y531" t="n">
        <v>422</v>
      </c>
      <c r="Z531" t="n">
        <v>304</v>
      </c>
      <c r="AA531" t="n">
        <v>332</v>
      </c>
      <c r="AB531" t="n">
        <v>3</v>
      </c>
      <c r="AC531" t="n">
        <v>3</v>
      </c>
      <c r="AD531" t="n">
        <v>29</v>
      </c>
      <c r="AE531" t="n">
        <v>29</v>
      </c>
      <c r="AF531" t="n">
        <v>6</v>
      </c>
      <c r="AG531" t="n">
        <v>6</v>
      </c>
      <c r="AH531" t="n">
        <v>6</v>
      </c>
      <c r="AI531" t="n">
        <v>6</v>
      </c>
      <c r="AJ531" t="n">
        <v>10</v>
      </c>
      <c r="AK531" t="n">
        <v>10</v>
      </c>
      <c r="AL531" t="n">
        <v>2</v>
      </c>
      <c r="AM531" t="n">
        <v>2</v>
      </c>
      <c r="AN531" t="n">
        <v>11</v>
      </c>
      <c r="AO531" t="n">
        <v>11</v>
      </c>
      <c r="AP531" t="inlineStr">
        <is>
          <t>No</t>
        </is>
      </c>
      <c r="AQ531" t="inlineStr">
        <is>
          <t>Yes</t>
        </is>
      </c>
      <c r="AR531">
        <f>HYPERLINK("http://catalog.hathitrust.org/Record/002654945","HathiTrust Record")</f>
        <v/>
      </c>
      <c r="AS531">
        <f>HYPERLINK("https://creighton-primo.hosted.exlibrisgroup.com/primo-explore/search?tab=default_tab&amp;search_scope=EVERYTHING&amp;vid=01CRU&amp;lang=en_US&amp;offset=0&amp;query=any,contains,991002124629702656","Catalog Record")</f>
        <v/>
      </c>
      <c r="AT531">
        <f>HYPERLINK("http://www.worldcat.org/oclc/27220074","WorldCat Record")</f>
        <v/>
      </c>
      <c r="AU531" t="inlineStr">
        <is>
          <t>836901334:eng</t>
        </is>
      </c>
      <c r="AV531" t="inlineStr">
        <is>
          <t>27220074</t>
        </is>
      </c>
      <c r="AW531" t="inlineStr">
        <is>
          <t>991002124629702656</t>
        </is>
      </c>
      <c r="AX531" t="inlineStr">
        <is>
          <t>991002124629702656</t>
        </is>
      </c>
      <c r="AY531" t="inlineStr">
        <is>
          <t>2259863930002656</t>
        </is>
      </c>
      <c r="AZ531" t="inlineStr">
        <is>
          <t>BOOK</t>
        </is>
      </c>
      <c r="BB531" t="inlineStr">
        <is>
          <t>9780415907460</t>
        </is>
      </c>
      <c r="BC531" t="inlineStr">
        <is>
          <t>32285001787075</t>
        </is>
      </c>
      <c r="BD531" t="inlineStr">
        <is>
          <t>893590939</t>
        </is>
      </c>
    </row>
    <row r="532">
      <c r="A532" t="inlineStr">
        <is>
          <t>No</t>
        </is>
      </c>
      <c r="B532" t="inlineStr">
        <is>
          <t>HQ1190 .C866 2003</t>
        </is>
      </c>
      <c r="C532" t="inlineStr">
        <is>
          <t>0                      HQ 1190000C  866         2003</t>
        </is>
      </c>
      <c r="D532" t="inlineStr">
        <is>
          <t>The philosopher queen : feminist essays on war, love, and knowledge / Chris Cuomo.</t>
        </is>
      </c>
      <c r="F532" t="inlineStr">
        <is>
          <t>No</t>
        </is>
      </c>
      <c r="G532" t="inlineStr">
        <is>
          <t>1</t>
        </is>
      </c>
      <c r="H532" t="inlineStr">
        <is>
          <t>No</t>
        </is>
      </c>
      <c r="I532" t="inlineStr">
        <is>
          <t>No</t>
        </is>
      </c>
      <c r="J532" t="inlineStr">
        <is>
          <t>0</t>
        </is>
      </c>
      <c r="K532" t="inlineStr">
        <is>
          <t>Cuomo, Chris J.</t>
        </is>
      </c>
      <c r="L532" t="inlineStr">
        <is>
          <t>Lanham, Md. : Rowman &amp; Littlefield, c2003.</t>
        </is>
      </c>
      <c r="M532" t="inlineStr">
        <is>
          <t>2003</t>
        </is>
      </c>
      <c r="O532" t="inlineStr">
        <is>
          <t>eng</t>
        </is>
      </c>
      <c r="P532" t="inlineStr">
        <is>
          <t>mdu</t>
        </is>
      </c>
      <c r="Q532" t="inlineStr">
        <is>
          <t>Feminist constructions</t>
        </is>
      </c>
      <c r="R532" t="inlineStr">
        <is>
          <t xml:space="preserve">HQ </t>
        </is>
      </c>
      <c r="S532" t="n">
        <v>1</v>
      </c>
      <c r="T532" t="n">
        <v>1</v>
      </c>
      <c r="U532" t="inlineStr">
        <is>
          <t>2003-11-13</t>
        </is>
      </c>
      <c r="V532" t="inlineStr">
        <is>
          <t>2003-11-13</t>
        </is>
      </c>
      <c r="W532" t="inlineStr">
        <is>
          <t>2003-10-01</t>
        </is>
      </c>
      <c r="X532" t="inlineStr">
        <is>
          <t>2003-10-01</t>
        </is>
      </c>
      <c r="Y532" t="n">
        <v>254</v>
      </c>
      <c r="Z532" t="n">
        <v>208</v>
      </c>
      <c r="AA532" t="n">
        <v>210</v>
      </c>
      <c r="AB532" t="n">
        <v>2</v>
      </c>
      <c r="AC532" t="n">
        <v>2</v>
      </c>
      <c r="AD532" t="n">
        <v>10</v>
      </c>
      <c r="AE532" t="n">
        <v>10</v>
      </c>
      <c r="AF532" t="n">
        <v>3</v>
      </c>
      <c r="AG532" t="n">
        <v>3</v>
      </c>
      <c r="AH532" t="n">
        <v>3</v>
      </c>
      <c r="AI532" t="n">
        <v>3</v>
      </c>
      <c r="AJ532" t="n">
        <v>7</v>
      </c>
      <c r="AK532" t="n">
        <v>7</v>
      </c>
      <c r="AL532" t="n">
        <v>1</v>
      </c>
      <c r="AM532" t="n">
        <v>1</v>
      </c>
      <c r="AN532" t="n">
        <v>0</v>
      </c>
      <c r="AO532" t="n">
        <v>0</v>
      </c>
      <c r="AP532" t="inlineStr">
        <is>
          <t>No</t>
        </is>
      </c>
      <c r="AQ532" t="inlineStr">
        <is>
          <t>Yes</t>
        </is>
      </c>
      <c r="AR532">
        <f>HYPERLINK("http://catalog.hathitrust.org/Record/004300866","HathiTrust Record")</f>
        <v/>
      </c>
      <c r="AS532">
        <f>HYPERLINK("https://creighton-primo.hosted.exlibrisgroup.com/primo-explore/search?tab=default_tab&amp;search_scope=EVERYTHING&amp;vid=01CRU&amp;lang=en_US&amp;offset=0&amp;query=any,contains,991004145989702656","Catalog Record")</f>
        <v/>
      </c>
      <c r="AT532">
        <f>HYPERLINK("http://www.worldcat.org/oclc/50079909","WorldCat Record")</f>
        <v/>
      </c>
      <c r="AU532" t="inlineStr">
        <is>
          <t>363825:eng</t>
        </is>
      </c>
      <c r="AV532" t="inlineStr">
        <is>
          <t>50079909</t>
        </is>
      </c>
      <c r="AW532" t="inlineStr">
        <is>
          <t>991004145989702656</t>
        </is>
      </c>
      <c r="AX532" t="inlineStr">
        <is>
          <t>991004145989702656</t>
        </is>
      </c>
      <c r="AY532" t="inlineStr">
        <is>
          <t>2269928330002656</t>
        </is>
      </c>
      <c r="AZ532" t="inlineStr">
        <is>
          <t>BOOK</t>
        </is>
      </c>
      <c r="BB532" t="inlineStr">
        <is>
          <t>9780742513808</t>
        </is>
      </c>
      <c r="BC532" t="inlineStr">
        <is>
          <t>32285004796115</t>
        </is>
      </c>
      <c r="BD532" t="inlineStr">
        <is>
          <t>893337376</t>
        </is>
      </c>
    </row>
    <row r="533">
      <c r="A533" t="inlineStr">
        <is>
          <t>No</t>
        </is>
      </c>
      <c r="B533" t="inlineStr">
        <is>
          <t>HQ1190 .D44 2003</t>
        </is>
      </c>
      <c r="C533" t="inlineStr">
        <is>
          <t>0                      HQ 1190000D  44          2003</t>
        </is>
      </c>
      <c r="D533" t="inlineStr">
        <is>
          <t>Feminist sociology / Sara Delamont.</t>
        </is>
      </c>
      <c r="F533" t="inlineStr">
        <is>
          <t>No</t>
        </is>
      </c>
      <c r="G533" t="inlineStr">
        <is>
          <t>1</t>
        </is>
      </c>
      <c r="H533" t="inlineStr">
        <is>
          <t>No</t>
        </is>
      </c>
      <c r="I533" t="inlineStr">
        <is>
          <t>No</t>
        </is>
      </c>
      <c r="J533" t="inlineStr">
        <is>
          <t>0</t>
        </is>
      </c>
      <c r="K533" t="inlineStr">
        <is>
          <t>Delamont, Sara, 1947-</t>
        </is>
      </c>
      <c r="L533" t="inlineStr">
        <is>
          <t>London : Sage, 2003.</t>
        </is>
      </c>
      <c r="M533" t="inlineStr">
        <is>
          <t>2003</t>
        </is>
      </c>
      <c r="O533" t="inlineStr">
        <is>
          <t>eng</t>
        </is>
      </c>
      <c r="P533" t="inlineStr">
        <is>
          <t>enk</t>
        </is>
      </c>
      <c r="Q533" t="inlineStr">
        <is>
          <t>New horizons in sociology</t>
        </is>
      </c>
      <c r="R533" t="inlineStr">
        <is>
          <t xml:space="preserve">HQ </t>
        </is>
      </c>
      <c r="S533" t="n">
        <v>1</v>
      </c>
      <c r="T533" t="n">
        <v>1</v>
      </c>
      <c r="U533" t="inlineStr">
        <is>
          <t>2005-11-09</t>
        </is>
      </c>
      <c r="V533" t="inlineStr">
        <is>
          <t>2005-11-09</t>
        </is>
      </c>
      <c r="W533" t="inlineStr">
        <is>
          <t>2005-11-09</t>
        </is>
      </c>
      <c r="X533" t="inlineStr">
        <is>
          <t>2005-11-09</t>
        </is>
      </c>
      <c r="Y533" t="n">
        <v>339</v>
      </c>
      <c r="Z533" t="n">
        <v>204</v>
      </c>
      <c r="AA533" t="n">
        <v>1194</v>
      </c>
      <c r="AB533" t="n">
        <v>3</v>
      </c>
      <c r="AC533" t="n">
        <v>15</v>
      </c>
      <c r="AD533" t="n">
        <v>6</v>
      </c>
      <c r="AE533" t="n">
        <v>44</v>
      </c>
      <c r="AF533" t="n">
        <v>1</v>
      </c>
      <c r="AG533" t="n">
        <v>14</v>
      </c>
      <c r="AH533" t="n">
        <v>1</v>
      </c>
      <c r="AI533" t="n">
        <v>10</v>
      </c>
      <c r="AJ533" t="n">
        <v>3</v>
      </c>
      <c r="AK533" t="n">
        <v>13</v>
      </c>
      <c r="AL533" t="n">
        <v>2</v>
      </c>
      <c r="AM533" t="n">
        <v>13</v>
      </c>
      <c r="AN533" t="n">
        <v>0</v>
      </c>
      <c r="AO533" t="n">
        <v>2</v>
      </c>
      <c r="AP533" t="inlineStr">
        <is>
          <t>No</t>
        </is>
      </c>
      <c r="AQ533" t="inlineStr">
        <is>
          <t>Yes</t>
        </is>
      </c>
      <c r="AR533">
        <f>HYPERLINK("http://catalog.hathitrust.org/Record/004320404","HathiTrust Record")</f>
        <v/>
      </c>
      <c r="AS533">
        <f>HYPERLINK("https://creighton-primo.hosted.exlibrisgroup.com/primo-explore/search?tab=default_tab&amp;search_scope=EVERYTHING&amp;vid=01CRU&amp;lang=en_US&amp;offset=0&amp;query=any,contains,991004672459702656","Catalog Record")</f>
        <v/>
      </c>
      <c r="AT533">
        <f>HYPERLINK("http://www.worldcat.org/oclc/52161357","WorldCat Record")</f>
        <v/>
      </c>
      <c r="AU533" t="inlineStr">
        <is>
          <t>756752:eng</t>
        </is>
      </c>
      <c r="AV533" t="inlineStr">
        <is>
          <t>52161357</t>
        </is>
      </c>
      <c r="AW533" t="inlineStr">
        <is>
          <t>991004672459702656</t>
        </is>
      </c>
      <c r="AX533" t="inlineStr">
        <is>
          <t>991004672459702656</t>
        </is>
      </c>
      <c r="AY533" t="inlineStr">
        <is>
          <t>2268687750002656</t>
        </is>
      </c>
      <c r="AZ533" t="inlineStr">
        <is>
          <t>BOOK</t>
        </is>
      </c>
      <c r="BB533" t="inlineStr">
        <is>
          <t>9780761972549</t>
        </is>
      </c>
      <c r="BC533" t="inlineStr">
        <is>
          <t>32285005145833</t>
        </is>
      </c>
      <c r="BD533" t="inlineStr">
        <is>
          <t>893260026</t>
        </is>
      </c>
    </row>
    <row r="534">
      <c r="A534" t="inlineStr">
        <is>
          <t>No</t>
        </is>
      </c>
      <c r="B534" t="inlineStr">
        <is>
          <t>HQ1190 .D57 1991</t>
        </is>
      </c>
      <c r="C534" t="inlineStr">
        <is>
          <t>0                      HQ 1190000D  57          1991</t>
        </is>
      </c>
      <c r="D534" t="inlineStr">
        <is>
          <t>Configurations of masculinity : a feminist perspective on modern political theory / Christine Di Stefano.</t>
        </is>
      </c>
      <c r="F534" t="inlineStr">
        <is>
          <t>No</t>
        </is>
      </c>
      <c r="G534" t="inlineStr">
        <is>
          <t>1</t>
        </is>
      </c>
      <c r="H534" t="inlineStr">
        <is>
          <t>No</t>
        </is>
      </c>
      <c r="I534" t="inlineStr">
        <is>
          <t>No</t>
        </is>
      </c>
      <c r="J534" t="inlineStr">
        <is>
          <t>0</t>
        </is>
      </c>
      <c r="K534" t="inlineStr">
        <is>
          <t>Di Stefano, Christine.</t>
        </is>
      </c>
      <c r="L534" t="inlineStr">
        <is>
          <t>Ithaca : Cornell University Press, 1991.</t>
        </is>
      </c>
      <c r="M534" t="inlineStr">
        <is>
          <t>1991</t>
        </is>
      </c>
      <c r="O534" t="inlineStr">
        <is>
          <t>eng</t>
        </is>
      </c>
      <c r="P534" t="inlineStr">
        <is>
          <t>nyu</t>
        </is>
      </c>
      <c r="R534" t="inlineStr">
        <is>
          <t xml:space="preserve">HQ </t>
        </is>
      </c>
      <c r="S534" t="n">
        <v>8</v>
      </c>
      <c r="T534" t="n">
        <v>8</v>
      </c>
      <c r="U534" t="inlineStr">
        <is>
          <t>1996-10-24</t>
        </is>
      </c>
      <c r="V534" t="inlineStr">
        <is>
          <t>1996-10-24</t>
        </is>
      </c>
      <c r="W534" t="inlineStr">
        <is>
          <t>1991-08-06</t>
        </is>
      </c>
      <c r="X534" t="inlineStr">
        <is>
          <t>1991-08-06</t>
        </is>
      </c>
      <c r="Y534" t="n">
        <v>447</v>
      </c>
      <c r="Z534" t="n">
        <v>354</v>
      </c>
      <c r="AA534" t="n">
        <v>749</v>
      </c>
      <c r="AB534" t="n">
        <v>3</v>
      </c>
      <c r="AC534" t="n">
        <v>6</v>
      </c>
      <c r="AD534" t="n">
        <v>28</v>
      </c>
      <c r="AE534" t="n">
        <v>44</v>
      </c>
      <c r="AF534" t="n">
        <v>11</v>
      </c>
      <c r="AG534" t="n">
        <v>19</v>
      </c>
      <c r="AH534" t="n">
        <v>6</v>
      </c>
      <c r="AI534" t="n">
        <v>10</v>
      </c>
      <c r="AJ534" t="n">
        <v>15</v>
      </c>
      <c r="AK534" t="n">
        <v>19</v>
      </c>
      <c r="AL534" t="n">
        <v>2</v>
      </c>
      <c r="AM534" t="n">
        <v>5</v>
      </c>
      <c r="AN534" t="n">
        <v>2</v>
      </c>
      <c r="AO534" t="n">
        <v>2</v>
      </c>
      <c r="AP534" t="inlineStr">
        <is>
          <t>No</t>
        </is>
      </c>
      <c r="AQ534" t="inlineStr">
        <is>
          <t>Yes</t>
        </is>
      </c>
      <c r="AR534">
        <f>HYPERLINK("http://catalog.hathitrust.org/Record/002453445","HathiTrust Record")</f>
        <v/>
      </c>
      <c r="AS534">
        <f>HYPERLINK("https://creighton-primo.hosted.exlibrisgroup.com/primo-explore/search?tab=default_tab&amp;search_scope=EVERYTHING&amp;vid=01CRU&amp;lang=en_US&amp;offset=0&amp;query=any,contains,991001806399702656","Catalog Record")</f>
        <v/>
      </c>
      <c r="AT534">
        <f>HYPERLINK("http://www.worldcat.org/oclc/22708139","WorldCat Record")</f>
        <v/>
      </c>
      <c r="AU534" t="inlineStr">
        <is>
          <t>364740180:eng</t>
        </is>
      </c>
      <c r="AV534" t="inlineStr">
        <is>
          <t>22708139</t>
        </is>
      </c>
      <c r="AW534" t="inlineStr">
        <is>
          <t>991001806399702656</t>
        </is>
      </c>
      <c r="AX534" t="inlineStr">
        <is>
          <t>991001806399702656</t>
        </is>
      </c>
      <c r="AY534" t="inlineStr">
        <is>
          <t>2258737920002656</t>
        </is>
      </c>
      <c r="AZ534" t="inlineStr">
        <is>
          <t>BOOK</t>
        </is>
      </c>
      <c r="BB534" t="inlineStr">
        <is>
          <t>9780801497650</t>
        </is>
      </c>
      <c r="BC534" t="inlineStr">
        <is>
          <t>32285000664184</t>
        </is>
      </c>
      <c r="BD534" t="inlineStr">
        <is>
          <t>893316083</t>
        </is>
      </c>
    </row>
    <row r="535">
      <c r="A535" t="inlineStr">
        <is>
          <t>No</t>
        </is>
      </c>
      <c r="B535" t="inlineStr">
        <is>
          <t>HQ1190 .D868 1998</t>
        </is>
      </c>
      <c r="C535" t="inlineStr">
        <is>
          <t>0                      HQ 1190000D  868         1998</t>
        </is>
      </c>
      <c r="D535" t="inlineStr">
        <is>
          <t>Philosophies of science/feminist theories / Jane Duran.</t>
        </is>
      </c>
      <c r="F535" t="inlineStr">
        <is>
          <t>No</t>
        </is>
      </c>
      <c r="G535" t="inlineStr">
        <is>
          <t>1</t>
        </is>
      </c>
      <c r="H535" t="inlineStr">
        <is>
          <t>No</t>
        </is>
      </c>
      <c r="I535" t="inlineStr">
        <is>
          <t>No</t>
        </is>
      </c>
      <c r="J535" t="inlineStr">
        <is>
          <t>0</t>
        </is>
      </c>
      <c r="K535" t="inlineStr">
        <is>
          <t>Duran, Jane.</t>
        </is>
      </c>
      <c r="L535" t="inlineStr">
        <is>
          <t>Boulder, Colo. : Westview Press, 1998.</t>
        </is>
      </c>
      <c r="M535" t="inlineStr">
        <is>
          <t>1998</t>
        </is>
      </c>
      <c r="O535" t="inlineStr">
        <is>
          <t>eng</t>
        </is>
      </c>
      <c r="P535" t="inlineStr">
        <is>
          <t>cou</t>
        </is>
      </c>
      <c r="R535" t="inlineStr">
        <is>
          <t xml:space="preserve">HQ </t>
        </is>
      </c>
      <c r="S535" t="n">
        <v>1</v>
      </c>
      <c r="T535" t="n">
        <v>1</v>
      </c>
      <c r="U535" t="inlineStr">
        <is>
          <t>2001-10-04</t>
        </is>
      </c>
      <c r="V535" t="inlineStr">
        <is>
          <t>2001-10-04</t>
        </is>
      </c>
      <c r="W535" t="inlineStr">
        <is>
          <t>1997-12-18</t>
        </is>
      </c>
      <c r="X535" t="inlineStr">
        <is>
          <t>1997-12-18</t>
        </is>
      </c>
      <c r="Y535" t="n">
        <v>361</v>
      </c>
      <c r="Z535" t="n">
        <v>280</v>
      </c>
      <c r="AA535" t="n">
        <v>304</v>
      </c>
      <c r="AB535" t="n">
        <v>3</v>
      </c>
      <c r="AC535" t="n">
        <v>3</v>
      </c>
      <c r="AD535" t="n">
        <v>14</v>
      </c>
      <c r="AE535" t="n">
        <v>14</v>
      </c>
      <c r="AF535" t="n">
        <v>5</v>
      </c>
      <c r="AG535" t="n">
        <v>5</v>
      </c>
      <c r="AH535" t="n">
        <v>4</v>
      </c>
      <c r="AI535" t="n">
        <v>4</v>
      </c>
      <c r="AJ535" t="n">
        <v>5</v>
      </c>
      <c r="AK535" t="n">
        <v>5</v>
      </c>
      <c r="AL535" t="n">
        <v>2</v>
      </c>
      <c r="AM535" t="n">
        <v>2</v>
      </c>
      <c r="AN535" t="n">
        <v>0</v>
      </c>
      <c r="AO535" t="n">
        <v>0</v>
      </c>
      <c r="AP535" t="inlineStr">
        <is>
          <t>No</t>
        </is>
      </c>
      <c r="AQ535" t="inlineStr">
        <is>
          <t>Yes</t>
        </is>
      </c>
      <c r="AR535">
        <f>HYPERLINK("http://catalog.hathitrust.org/Record/003955217","HathiTrust Record")</f>
        <v/>
      </c>
      <c r="AS535">
        <f>HYPERLINK("https://creighton-primo.hosted.exlibrisgroup.com/primo-explore/search?tab=default_tab&amp;search_scope=EVERYTHING&amp;vid=01CRU&amp;lang=en_US&amp;offset=0&amp;query=any,contains,991002891189702656","Catalog Record")</f>
        <v/>
      </c>
      <c r="AT535">
        <f>HYPERLINK("http://www.worldcat.org/oclc/38094935","WorldCat Record")</f>
        <v/>
      </c>
      <c r="AU535" t="inlineStr">
        <is>
          <t>641590:eng</t>
        </is>
      </c>
      <c r="AV535" t="inlineStr">
        <is>
          <t>38094935</t>
        </is>
      </c>
      <c r="AW535" t="inlineStr">
        <is>
          <t>991002891189702656</t>
        </is>
      </c>
      <c r="AX535" t="inlineStr">
        <is>
          <t>991002891189702656</t>
        </is>
      </c>
      <c r="AY535" t="inlineStr">
        <is>
          <t>2256799530002656</t>
        </is>
      </c>
      <c r="AZ535" t="inlineStr">
        <is>
          <t>BOOK</t>
        </is>
      </c>
      <c r="BB535" t="inlineStr">
        <is>
          <t>9780813332994</t>
        </is>
      </c>
      <c r="BC535" t="inlineStr">
        <is>
          <t>32285003284147</t>
        </is>
      </c>
      <c r="BD535" t="inlineStr">
        <is>
          <t>893517884</t>
        </is>
      </c>
    </row>
    <row r="536">
      <c r="A536" t="inlineStr">
        <is>
          <t>No</t>
        </is>
      </c>
      <c r="B536" t="inlineStr">
        <is>
          <t>HQ1190 .D87 1991</t>
        </is>
      </c>
      <c r="C536" t="inlineStr">
        <is>
          <t>0                      HQ 1190000D  87          1991</t>
        </is>
      </c>
      <c r="D536" t="inlineStr">
        <is>
          <t>Toward a feminist epistemology / Jane Duran.</t>
        </is>
      </c>
      <c r="F536" t="inlineStr">
        <is>
          <t>No</t>
        </is>
      </c>
      <c r="G536" t="inlineStr">
        <is>
          <t>1</t>
        </is>
      </c>
      <c r="H536" t="inlineStr">
        <is>
          <t>No</t>
        </is>
      </c>
      <c r="I536" t="inlineStr">
        <is>
          <t>No</t>
        </is>
      </c>
      <c r="J536" t="inlineStr">
        <is>
          <t>0</t>
        </is>
      </c>
      <c r="K536" t="inlineStr">
        <is>
          <t>Duran, Jane.</t>
        </is>
      </c>
      <c r="L536" t="inlineStr">
        <is>
          <t>Savage, Md. : Rowman &amp; Littlefield, c1991.</t>
        </is>
      </c>
      <c r="M536" t="inlineStr">
        <is>
          <t>1991</t>
        </is>
      </c>
      <c r="O536" t="inlineStr">
        <is>
          <t>eng</t>
        </is>
      </c>
      <c r="P536" t="inlineStr">
        <is>
          <t>mdu</t>
        </is>
      </c>
      <c r="Q536" t="inlineStr">
        <is>
          <t>New feminist perspectives</t>
        </is>
      </c>
      <c r="R536" t="inlineStr">
        <is>
          <t xml:space="preserve">HQ </t>
        </is>
      </c>
      <c r="S536" t="n">
        <v>14</v>
      </c>
      <c r="T536" t="n">
        <v>14</v>
      </c>
      <c r="U536" t="inlineStr">
        <is>
          <t>2002-04-14</t>
        </is>
      </c>
      <c r="V536" t="inlineStr">
        <is>
          <t>2002-04-14</t>
        </is>
      </c>
      <c r="W536" t="inlineStr">
        <is>
          <t>1991-12-02</t>
        </is>
      </c>
      <c r="X536" t="inlineStr">
        <is>
          <t>1991-12-02</t>
        </is>
      </c>
      <c r="Y536" t="n">
        <v>539</v>
      </c>
      <c r="Z536" t="n">
        <v>462</v>
      </c>
      <c r="AA536" t="n">
        <v>473</v>
      </c>
      <c r="AB536" t="n">
        <v>3</v>
      </c>
      <c r="AC536" t="n">
        <v>3</v>
      </c>
      <c r="AD536" t="n">
        <v>36</v>
      </c>
      <c r="AE536" t="n">
        <v>36</v>
      </c>
      <c r="AF536" t="n">
        <v>17</v>
      </c>
      <c r="AG536" t="n">
        <v>17</v>
      </c>
      <c r="AH536" t="n">
        <v>8</v>
      </c>
      <c r="AI536" t="n">
        <v>8</v>
      </c>
      <c r="AJ536" t="n">
        <v>19</v>
      </c>
      <c r="AK536" t="n">
        <v>19</v>
      </c>
      <c r="AL536" t="n">
        <v>2</v>
      </c>
      <c r="AM536" t="n">
        <v>2</v>
      </c>
      <c r="AN536" t="n">
        <v>1</v>
      </c>
      <c r="AO536" t="n">
        <v>1</v>
      </c>
      <c r="AP536" t="inlineStr">
        <is>
          <t>No</t>
        </is>
      </c>
      <c r="AQ536" t="inlineStr">
        <is>
          <t>Yes</t>
        </is>
      </c>
      <c r="AR536">
        <f>HYPERLINK("http://catalog.hathitrust.org/Record/002424373","HathiTrust Record")</f>
        <v/>
      </c>
      <c r="AS536">
        <f>HYPERLINK("https://creighton-primo.hosted.exlibrisgroup.com/primo-explore/search?tab=default_tab&amp;search_scope=EVERYTHING&amp;vid=01CRU&amp;lang=en_US&amp;offset=0&amp;query=any,contains,991001769489702656","Catalog Record")</f>
        <v/>
      </c>
      <c r="AT536">
        <f>HYPERLINK("http://www.worldcat.org/oclc/22346317","WorldCat Record")</f>
        <v/>
      </c>
      <c r="AU536" t="inlineStr">
        <is>
          <t>24661831:eng</t>
        </is>
      </c>
      <c r="AV536" t="inlineStr">
        <is>
          <t>22346317</t>
        </is>
      </c>
      <c r="AW536" t="inlineStr">
        <is>
          <t>991001769489702656</t>
        </is>
      </c>
      <c r="AX536" t="inlineStr">
        <is>
          <t>991001769489702656</t>
        </is>
      </c>
      <c r="AY536" t="inlineStr">
        <is>
          <t>2257425320002656</t>
        </is>
      </c>
      <c r="AZ536" t="inlineStr">
        <is>
          <t>BOOK</t>
        </is>
      </c>
      <c r="BB536" t="inlineStr">
        <is>
          <t>9780847676354</t>
        </is>
      </c>
      <c r="BC536" t="inlineStr">
        <is>
          <t>32285000818574</t>
        </is>
      </c>
      <c r="BD536" t="inlineStr">
        <is>
          <t>893791688</t>
        </is>
      </c>
    </row>
    <row r="537">
      <c r="A537" t="inlineStr">
        <is>
          <t>No</t>
        </is>
      </c>
      <c r="B537" t="inlineStr">
        <is>
          <t>HQ1190 .D89 2001</t>
        </is>
      </c>
      <c r="C537" t="inlineStr">
        <is>
          <t>0                      HQ 1190000D  89          2001</t>
        </is>
      </c>
      <c r="D537" t="inlineStr">
        <is>
          <t>Worlds of knowing : global feminist epistemologies / Jane Duran.</t>
        </is>
      </c>
      <c r="F537" t="inlineStr">
        <is>
          <t>No</t>
        </is>
      </c>
      <c r="G537" t="inlineStr">
        <is>
          <t>1</t>
        </is>
      </c>
      <c r="H537" t="inlineStr">
        <is>
          <t>No</t>
        </is>
      </c>
      <c r="I537" t="inlineStr">
        <is>
          <t>No</t>
        </is>
      </c>
      <c r="J537" t="inlineStr">
        <is>
          <t>0</t>
        </is>
      </c>
      <c r="K537" t="inlineStr">
        <is>
          <t>Duran, Jane.</t>
        </is>
      </c>
      <c r="L537" t="inlineStr">
        <is>
          <t>New York : Routledge, 2001.</t>
        </is>
      </c>
      <c r="M537" t="inlineStr">
        <is>
          <t>2001</t>
        </is>
      </c>
      <c r="O537" t="inlineStr">
        <is>
          <t>eng</t>
        </is>
      </c>
      <c r="P537" t="inlineStr">
        <is>
          <t>nyu</t>
        </is>
      </c>
      <c r="R537" t="inlineStr">
        <is>
          <t xml:space="preserve">HQ </t>
        </is>
      </c>
      <c r="S537" t="n">
        <v>2</v>
      </c>
      <c r="T537" t="n">
        <v>2</v>
      </c>
      <c r="U537" t="inlineStr">
        <is>
          <t>2008-01-28</t>
        </is>
      </c>
      <c r="V537" t="inlineStr">
        <is>
          <t>2008-01-28</t>
        </is>
      </c>
      <c r="W537" t="inlineStr">
        <is>
          <t>2001-09-05</t>
        </is>
      </c>
      <c r="X537" t="inlineStr">
        <is>
          <t>2001-09-05</t>
        </is>
      </c>
      <c r="Y537" t="n">
        <v>394</v>
      </c>
      <c r="Z537" t="n">
        <v>282</v>
      </c>
      <c r="AA537" t="n">
        <v>312</v>
      </c>
      <c r="AB537" t="n">
        <v>3</v>
      </c>
      <c r="AC537" t="n">
        <v>3</v>
      </c>
      <c r="AD537" t="n">
        <v>17</v>
      </c>
      <c r="AE537" t="n">
        <v>17</v>
      </c>
      <c r="AF537" t="n">
        <v>5</v>
      </c>
      <c r="AG537" t="n">
        <v>5</v>
      </c>
      <c r="AH537" t="n">
        <v>5</v>
      </c>
      <c r="AI537" t="n">
        <v>5</v>
      </c>
      <c r="AJ537" t="n">
        <v>10</v>
      </c>
      <c r="AK537" t="n">
        <v>10</v>
      </c>
      <c r="AL537" t="n">
        <v>2</v>
      </c>
      <c r="AM537" t="n">
        <v>2</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HYPERLINK("https://creighton-primo.hosted.exlibrisgroup.com/primo-explore/search?tab=default_tab&amp;search_scope=EVERYTHING&amp;vid=01CRU&amp;lang=en_US&amp;offset=0&amp;query=any,contains,991003598879702656","Catalog Record")</f>
        <v/>
      </c>
      <c r="AT537">
        <f>HYPERLINK("http://www.worldcat.org/oclc/44927057","WorldCat Record")</f>
        <v/>
      </c>
      <c r="AU537" t="inlineStr">
        <is>
          <t>837074646:eng</t>
        </is>
      </c>
      <c r="AV537" t="inlineStr">
        <is>
          <t>44927057</t>
        </is>
      </c>
      <c r="AW537" t="inlineStr">
        <is>
          <t>991003598879702656</t>
        </is>
      </c>
      <c r="AX537" t="inlineStr">
        <is>
          <t>991003598879702656</t>
        </is>
      </c>
      <c r="AY537" t="inlineStr">
        <is>
          <t>2268346050002656</t>
        </is>
      </c>
      <c r="AZ537" t="inlineStr">
        <is>
          <t>BOOK</t>
        </is>
      </c>
      <c r="BB537" t="inlineStr">
        <is>
          <t>9780415927390</t>
        </is>
      </c>
      <c r="BC537" t="inlineStr">
        <is>
          <t>32285004384581</t>
        </is>
      </c>
      <c r="BD537" t="inlineStr">
        <is>
          <t>893531344</t>
        </is>
      </c>
    </row>
    <row r="538">
      <c r="A538" t="inlineStr">
        <is>
          <t>No</t>
        </is>
      </c>
      <c r="B538" t="inlineStr">
        <is>
          <t>HQ1190 .E24 1996</t>
        </is>
      </c>
      <c r="C538" t="inlineStr">
        <is>
          <t>0                      HQ 1190000E  24          1996</t>
        </is>
      </c>
      <c r="D538" t="inlineStr">
        <is>
          <t>Ludic feminism and after : postmodernism, desire, and labor in late capitalism / Teresa L. Ebert.</t>
        </is>
      </c>
      <c r="F538" t="inlineStr">
        <is>
          <t>No</t>
        </is>
      </c>
      <c r="G538" t="inlineStr">
        <is>
          <t>1</t>
        </is>
      </c>
      <c r="H538" t="inlineStr">
        <is>
          <t>No</t>
        </is>
      </c>
      <c r="I538" t="inlineStr">
        <is>
          <t>No</t>
        </is>
      </c>
      <c r="J538" t="inlineStr">
        <is>
          <t>0</t>
        </is>
      </c>
      <c r="K538" t="inlineStr">
        <is>
          <t>Ebert, Teresa L., 1951-</t>
        </is>
      </c>
      <c r="L538" t="inlineStr">
        <is>
          <t>Ann Arbor : University of Michigan Press, c1996.</t>
        </is>
      </c>
      <c r="M538" t="inlineStr">
        <is>
          <t>1996</t>
        </is>
      </c>
      <c r="O538" t="inlineStr">
        <is>
          <t>eng</t>
        </is>
      </c>
      <c r="P538" t="inlineStr">
        <is>
          <t>miu</t>
        </is>
      </c>
      <c r="Q538" t="inlineStr">
        <is>
          <t>Critical perspectives on women and gender</t>
        </is>
      </c>
      <c r="R538" t="inlineStr">
        <is>
          <t xml:space="preserve">HQ </t>
        </is>
      </c>
      <c r="S538" t="n">
        <v>3</v>
      </c>
      <c r="T538" t="n">
        <v>3</v>
      </c>
      <c r="U538" t="inlineStr">
        <is>
          <t>2005-04-11</t>
        </is>
      </c>
      <c r="V538" t="inlineStr">
        <is>
          <t>2005-04-11</t>
        </is>
      </c>
      <c r="W538" t="inlineStr">
        <is>
          <t>1996-07-30</t>
        </is>
      </c>
      <c r="X538" t="inlineStr">
        <is>
          <t>1996-07-30</t>
        </is>
      </c>
      <c r="Y538" t="n">
        <v>370</v>
      </c>
      <c r="Z538" t="n">
        <v>285</v>
      </c>
      <c r="AA538" t="n">
        <v>290</v>
      </c>
      <c r="AB538" t="n">
        <v>3</v>
      </c>
      <c r="AC538" t="n">
        <v>3</v>
      </c>
      <c r="AD538" t="n">
        <v>17</v>
      </c>
      <c r="AE538" t="n">
        <v>17</v>
      </c>
      <c r="AF538" t="n">
        <v>5</v>
      </c>
      <c r="AG538" t="n">
        <v>5</v>
      </c>
      <c r="AH538" t="n">
        <v>8</v>
      </c>
      <c r="AI538" t="n">
        <v>8</v>
      </c>
      <c r="AJ538" t="n">
        <v>8</v>
      </c>
      <c r="AK538" t="n">
        <v>8</v>
      </c>
      <c r="AL538" t="n">
        <v>2</v>
      </c>
      <c r="AM538" t="n">
        <v>2</v>
      </c>
      <c r="AN538" t="n">
        <v>0</v>
      </c>
      <c r="AO538" t="n">
        <v>0</v>
      </c>
      <c r="AP538" t="inlineStr">
        <is>
          <t>No</t>
        </is>
      </c>
      <c r="AQ538" t="inlineStr">
        <is>
          <t>Yes</t>
        </is>
      </c>
      <c r="AR538">
        <f>HYPERLINK("http://catalog.hathitrust.org/Record/003038089","HathiTrust Record")</f>
        <v/>
      </c>
      <c r="AS538">
        <f>HYPERLINK("https://creighton-primo.hosted.exlibrisgroup.com/primo-explore/search?tab=default_tab&amp;search_scope=EVERYTHING&amp;vid=01CRU&amp;lang=en_US&amp;offset=0&amp;query=any,contains,991002448609702656","Catalog Record")</f>
        <v/>
      </c>
      <c r="AT538">
        <f>HYPERLINK("http://www.worldcat.org/oclc/31934122","WorldCat Record")</f>
        <v/>
      </c>
      <c r="AU538" t="inlineStr">
        <is>
          <t>231560431:eng</t>
        </is>
      </c>
      <c r="AV538" t="inlineStr">
        <is>
          <t>31934122</t>
        </is>
      </c>
      <c r="AW538" t="inlineStr">
        <is>
          <t>991002448609702656</t>
        </is>
      </c>
      <c r="AX538" t="inlineStr">
        <is>
          <t>991002448609702656</t>
        </is>
      </c>
      <c r="AY538" t="inlineStr">
        <is>
          <t>2256881670002656</t>
        </is>
      </c>
      <c r="AZ538" t="inlineStr">
        <is>
          <t>BOOK</t>
        </is>
      </c>
      <c r="BB538" t="inlineStr">
        <is>
          <t>9780472065769</t>
        </is>
      </c>
      <c r="BC538" t="inlineStr">
        <is>
          <t>32285002208667</t>
        </is>
      </c>
      <c r="BD538" t="inlineStr">
        <is>
          <t>893786152</t>
        </is>
      </c>
    </row>
    <row r="539">
      <c r="A539" t="inlineStr">
        <is>
          <t>No</t>
        </is>
      </c>
      <c r="B539" t="inlineStr">
        <is>
          <t>HQ1190 .E64 1991</t>
        </is>
      </c>
      <c r="C539" t="inlineStr">
        <is>
          <t>0                      HQ 1190000E  64          1991</t>
        </is>
      </c>
      <c r="D539" t="inlineStr">
        <is>
          <t>(En)gendering knowledge : feminists in academe / edited by Joan E. Hartman and Ellen Messer-Davidow.</t>
        </is>
      </c>
      <c r="F539" t="inlineStr">
        <is>
          <t>No</t>
        </is>
      </c>
      <c r="G539" t="inlineStr">
        <is>
          <t>1</t>
        </is>
      </c>
      <c r="H539" t="inlineStr">
        <is>
          <t>No</t>
        </is>
      </c>
      <c r="I539" t="inlineStr">
        <is>
          <t>No</t>
        </is>
      </c>
      <c r="J539" t="inlineStr">
        <is>
          <t>0</t>
        </is>
      </c>
      <c r="L539" t="inlineStr">
        <is>
          <t>Knoxville : University of Tennessee Press, c1991.</t>
        </is>
      </c>
      <c r="M539" t="inlineStr">
        <is>
          <t>1991</t>
        </is>
      </c>
      <c r="N539" t="inlineStr">
        <is>
          <t>1st ed.</t>
        </is>
      </c>
      <c r="O539" t="inlineStr">
        <is>
          <t>eng</t>
        </is>
      </c>
      <c r="P539" t="inlineStr">
        <is>
          <t>tnu</t>
        </is>
      </c>
      <c r="R539" t="inlineStr">
        <is>
          <t xml:space="preserve">HQ </t>
        </is>
      </c>
      <c r="S539" t="n">
        <v>13</v>
      </c>
      <c r="T539" t="n">
        <v>13</v>
      </c>
      <c r="U539" t="inlineStr">
        <is>
          <t>2004-03-17</t>
        </is>
      </c>
      <c r="V539" t="inlineStr">
        <is>
          <t>2004-03-17</t>
        </is>
      </c>
      <c r="W539" t="inlineStr">
        <is>
          <t>1992-05-29</t>
        </is>
      </c>
      <c r="X539" t="inlineStr">
        <is>
          <t>1992-05-29</t>
        </is>
      </c>
      <c r="Y539" t="n">
        <v>561</v>
      </c>
      <c r="Z539" t="n">
        <v>480</v>
      </c>
      <c r="AA539" t="n">
        <v>481</v>
      </c>
      <c r="AB539" t="n">
        <v>4</v>
      </c>
      <c r="AC539" t="n">
        <v>4</v>
      </c>
      <c r="AD539" t="n">
        <v>25</v>
      </c>
      <c r="AE539" t="n">
        <v>25</v>
      </c>
      <c r="AF539" t="n">
        <v>7</v>
      </c>
      <c r="AG539" t="n">
        <v>7</v>
      </c>
      <c r="AH539" t="n">
        <v>7</v>
      </c>
      <c r="AI539" t="n">
        <v>7</v>
      </c>
      <c r="AJ539" t="n">
        <v>10</v>
      </c>
      <c r="AK539" t="n">
        <v>10</v>
      </c>
      <c r="AL539" t="n">
        <v>3</v>
      </c>
      <c r="AM539" t="n">
        <v>3</v>
      </c>
      <c r="AN539" t="n">
        <v>3</v>
      </c>
      <c r="AO539" t="n">
        <v>3</v>
      </c>
      <c r="AP539" t="inlineStr">
        <is>
          <t>No</t>
        </is>
      </c>
      <c r="AQ539" t="inlineStr">
        <is>
          <t>No</t>
        </is>
      </c>
      <c r="AS539">
        <f>HYPERLINK("https://creighton-primo.hosted.exlibrisgroup.com/primo-explore/search?tab=default_tab&amp;search_scope=EVERYTHING&amp;vid=01CRU&amp;lang=en_US&amp;offset=0&amp;query=any,contains,991001821759702656","Catalog Record")</f>
        <v/>
      </c>
      <c r="AT539">
        <f>HYPERLINK("http://www.worldcat.org/oclc/22892059","WorldCat Record")</f>
        <v/>
      </c>
      <c r="AU539" t="inlineStr">
        <is>
          <t>476032827:eng</t>
        </is>
      </c>
      <c r="AV539" t="inlineStr">
        <is>
          <t>22892059</t>
        </is>
      </c>
      <c r="AW539" t="inlineStr">
        <is>
          <t>991001821759702656</t>
        </is>
      </c>
      <c r="AX539" t="inlineStr">
        <is>
          <t>991001821759702656</t>
        </is>
      </c>
      <c r="AY539" t="inlineStr">
        <is>
          <t>2267100750002656</t>
        </is>
      </c>
      <c r="AZ539" t="inlineStr">
        <is>
          <t>BOOK</t>
        </is>
      </c>
      <c r="BB539" t="inlineStr">
        <is>
          <t>9780870497018</t>
        </is>
      </c>
      <c r="BC539" t="inlineStr">
        <is>
          <t>32285001119717</t>
        </is>
      </c>
      <c r="BD539" t="inlineStr">
        <is>
          <t>893697063</t>
        </is>
      </c>
    </row>
    <row r="540">
      <c r="A540" t="inlineStr">
        <is>
          <t>No</t>
        </is>
      </c>
      <c r="B540" t="inlineStr">
        <is>
          <t>HQ1190 .E87 1994</t>
        </is>
      </c>
      <c r="C540" t="inlineStr">
        <is>
          <t>0                      HQ 1190000E  87          1994</t>
        </is>
      </c>
      <c r="D540" t="inlineStr">
        <is>
          <t>The Essential difference / edited by Naomi Schor, Elizabeth Weed.</t>
        </is>
      </c>
      <c r="F540" t="inlineStr">
        <is>
          <t>No</t>
        </is>
      </c>
      <c r="G540" t="inlineStr">
        <is>
          <t>1</t>
        </is>
      </c>
      <c r="H540" t="inlineStr">
        <is>
          <t>No</t>
        </is>
      </c>
      <c r="I540" t="inlineStr">
        <is>
          <t>No</t>
        </is>
      </c>
      <c r="J540" t="inlineStr">
        <is>
          <t>0</t>
        </is>
      </c>
      <c r="L540" t="inlineStr">
        <is>
          <t>Bloomington ; Indianapolis : Indiana University Press, c1994.</t>
        </is>
      </c>
      <c r="M540" t="inlineStr">
        <is>
          <t>1994</t>
        </is>
      </c>
      <c r="O540" t="inlineStr">
        <is>
          <t>eng</t>
        </is>
      </c>
      <c r="P540" t="inlineStr">
        <is>
          <t>inu</t>
        </is>
      </c>
      <c r="Q540" t="inlineStr">
        <is>
          <t>Books from Differences</t>
        </is>
      </c>
      <c r="R540" t="inlineStr">
        <is>
          <t xml:space="preserve">HQ </t>
        </is>
      </c>
      <c r="S540" t="n">
        <v>3</v>
      </c>
      <c r="T540" t="n">
        <v>3</v>
      </c>
      <c r="U540" t="inlineStr">
        <is>
          <t>2004-04-24</t>
        </is>
      </c>
      <c r="V540" t="inlineStr">
        <is>
          <t>2004-04-24</t>
        </is>
      </c>
      <c r="W540" t="inlineStr">
        <is>
          <t>1995-01-06</t>
        </is>
      </c>
      <c r="X540" t="inlineStr">
        <is>
          <t>1995-01-06</t>
        </is>
      </c>
      <c r="Y540" t="n">
        <v>488</v>
      </c>
      <c r="Z540" t="n">
        <v>356</v>
      </c>
      <c r="AA540" t="n">
        <v>363</v>
      </c>
      <c r="AB540" t="n">
        <v>4</v>
      </c>
      <c r="AC540" t="n">
        <v>4</v>
      </c>
      <c r="AD540" t="n">
        <v>22</v>
      </c>
      <c r="AE540" t="n">
        <v>22</v>
      </c>
      <c r="AF540" t="n">
        <v>8</v>
      </c>
      <c r="AG540" t="n">
        <v>8</v>
      </c>
      <c r="AH540" t="n">
        <v>6</v>
      </c>
      <c r="AI540" t="n">
        <v>6</v>
      </c>
      <c r="AJ540" t="n">
        <v>13</v>
      </c>
      <c r="AK540" t="n">
        <v>13</v>
      </c>
      <c r="AL540" t="n">
        <v>3</v>
      </c>
      <c r="AM540" t="n">
        <v>3</v>
      </c>
      <c r="AN540" t="n">
        <v>0</v>
      </c>
      <c r="AO540" t="n">
        <v>0</v>
      </c>
      <c r="AP540" t="inlineStr">
        <is>
          <t>No</t>
        </is>
      </c>
      <c r="AQ540" t="inlineStr">
        <is>
          <t>Yes</t>
        </is>
      </c>
      <c r="AR540">
        <f>HYPERLINK("http://catalog.hathitrust.org/Record/004550583","HathiTrust Record")</f>
        <v/>
      </c>
      <c r="AS540">
        <f>HYPERLINK("https://creighton-primo.hosted.exlibrisgroup.com/primo-explore/search?tab=default_tab&amp;search_scope=EVERYTHING&amp;vid=01CRU&amp;lang=en_US&amp;offset=0&amp;query=any,contains,991002268189702656","Catalog Record")</f>
        <v/>
      </c>
      <c r="AT540">
        <f>HYPERLINK("http://www.worldcat.org/oclc/29428776","WorldCat Record")</f>
        <v/>
      </c>
      <c r="AU540" t="inlineStr">
        <is>
          <t>3901518632:eng</t>
        </is>
      </c>
      <c r="AV540" t="inlineStr">
        <is>
          <t>29428776</t>
        </is>
      </c>
      <c r="AW540" t="inlineStr">
        <is>
          <t>991002268189702656</t>
        </is>
      </c>
      <c r="AX540" t="inlineStr">
        <is>
          <t>991002268189702656</t>
        </is>
      </c>
      <c r="AY540" t="inlineStr">
        <is>
          <t>2269852610002656</t>
        </is>
      </c>
      <c r="AZ540" t="inlineStr">
        <is>
          <t>BOOK</t>
        </is>
      </c>
      <c r="BB540" t="inlineStr">
        <is>
          <t>9780253350923</t>
        </is>
      </c>
      <c r="BC540" t="inlineStr">
        <is>
          <t>32285001991057</t>
        </is>
      </c>
      <c r="BD540" t="inlineStr">
        <is>
          <t>893497907</t>
        </is>
      </c>
    </row>
    <row r="541">
      <c r="A541" t="inlineStr">
        <is>
          <t>No</t>
        </is>
      </c>
      <c r="B541" t="inlineStr">
        <is>
          <t>HQ1190 .F4187 1996</t>
        </is>
      </c>
      <c r="C541" t="inlineStr">
        <is>
          <t>0                      HQ 1190000F  4187        1996</t>
        </is>
      </c>
      <c r="D541" t="inlineStr">
        <is>
          <t>Feminism and ancient philosophy / edited by Julie K. Ward.</t>
        </is>
      </c>
      <c r="F541" t="inlineStr">
        <is>
          <t>No</t>
        </is>
      </c>
      <c r="G541" t="inlineStr">
        <is>
          <t>1</t>
        </is>
      </c>
      <c r="H541" t="inlineStr">
        <is>
          <t>No</t>
        </is>
      </c>
      <c r="I541" t="inlineStr">
        <is>
          <t>No</t>
        </is>
      </c>
      <c r="J541" t="inlineStr">
        <is>
          <t>0</t>
        </is>
      </c>
      <c r="L541" t="inlineStr">
        <is>
          <t>New York : Routledge, 1996.</t>
        </is>
      </c>
      <c r="M541" t="inlineStr">
        <is>
          <t>1996</t>
        </is>
      </c>
      <c r="O541" t="inlineStr">
        <is>
          <t>eng</t>
        </is>
      </c>
      <c r="P541" t="inlineStr">
        <is>
          <t>nyu</t>
        </is>
      </c>
      <c r="R541" t="inlineStr">
        <is>
          <t xml:space="preserve">HQ </t>
        </is>
      </c>
      <c r="S541" t="n">
        <v>7</v>
      </c>
      <c r="T541" t="n">
        <v>7</v>
      </c>
      <c r="U541" t="inlineStr">
        <is>
          <t>2008-06-27</t>
        </is>
      </c>
      <c r="V541" t="inlineStr">
        <is>
          <t>2008-06-27</t>
        </is>
      </c>
      <c r="W541" t="inlineStr">
        <is>
          <t>1996-09-10</t>
        </is>
      </c>
      <c r="X541" t="inlineStr">
        <is>
          <t>1996-09-10</t>
        </is>
      </c>
      <c r="Y541" t="n">
        <v>465</v>
      </c>
      <c r="Z541" t="n">
        <v>332</v>
      </c>
      <c r="AA541" t="n">
        <v>351</v>
      </c>
      <c r="AB541" t="n">
        <v>3</v>
      </c>
      <c r="AC541" t="n">
        <v>3</v>
      </c>
      <c r="AD541" t="n">
        <v>21</v>
      </c>
      <c r="AE541" t="n">
        <v>21</v>
      </c>
      <c r="AF541" t="n">
        <v>9</v>
      </c>
      <c r="AG541" t="n">
        <v>9</v>
      </c>
      <c r="AH541" t="n">
        <v>4</v>
      </c>
      <c r="AI541" t="n">
        <v>4</v>
      </c>
      <c r="AJ541" t="n">
        <v>13</v>
      </c>
      <c r="AK541" t="n">
        <v>13</v>
      </c>
      <c r="AL541" t="n">
        <v>2</v>
      </c>
      <c r="AM541" t="n">
        <v>2</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HYPERLINK("https://creighton-primo.hosted.exlibrisgroup.com/primo-explore/search?tab=default_tab&amp;search_scope=EVERYTHING&amp;vid=01CRU&amp;lang=en_US&amp;offset=0&amp;query=any,contains,991002583399702656","Catalog Record")</f>
        <v/>
      </c>
      <c r="AT541">
        <f>HYPERLINK("http://www.worldcat.org/oclc/33863053","WorldCat Record")</f>
        <v/>
      </c>
      <c r="AU541" t="inlineStr">
        <is>
          <t>883394:eng</t>
        </is>
      </c>
      <c r="AV541" t="inlineStr">
        <is>
          <t>33863053</t>
        </is>
      </c>
      <c r="AW541" t="inlineStr">
        <is>
          <t>991002583399702656</t>
        </is>
      </c>
      <c r="AX541" t="inlineStr">
        <is>
          <t>991002583399702656</t>
        </is>
      </c>
      <c r="AY541" t="inlineStr">
        <is>
          <t>2262697070002656</t>
        </is>
      </c>
      <c r="AZ541" t="inlineStr">
        <is>
          <t>BOOK</t>
        </is>
      </c>
      <c r="BB541" t="inlineStr">
        <is>
          <t>9780415916011</t>
        </is>
      </c>
      <c r="BC541" t="inlineStr">
        <is>
          <t>32285002316361</t>
        </is>
      </c>
      <c r="BD541" t="inlineStr">
        <is>
          <t>893773779</t>
        </is>
      </c>
    </row>
    <row r="542">
      <c r="A542" t="inlineStr">
        <is>
          <t>No</t>
        </is>
      </c>
      <c r="B542" t="inlineStr">
        <is>
          <t>HQ1190 .F419 1995</t>
        </is>
      </c>
      <c r="C542" t="inlineStr">
        <is>
          <t>0                      HQ 1190000F  419         1995</t>
        </is>
      </c>
      <c r="D542" t="inlineStr">
        <is>
          <t>Feminism and community / edited by Penny A. Weiss and Marilyn Friedman.</t>
        </is>
      </c>
      <c r="F542" t="inlineStr">
        <is>
          <t>No</t>
        </is>
      </c>
      <c r="G542" t="inlineStr">
        <is>
          <t>1</t>
        </is>
      </c>
      <c r="H542" t="inlineStr">
        <is>
          <t>No</t>
        </is>
      </c>
      <c r="I542" t="inlineStr">
        <is>
          <t>No</t>
        </is>
      </c>
      <c r="J542" t="inlineStr">
        <is>
          <t>0</t>
        </is>
      </c>
      <c r="L542" t="inlineStr">
        <is>
          <t>Philadelphia : Temple University Press, 1995.</t>
        </is>
      </c>
      <c r="M542" t="inlineStr">
        <is>
          <t>1995</t>
        </is>
      </c>
      <c r="O542" t="inlineStr">
        <is>
          <t>eng</t>
        </is>
      </c>
      <c r="P542" t="inlineStr">
        <is>
          <t>pau</t>
        </is>
      </c>
      <c r="R542" t="inlineStr">
        <is>
          <t xml:space="preserve">HQ </t>
        </is>
      </c>
      <c r="S542" t="n">
        <v>4</v>
      </c>
      <c r="T542" t="n">
        <v>4</v>
      </c>
      <c r="U542" t="inlineStr">
        <is>
          <t>2009-12-22</t>
        </is>
      </c>
      <c r="V542" t="inlineStr">
        <is>
          <t>2009-12-22</t>
        </is>
      </c>
      <c r="W542" t="inlineStr">
        <is>
          <t>1996-01-29</t>
        </is>
      </c>
      <c r="X542" t="inlineStr">
        <is>
          <t>1996-01-29</t>
        </is>
      </c>
      <c r="Y542" t="n">
        <v>332</v>
      </c>
      <c r="Z542" t="n">
        <v>273</v>
      </c>
      <c r="AA542" t="n">
        <v>464</v>
      </c>
      <c r="AB542" t="n">
        <v>5</v>
      </c>
      <c r="AC542" t="n">
        <v>5</v>
      </c>
      <c r="AD542" t="n">
        <v>21</v>
      </c>
      <c r="AE542" t="n">
        <v>29</v>
      </c>
      <c r="AF542" t="n">
        <v>6</v>
      </c>
      <c r="AG542" t="n">
        <v>12</v>
      </c>
      <c r="AH542" t="n">
        <v>5</v>
      </c>
      <c r="AI542" t="n">
        <v>7</v>
      </c>
      <c r="AJ542" t="n">
        <v>10</v>
      </c>
      <c r="AK542" t="n">
        <v>12</v>
      </c>
      <c r="AL542" t="n">
        <v>4</v>
      </c>
      <c r="AM542" t="n">
        <v>4</v>
      </c>
      <c r="AN542" t="n">
        <v>1</v>
      </c>
      <c r="AO542" t="n">
        <v>1</v>
      </c>
      <c r="AP542" t="inlineStr">
        <is>
          <t>No</t>
        </is>
      </c>
      <c r="AQ542" t="inlineStr">
        <is>
          <t>No</t>
        </is>
      </c>
      <c r="AS542">
        <f>HYPERLINK("https://creighton-primo.hosted.exlibrisgroup.com/primo-explore/search?tab=default_tab&amp;search_scope=EVERYTHING&amp;vid=01CRU&amp;lang=en_US&amp;offset=0&amp;query=any,contains,991002440389702656","Catalog Record")</f>
        <v/>
      </c>
      <c r="AT542">
        <f>HYPERLINK("http://www.worldcat.org/oclc/31815025","WorldCat Record")</f>
        <v/>
      </c>
      <c r="AU542" t="inlineStr">
        <is>
          <t>341656774:eng</t>
        </is>
      </c>
      <c r="AV542" t="inlineStr">
        <is>
          <t>31815025</t>
        </is>
      </c>
      <c r="AW542" t="inlineStr">
        <is>
          <t>991002440389702656</t>
        </is>
      </c>
      <c r="AX542" t="inlineStr">
        <is>
          <t>991002440389702656</t>
        </is>
      </c>
      <c r="AY542" t="inlineStr">
        <is>
          <t>2263984190002656</t>
        </is>
      </c>
      <c r="AZ542" t="inlineStr">
        <is>
          <t>BOOK</t>
        </is>
      </c>
      <c r="BB542" t="inlineStr">
        <is>
          <t>9781566392761</t>
        </is>
      </c>
      <c r="BC542" t="inlineStr">
        <is>
          <t>32285002126356</t>
        </is>
      </c>
      <c r="BD542" t="inlineStr">
        <is>
          <t>893529994</t>
        </is>
      </c>
    </row>
    <row r="543">
      <c r="A543" t="inlineStr">
        <is>
          <t>No</t>
        </is>
      </c>
      <c r="B543" t="inlineStr">
        <is>
          <t>HQ1190 .F42 1995</t>
        </is>
      </c>
      <c r="C543" t="inlineStr">
        <is>
          <t>0                      HQ 1190000F  42          1995</t>
        </is>
      </c>
      <c r="D543" t="inlineStr">
        <is>
          <t>Feminism and philosophy : essential readings in theory, reinterpretation, and application / edited by Nancy Tuana, Rosemarie Tong.</t>
        </is>
      </c>
      <c r="F543" t="inlineStr">
        <is>
          <t>No</t>
        </is>
      </c>
      <c r="G543" t="inlineStr">
        <is>
          <t>1</t>
        </is>
      </c>
      <c r="H543" t="inlineStr">
        <is>
          <t>No</t>
        </is>
      </c>
      <c r="I543" t="inlineStr">
        <is>
          <t>No</t>
        </is>
      </c>
      <c r="J543" t="inlineStr">
        <is>
          <t>0</t>
        </is>
      </c>
      <c r="L543" t="inlineStr">
        <is>
          <t>Boulder, Colo. : Westview Press, c1995.</t>
        </is>
      </c>
      <c r="M543" t="inlineStr">
        <is>
          <t>1995</t>
        </is>
      </c>
      <c r="O543" t="inlineStr">
        <is>
          <t>eng</t>
        </is>
      </c>
      <c r="P543" t="inlineStr">
        <is>
          <t>cou</t>
        </is>
      </c>
      <c r="R543" t="inlineStr">
        <is>
          <t xml:space="preserve">HQ </t>
        </is>
      </c>
      <c r="S543" t="n">
        <v>8</v>
      </c>
      <c r="T543" t="n">
        <v>8</v>
      </c>
      <c r="U543" t="inlineStr">
        <is>
          <t>2008-11-06</t>
        </is>
      </c>
      <c r="V543" t="inlineStr">
        <is>
          <t>2008-11-06</t>
        </is>
      </c>
      <c r="W543" t="inlineStr">
        <is>
          <t>1995-01-27</t>
        </is>
      </c>
      <c r="X543" t="inlineStr">
        <is>
          <t>1995-01-27</t>
        </is>
      </c>
      <c r="Y543" t="n">
        <v>421</v>
      </c>
      <c r="Z543" t="n">
        <v>315</v>
      </c>
      <c r="AA543" t="n">
        <v>331</v>
      </c>
      <c r="AB543" t="n">
        <v>2</v>
      </c>
      <c r="AC543" t="n">
        <v>2</v>
      </c>
      <c r="AD543" t="n">
        <v>17</v>
      </c>
      <c r="AE543" t="n">
        <v>18</v>
      </c>
      <c r="AF543" t="n">
        <v>5</v>
      </c>
      <c r="AG543" t="n">
        <v>6</v>
      </c>
      <c r="AH543" t="n">
        <v>4</v>
      </c>
      <c r="AI543" t="n">
        <v>4</v>
      </c>
      <c r="AJ543" t="n">
        <v>11</v>
      </c>
      <c r="AK543" t="n">
        <v>12</v>
      </c>
      <c r="AL543" t="n">
        <v>1</v>
      </c>
      <c r="AM543" t="n">
        <v>1</v>
      </c>
      <c r="AN543" t="n">
        <v>1</v>
      </c>
      <c r="AO543" t="n">
        <v>1</v>
      </c>
      <c r="AP543" t="inlineStr">
        <is>
          <t>No</t>
        </is>
      </c>
      <c r="AQ543" t="inlineStr">
        <is>
          <t>Yes</t>
        </is>
      </c>
      <c r="AR543">
        <f>HYPERLINK("http://catalog.hathitrust.org/Record/002958136","HathiTrust Record")</f>
        <v/>
      </c>
      <c r="AS543">
        <f>HYPERLINK("https://creighton-primo.hosted.exlibrisgroup.com/primo-explore/search?tab=default_tab&amp;search_scope=EVERYTHING&amp;vid=01CRU&amp;lang=en_US&amp;offset=0&amp;query=any,contains,991002348739702656","Catalog Record")</f>
        <v/>
      </c>
      <c r="AT543">
        <f>HYPERLINK("http://www.worldcat.org/oclc/30593806","WorldCat Record")</f>
        <v/>
      </c>
      <c r="AU543" t="inlineStr">
        <is>
          <t>836878200:eng</t>
        </is>
      </c>
      <c r="AV543" t="inlineStr">
        <is>
          <t>30593806</t>
        </is>
      </c>
      <c r="AW543" t="inlineStr">
        <is>
          <t>991002348739702656</t>
        </is>
      </c>
      <c r="AX543" t="inlineStr">
        <is>
          <t>991002348739702656</t>
        </is>
      </c>
      <c r="AY543" t="inlineStr">
        <is>
          <t>2260715240002656</t>
        </is>
      </c>
      <c r="AZ543" t="inlineStr">
        <is>
          <t>BOOK</t>
        </is>
      </c>
      <c r="BB543" t="inlineStr">
        <is>
          <t>9780813322124</t>
        </is>
      </c>
      <c r="BC543" t="inlineStr">
        <is>
          <t>32285005192769</t>
        </is>
      </c>
      <c r="BD543" t="inlineStr">
        <is>
          <t>893504309</t>
        </is>
      </c>
    </row>
    <row r="544">
      <c r="A544" t="inlineStr">
        <is>
          <t>No</t>
        </is>
      </c>
      <c r="B544" t="inlineStr">
        <is>
          <t>HQ1190 .F45 1993</t>
        </is>
      </c>
      <c r="C544" t="inlineStr">
        <is>
          <t>0                      HQ 1190000F  45          1993</t>
        </is>
      </c>
      <c r="D544" t="inlineStr">
        <is>
          <t>Feminist epistemologies / edited and with an introduction by Linda Alcoff and Elizabeth Potter.</t>
        </is>
      </c>
      <c r="F544" t="inlineStr">
        <is>
          <t>No</t>
        </is>
      </c>
      <c r="G544" t="inlineStr">
        <is>
          <t>1</t>
        </is>
      </c>
      <c r="H544" t="inlineStr">
        <is>
          <t>No</t>
        </is>
      </c>
      <c r="I544" t="inlineStr">
        <is>
          <t>No</t>
        </is>
      </c>
      <c r="J544" t="inlineStr">
        <is>
          <t>0</t>
        </is>
      </c>
      <c r="L544" t="inlineStr">
        <is>
          <t>New York : Routledge, 1993.</t>
        </is>
      </c>
      <c r="M544" t="inlineStr">
        <is>
          <t>1993</t>
        </is>
      </c>
      <c r="O544" t="inlineStr">
        <is>
          <t>eng</t>
        </is>
      </c>
      <c r="P544" t="inlineStr">
        <is>
          <t>nyu</t>
        </is>
      </c>
      <c r="Q544" t="inlineStr">
        <is>
          <t>Thinking gender</t>
        </is>
      </c>
      <c r="R544" t="inlineStr">
        <is>
          <t xml:space="preserve">HQ </t>
        </is>
      </c>
      <c r="S544" t="n">
        <v>44</v>
      </c>
      <c r="T544" t="n">
        <v>44</v>
      </c>
      <c r="U544" t="inlineStr">
        <is>
          <t>2007-04-13</t>
        </is>
      </c>
      <c r="V544" t="inlineStr">
        <is>
          <t>2007-04-13</t>
        </is>
      </c>
      <c r="W544" t="inlineStr">
        <is>
          <t>1993-11-29</t>
        </is>
      </c>
      <c r="X544" t="inlineStr">
        <is>
          <t>1993-11-29</t>
        </is>
      </c>
      <c r="Y544" t="n">
        <v>733</v>
      </c>
      <c r="Z544" t="n">
        <v>502</v>
      </c>
      <c r="AA544" t="n">
        <v>532</v>
      </c>
      <c r="AB544" t="n">
        <v>3</v>
      </c>
      <c r="AC544" t="n">
        <v>3</v>
      </c>
      <c r="AD544" t="n">
        <v>32</v>
      </c>
      <c r="AE544" t="n">
        <v>32</v>
      </c>
      <c r="AF544" t="n">
        <v>12</v>
      </c>
      <c r="AG544" t="n">
        <v>12</v>
      </c>
      <c r="AH544" t="n">
        <v>10</v>
      </c>
      <c r="AI544" t="n">
        <v>10</v>
      </c>
      <c r="AJ544" t="n">
        <v>17</v>
      </c>
      <c r="AK544" t="n">
        <v>17</v>
      </c>
      <c r="AL544" t="n">
        <v>2</v>
      </c>
      <c r="AM544" t="n">
        <v>2</v>
      </c>
      <c r="AN544" t="n">
        <v>2</v>
      </c>
      <c r="AO544" t="n">
        <v>2</v>
      </c>
      <c r="AP544" t="inlineStr">
        <is>
          <t>No</t>
        </is>
      </c>
      <c r="AQ544" t="inlineStr">
        <is>
          <t>Yes</t>
        </is>
      </c>
      <c r="AR544">
        <f>HYPERLINK("http://catalog.hathitrust.org/Record/002598897","HathiTrust Record")</f>
        <v/>
      </c>
      <c r="AS544">
        <f>HYPERLINK("https://creighton-primo.hosted.exlibrisgroup.com/primo-explore/search?tab=default_tab&amp;search_scope=EVERYTHING&amp;vid=01CRU&amp;lang=en_US&amp;offset=0&amp;query=any,contains,991005415339702656","Catalog Record")</f>
        <v/>
      </c>
      <c r="AT544">
        <f>HYPERLINK("http://www.worldcat.org/oclc/25834252","WorldCat Record")</f>
        <v/>
      </c>
      <c r="AU544" t="inlineStr">
        <is>
          <t>366853651:eng</t>
        </is>
      </c>
      <c r="AV544" t="inlineStr">
        <is>
          <t>25834252</t>
        </is>
      </c>
      <c r="AW544" t="inlineStr">
        <is>
          <t>991005415339702656</t>
        </is>
      </c>
      <c r="AX544" t="inlineStr">
        <is>
          <t>991005415339702656</t>
        </is>
      </c>
      <c r="AY544" t="inlineStr">
        <is>
          <t>2260908480002656</t>
        </is>
      </c>
      <c r="AZ544" t="inlineStr">
        <is>
          <t>BOOK</t>
        </is>
      </c>
      <c r="BB544" t="inlineStr">
        <is>
          <t>9780415904506</t>
        </is>
      </c>
      <c r="BC544" t="inlineStr">
        <is>
          <t>32285001813616</t>
        </is>
      </c>
      <c r="BD544" t="inlineStr">
        <is>
          <t>893902700</t>
        </is>
      </c>
    </row>
    <row r="545">
      <c r="A545" t="inlineStr">
        <is>
          <t>No</t>
        </is>
      </c>
      <c r="B545" t="inlineStr">
        <is>
          <t>HQ1190 .F46 1991</t>
        </is>
      </c>
      <c r="C545" t="inlineStr">
        <is>
          <t>0                      HQ 1190000F  46          1991</t>
        </is>
      </c>
      <c r="D545" t="inlineStr">
        <is>
          <t>Feminist interpretations and political theory / edited by Mary Lyndon Shanley and Carole Pateman.</t>
        </is>
      </c>
      <c r="F545" t="inlineStr">
        <is>
          <t>No</t>
        </is>
      </c>
      <c r="G545" t="inlineStr">
        <is>
          <t>1</t>
        </is>
      </c>
      <c r="H545" t="inlineStr">
        <is>
          <t>No</t>
        </is>
      </c>
      <c r="I545" t="inlineStr">
        <is>
          <t>No</t>
        </is>
      </c>
      <c r="J545" t="inlineStr">
        <is>
          <t>0</t>
        </is>
      </c>
      <c r="L545" t="inlineStr">
        <is>
          <t>University Park : Pennsylvania State University Press, 1991.</t>
        </is>
      </c>
      <c r="M545" t="inlineStr">
        <is>
          <t>1991</t>
        </is>
      </c>
      <c r="O545" t="inlineStr">
        <is>
          <t>eng</t>
        </is>
      </c>
      <c r="P545" t="inlineStr">
        <is>
          <t>pau</t>
        </is>
      </c>
      <c r="R545" t="inlineStr">
        <is>
          <t xml:space="preserve">HQ </t>
        </is>
      </c>
      <c r="S545" t="n">
        <v>14</v>
      </c>
      <c r="T545" t="n">
        <v>14</v>
      </c>
      <c r="U545" t="inlineStr">
        <is>
          <t>1998-04-08</t>
        </is>
      </c>
      <c r="V545" t="inlineStr">
        <is>
          <t>1998-04-08</t>
        </is>
      </c>
      <c r="W545" t="inlineStr">
        <is>
          <t>1994-09-21</t>
        </is>
      </c>
      <c r="X545" t="inlineStr">
        <is>
          <t>1994-09-21</t>
        </is>
      </c>
      <c r="Y545" t="n">
        <v>426</v>
      </c>
      <c r="Z545" t="n">
        <v>359</v>
      </c>
      <c r="AA545" t="n">
        <v>385</v>
      </c>
      <c r="AB545" t="n">
        <v>2</v>
      </c>
      <c r="AC545" t="n">
        <v>3</v>
      </c>
      <c r="AD545" t="n">
        <v>23</v>
      </c>
      <c r="AE545" t="n">
        <v>24</v>
      </c>
      <c r="AF545" t="n">
        <v>10</v>
      </c>
      <c r="AG545" t="n">
        <v>10</v>
      </c>
      <c r="AH545" t="n">
        <v>7</v>
      </c>
      <c r="AI545" t="n">
        <v>7</v>
      </c>
      <c r="AJ545" t="n">
        <v>12</v>
      </c>
      <c r="AK545" t="n">
        <v>12</v>
      </c>
      <c r="AL545" t="n">
        <v>1</v>
      </c>
      <c r="AM545" t="n">
        <v>2</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HYPERLINK("https://creighton-primo.hosted.exlibrisgroup.com/primo-explore/search?tab=default_tab&amp;search_scope=EVERYTHING&amp;vid=01CRU&amp;lang=en_US&amp;offset=0&amp;query=any,contains,991001761949702656","Catalog Record")</f>
        <v/>
      </c>
      <c r="AT545">
        <f>HYPERLINK("http://www.worldcat.org/oclc/22276255","WorldCat Record")</f>
        <v/>
      </c>
      <c r="AU545" t="inlineStr">
        <is>
          <t>350176384:eng</t>
        </is>
      </c>
      <c r="AV545" t="inlineStr">
        <is>
          <t>22276255</t>
        </is>
      </c>
      <c r="AW545" t="inlineStr">
        <is>
          <t>991001761949702656</t>
        </is>
      </c>
      <c r="AX545" t="inlineStr">
        <is>
          <t>991001761949702656</t>
        </is>
      </c>
      <c r="AY545" t="inlineStr">
        <is>
          <t>2263119160002656</t>
        </is>
      </c>
      <c r="AZ545" t="inlineStr">
        <is>
          <t>BOOK</t>
        </is>
      </c>
      <c r="BB545" t="inlineStr">
        <is>
          <t>9780271007366</t>
        </is>
      </c>
      <c r="BC545" t="inlineStr">
        <is>
          <t>32285001946846</t>
        </is>
      </c>
      <c r="BD545" t="inlineStr">
        <is>
          <t>893885519</t>
        </is>
      </c>
    </row>
    <row r="546">
      <c r="A546" t="inlineStr">
        <is>
          <t>No</t>
        </is>
      </c>
      <c r="B546" t="inlineStr">
        <is>
          <t>HQ1190 .F463 1999</t>
        </is>
      </c>
      <c r="C546" t="inlineStr">
        <is>
          <t>0                      HQ 1190000F  463         1999</t>
        </is>
      </c>
      <c r="D546" t="inlineStr">
        <is>
          <t>Feminist philosophies : problems, theories, and applications / edited by Janet A. Kourany, James P. Sterba, Rosemarie Tong.</t>
        </is>
      </c>
      <c r="F546" t="inlineStr">
        <is>
          <t>No</t>
        </is>
      </c>
      <c r="G546" t="inlineStr">
        <is>
          <t>1</t>
        </is>
      </c>
      <c r="H546" t="inlineStr">
        <is>
          <t>No</t>
        </is>
      </c>
      <c r="I546" t="inlineStr">
        <is>
          <t>No</t>
        </is>
      </c>
      <c r="J546" t="inlineStr">
        <is>
          <t>0</t>
        </is>
      </c>
      <c r="L546" t="inlineStr">
        <is>
          <t>Upper Saddle River, N.J. : Prentice Hall, c1999.</t>
        </is>
      </c>
      <c r="M546" t="inlineStr">
        <is>
          <t>1999</t>
        </is>
      </c>
      <c r="N546" t="inlineStr">
        <is>
          <t>2nd ed.</t>
        </is>
      </c>
      <c r="O546" t="inlineStr">
        <is>
          <t>eng</t>
        </is>
      </c>
      <c r="P546" t="inlineStr">
        <is>
          <t>nju</t>
        </is>
      </c>
      <c r="R546" t="inlineStr">
        <is>
          <t xml:space="preserve">HQ </t>
        </is>
      </c>
      <c r="S546" t="n">
        <v>3</v>
      </c>
      <c r="T546" t="n">
        <v>3</v>
      </c>
      <c r="U546" t="inlineStr">
        <is>
          <t>2007-04-26</t>
        </is>
      </c>
      <c r="V546" t="inlineStr">
        <is>
          <t>2007-04-26</t>
        </is>
      </c>
      <c r="W546" t="inlineStr">
        <is>
          <t>2004-10-21</t>
        </is>
      </c>
      <c r="X546" t="inlineStr">
        <is>
          <t>2004-10-21</t>
        </is>
      </c>
      <c r="Y546" t="n">
        <v>218</v>
      </c>
      <c r="Z546" t="n">
        <v>153</v>
      </c>
      <c r="AA546" t="n">
        <v>323</v>
      </c>
      <c r="AB546" t="n">
        <v>2</v>
      </c>
      <c r="AC546" t="n">
        <v>3</v>
      </c>
      <c r="AD546" t="n">
        <v>10</v>
      </c>
      <c r="AE546" t="n">
        <v>17</v>
      </c>
      <c r="AF546" t="n">
        <v>3</v>
      </c>
      <c r="AG546" t="n">
        <v>6</v>
      </c>
      <c r="AH546" t="n">
        <v>3</v>
      </c>
      <c r="AI546" t="n">
        <v>5</v>
      </c>
      <c r="AJ546" t="n">
        <v>6</v>
      </c>
      <c r="AK546" t="n">
        <v>10</v>
      </c>
      <c r="AL546" t="n">
        <v>1</v>
      </c>
      <c r="AM546" t="n">
        <v>2</v>
      </c>
      <c r="AN546" t="n">
        <v>0</v>
      </c>
      <c r="AO546" t="n">
        <v>0</v>
      </c>
      <c r="AP546" t="inlineStr">
        <is>
          <t>No</t>
        </is>
      </c>
      <c r="AQ546" t="inlineStr">
        <is>
          <t>Yes</t>
        </is>
      </c>
      <c r="AR546">
        <f>HYPERLINK("http://catalog.hathitrust.org/Record/003565410","HathiTrust Record")</f>
        <v/>
      </c>
      <c r="AS546">
        <f>HYPERLINK("https://creighton-primo.hosted.exlibrisgroup.com/primo-explore/search?tab=default_tab&amp;search_scope=EVERYTHING&amp;vid=01CRU&amp;lang=en_US&amp;offset=0&amp;query=any,contains,991004399629702656","Catalog Record")</f>
        <v/>
      </c>
      <c r="AT546">
        <f>HYPERLINK("http://www.worldcat.org/oclc/39695496","WorldCat Record")</f>
        <v/>
      </c>
      <c r="AU546" t="inlineStr">
        <is>
          <t>836730051:eng</t>
        </is>
      </c>
      <c r="AV546" t="inlineStr">
        <is>
          <t>39695496</t>
        </is>
      </c>
      <c r="AW546" t="inlineStr">
        <is>
          <t>991004399629702656</t>
        </is>
      </c>
      <c r="AX546" t="inlineStr">
        <is>
          <t>991004399629702656</t>
        </is>
      </c>
      <c r="AY546" t="inlineStr">
        <is>
          <t>2264755460002656</t>
        </is>
      </c>
      <c r="AZ546" t="inlineStr">
        <is>
          <t>BOOK</t>
        </is>
      </c>
      <c r="BB546" t="inlineStr">
        <is>
          <t>9780133985382</t>
        </is>
      </c>
      <c r="BC546" t="inlineStr">
        <is>
          <t>32285005006076</t>
        </is>
      </c>
      <c r="BD546" t="inlineStr">
        <is>
          <t>893343790</t>
        </is>
      </c>
    </row>
    <row r="547">
      <c r="A547" t="inlineStr">
        <is>
          <t>No</t>
        </is>
      </c>
      <c r="B547" t="inlineStr">
        <is>
          <t>HQ1190 .F46321 2007</t>
        </is>
      </c>
      <c r="C547" t="inlineStr">
        <is>
          <t>0                      HQ 1190000F  46321       2007</t>
        </is>
      </c>
      <c r="D547" t="inlineStr">
        <is>
          <t>Feminist politics : identity, difference, and agency / edited by Deborah Orr ... [et al.].</t>
        </is>
      </c>
      <c r="F547" t="inlineStr">
        <is>
          <t>No</t>
        </is>
      </c>
      <c r="G547" t="inlineStr">
        <is>
          <t>1</t>
        </is>
      </c>
      <c r="H547" t="inlineStr">
        <is>
          <t>No</t>
        </is>
      </c>
      <c r="I547" t="inlineStr">
        <is>
          <t>No</t>
        </is>
      </c>
      <c r="J547" t="inlineStr">
        <is>
          <t>0</t>
        </is>
      </c>
      <c r="L547" t="inlineStr">
        <is>
          <t>Lanham, Md. : Rowman &amp; Littlefield Publishers, c2007.</t>
        </is>
      </c>
      <c r="M547" t="inlineStr">
        <is>
          <t>2007</t>
        </is>
      </c>
      <c r="O547" t="inlineStr">
        <is>
          <t>eng</t>
        </is>
      </c>
      <c r="P547" t="inlineStr">
        <is>
          <t>mdu</t>
        </is>
      </c>
      <c r="R547" t="inlineStr">
        <is>
          <t xml:space="preserve">HQ </t>
        </is>
      </c>
      <c r="S547" t="n">
        <v>1</v>
      </c>
      <c r="T547" t="n">
        <v>1</v>
      </c>
      <c r="U547" t="inlineStr">
        <is>
          <t>2007-11-27</t>
        </is>
      </c>
      <c r="V547" t="inlineStr">
        <is>
          <t>2007-11-27</t>
        </is>
      </c>
      <c r="W547" t="inlineStr">
        <is>
          <t>2007-11-27</t>
        </is>
      </c>
      <c r="X547" t="inlineStr">
        <is>
          <t>2007-11-27</t>
        </is>
      </c>
      <c r="Y547" t="n">
        <v>196</v>
      </c>
      <c r="Z547" t="n">
        <v>140</v>
      </c>
      <c r="AA547" t="n">
        <v>142</v>
      </c>
      <c r="AB547" t="n">
        <v>1</v>
      </c>
      <c r="AC547" t="n">
        <v>1</v>
      </c>
      <c r="AD547" t="n">
        <v>7</v>
      </c>
      <c r="AE547" t="n">
        <v>7</v>
      </c>
      <c r="AF547" t="n">
        <v>2</v>
      </c>
      <c r="AG547" t="n">
        <v>2</v>
      </c>
      <c r="AH547" t="n">
        <v>3</v>
      </c>
      <c r="AI547" t="n">
        <v>3</v>
      </c>
      <c r="AJ547" t="n">
        <v>5</v>
      </c>
      <c r="AK547" t="n">
        <v>5</v>
      </c>
      <c r="AL547" t="n">
        <v>0</v>
      </c>
      <c r="AM547" t="n">
        <v>0</v>
      </c>
      <c r="AN547" t="n">
        <v>0</v>
      </c>
      <c r="AO547" t="n">
        <v>0</v>
      </c>
      <c r="AP547" t="inlineStr">
        <is>
          <t>No</t>
        </is>
      </c>
      <c r="AQ547" t="inlineStr">
        <is>
          <t>Yes</t>
        </is>
      </c>
      <c r="AR547">
        <f>HYPERLINK("http://catalog.hathitrust.org/Record/005562072","HathiTrust Record")</f>
        <v/>
      </c>
      <c r="AS547">
        <f>HYPERLINK("https://creighton-primo.hosted.exlibrisgroup.com/primo-explore/search?tab=default_tab&amp;search_scope=EVERYTHING&amp;vid=01CRU&amp;lang=en_US&amp;offset=0&amp;query=any,contains,991005140399702656","Catalog Record")</f>
        <v/>
      </c>
      <c r="AT547">
        <f>HYPERLINK("http://www.worldcat.org/oclc/77758972","WorldCat Record")</f>
        <v/>
      </c>
      <c r="AU547" t="inlineStr">
        <is>
          <t>63291847:eng</t>
        </is>
      </c>
      <c r="AV547" t="inlineStr">
        <is>
          <t>77758972</t>
        </is>
      </c>
      <c r="AW547" t="inlineStr">
        <is>
          <t>991005140399702656</t>
        </is>
      </c>
      <c r="AX547" t="inlineStr">
        <is>
          <t>991005140399702656</t>
        </is>
      </c>
      <c r="AY547" t="inlineStr">
        <is>
          <t>2256305460002656</t>
        </is>
      </c>
      <c r="AZ547" t="inlineStr">
        <is>
          <t>BOOK</t>
        </is>
      </c>
      <c r="BB547" t="inlineStr">
        <is>
          <t>9780742547773</t>
        </is>
      </c>
      <c r="BC547" t="inlineStr">
        <is>
          <t>32285005368625</t>
        </is>
      </c>
      <c r="BD547" t="inlineStr">
        <is>
          <t>893344706</t>
        </is>
      </c>
    </row>
    <row r="548">
      <c r="A548" t="inlineStr">
        <is>
          <t>No</t>
        </is>
      </c>
      <c r="B548" t="inlineStr">
        <is>
          <t>HQ1190 .F557 1996</t>
        </is>
      </c>
      <c r="C548" t="inlineStr">
        <is>
          <t>0                      HQ 1190000F  557         1996</t>
        </is>
      </c>
      <c r="D548" t="inlineStr">
        <is>
          <t>Finding a new feminism : rethinking the woman question for liberal democracy / edited by Pamela Grande Jensen.</t>
        </is>
      </c>
      <c r="F548" t="inlineStr">
        <is>
          <t>No</t>
        </is>
      </c>
      <c r="G548" t="inlineStr">
        <is>
          <t>1</t>
        </is>
      </c>
      <c r="H548" t="inlineStr">
        <is>
          <t>No</t>
        </is>
      </c>
      <c r="I548" t="inlineStr">
        <is>
          <t>No</t>
        </is>
      </c>
      <c r="J548" t="inlineStr">
        <is>
          <t>0</t>
        </is>
      </c>
      <c r="L548" t="inlineStr">
        <is>
          <t>Lanham, Md. : Rowman &amp; Littlefield, c1996.</t>
        </is>
      </c>
      <c r="M548" t="inlineStr">
        <is>
          <t>1996</t>
        </is>
      </c>
      <c r="O548" t="inlineStr">
        <is>
          <t>eng</t>
        </is>
      </c>
      <c r="P548" t="inlineStr">
        <is>
          <t>mdu</t>
        </is>
      </c>
      <c r="R548" t="inlineStr">
        <is>
          <t xml:space="preserve">HQ </t>
        </is>
      </c>
      <c r="S548" t="n">
        <v>4</v>
      </c>
      <c r="T548" t="n">
        <v>4</v>
      </c>
      <c r="U548" t="inlineStr">
        <is>
          <t>2000-12-13</t>
        </is>
      </c>
      <c r="V548" t="inlineStr">
        <is>
          <t>2000-12-13</t>
        </is>
      </c>
      <c r="W548" t="inlineStr">
        <is>
          <t>1997-04-07</t>
        </is>
      </c>
      <c r="X548" t="inlineStr">
        <is>
          <t>1997-04-07</t>
        </is>
      </c>
      <c r="Y548" t="n">
        <v>287</v>
      </c>
      <c r="Z548" t="n">
        <v>235</v>
      </c>
      <c r="AA548" t="n">
        <v>237</v>
      </c>
      <c r="AB548" t="n">
        <v>2</v>
      </c>
      <c r="AC548" t="n">
        <v>2</v>
      </c>
      <c r="AD548" t="n">
        <v>18</v>
      </c>
      <c r="AE548" t="n">
        <v>18</v>
      </c>
      <c r="AF548" t="n">
        <v>9</v>
      </c>
      <c r="AG548" t="n">
        <v>9</v>
      </c>
      <c r="AH548" t="n">
        <v>5</v>
      </c>
      <c r="AI548" t="n">
        <v>5</v>
      </c>
      <c r="AJ548" t="n">
        <v>11</v>
      </c>
      <c r="AK548" t="n">
        <v>11</v>
      </c>
      <c r="AL548" t="n">
        <v>1</v>
      </c>
      <c r="AM548" t="n">
        <v>1</v>
      </c>
      <c r="AN548" t="n">
        <v>0</v>
      </c>
      <c r="AO548" t="n">
        <v>0</v>
      </c>
      <c r="AP548" t="inlineStr">
        <is>
          <t>No</t>
        </is>
      </c>
      <c r="AQ548" t="inlineStr">
        <is>
          <t>Yes</t>
        </is>
      </c>
      <c r="AR548">
        <f>HYPERLINK("http://catalog.hathitrust.org/Record/003102417","HathiTrust Record")</f>
        <v/>
      </c>
      <c r="AS548">
        <f>HYPERLINK("https://creighton-primo.hosted.exlibrisgroup.com/primo-explore/search?tab=default_tab&amp;search_scope=EVERYTHING&amp;vid=01CRU&amp;lang=en_US&amp;offset=0&amp;query=any,contains,991002658129702656","Catalog Record")</f>
        <v/>
      </c>
      <c r="AT548">
        <f>HYPERLINK("http://www.worldcat.org/oclc/34746124","WorldCat Record")</f>
        <v/>
      </c>
      <c r="AU548" t="inlineStr">
        <is>
          <t>836967676:eng</t>
        </is>
      </c>
      <c r="AV548" t="inlineStr">
        <is>
          <t>34746124</t>
        </is>
      </c>
      <c r="AW548" t="inlineStr">
        <is>
          <t>991002658129702656</t>
        </is>
      </c>
      <c r="AX548" t="inlineStr">
        <is>
          <t>991002658129702656</t>
        </is>
      </c>
      <c r="AY548" t="inlineStr">
        <is>
          <t>2268199990002656</t>
        </is>
      </c>
      <c r="AZ548" t="inlineStr">
        <is>
          <t>BOOK</t>
        </is>
      </c>
      <c r="BB548" t="inlineStr">
        <is>
          <t>9780847681884</t>
        </is>
      </c>
      <c r="BC548" t="inlineStr">
        <is>
          <t>32285002479870</t>
        </is>
      </c>
      <c r="BD548" t="inlineStr">
        <is>
          <t>893434130</t>
        </is>
      </c>
    </row>
    <row r="549">
      <c r="A549" t="inlineStr">
        <is>
          <t>No</t>
        </is>
      </c>
      <c r="B549" t="inlineStr">
        <is>
          <t>HQ1190 .F59 1993</t>
        </is>
      </c>
      <c r="C549" t="inlineStr">
        <is>
          <t>0                      HQ 1190000F  59          1993</t>
        </is>
      </c>
      <c r="D549" t="inlineStr">
        <is>
          <t>Disputed subjects : essays on psychoanalysis, politics, and philosophy / Jane Flax.</t>
        </is>
      </c>
      <c r="F549" t="inlineStr">
        <is>
          <t>No</t>
        </is>
      </c>
      <c r="G549" t="inlineStr">
        <is>
          <t>1</t>
        </is>
      </c>
      <c r="H549" t="inlineStr">
        <is>
          <t>No</t>
        </is>
      </c>
      <c r="I549" t="inlineStr">
        <is>
          <t>No</t>
        </is>
      </c>
      <c r="J549" t="inlineStr">
        <is>
          <t>0</t>
        </is>
      </c>
      <c r="K549" t="inlineStr">
        <is>
          <t>Flax, Jane.</t>
        </is>
      </c>
      <c r="L549" t="inlineStr">
        <is>
          <t>New York : Routledge, 1993.</t>
        </is>
      </c>
      <c r="M549" t="inlineStr">
        <is>
          <t>1993</t>
        </is>
      </c>
      <c r="O549" t="inlineStr">
        <is>
          <t>eng</t>
        </is>
      </c>
      <c r="P549" t="inlineStr">
        <is>
          <t>nyu</t>
        </is>
      </c>
      <c r="R549" t="inlineStr">
        <is>
          <t xml:space="preserve">HQ </t>
        </is>
      </c>
      <c r="S549" t="n">
        <v>2</v>
      </c>
      <c r="T549" t="n">
        <v>2</v>
      </c>
      <c r="U549" t="inlineStr">
        <is>
          <t>1994-07-19</t>
        </is>
      </c>
      <c r="V549" t="inlineStr">
        <is>
          <t>1994-07-19</t>
        </is>
      </c>
      <c r="W549" t="inlineStr">
        <is>
          <t>1993-12-22</t>
        </is>
      </c>
      <c r="X549" t="inlineStr">
        <is>
          <t>1993-12-22</t>
        </is>
      </c>
      <c r="Y549" t="n">
        <v>379</v>
      </c>
      <c r="Z549" t="n">
        <v>253</v>
      </c>
      <c r="AA549" t="n">
        <v>626</v>
      </c>
      <c r="AB549" t="n">
        <v>3</v>
      </c>
      <c r="AC549" t="n">
        <v>7</v>
      </c>
      <c r="AD549" t="n">
        <v>20</v>
      </c>
      <c r="AE549" t="n">
        <v>35</v>
      </c>
      <c r="AF549" t="n">
        <v>6</v>
      </c>
      <c r="AG549" t="n">
        <v>13</v>
      </c>
      <c r="AH549" t="n">
        <v>6</v>
      </c>
      <c r="AI549" t="n">
        <v>8</v>
      </c>
      <c r="AJ549" t="n">
        <v>11</v>
      </c>
      <c r="AK549" t="n">
        <v>13</v>
      </c>
      <c r="AL549" t="n">
        <v>2</v>
      </c>
      <c r="AM549" t="n">
        <v>6</v>
      </c>
      <c r="AN549" t="n">
        <v>0</v>
      </c>
      <c r="AO549" t="n">
        <v>1</v>
      </c>
      <c r="AP549" t="inlineStr">
        <is>
          <t>No</t>
        </is>
      </c>
      <c r="AQ549" t="inlineStr">
        <is>
          <t>No</t>
        </is>
      </c>
      <c r="AS549">
        <f>HYPERLINK("https://creighton-primo.hosted.exlibrisgroup.com/primo-explore/search?tab=default_tab&amp;search_scope=EVERYTHING&amp;vid=01CRU&amp;lang=en_US&amp;offset=0&amp;query=any,contains,991002171639702656","Catalog Record")</f>
        <v/>
      </c>
      <c r="AT549">
        <f>HYPERLINK("http://www.worldcat.org/oclc/27937926","WorldCat Record")</f>
        <v/>
      </c>
      <c r="AU549" t="inlineStr">
        <is>
          <t>337940:eng</t>
        </is>
      </c>
      <c r="AV549" t="inlineStr">
        <is>
          <t>27937926</t>
        </is>
      </c>
      <c r="AW549" t="inlineStr">
        <is>
          <t>991002171639702656</t>
        </is>
      </c>
      <c r="AX549" t="inlineStr">
        <is>
          <t>991002171639702656</t>
        </is>
      </c>
      <c r="AY549" t="inlineStr">
        <is>
          <t>2257151690002656</t>
        </is>
      </c>
      <c r="AZ549" t="inlineStr">
        <is>
          <t>BOOK</t>
        </is>
      </c>
      <c r="BB549" t="inlineStr">
        <is>
          <t>9780415907897</t>
        </is>
      </c>
      <c r="BC549" t="inlineStr">
        <is>
          <t>32285001817658</t>
        </is>
      </c>
      <c r="BD549" t="inlineStr">
        <is>
          <t>893439841</t>
        </is>
      </c>
    </row>
    <row r="550">
      <c r="A550" t="inlineStr">
        <is>
          <t>No</t>
        </is>
      </c>
      <c r="B550" t="inlineStr">
        <is>
          <t>HQ1190 .F75 1993</t>
        </is>
      </c>
      <c r="C550" t="inlineStr">
        <is>
          <t>0                      HQ 1190000F  75          1993</t>
        </is>
      </c>
      <c r="D550" t="inlineStr">
        <is>
          <t>The politics of community : a feminist critique of the liberal-communitarian debate / Elizabeth Frazer, Nicola Lacey.</t>
        </is>
      </c>
      <c r="F550" t="inlineStr">
        <is>
          <t>No</t>
        </is>
      </c>
      <c r="G550" t="inlineStr">
        <is>
          <t>1</t>
        </is>
      </c>
      <c r="H550" t="inlineStr">
        <is>
          <t>No</t>
        </is>
      </c>
      <c r="I550" t="inlineStr">
        <is>
          <t>No</t>
        </is>
      </c>
      <c r="J550" t="inlineStr">
        <is>
          <t>0</t>
        </is>
      </c>
      <c r="K550" t="inlineStr">
        <is>
          <t>Frazer, Elizabeth.</t>
        </is>
      </c>
      <c r="L550" t="inlineStr">
        <is>
          <t>Toronto ; Buffalo : University of Toronto Press, 1993.</t>
        </is>
      </c>
      <c r="M550" t="inlineStr">
        <is>
          <t>1993</t>
        </is>
      </c>
      <c r="O550" t="inlineStr">
        <is>
          <t>eng</t>
        </is>
      </c>
      <c r="P550" t="inlineStr">
        <is>
          <t>onc</t>
        </is>
      </c>
      <c r="R550" t="inlineStr">
        <is>
          <t xml:space="preserve">HQ </t>
        </is>
      </c>
      <c r="S550" t="n">
        <v>5</v>
      </c>
      <c r="T550" t="n">
        <v>5</v>
      </c>
      <c r="U550" t="inlineStr">
        <is>
          <t>2005-02-10</t>
        </is>
      </c>
      <c r="V550" t="inlineStr">
        <is>
          <t>2005-02-10</t>
        </is>
      </c>
      <c r="W550" t="inlineStr">
        <is>
          <t>1994-11-22</t>
        </is>
      </c>
      <c r="X550" t="inlineStr">
        <is>
          <t>1994-11-22</t>
        </is>
      </c>
      <c r="Y550" t="n">
        <v>322</v>
      </c>
      <c r="Z550" t="n">
        <v>253</v>
      </c>
      <c r="AA550" t="n">
        <v>277</v>
      </c>
      <c r="AB550" t="n">
        <v>4</v>
      </c>
      <c r="AC550" t="n">
        <v>4</v>
      </c>
      <c r="AD550" t="n">
        <v>19</v>
      </c>
      <c r="AE550" t="n">
        <v>20</v>
      </c>
      <c r="AF550" t="n">
        <v>7</v>
      </c>
      <c r="AG550" t="n">
        <v>7</v>
      </c>
      <c r="AH550" t="n">
        <v>5</v>
      </c>
      <c r="AI550" t="n">
        <v>6</v>
      </c>
      <c r="AJ550" t="n">
        <v>10</v>
      </c>
      <c r="AK550" t="n">
        <v>11</v>
      </c>
      <c r="AL550" t="n">
        <v>3</v>
      </c>
      <c r="AM550" t="n">
        <v>3</v>
      </c>
      <c r="AN550" t="n">
        <v>0</v>
      </c>
      <c r="AO550" t="n">
        <v>0</v>
      </c>
      <c r="AP550" t="inlineStr">
        <is>
          <t>No</t>
        </is>
      </c>
      <c r="AQ550" t="inlineStr">
        <is>
          <t>Yes</t>
        </is>
      </c>
      <c r="AR550">
        <f>HYPERLINK("http://catalog.hathitrust.org/Record/008316283","HathiTrust Record")</f>
        <v/>
      </c>
      <c r="AS550">
        <f>HYPERLINK("https://creighton-primo.hosted.exlibrisgroup.com/primo-explore/search?tab=default_tab&amp;search_scope=EVERYTHING&amp;vid=01CRU&amp;lang=en_US&amp;offset=0&amp;query=any,contains,991002225339702656","Catalog Record")</f>
        <v/>
      </c>
      <c r="AT550">
        <f>HYPERLINK("http://www.worldcat.org/oclc/28670237","WorldCat Record")</f>
        <v/>
      </c>
      <c r="AU550" t="inlineStr">
        <is>
          <t>836926799:eng</t>
        </is>
      </c>
      <c r="AV550" t="inlineStr">
        <is>
          <t>28670237</t>
        </is>
      </c>
      <c r="AW550" t="inlineStr">
        <is>
          <t>991002225339702656</t>
        </is>
      </c>
      <c r="AX550" t="inlineStr">
        <is>
          <t>991002225339702656</t>
        </is>
      </c>
      <c r="AY550" t="inlineStr">
        <is>
          <t>2256934060002656</t>
        </is>
      </c>
      <c r="AZ550" t="inlineStr">
        <is>
          <t>BOOK</t>
        </is>
      </c>
      <c r="BB550" t="inlineStr">
        <is>
          <t>9780802004307</t>
        </is>
      </c>
      <c r="BC550" t="inlineStr">
        <is>
          <t>32285001959369</t>
        </is>
      </c>
      <c r="BD550" t="inlineStr">
        <is>
          <t>893773368</t>
        </is>
      </c>
    </row>
    <row r="551">
      <c r="A551" t="inlineStr">
        <is>
          <t>No</t>
        </is>
      </c>
      <c r="B551" t="inlineStr">
        <is>
          <t>HQ1190 .F79 1992</t>
        </is>
      </c>
      <c r="C551" t="inlineStr">
        <is>
          <t>0                      HQ 1190000F  79          1992</t>
        </is>
      </c>
      <c r="D551" t="inlineStr">
        <is>
          <t>Willful virgin : essays in feminism, 1976-1992 / by Marilyn Frye.</t>
        </is>
      </c>
      <c r="F551" t="inlineStr">
        <is>
          <t>No</t>
        </is>
      </c>
      <c r="G551" t="inlineStr">
        <is>
          <t>1</t>
        </is>
      </c>
      <c r="H551" t="inlineStr">
        <is>
          <t>No</t>
        </is>
      </c>
      <c r="I551" t="inlineStr">
        <is>
          <t>No</t>
        </is>
      </c>
      <c r="J551" t="inlineStr">
        <is>
          <t>0</t>
        </is>
      </c>
      <c r="K551" t="inlineStr">
        <is>
          <t>Frye, Marilyn.</t>
        </is>
      </c>
      <c r="L551" t="inlineStr">
        <is>
          <t>Freedom, CA : Crossing Press, c1992.</t>
        </is>
      </c>
      <c r="M551" t="inlineStr">
        <is>
          <t>1992</t>
        </is>
      </c>
      <c r="O551" t="inlineStr">
        <is>
          <t>eng</t>
        </is>
      </c>
      <c r="P551" t="inlineStr">
        <is>
          <t>cau</t>
        </is>
      </c>
      <c r="R551" t="inlineStr">
        <is>
          <t xml:space="preserve">HQ </t>
        </is>
      </c>
      <c r="S551" t="n">
        <v>10</v>
      </c>
      <c r="T551" t="n">
        <v>10</v>
      </c>
      <c r="U551" t="inlineStr">
        <is>
          <t>1999-01-07</t>
        </is>
      </c>
      <c r="V551" t="inlineStr">
        <is>
          <t>1999-01-07</t>
        </is>
      </c>
      <c r="W551" t="inlineStr">
        <is>
          <t>1995-02-01</t>
        </is>
      </c>
      <c r="X551" t="inlineStr">
        <is>
          <t>1995-02-01</t>
        </is>
      </c>
      <c r="Y551" t="n">
        <v>322</v>
      </c>
      <c r="Z551" t="n">
        <v>265</v>
      </c>
      <c r="AA551" t="n">
        <v>271</v>
      </c>
      <c r="AB551" t="n">
        <v>3</v>
      </c>
      <c r="AC551" t="n">
        <v>3</v>
      </c>
      <c r="AD551" t="n">
        <v>8</v>
      </c>
      <c r="AE551" t="n">
        <v>8</v>
      </c>
      <c r="AF551" t="n">
        <v>1</v>
      </c>
      <c r="AG551" t="n">
        <v>1</v>
      </c>
      <c r="AH551" t="n">
        <v>1</v>
      </c>
      <c r="AI551" t="n">
        <v>1</v>
      </c>
      <c r="AJ551" t="n">
        <v>5</v>
      </c>
      <c r="AK551" t="n">
        <v>5</v>
      </c>
      <c r="AL551" t="n">
        <v>2</v>
      </c>
      <c r="AM551" t="n">
        <v>2</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HYPERLINK("https://creighton-primo.hosted.exlibrisgroup.com/primo-explore/search?tab=default_tab&amp;search_scope=EVERYTHING&amp;vid=01CRU&amp;lang=en_US&amp;offset=0&amp;query=any,contains,991002031869702656","Catalog Record")</f>
        <v/>
      </c>
      <c r="AT551">
        <f>HYPERLINK("http://www.worldcat.org/oclc/25873182","WorldCat Record")</f>
        <v/>
      </c>
      <c r="AU551" t="inlineStr">
        <is>
          <t>906251291:eng</t>
        </is>
      </c>
      <c r="AV551" t="inlineStr">
        <is>
          <t>25873182</t>
        </is>
      </c>
      <c r="AW551" t="inlineStr">
        <is>
          <t>991002031869702656</t>
        </is>
      </c>
      <c r="AX551" t="inlineStr">
        <is>
          <t>991002031869702656</t>
        </is>
      </c>
      <c r="AY551" t="inlineStr">
        <is>
          <t>2269445520002656</t>
        </is>
      </c>
      <c r="AZ551" t="inlineStr">
        <is>
          <t>BOOK</t>
        </is>
      </c>
      <c r="BB551" t="inlineStr">
        <is>
          <t>9780895945532</t>
        </is>
      </c>
      <c r="BC551" t="inlineStr">
        <is>
          <t>32285001996049</t>
        </is>
      </c>
      <c r="BD551" t="inlineStr">
        <is>
          <t>893433408</t>
        </is>
      </c>
    </row>
    <row r="552">
      <c r="A552" t="inlineStr">
        <is>
          <t>No</t>
        </is>
      </c>
      <c r="B552" t="inlineStr">
        <is>
          <t>HQ1190 .G46 1991</t>
        </is>
      </c>
      <c r="C552" t="inlineStr">
        <is>
          <t>0                      HQ 1190000G  46          1991</t>
        </is>
      </c>
      <c r="D552" t="inlineStr">
        <is>
          <t>The Gender of power / [edited by] Kathy Davis, Monique Leijenaar, Jantine Oldersma.</t>
        </is>
      </c>
      <c r="F552" t="inlineStr">
        <is>
          <t>No</t>
        </is>
      </c>
      <c r="G552" t="inlineStr">
        <is>
          <t>1</t>
        </is>
      </c>
      <c r="H552" t="inlineStr">
        <is>
          <t>No</t>
        </is>
      </c>
      <c r="I552" t="inlineStr">
        <is>
          <t>No</t>
        </is>
      </c>
      <c r="J552" t="inlineStr">
        <is>
          <t>0</t>
        </is>
      </c>
      <c r="L552" t="inlineStr">
        <is>
          <t>London ; Newbury Park : Sage Publications, 1991.</t>
        </is>
      </c>
      <c r="M552" t="inlineStr">
        <is>
          <t>1991</t>
        </is>
      </c>
      <c r="O552" t="inlineStr">
        <is>
          <t>eng</t>
        </is>
      </c>
      <c r="P552" t="inlineStr">
        <is>
          <t>enk</t>
        </is>
      </c>
      <c r="R552" t="inlineStr">
        <is>
          <t xml:space="preserve">HQ </t>
        </is>
      </c>
      <c r="S552" t="n">
        <v>1</v>
      </c>
      <c r="T552" t="n">
        <v>1</v>
      </c>
      <c r="U552" t="inlineStr">
        <is>
          <t>1993-04-21</t>
        </is>
      </c>
      <c r="V552" t="inlineStr">
        <is>
          <t>1993-04-21</t>
        </is>
      </c>
      <c r="W552" t="inlineStr">
        <is>
          <t>1992-09-03</t>
        </is>
      </c>
      <c r="X552" t="inlineStr">
        <is>
          <t>1992-09-03</t>
        </is>
      </c>
      <c r="Y552" t="n">
        <v>406</v>
      </c>
      <c r="Z552" t="n">
        <v>205</v>
      </c>
      <c r="AA552" t="n">
        <v>205</v>
      </c>
      <c r="AB552" t="n">
        <v>2</v>
      </c>
      <c r="AC552" t="n">
        <v>2</v>
      </c>
      <c r="AD552" t="n">
        <v>12</v>
      </c>
      <c r="AE552" t="n">
        <v>12</v>
      </c>
      <c r="AF552" t="n">
        <v>1</v>
      </c>
      <c r="AG552" t="n">
        <v>1</v>
      </c>
      <c r="AH552" t="n">
        <v>4</v>
      </c>
      <c r="AI552" t="n">
        <v>4</v>
      </c>
      <c r="AJ552" t="n">
        <v>8</v>
      </c>
      <c r="AK552" t="n">
        <v>8</v>
      </c>
      <c r="AL552" t="n">
        <v>1</v>
      </c>
      <c r="AM552" t="n">
        <v>1</v>
      </c>
      <c r="AN552" t="n">
        <v>1</v>
      </c>
      <c r="AO552" t="n">
        <v>1</v>
      </c>
      <c r="AP552" t="inlineStr">
        <is>
          <t>No</t>
        </is>
      </c>
      <c r="AQ552" t="inlineStr">
        <is>
          <t>No</t>
        </is>
      </c>
      <c r="AS552">
        <f>HYPERLINK("https://creighton-primo.hosted.exlibrisgroup.com/primo-explore/search?tab=default_tab&amp;search_scope=EVERYTHING&amp;vid=01CRU&amp;lang=en_US&amp;offset=0&amp;query=any,contains,991002027889702656","Catalog Record")</f>
        <v/>
      </c>
      <c r="AT552">
        <f>HYPERLINK("http://www.worldcat.org/oclc/25789571","WorldCat Record")</f>
        <v/>
      </c>
      <c r="AU552" t="inlineStr">
        <is>
          <t>350653469:eng</t>
        </is>
      </c>
      <c r="AV552" t="inlineStr">
        <is>
          <t>25789571</t>
        </is>
      </c>
      <c r="AW552" t="inlineStr">
        <is>
          <t>991002027889702656</t>
        </is>
      </c>
      <c r="AX552" t="inlineStr">
        <is>
          <t>991002027889702656</t>
        </is>
      </c>
      <c r="AY552" t="inlineStr">
        <is>
          <t>2256692610002656</t>
        </is>
      </c>
      <c r="AZ552" t="inlineStr">
        <is>
          <t>BOOK</t>
        </is>
      </c>
      <c r="BB552" t="inlineStr">
        <is>
          <t>9780803985421</t>
        </is>
      </c>
      <c r="BC552" t="inlineStr">
        <is>
          <t>32285001285427</t>
        </is>
      </c>
      <c r="BD552" t="inlineStr">
        <is>
          <t>893903665</t>
        </is>
      </c>
    </row>
    <row r="553">
      <c r="A553" t="inlineStr">
        <is>
          <t>No</t>
        </is>
      </c>
      <c r="B553" t="inlineStr">
        <is>
          <t>HQ1190 .G475 1998</t>
        </is>
      </c>
      <c r="C553" t="inlineStr">
        <is>
          <t>0                      HQ 1190000G  475         1998</t>
        </is>
      </c>
      <c r="D553" t="inlineStr">
        <is>
          <t>Gendered agents : women &amp; institutional knowledge / edited by Silvestra Mariniello and Paul A. Bové.</t>
        </is>
      </c>
      <c r="F553" t="inlineStr">
        <is>
          <t>No</t>
        </is>
      </c>
      <c r="G553" t="inlineStr">
        <is>
          <t>1</t>
        </is>
      </c>
      <c r="H553" t="inlineStr">
        <is>
          <t>No</t>
        </is>
      </c>
      <c r="I553" t="inlineStr">
        <is>
          <t>No</t>
        </is>
      </c>
      <c r="J553" t="inlineStr">
        <is>
          <t>0</t>
        </is>
      </c>
      <c r="L553" t="inlineStr">
        <is>
          <t>Durham, N.C. : Duke University Press, 1998.</t>
        </is>
      </c>
      <c r="M553" t="inlineStr">
        <is>
          <t>1998</t>
        </is>
      </c>
      <c r="O553" t="inlineStr">
        <is>
          <t>eng</t>
        </is>
      </c>
      <c r="P553" t="inlineStr">
        <is>
          <t>ncu</t>
        </is>
      </c>
      <c r="R553" t="inlineStr">
        <is>
          <t xml:space="preserve">HQ </t>
        </is>
      </c>
      <c r="S553" t="n">
        <v>0</v>
      </c>
      <c r="T553" t="n">
        <v>0</v>
      </c>
      <c r="U553" t="inlineStr">
        <is>
          <t>2004-04-26</t>
        </is>
      </c>
      <c r="V553" t="inlineStr">
        <is>
          <t>2004-04-26</t>
        </is>
      </c>
      <c r="W553" t="inlineStr">
        <is>
          <t>1999-12-15</t>
        </is>
      </c>
      <c r="X553" t="inlineStr">
        <is>
          <t>1999-12-15</t>
        </is>
      </c>
      <c r="Y553" t="n">
        <v>262</v>
      </c>
      <c r="Z553" t="n">
        <v>208</v>
      </c>
      <c r="AA553" t="n">
        <v>210</v>
      </c>
      <c r="AB553" t="n">
        <v>1</v>
      </c>
      <c r="AC553" t="n">
        <v>1</v>
      </c>
      <c r="AD553" t="n">
        <v>9</v>
      </c>
      <c r="AE553" t="n">
        <v>9</v>
      </c>
      <c r="AF553" t="n">
        <v>3</v>
      </c>
      <c r="AG553" t="n">
        <v>3</v>
      </c>
      <c r="AH553" t="n">
        <v>4</v>
      </c>
      <c r="AI553" t="n">
        <v>4</v>
      </c>
      <c r="AJ553" t="n">
        <v>4</v>
      </c>
      <c r="AK553" t="n">
        <v>4</v>
      </c>
      <c r="AL553" t="n">
        <v>0</v>
      </c>
      <c r="AM553" t="n">
        <v>0</v>
      </c>
      <c r="AN553" t="n">
        <v>0</v>
      </c>
      <c r="AO553" t="n">
        <v>0</v>
      </c>
      <c r="AP553" t="inlineStr">
        <is>
          <t>No</t>
        </is>
      </c>
      <c r="AQ553" t="inlineStr">
        <is>
          <t>Yes</t>
        </is>
      </c>
      <c r="AR553">
        <f>HYPERLINK("http://catalog.hathitrust.org/Record/003978979","HathiTrust Record")</f>
        <v/>
      </c>
      <c r="AS553">
        <f>HYPERLINK("https://creighton-primo.hosted.exlibrisgroup.com/primo-explore/search?tab=default_tab&amp;search_scope=EVERYTHING&amp;vid=01CRU&amp;lang=en_US&amp;offset=0&amp;query=any,contains,991002864949702656","Catalog Record")</f>
        <v/>
      </c>
      <c r="AT553">
        <f>HYPERLINK("http://www.worldcat.org/oclc/37761871","WorldCat Record")</f>
        <v/>
      </c>
      <c r="AU553" t="inlineStr">
        <is>
          <t>435794479:eng</t>
        </is>
      </c>
      <c r="AV553" t="inlineStr">
        <is>
          <t>37761871</t>
        </is>
      </c>
      <c r="AW553" t="inlineStr">
        <is>
          <t>991002864949702656</t>
        </is>
      </c>
      <c r="AX553" t="inlineStr">
        <is>
          <t>991002864949702656</t>
        </is>
      </c>
      <c r="AY553" t="inlineStr">
        <is>
          <t>2272490350002656</t>
        </is>
      </c>
      <c r="AZ553" t="inlineStr">
        <is>
          <t>BOOK</t>
        </is>
      </c>
      <c r="BB553" t="inlineStr">
        <is>
          <t>9780822321798</t>
        </is>
      </c>
      <c r="BC553" t="inlineStr">
        <is>
          <t>32285003633665</t>
        </is>
      </c>
      <c r="BD553" t="inlineStr">
        <is>
          <t>893329647</t>
        </is>
      </c>
    </row>
    <row r="554">
      <c r="A554" t="inlineStr">
        <is>
          <t>No</t>
        </is>
      </c>
      <c r="B554" t="inlineStr">
        <is>
          <t>HQ1190 .G7 1993</t>
        </is>
      </c>
      <c r="C554" t="inlineStr">
        <is>
          <t>0                      HQ 1190000G  7           1993</t>
        </is>
      </c>
      <c r="D554" t="inlineStr">
        <is>
          <t>Fundamental feminism : contesting the core concepts of feminist theory / Judith Grant.</t>
        </is>
      </c>
      <c r="F554" t="inlineStr">
        <is>
          <t>No</t>
        </is>
      </c>
      <c r="G554" t="inlineStr">
        <is>
          <t>1</t>
        </is>
      </c>
      <c r="H554" t="inlineStr">
        <is>
          <t>No</t>
        </is>
      </c>
      <c r="I554" t="inlineStr">
        <is>
          <t>No</t>
        </is>
      </c>
      <c r="J554" t="inlineStr">
        <is>
          <t>0</t>
        </is>
      </c>
      <c r="K554" t="inlineStr">
        <is>
          <t>Grant, Judith, 1956-</t>
        </is>
      </c>
      <c r="L554" t="inlineStr">
        <is>
          <t>New York : Routledge, 1993.</t>
        </is>
      </c>
      <c r="M554" t="inlineStr">
        <is>
          <t>1993</t>
        </is>
      </c>
      <c r="O554" t="inlineStr">
        <is>
          <t>eng</t>
        </is>
      </c>
      <c r="P554" t="inlineStr">
        <is>
          <t>nyu</t>
        </is>
      </c>
      <c r="R554" t="inlineStr">
        <is>
          <t xml:space="preserve">HQ </t>
        </is>
      </c>
      <c r="S554" t="n">
        <v>14</v>
      </c>
      <c r="T554" t="n">
        <v>14</v>
      </c>
      <c r="U554" t="inlineStr">
        <is>
          <t>2005-03-10</t>
        </is>
      </c>
      <c r="V554" t="inlineStr">
        <is>
          <t>2005-03-10</t>
        </is>
      </c>
      <c r="W554" t="inlineStr">
        <is>
          <t>1994-03-11</t>
        </is>
      </c>
      <c r="X554" t="inlineStr">
        <is>
          <t>1994-03-11</t>
        </is>
      </c>
      <c r="Y554" t="n">
        <v>677</v>
      </c>
      <c r="Z554" t="n">
        <v>490</v>
      </c>
      <c r="AA554" t="n">
        <v>520</v>
      </c>
      <c r="AB554" t="n">
        <v>6</v>
      </c>
      <c r="AC554" t="n">
        <v>6</v>
      </c>
      <c r="AD554" t="n">
        <v>32</v>
      </c>
      <c r="AE554" t="n">
        <v>32</v>
      </c>
      <c r="AF554" t="n">
        <v>12</v>
      </c>
      <c r="AG554" t="n">
        <v>12</v>
      </c>
      <c r="AH554" t="n">
        <v>8</v>
      </c>
      <c r="AI554" t="n">
        <v>8</v>
      </c>
      <c r="AJ554" t="n">
        <v>16</v>
      </c>
      <c r="AK554" t="n">
        <v>16</v>
      </c>
      <c r="AL554" t="n">
        <v>5</v>
      </c>
      <c r="AM554" t="n">
        <v>5</v>
      </c>
      <c r="AN554" t="n">
        <v>1</v>
      </c>
      <c r="AO554" t="n">
        <v>1</v>
      </c>
      <c r="AP554" t="inlineStr">
        <is>
          <t>No</t>
        </is>
      </c>
      <c r="AQ554" t="inlineStr">
        <is>
          <t>Yes</t>
        </is>
      </c>
      <c r="AR554">
        <f>HYPERLINK("http://catalog.hathitrust.org/Record/002782272","HathiTrust Record")</f>
        <v/>
      </c>
      <c r="AS554">
        <f>HYPERLINK("https://creighton-primo.hosted.exlibrisgroup.com/primo-explore/search?tab=default_tab&amp;search_scope=EVERYTHING&amp;vid=01CRU&amp;lang=en_US&amp;offset=0&amp;query=any,contains,991005416839702656","Catalog Record")</f>
        <v/>
      </c>
      <c r="AT554">
        <f>HYPERLINK("http://www.worldcat.org/oclc/27936264","WorldCat Record")</f>
        <v/>
      </c>
      <c r="AU554" t="inlineStr">
        <is>
          <t>836737483:eng</t>
        </is>
      </c>
      <c r="AV554" t="inlineStr">
        <is>
          <t>27936264</t>
        </is>
      </c>
      <c r="AW554" t="inlineStr">
        <is>
          <t>991005416839702656</t>
        </is>
      </c>
      <c r="AX554" t="inlineStr">
        <is>
          <t>991005416839702656</t>
        </is>
      </c>
      <c r="AY554" t="inlineStr">
        <is>
          <t>2259201220002656</t>
        </is>
      </c>
      <c r="AZ554" t="inlineStr">
        <is>
          <t>BOOK</t>
        </is>
      </c>
      <c r="BB554" t="inlineStr">
        <is>
          <t>9780415908252</t>
        </is>
      </c>
      <c r="BC554" t="inlineStr">
        <is>
          <t>32285001855013</t>
        </is>
      </c>
      <c r="BD554" t="inlineStr">
        <is>
          <t>893595019</t>
        </is>
      </c>
    </row>
    <row r="555">
      <c r="A555" t="inlineStr">
        <is>
          <t>No</t>
        </is>
      </c>
      <c r="B555" t="inlineStr">
        <is>
          <t>HQ1190 .H35 2002</t>
        </is>
      </c>
      <c r="C555" t="inlineStr">
        <is>
          <t>0                      HQ 1190000H  35          2002</t>
        </is>
      </c>
      <c r="D555" t="inlineStr">
        <is>
          <t>Antifeminism and family terrorism : a critical feminist perspective / Rhonda Hammer.</t>
        </is>
      </c>
      <c r="F555" t="inlineStr">
        <is>
          <t>No</t>
        </is>
      </c>
      <c r="G555" t="inlineStr">
        <is>
          <t>1</t>
        </is>
      </c>
      <c r="H555" t="inlineStr">
        <is>
          <t>No</t>
        </is>
      </c>
      <c r="I555" t="inlineStr">
        <is>
          <t>No</t>
        </is>
      </c>
      <c r="J555" t="inlineStr">
        <is>
          <t>0</t>
        </is>
      </c>
      <c r="K555" t="inlineStr">
        <is>
          <t>Hammer, Rhonda.</t>
        </is>
      </c>
      <c r="L555" t="inlineStr">
        <is>
          <t>Lanham, Md. : Rowman &amp; Littlefield, c2002.</t>
        </is>
      </c>
      <c r="M555" t="inlineStr">
        <is>
          <t>2002</t>
        </is>
      </c>
      <c r="O555" t="inlineStr">
        <is>
          <t>eng</t>
        </is>
      </c>
      <c r="P555" t="inlineStr">
        <is>
          <t>mdu</t>
        </is>
      </c>
      <c r="Q555" t="inlineStr">
        <is>
          <t>Culture and politics series</t>
        </is>
      </c>
      <c r="R555" t="inlineStr">
        <is>
          <t xml:space="preserve">HQ </t>
        </is>
      </c>
      <c r="S555" t="n">
        <v>3</v>
      </c>
      <c r="T555" t="n">
        <v>3</v>
      </c>
      <c r="U555" t="inlineStr">
        <is>
          <t>2004-04-18</t>
        </is>
      </c>
      <c r="V555" t="inlineStr">
        <is>
          <t>2004-04-18</t>
        </is>
      </c>
      <c r="W555" t="inlineStr">
        <is>
          <t>2002-02-04</t>
        </is>
      </c>
      <c r="X555" t="inlineStr">
        <is>
          <t>2002-02-04</t>
        </is>
      </c>
      <c r="Y555" t="n">
        <v>367</v>
      </c>
      <c r="Z555" t="n">
        <v>303</v>
      </c>
      <c r="AA555" t="n">
        <v>306</v>
      </c>
      <c r="AB555" t="n">
        <v>3</v>
      </c>
      <c r="AC555" t="n">
        <v>3</v>
      </c>
      <c r="AD555" t="n">
        <v>16</v>
      </c>
      <c r="AE555" t="n">
        <v>16</v>
      </c>
      <c r="AF555" t="n">
        <v>6</v>
      </c>
      <c r="AG555" t="n">
        <v>6</v>
      </c>
      <c r="AH555" t="n">
        <v>5</v>
      </c>
      <c r="AI555" t="n">
        <v>5</v>
      </c>
      <c r="AJ555" t="n">
        <v>7</v>
      </c>
      <c r="AK555" t="n">
        <v>7</v>
      </c>
      <c r="AL555" t="n">
        <v>2</v>
      </c>
      <c r="AM555" t="n">
        <v>2</v>
      </c>
      <c r="AN555" t="n">
        <v>1</v>
      </c>
      <c r="AO555" t="n">
        <v>1</v>
      </c>
      <c r="AP555" t="inlineStr">
        <is>
          <t>No</t>
        </is>
      </c>
      <c r="AQ555" t="inlineStr">
        <is>
          <t>Yes</t>
        </is>
      </c>
      <c r="AR555">
        <f>HYPERLINK("http://catalog.hathitrust.org/Record/004219203","HathiTrust Record")</f>
        <v/>
      </c>
      <c r="AS555">
        <f>HYPERLINK("https://creighton-primo.hosted.exlibrisgroup.com/primo-explore/search?tab=default_tab&amp;search_scope=EVERYTHING&amp;vid=01CRU&amp;lang=en_US&amp;offset=0&amp;query=any,contains,991003662349702656","Catalog Record")</f>
        <v/>
      </c>
      <c r="AT555">
        <f>HYPERLINK("http://www.worldcat.org/oclc/45841565","WorldCat Record")</f>
        <v/>
      </c>
      <c r="AU555" t="inlineStr">
        <is>
          <t>20798890:eng</t>
        </is>
      </c>
      <c r="AV555" t="inlineStr">
        <is>
          <t>45841565</t>
        </is>
      </c>
      <c r="AW555" t="inlineStr">
        <is>
          <t>991003662349702656</t>
        </is>
      </c>
      <c r="AX555" t="inlineStr">
        <is>
          <t>991003662349702656</t>
        </is>
      </c>
      <c r="AY555" t="inlineStr">
        <is>
          <t>2262312070002656</t>
        </is>
      </c>
      <c r="AZ555" t="inlineStr">
        <is>
          <t>BOOK</t>
        </is>
      </c>
      <c r="BB555" t="inlineStr">
        <is>
          <t>9780742510494</t>
        </is>
      </c>
      <c r="BC555" t="inlineStr">
        <is>
          <t>32285004451711</t>
        </is>
      </c>
      <c r="BD555" t="inlineStr">
        <is>
          <t>893711627</t>
        </is>
      </c>
    </row>
    <row r="556">
      <c r="A556" t="inlineStr">
        <is>
          <t>No</t>
        </is>
      </c>
      <c r="B556" t="inlineStr">
        <is>
          <t>HQ1190 .H44 1993</t>
        </is>
      </c>
      <c r="C556" t="inlineStr">
        <is>
          <t>0                      HQ 1190000H  44          1993</t>
        </is>
      </c>
      <c r="D556" t="inlineStr">
        <is>
          <t>Feminist morality : transforming culture, society, and politics / Virginia Held.</t>
        </is>
      </c>
      <c r="F556" t="inlineStr">
        <is>
          <t>No</t>
        </is>
      </c>
      <c r="G556" t="inlineStr">
        <is>
          <t>1</t>
        </is>
      </c>
      <c r="H556" t="inlineStr">
        <is>
          <t>No</t>
        </is>
      </c>
      <c r="I556" t="inlineStr">
        <is>
          <t>No</t>
        </is>
      </c>
      <c r="J556" t="inlineStr">
        <is>
          <t>0</t>
        </is>
      </c>
      <c r="K556" t="inlineStr">
        <is>
          <t>Held, Virginia.</t>
        </is>
      </c>
      <c r="L556" t="inlineStr">
        <is>
          <t>Chicago : University of Chicago Press, 1993.</t>
        </is>
      </c>
      <c r="M556" t="inlineStr">
        <is>
          <t>1993</t>
        </is>
      </c>
      <c r="O556" t="inlineStr">
        <is>
          <t>eng</t>
        </is>
      </c>
      <c r="P556" t="inlineStr">
        <is>
          <t>ilu</t>
        </is>
      </c>
      <c r="Q556" t="inlineStr">
        <is>
          <t>Women in culture and society</t>
        </is>
      </c>
      <c r="R556" t="inlineStr">
        <is>
          <t xml:space="preserve">HQ </t>
        </is>
      </c>
      <c r="S556" t="n">
        <v>15</v>
      </c>
      <c r="T556" t="n">
        <v>15</v>
      </c>
      <c r="U556" t="inlineStr">
        <is>
          <t>2002-03-29</t>
        </is>
      </c>
      <c r="V556" t="inlineStr">
        <is>
          <t>2002-03-29</t>
        </is>
      </c>
      <c r="W556" t="inlineStr">
        <is>
          <t>1994-02-11</t>
        </is>
      </c>
      <c r="X556" t="inlineStr">
        <is>
          <t>1994-02-11</t>
        </is>
      </c>
      <c r="Y556" t="n">
        <v>698</v>
      </c>
      <c r="Z556" t="n">
        <v>547</v>
      </c>
      <c r="AA556" t="n">
        <v>547</v>
      </c>
      <c r="AB556" t="n">
        <v>4</v>
      </c>
      <c r="AC556" t="n">
        <v>4</v>
      </c>
      <c r="AD556" t="n">
        <v>36</v>
      </c>
      <c r="AE556" t="n">
        <v>36</v>
      </c>
      <c r="AF556" t="n">
        <v>14</v>
      </c>
      <c r="AG556" t="n">
        <v>14</v>
      </c>
      <c r="AH556" t="n">
        <v>10</v>
      </c>
      <c r="AI556" t="n">
        <v>10</v>
      </c>
      <c r="AJ556" t="n">
        <v>17</v>
      </c>
      <c r="AK556" t="n">
        <v>17</v>
      </c>
      <c r="AL556" t="n">
        <v>3</v>
      </c>
      <c r="AM556" t="n">
        <v>3</v>
      </c>
      <c r="AN556" t="n">
        <v>3</v>
      </c>
      <c r="AO556" t="n">
        <v>3</v>
      </c>
      <c r="AP556" t="inlineStr">
        <is>
          <t>No</t>
        </is>
      </c>
      <c r="AQ556" t="inlineStr">
        <is>
          <t>No</t>
        </is>
      </c>
      <c r="AS556">
        <f>HYPERLINK("https://creighton-primo.hosted.exlibrisgroup.com/primo-explore/search?tab=default_tab&amp;search_scope=EVERYTHING&amp;vid=01CRU&amp;lang=en_US&amp;offset=0&amp;query=any,contains,991005416709702656","Catalog Record")</f>
        <v/>
      </c>
      <c r="AT556">
        <f>HYPERLINK("http://www.worldcat.org/oclc/27813855","WorldCat Record")</f>
        <v/>
      </c>
      <c r="AU556" t="inlineStr">
        <is>
          <t>836731465:eng</t>
        </is>
      </c>
      <c r="AV556" t="inlineStr">
        <is>
          <t>27813855</t>
        </is>
      </c>
      <c r="AW556" t="inlineStr">
        <is>
          <t>991005416709702656</t>
        </is>
      </c>
      <c r="AX556" t="inlineStr">
        <is>
          <t>991005416709702656</t>
        </is>
      </c>
      <c r="AY556" t="inlineStr">
        <is>
          <t>2257551920002656</t>
        </is>
      </c>
      <c r="AZ556" t="inlineStr">
        <is>
          <t>BOOK</t>
        </is>
      </c>
      <c r="BB556" t="inlineStr">
        <is>
          <t>9780226325910</t>
        </is>
      </c>
      <c r="BC556" t="inlineStr">
        <is>
          <t>32285001840981</t>
        </is>
      </c>
      <c r="BD556" t="inlineStr">
        <is>
          <t>893425133</t>
        </is>
      </c>
    </row>
    <row r="557">
      <c r="A557" t="inlineStr">
        <is>
          <t>No</t>
        </is>
      </c>
      <c r="B557" t="inlineStr">
        <is>
          <t>HQ1190 .H453 2002</t>
        </is>
      </c>
      <c r="C557" t="inlineStr">
        <is>
          <t>0                      HQ 1190000H  453         2002</t>
        </is>
      </c>
      <c r="D557" t="inlineStr">
        <is>
          <t>Feminist moral philosophy / edited by Samantha Brennan.</t>
        </is>
      </c>
      <c r="F557" t="inlineStr">
        <is>
          <t>No</t>
        </is>
      </c>
      <c r="G557" t="inlineStr">
        <is>
          <t>1</t>
        </is>
      </c>
      <c r="H557" t="inlineStr">
        <is>
          <t>No</t>
        </is>
      </c>
      <c r="I557" t="inlineStr">
        <is>
          <t>No</t>
        </is>
      </c>
      <c r="J557" t="inlineStr">
        <is>
          <t>0</t>
        </is>
      </c>
      <c r="L557" t="inlineStr">
        <is>
          <t>Calgary : University of Calgary Press, c2002.</t>
        </is>
      </c>
      <c r="M557" t="inlineStr">
        <is>
          <t>2002</t>
        </is>
      </c>
      <c r="O557" t="inlineStr">
        <is>
          <t>eng</t>
        </is>
      </c>
      <c r="P557" t="inlineStr">
        <is>
          <t>abc</t>
        </is>
      </c>
      <c r="Q557" t="inlineStr">
        <is>
          <t>Canadian journal of philosophy. Supplementary volume, 0229-7051 ; 28</t>
        </is>
      </c>
      <c r="R557" t="inlineStr">
        <is>
          <t xml:space="preserve">HQ </t>
        </is>
      </c>
      <c r="S557" t="n">
        <v>5</v>
      </c>
      <c r="T557" t="n">
        <v>5</v>
      </c>
      <c r="U557" t="inlineStr">
        <is>
          <t>2005-02-10</t>
        </is>
      </c>
      <c r="V557" t="inlineStr">
        <is>
          <t>2005-02-10</t>
        </is>
      </c>
      <c r="W557" t="inlineStr">
        <is>
          <t>2003-12-15</t>
        </is>
      </c>
      <c r="X557" t="inlineStr">
        <is>
          <t>2003-12-15</t>
        </is>
      </c>
      <c r="Y557" t="n">
        <v>365</v>
      </c>
      <c r="Z557" t="n">
        <v>278</v>
      </c>
      <c r="AA557" t="n">
        <v>303</v>
      </c>
      <c r="AB557" t="n">
        <v>2</v>
      </c>
      <c r="AC557" t="n">
        <v>2</v>
      </c>
      <c r="AD557" t="n">
        <v>14</v>
      </c>
      <c r="AE557" t="n">
        <v>16</v>
      </c>
      <c r="AF557" t="n">
        <v>3</v>
      </c>
      <c r="AG557" t="n">
        <v>4</v>
      </c>
      <c r="AH557" t="n">
        <v>5</v>
      </c>
      <c r="AI557" t="n">
        <v>5</v>
      </c>
      <c r="AJ557" t="n">
        <v>9</v>
      </c>
      <c r="AK557" t="n">
        <v>11</v>
      </c>
      <c r="AL557" t="n">
        <v>1</v>
      </c>
      <c r="AM557" t="n">
        <v>1</v>
      </c>
      <c r="AN557" t="n">
        <v>0</v>
      </c>
      <c r="AO557" t="n">
        <v>0</v>
      </c>
      <c r="AP557" t="inlineStr">
        <is>
          <t>No</t>
        </is>
      </c>
      <c r="AQ557" t="inlineStr">
        <is>
          <t>Yes</t>
        </is>
      </c>
      <c r="AR557">
        <f>HYPERLINK("http://catalog.hathitrust.org/Record/003891735","HathiTrust Record")</f>
        <v/>
      </c>
      <c r="AS557">
        <f>HYPERLINK("https://creighton-primo.hosted.exlibrisgroup.com/primo-explore/search?tab=default_tab&amp;search_scope=EVERYTHING&amp;vid=01CRU&amp;lang=en_US&amp;offset=0&amp;query=any,contains,991004206369702656","Catalog Record")</f>
        <v/>
      </c>
      <c r="AT557">
        <f>HYPERLINK("http://www.worldcat.org/oclc/52153527","WorldCat Record")</f>
        <v/>
      </c>
      <c r="AU557" t="inlineStr">
        <is>
          <t>740739:eng</t>
        </is>
      </c>
      <c r="AV557" t="inlineStr">
        <is>
          <t>52153527</t>
        </is>
      </c>
      <c r="AW557" t="inlineStr">
        <is>
          <t>991004206369702656</t>
        </is>
      </c>
      <c r="AX557" t="inlineStr">
        <is>
          <t>991004206369702656</t>
        </is>
      </c>
      <c r="AY557" t="inlineStr">
        <is>
          <t>2263613330002656</t>
        </is>
      </c>
      <c r="AZ557" t="inlineStr">
        <is>
          <t>BOOK</t>
        </is>
      </c>
      <c r="BB557" t="inlineStr">
        <is>
          <t>9780919491281</t>
        </is>
      </c>
      <c r="BC557" t="inlineStr">
        <is>
          <t>32285004846837</t>
        </is>
      </c>
      <c r="BD557" t="inlineStr">
        <is>
          <t>893904750</t>
        </is>
      </c>
    </row>
    <row r="558">
      <c r="A558" t="inlineStr">
        <is>
          <t>No</t>
        </is>
      </c>
      <c r="B558" t="inlineStr">
        <is>
          <t>HQ1190 .H46 1993</t>
        </is>
      </c>
      <c r="C558" t="inlineStr">
        <is>
          <t>0                      HQ 1190000H  46          1993</t>
        </is>
      </c>
      <c r="D558" t="inlineStr">
        <is>
          <t>Materialist feminism and the politics of discourse / Rosemary Hennessy.</t>
        </is>
      </c>
      <c r="F558" t="inlineStr">
        <is>
          <t>No</t>
        </is>
      </c>
      <c r="G558" t="inlineStr">
        <is>
          <t>1</t>
        </is>
      </c>
      <c r="H558" t="inlineStr">
        <is>
          <t>No</t>
        </is>
      </c>
      <c r="I558" t="inlineStr">
        <is>
          <t>No</t>
        </is>
      </c>
      <c r="J558" t="inlineStr">
        <is>
          <t>0</t>
        </is>
      </c>
      <c r="K558" t="inlineStr">
        <is>
          <t>Hennessy, Rosemary.</t>
        </is>
      </c>
      <c r="L558" t="inlineStr">
        <is>
          <t>New York : Routledge, 1993.</t>
        </is>
      </c>
      <c r="M558" t="inlineStr">
        <is>
          <t>1993</t>
        </is>
      </c>
      <c r="O558" t="inlineStr">
        <is>
          <t>eng</t>
        </is>
      </c>
      <c r="P558" t="inlineStr">
        <is>
          <t>nyu</t>
        </is>
      </c>
      <c r="Q558" t="inlineStr">
        <is>
          <t>Thinking gender</t>
        </is>
      </c>
      <c r="R558" t="inlineStr">
        <is>
          <t xml:space="preserve">HQ </t>
        </is>
      </c>
      <c r="S558" t="n">
        <v>8</v>
      </c>
      <c r="T558" t="n">
        <v>8</v>
      </c>
      <c r="U558" t="inlineStr">
        <is>
          <t>2007-04-30</t>
        </is>
      </c>
      <c r="V558" t="inlineStr">
        <is>
          <t>2007-04-30</t>
        </is>
      </c>
      <c r="W558" t="inlineStr">
        <is>
          <t>1995-01-04</t>
        </is>
      </c>
      <c r="X558" t="inlineStr">
        <is>
          <t>1995-01-04</t>
        </is>
      </c>
      <c r="Y558" t="n">
        <v>435</v>
      </c>
      <c r="Z558" t="n">
        <v>282</v>
      </c>
      <c r="AA558" t="n">
        <v>338</v>
      </c>
      <c r="AB558" t="n">
        <v>2</v>
      </c>
      <c r="AC558" t="n">
        <v>3</v>
      </c>
      <c r="AD558" t="n">
        <v>22</v>
      </c>
      <c r="AE558" t="n">
        <v>23</v>
      </c>
      <c r="AF558" t="n">
        <v>8</v>
      </c>
      <c r="AG558" t="n">
        <v>8</v>
      </c>
      <c r="AH558" t="n">
        <v>7</v>
      </c>
      <c r="AI558" t="n">
        <v>7</v>
      </c>
      <c r="AJ558" t="n">
        <v>12</v>
      </c>
      <c r="AK558" t="n">
        <v>12</v>
      </c>
      <c r="AL558" t="n">
        <v>1</v>
      </c>
      <c r="AM558" t="n">
        <v>2</v>
      </c>
      <c r="AN558" t="n">
        <v>1</v>
      </c>
      <c r="AO558" t="n">
        <v>1</v>
      </c>
      <c r="AP558" t="inlineStr">
        <is>
          <t>No</t>
        </is>
      </c>
      <c r="AQ558" t="inlineStr">
        <is>
          <t>Yes</t>
        </is>
      </c>
      <c r="AR558">
        <f>HYPERLINK("http://catalog.hathitrust.org/Record/002591600","HathiTrust Record")</f>
        <v/>
      </c>
      <c r="AS558">
        <f>HYPERLINK("https://creighton-primo.hosted.exlibrisgroup.com/primo-explore/search?tab=default_tab&amp;search_scope=EVERYTHING&amp;vid=01CRU&amp;lang=en_US&amp;offset=0&amp;query=any,contains,991002010429702656","Catalog Record")</f>
        <v/>
      </c>
      <c r="AT558">
        <f>HYPERLINK("http://www.worldcat.org/oclc/25551306","WorldCat Record")</f>
        <v/>
      </c>
      <c r="AU558" t="inlineStr">
        <is>
          <t>27595746:eng</t>
        </is>
      </c>
      <c r="AV558" t="inlineStr">
        <is>
          <t>25551306</t>
        </is>
      </c>
      <c r="AW558" t="inlineStr">
        <is>
          <t>991002010429702656</t>
        </is>
      </c>
      <c r="AX558" t="inlineStr">
        <is>
          <t>991002010429702656</t>
        </is>
      </c>
      <c r="AY558" t="inlineStr">
        <is>
          <t>2266013470002656</t>
        </is>
      </c>
      <c r="AZ558" t="inlineStr">
        <is>
          <t>BOOK</t>
        </is>
      </c>
      <c r="BB558" t="inlineStr">
        <is>
          <t>9780415904797</t>
        </is>
      </c>
      <c r="BC558" t="inlineStr">
        <is>
          <t>32285001990661</t>
        </is>
      </c>
      <c r="BD558" t="inlineStr">
        <is>
          <t>893615585</t>
        </is>
      </c>
    </row>
    <row r="559">
      <c r="A559" t="inlineStr">
        <is>
          <t>No</t>
        </is>
      </c>
      <c r="B559" t="inlineStr">
        <is>
          <t>HQ1190 .H47 1996</t>
        </is>
      </c>
      <c r="C559" t="inlineStr">
        <is>
          <t>0                      HQ 1190000H  47          1996</t>
        </is>
      </c>
      <c r="D559" t="inlineStr">
        <is>
          <t>Her voices : hermeneutics of the feminine / edited by Fabio B. Dasilva, Mathew Kanjirathinkal.</t>
        </is>
      </c>
      <c r="F559" t="inlineStr">
        <is>
          <t>No</t>
        </is>
      </c>
      <c r="G559" t="inlineStr">
        <is>
          <t>1</t>
        </is>
      </c>
      <c r="H559" t="inlineStr">
        <is>
          <t>No</t>
        </is>
      </c>
      <c r="I559" t="inlineStr">
        <is>
          <t>No</t>
        </is>
      </c>
      <c r="J559" t="inlineStr">
        <is>
          <t>0</t>
        </is>
      </c>
      <c r="L559" t="inlineStr">
        <is>
          <t>Lanham : University Press of America, c1996.</t>
        </is>
      </c>
      <c r="M559" t="inlineStr">
        <is>
          <t>1996</t>
        </is>
      </c>
      <c r="O559" t="inlineStr">
        <is>
          <t>eng</t>
        </is>
      </c>
      <c r="P559" t="inlineStr">
        <is>
          <t>mdu</t>
        </is>
      </c>
      <c r="R559" t="inlineStr">
        <is>
          <t xml:space="preserve">HQ </t>
        </is>
      </c>
      <c r="S559" t="n">
        <v>1</v>
      </c>
      <c r="T559" t="n">
        <v>1</v>
      </c>
      <c r="U559" t="inlineStr">
        <is>
          <t>2001-04-19</t>
        </is>
      </c>
      <c r="V559" t="inlineStr">
        <is>
          <t>2001-04-19</t>
        </is>
      </c>
      <c r="W559" t="inlineStr">
        <is>
          <t>1997-11-06</t>
        </is>
      </c>
      <c r="X559" t="inlineStr">
        <is>
          <t>1997-11-06</t>
        </is>
      </c>
      <c r="Y559" t="n">
        <v>175</v>
      </c>
      <c r="Z559" t="n">
        <v>143</v>
      </c>
      <c r="AA559" t="n">
        <v>145</v>
      </c>
      <c r="AB559" t="n">
        <v>3</v>
      </c>
      <c r="AC559" t="n">
        <v>3</v>
      </c>
      <c r="AD559" t="n">
        <v>8</v>
      </c>
      <c r="AE559" t="n">
        <v>8</v>
      </c>
      <c r="AF559" t="n">
        <v>2</v>
      </c>
      <c r="AG559" t="n">
        <v>2</v>
      </c>
      <c r="AH559" t="n">
        <v>2</v>
      </c>
      <c r="AI559" t="n">
        <v>2</v>
      </c>
      <c r="AJ559" t="n">
        <v>4</v>
      </c>
      <c r="AK559" t="n">
        <v>4</v>
      </c>
      <c r="AL559" t="n">
        <v>2</v>
      </c>
      <c r="AM559" t="n">
        <v>2</v>
      </c>
      <c r="AN559" t="n">
        <v>0</v>
      </c>
      <c r="AO559" t="n">
        <v>0</v>
      </c>
      <c r="AP559" t="inlineStr">
        <is>
          <t>No</t>
        </is>
      </c>
      <c r="AQ559" t="inlineStr">
        <is>
          <t>Yes</t>
        </is>
      </c>
      <c r="AR559">
        <f>HYPERLINK("http://catalog.hathitrust.org/Record/003091599","HathiTrust Record")</f>
        <v/>
      </c>
      <c r="AS559">
        <f>HYPERLINK("https://creighton-primo.hosted.exlibrisgroup.com/primo-explore/search?tab=default_tab&amp;search_scope=EVERYTHING&amp;vid=01CRU&amp;lang=en_US&amp;offset=0&amp;query=any,contains,991002626159702656","Catalog Record")</f>
        <v/>
      </c>
      <c r="AT559">
        <f>HYPERLINK("http://www.worldcat.org/oclc/34412853","WorldCat Record")</f>
        <v/>
      </c>
      <c r="AU559" t="inlineStr">
        <is>
          <t>836923472:eng</t>
        </is>
      </c>
      <c r="AV559" t="inlineStr">
        <is>
          <t>34412853</t>
        </is>
      </c>
      <c r="AW559" t="inlineStr">
        <is>
          <t>991002626159702656</t>
        </is>
      </c>
      <c r="AX559" t="inlineStr">
        <is>
          <t>991002626159702656</t>
        </is>
      </c>
      <c r="AY559" t="inlineStr">
        <is>
          <t>2260603420002656</t>
        </is>
      </c>
      <c r="AZ559" t="inlineStr">
        <is>
          <t>BOOK</t>
        </is>
      </c>
      <c r="BB559" t="inlineStr">
        <is>
          <t>9780761803102</t>
        </is>
      </c>
      <c r="BC559" t="inlineStr">
        <is>
          <t>32285003277398</t>
        </is>
      </c>
      <c r="BD559" t="inlineStr">
        <is>
          <t>893710486</t>
        </is>
      </c>
    </row>
    <row r="560">
      <c r="A560" t="inlineStr">
        <is>
          <t>No</t>
        </is>
      </c>
      <c r="B560" t="inlineStr">
        <is>
          <t>HQ1190 .H65 1990</t>
        </is>
      </c>
      <c r="C560" t="inlineStr">
        <is>
          <t>0                      HQ 1190000H  65          1990</t>
        </is>
      </c>
      <c r="D560" t="inlineStr">
        <is>
          <t>Is women's philosophy possible? / Nancy J. Holland.</t>
        </is>
      </c>
      <c r="F560" t="inlineStr">
        <is>
          <t>No</t>
        </is>
      </c>
      <c r="G560" t="inlineStr">
        <is>
          <t>1</t>
        </is>
      </c>
      <c r="H560" t="inlineStr">
        <is>
          <t>No</t>
        </is>
      </c>
      <c r="I560" t="inlineStr">
        <is>
          <t>No</t>
        </is>
      </c>
      <c r="J560" t="inlineStr">
        <is>
          <t>0</t>
        </is>
      </c>
      <c r="K560" t="inlineStr">
        <is>
          <t>Holland, Nancy J.</t>
        </is>
      </c>
      <c r="L560" t="inlineStr">
        <is>
          <t>Savage, Md. : Rowman &amp; Littlefield Publishers, c1990.</t>
        </is>
      </c>
      <c r="M560" t="inlineStr">
        <is>
          <t>1990</t>
        </is>
      </c>
      <c r="O560" t="inlineStr">
        <is>
          <t>eng</t>
        </is>
      </c>
      <c r="P560" t="inlineStr">
        <is>
          <t>mdu</t>
        </is>
      </c>
      <c r="Q560" t="inlineStr">
        <is>
          <t>New feminist perspectives</t>
        </is>
      </c>
      <c r="R560" t="inlineStr">
        <is>
          <t xml:space="preserve">HQ </t>
        </is>
      </c>
      <c r="S560" t="n">
        <v>2</v>
      </c>
      <c r="T560" t="n">
        <v>2</v>
      </c>
      <c r="U560" t="inlineStr">
        <is>
          <t>1994-10-12</t>
        </is>
      </c>
      <c r="V560" t="inlineStr">
        <is>
          <t>1994-10-12</t>
        </is>
      </c>
      <c r="W560" t="inlineStr">
        <is>
          <t>1994-08-03</t>
        </is>
      </c>
      <c r="X560" t="inlineStr">
        <is>
          <t>1994-08-03</t>
        </is>
      </c>
      <c r="Y560" t="n">
        <v>496</v>
      </c>
      <c r="Z560" t="n">
        <v>417</v>
      </c>
      <c r="AA560" t="n">
        <v>420</v>
      </c>
      <c r="AB560" t="n">
        <v>5</v>
      </c>
      <c r="AC560" t="n">
        <v>5</v>
      </c>
      <c r="AD560" t="n">
        <v>29</v>
      </c>
      <c r="AE560" t="n">
        <v>29</v>
      </c>
      <c r="AF560" t="n">
        <v>10</v>
      </c>
      <c r="AG560" t="n">
        <v>10</v>
      </c>
      <c r="AH560" t="n">
        <v>8</v>
      </c>
      <c r="AI560" t="n">
        <v>8</v>
      </c>
      <c r="AJ560" t="n">
        <v>16</v>
      </c>
      <c r="AK560" t="n">
        <v>16</v>
      </c>
      <c r="AL560" t="n">
        <v>4</v>
      </c>
      <c r="AM560" t="n">
        <v>4</v>
      </c>
      <c r="AN560" t="n">
        <v>1</v>
      </c>
      <c r="AO560" t="n">
        <v>1</v>
      </c>
      <c r="AP560" t="inlineStr">
        <is>
          <t>No</t>
        </is>
      </c>
      <c r="AQ560" t="inlineStr">
        <is>
          <t>Yes</t>
        </is>
      </c>
      <c r="AR560">
        <f>HYPERLINK("http://catalog.hathitrust.org/Record/002238652","HathiTrust Record")</f>
        <v/>
      </c>
      <c r="AS560">
        <f>HYPERLINK("https://creighton-primo.hosted.exlibrisgroup.com/primo-explore/search?tab=default_tab&amp;search_scope=EVERYTHING&amp;vid=01CRU&amp;lang=en_US&amp;offset=0&amp;query=any,contains,991001763379702656","Catalog Record")</f>
        <v/>
      </c>
      <c r="AT560">
        <f>HYPERLINK("http://www.worldcat.org/oclc/22279861","WorldCat Record")</f>
        <v/>
      </c>
      <c r="AU560" t="inlineStr">
        <is>
          <t>23220933:eng</t>
        </is>
      </c>
      <c r="AV560" t="inlineStr">
        <is>
          <t>22279861</t>
        </is>
      </c>
      <c r="AW560" t="inlineStr">
        <is>
          <t>991001763379702656</t>
        </is>
      </c>
      <c r="AX560" t="inlineStr">
        <is>
          <t>991001763379702656</t>
        </is>
      </c>
      <c r="AY560" t="inlineStr">
        <is>
          <t>2260428310002656</t>
        </is>
      </c>
      <c r="AZ560" t="inlineStr">
        <is>
          <t>BOOK</t>
        </is>
      </c>
      <c r="BB560" t="inlineStr">
        <is>
          <t>9780847676200</t>
        </is>
      </c>
      <c r="BC560" t="inlineStr">
        <is>
          <t>32285001941367</t>
        </is>
      </c>
      <c r="BD560" t="inlineStr">
        <is>
          <t>893772890</t>
        </is>
      </c>
    </row>
    <row r="561">
      <c r="A561" t="inlineStr">
        <is>
          <t>No</t>
        </is>
      </c>
      <c r="B561" t="inlineStr">
        <is>
          <t>HQ1190 .I57 1993</t>
        </is>
      </c>
      <c r="C561" t="inlineStr">
        <is>
          <t>0                      HQ 1190000I  57          1993</t>
        </is>
      </c>
      <c r="D561" t="inlineStr">
        <is>
          <t>Introducing women's studies : feminist theory and practice / edited by Diane Richardson and Victoria Robinson.</t>
        </is>
      </c>
      <c r="F561" t="inlineStr">
        <is>
          <t>No</t>
        </is>
      </c>
      <c r="G561" t="inlineStr">
        <is>
          <t>1</t>
        </is>
      </c>
      <c r="H561" t="inlineStr">
        <is>
          <t>No</t>
        </is>
      </c>
      <c r="I561" t="inlineStr">
        <is>
          <t>No</t>
        </is>
      </c>
      <c r="J561" t="inlineStr">
        <is>
          <t>0</t>
        </is>
      </c>
      <c r="L561" t="inlineStr">
        <is>
          <t>Basingstoke : Macmillan, 1993.</t>
        </is>
      </c>
      <c r="M561" t="inlineStr">
        <is>
          <t>1993</t>
        </is>
      </c>
      <c r="O561" t="inlineStr">
        <is>
          <t>eng</t>
        </is>
      </c>
      <c r="P561" t="inlineStr">
        <is>
          <t>enk</t>
        </is>
      </c>
      <c r="R561" t="inlineStr">
        <is>
          <t xml:space="preserve">HQ </t>
        </is>
      </c>
      <c r="S561" t="n">
        <v>1</v>
      </c>
      <c r="T561" t="n">
        <v>1</v>
      </c>
      <c r="U561" t="inlineStr">
        <is>
          <t>2003-08-19</t>
        </is>
      </c>
      <c r="V561" t="inlineStr">
        <is>
          <t>2003-08-19</t>
        </is>
      </c>
      <c r="W561" t="inlineStr">
        <is>
          <t>2003-08-19</t>
        </is>
      </c>
      <c r="X561" t="inlineStr">
        <is>
          <t>2003-08-19</t>
        </is>
      </c>
      <c r="Y561" t="n">
        <v>235</v>
      </c>
      <c r="Z561" t="n">
        <v>37</v>
      </c>
      <c r="AA561" t="n">
        <v>234</v>
      </c>
      <c r="AB561" t="n">
        <v>2</v>
      </c>
      <c r="AC561" t="n">
        <v>2</v>
      </c>
      <c r="AD561" t="n">
        <v>3</v>
      </c>
      <c r="AE561" t="n">
        <v>13</v>
      </c>
      <c r="AF561" t="n">
        <v>0</v>
      </c>
      <c r="AG561" t="n">
        <v>5</v>
      </c>
      <c r="AH561" t="n">
        <v>0</v>
      </c>
      <c r="AI561" t="n">
        <v>3</v>
      </c>
      <c r="AJ561" t="n">
        <v>2</v>
      </c>
      <c r="AK561" t="n">
        <v>8</v>
      </c>
      <c r="AL561" t="n">
        <v>1</v>
      </c>
      <c r="AM561" t="n">
        <v>1</v>
      </c>
      <c r="AN561" t="n">
        <v>0</v>
      </c>
      <c r="AO561" t="n">
        <v>1</v>
      </c>
      <c r="AP561" t="inlineStr">
        <is>
          <t>No</t>
        </is>
      </c>
      <c r="AQ561" t="inlineStr">
        <is>
          <t>Yes</t>
        </is>
      </c>
      <c r="AR561">
        <f>HYPERLINK("http://catalog.hathitrust.org/Record/002631009","HathiTrust Record")</f>
        <v/>
      </c>
      <c r="AS561">
        <f>HYPERLINK("https://creighton-primo.hosted.exlibrisgroup.com/primo-explore/search?tab=default_tab&amp;search_scope=EVERYTHING&amp;vid=01CRU&amp;lang=en_US&amp;offset=0&amp;query=any,contains,991004075829702656","Catalog Record")</f>
        <v/>
      </c>
      <c r="AT561">
        <f>HYPERLINK("http://www.worldcat.org/oclc/28505669","WorldCat Record")</f>
        <v/>
      </c>
      <c r="AU561" t="inlineStr">
        <is>
          <t>792909932:eng</t>
        </is>
      </c>
      <c r="AV561" t="inlineStr">
        <is>
          <t>28505669</t>
        </is>
      </c>
      <c r="AW561" t="inlineStr">
        <is>
          <t>991004075829702656</t>
        </is>
      </c>
      <c r="AX561" t="inlineStr">
        <is>
          <t>991004075829702656</t>
        </is>
      </c>
      <c r="AY561" t="inlineStr">
        <is>
          <t>2271671050002656</t>
        </is>
      </c>
      <c r="AZ561" t="inlineStr">
        <is>
          <t>BOOK</t>
        </is>
      </c>
      <c r="BB561" t="inlineStr">
        <is>
          <t>9780333541968</t>
        </is>
      </c>
      <c r="BC561" t="inlineStr">
        <is>
          <t>32285004759840</t>
        </is>
      </c>
      <c r="BD561" t="inlineStr">
        <is>
          <t>893699809</t>
        </is>
      </c>
    </row>
    <row r="562">
      <c r="A562" t="inlineStr">
        <is>
          <t>No</t>
        </is>
      </c>
      <c r="B562" t="inlineStr">
        <is>
          <t>HQ1190 .J64 1994</t>
        </is>
      </c>
      <c r="C562" t="inlineStr">
        <is>
          <t>0                      HQ 1190000J  64          1994</t>
        </is>
      </c>
      <c r="D562" t="inlineStr">
        <is>
          <t>Feminism as radical humanism / Pauline Johnson.</t>
        </is>
      </c>
      <c r="F562" t="inlineStr">
        <is>
          <t>No</t>
        </is>
      </c>
      <c r="G562" t="inlineStr">
        <is>
          <t>1</t>
        </is>
      </c>
      <c r="H562" t="inlineStr">
        <is>
          <t>No</t>
        </is>
      </c>
      <c r="I562" t="inlineStr">
        <is>
          <t>No</t>
        </is>
      </c>
      <c r="J562" t="inlineStr">
        <is>
          <t>0</t>
        </is>
      </c>
      <c r="K562" t="inlineStr">
        <is>
          <t>Johnson, Pauline, 1953-</t>
        </is>
      </c>
      <c r="L562" t="inlineStr">
        <is>
          <t>Boulder, Colo. : Westview Press, 1994.</t>
        </is>
      </c>
      <c r="M562" t="inlineStr">
        <is>
          <t>1994</t>
        </is>
      </c>
      <c r="O562" t="inlineStr">
        <is>
          <t>eng</t>
        </is>
      </c>
      <c r="P562" t="inlineStr">
        <is>
          <t>cou</t>
        </is>
      </c>
      <c r="R562" t="inlineStr">
        <is>
          <t xml:space="preserve">HQ </t>
        </is>
      </c>
      <c r="S562" t="n">
        <v>5</v>
      </c>
      <c r="T562" t="n">
        <v>5</v>
      </c>
      <c r="U562" t="inlineStr">
        <is>
          <t>2007-04-26</t>
        </is>
      </c>
      <c r="V562" t="inlineStr">
        <is>
          <t>2007-04-26</t>
        </is>
      </c>
      <c r="W562" t="inlineStr">
        <is>
          <t>1994-11-28</t>
        </is>
      </c>
      <c r="X562" t="inlineStr">
        <is>
          <t>1994-11-28</t>
        </is>
      </c>
      <c r="Y562" t="n">
        <v>345</v>
      </c>
      <c r="Z562" t="n">
        <v>291</v>
      </c>
      <c r="AA562" t="n">
        <v>312</v>
      </c>
      <c r="AB562" t="n">
        <v>5</v>
      </c>
      <c r="AC562" t="n">
        <v>5</v>
      </c>
      <c r="AD562" t="n">
        <v>18</v>
      </c>
      <c r="AE562" t="n">
        <v>18</v>
      </c>
      <c r="AF562" t="n">
        <v>3</v>
      </c>
      <c r="AG562" t="n">
        <v>3</v>
      </c>
      <c r="AH562" t="n">
        <v>5</v>
      </c>
      <c r="AI562" t="n">
        <v>5</v>
      </c>
      <c r="AJ562" t="n">
        <v>9</v>
      </c>
      <c r="AK562" t="n">
        <v>9</v>
      </c>
      <c r="AL562" t="n">
        <v>4</v>
      </c>
      <c r="AM562" t="n">
        <v>4</v>
      </c>
      <c r="AN562" t="n">
        <v>1</v>
      </c>
      <c r="AO562" t="n">
        <v>1</v>
      </c>
      <c r="AP562" t="inlineStr">
        <is>
          <t>No</t>
        </is>
      </c>
      <c r="AQ562" t="inlineStr">
        <is>
          <t>Yes</t>
        </is>
      </c>
      <c r="AR562">
        <f>HYPERLINK("http://catalog.hathitrust.org/Record/002972833","HathiTrust Record")</f>
        <v/>
      </c>
      <c r="AS562">
        <f>HYPERLINK("https://creighton-primo.hosted.exlibrisgroup.com/primo-explore/search?tab=default_tab&amp;search_scope=EVERYTHING&amp;vid=01CRU&amp;lang=en_US&amp;offset=0&amp;query=any,contains,991002329139702656","Catalog Record")</f>
        <v/>
      </c>
      <c r="AT562">
        <f>HYPERLINK("http://www.worldcat.org/oclc/30319279","WorldCat Record")</f>
        <v/>
      </c>
      <c r="AU562" t="inlineStr">
        <is>
          <t>32274717:eng</t>
        </is>
      </c>
      <c r="AV562" t="inlineStr">
        <is>
          <t>30319279</t>
        </is>
      </c>
      <c r="AW562" t="inlineStr">
        <is>
          <t>991002329139702656</t>
        </is>
      </c>
      <c r="AX562" t="inlineStr">
        <is>
          <t>991002329139702656</t>
        </is>
      </c>
      <c r="AY562" t="inlineStr">
        <is>
          <t>2267953200002656</t>
        </is>
      </c>
      <c r="AZ562" t="inlineStr">
        <is>
          <t>BOOK</t>
        </is>
      </c>
      <c r="BB562" t="inlineStr">
        <is>
          <t>9780813323572</t>
        </is>
      </c>
      <c r="BC562" t="inlineStr">
        <is>
          <t>32285001959823</t>
        </is>
      </c>
      <c r="BD562" t="inlineStr">
        <is>
          <t>893716317</t>
        </is>
      </c>
    </row>
    <row r="563">
      <c r="A563" t="inlineStr">
        <is>
          <t>No</t>
        </is>
      </c>
      <c r="B563" t="inlineStr">
        <is>
          <t>HQ1190 .L44 1997</t>
        </is>
      </c>
      <c r="C563" t="inlineStr">
        <is>
          <t>0                      HQ 1190000L  44          1997</t>
        </is>
      </c>
      <c r="D563" t="inlineStr">
        <is>
          <t>The lipstick proviso : women, sex &amp; power in the real world / Karen Lehrman.</t>
        </is>
      </c>
      <c r="F563" t="inlineStr">
        <is>
          <t>No</t>
        </is>
      </c>
      <c r="G563" t="inlineStr">
        <is>
          <t>1</t>
        </is>
      </c>
      <c r="H563" t="inlineStr">
        <is>
          <t>No</t>
        </is>
      </c>
      <c r="I563" t="inlineStr">
        <is>
          <t>No</t>
        </is>
      </c>
      <c r="J563" t="inlineStr">
        <is>
          <t>0</t>
        </is>
      </c>
      <c r="K563" t="inlineStr">
        <is>
          <t>Lehrman, Karen.</t>
        </is>
      </c>
      <c r="L563" t="inlineStr">
        <is>
          <t>New York : Doubleday, 1997.</t>
        </is>
      </c>
      <c r="M563" t="inlineStr">
        <is>
          <t>1997</t>
        </is>
      </c>
      <c r="N563" t="inlineStr">
        <is>
          <t>1st Anchor Books ed.</t>
        </is>
      </c>
      <c r="O563" t="inlineStr">
        <is>
          <t>eng</t>
        </is>
      </c>
      <c r="P563" t="inlineStr">
        <is>
          <t>nyu</t>
        </is>
      </c>
      <c r="R563" t="inlineStr">
        <is>
          <t xml:space="preserve">HQ </t>
        </is>
      </c>
      <c r="S563" t="n">
        <v>0</v>
      </c>
      <c r="T563" t="n">
        <v>0</v>
      </c>
      <c r="U563" t="inlineStr">
        <is>
          <t>2002-08-15</t>
        </is>
      </c>
      <c r="V563" t="inlineStr">
        <is>
          <t>2002-08-15</t>
        </is>
      </c>
      <c r="W563" t="inlineStr">
        <is>
          <t>1997-07-02</t>
        </is>
      </c>
      <c r="X563" t="inlineStr">
        <is>
          <t>1997-07-02</t>
        </is>
      </c>
      <c r="Y563" t="n">
        <v>423</v>
      </c>
      <c r="Z563" t="n">
        <v>386</v>
      </c>
      <c r="AA563" t="n">
        <v>393</v>
      </c>
      <c r="AB563" t="n">
        <v>3</v>
      </c>
      <c r="AC563" t="n">
        <v>3</v>
      </c>
      <c r="AD563" t="n">
        <v>17</v>
      </c>
      <c r="AE563" t="n">
        <v>17</v>
      </c>
      <c r="AF563" t="n">
        <v>5</v>
      </c>
      <c r="AG563" t="n">
        <v>5</v>
      </c>
      <c r="AH563" t="n">
        <v>4</v>
      </c>
      <c r="AI563" t="n">
        <v>4</v>
      </c>
      <c r="AJ563" t="n">
        <v>9</v>
      </c>
      <c r="AK563" t="n">
        <v>9</v>
      </c>
      <c r="AL563" t="n">
        <v>2</v>
      </c>
      <c r="AM563" t="n">
        <v>2</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HYPERLINK("https://creighton-primo.hosted.exlibrisgroup.com/primo-explore/search?tab=default_tab&amp;search_scope=EVERYTHING&amp;vid=01CRU&amp;lang=en_US&amp;offset=0&amp;query=any,contains,991002735159702656","Catalog Record")</f>
        <v/>
      </c>
      <c r="AT563">
        <f>HYPERLINK("http://www.worldcat.org/oclc/35887360","WorldCat Record")</f>
        <v/>
      </c>
      <c r="AU563" t="inlineStr">
        <is>
          <t>45680175:eng</t>
        </is>
      </c>
      <c r="AV563" t="inlineStr">
        <is>
          <t>35887360</t>
        </is>
      </c>
      <c r="AW563" t="inlineStr">
        <is>
          <t>991002735159702656</t>
        </is>
      </c>
      <c r="AX563" t="inlineStr">
        <is>
          <t>991002735159702656</t>
        </is>
      </c>
      <c r="AY563" t="inlineStr">
        <is>
          <t>2266249990002656</t>
        </is>
      </c>
      <c r="AZ563" t="inlineStr">
        <is>
          <t>BOOK</t>
        </is>
      </c>
      <c r="BB563" t="inlineStr">
        <is>
          <t>9780385474818</t>
        </is>
      </c>
      <c r="BC563" t="inlineStr">
        <is>
          <t>32285002880291</t>
        </is>
      </c>
      <c r="BD563" t="inlineStr">
        <is>
          <t>893622646</t>
        </is>
      </c>
    </row>
    <row r="564">
      <c r="A564" t="inlineStr">
        <is>
          <t>No</t>
        </is>
      </c>
      <c r="B564" t="inlineStr">
        <is>
          <t>HQ1190 .L58 1994</t>
        </is>
      </c>
      <c r="C564" t="inlineStr">
        <is>
          <t>0                      HQ 1190000L  58          1994</t>
        </is>
      </c>
      <c r="D564" t="inlineStr">
        <is>
          <t>Living with contradictions : controversies in feminist social ethics / edited by Alison M. Jaggar.</t>
        </is>
      </c>
      <c r="F564" t="inlineStr">
        <is>
          <t>No</t>
        </is>
      </c>
      <c r="G564" t="inlineStr">
        <is>
          <t>1</t>
        </is>
      </c>
      <c r="H564" t="inlineStr">
        <is>
          <t>No</t>
        </is>
      </c>
      <c r="I564" t="inlineStr">
        <is>
          <t>No</t>
        </is>
      </c>
      <c r="J564" t="inlineStr">
        <is>
          <t>0</t>
        </is>
      </c>
      <c r="L564" t="inlineStr">
        <is>
          <t>Boulder : Westview Press, 1994.</t>
        </is>
      </c>
      <c r="M564" t="inlineStr">
        <is>
          <t>1994</t>
        </is>
      </c>
      <c r="O564" t="inlineStr">
        <is>
          <t>eng</t>
        </is>
      </c>
      <c r="P564" t="inlineStr">
        <is>
          <t>cou</t>
        </is>
      </c>
      <c r="R564" t="inlineStr">
        <is>
          <t xml:space="preserve">HQ </t>
        </is>
      </c>
      <c r="S564" t="n">
        <v>11</v>
      </c>
      <c r="T564" t="n">
        <v>11</v>
      </c>
      <c r="U564" t="inlineStr">
        <is>
          <t>2008-09-26</t>
        </is>
      </c>
      <c r="V564" t="inlineStr">
        <is>
          <t>2008-09-26</t>
        </is>
      </c>
      <c r="W564" t="inlineStr">
        <is>
          <t>1994-06-27</t>
        </is>
      </c>
      <c r="X564" t="inlineStr">
        <is>
          <t>1994-06-27</t>
        </is>
      </c>
      <c r="Y564" t="n">
        <v>516</v>
      </c>
      <c r="Z564" t="n">
        <v>374</v>
      </c>
      <c r="AA564" t="n">
        <v>402</v>
      </c>
      <c r="AB564" t="n">
        <v>4</v>
      </c>
      <c r="AC564" t="n">
        <v>4</v>
      </c>
      <c r="AD564" t="n">
        <v>25</v>
      </c>
      <c r="AE564" t="n">
        <v>27</v>
      </c>
      <c r="AF564" t="n">
        <v>11</v>
      </c>
      <c r="AG564" t="n">
        <v>12</v>
      </c>
      <c r="AH564" t="n">
        <v>6</v>
      </c>
      <c r="AI564" t="n">
        <v>7</v>
      </c>
      <c r="AJ564" t="n">
        <v>16</v>
      </c>
      <c r="AK564" t="n">
        <v>16</v>
      </c>
      <c r="AL564" t="n">
        <v>3</v>
      </c>
      <c r="AM564" t="n">
        <v>3</v>
      </c>
      <c r="AN564" t="n">
        <v>0</v>
      </c>
      <c r="AO564" t="n">
        <v>0</v>
      </c>
      <c r="AP564" t="inlineStr">
        <is>
          <t>No</t>
        </is>
      </c>
      <c r="AQ564" t="inlineStr">
        <is>
          <t>Yes</t>
        </is>
      </c>
      <c r="AR564">
        <f>HYPERLINK("http://catalog.hathitrust.org/Record/002856000","HathiTrust Record")</f>
        <v/>
      </c>
      <c r="AS564">
        <f>HYPERLINK("https://creighton-primo.hosted.exlibrisgroup.com/primo-explore/search?tab=default_tab&amp;search_scope=EVERYTHING&amp;vid=01CRU&amp;lang=en_US&amp;offset=0&amp;query=any,contains,991002218719702656","Catalog Record")</f>
        <v/>
      </c>
      <c r="AT564">
        <f>HYPERLINK("http://www.worldcat.org/oclc/28584335","WorldCat Record")</f>
        <v/>
      </c>
      <c r="AU564" t="inlineStr">
        <is>
          <t>796545754:eng</t>
        </is>
      </c>
      <c r="AV564" t="inlineStr">
        <is>
          <t>28584335</t>
        </is>
      </c>
      <c r="AW564" t="inlineStr">
        <is>
          <t>991002218719702656</t>
        </is>
      </c>
      <c r="AX564" t="inlineStr">
        <is>
          <t>991002218719702656</t>
        </is>
      </c>
      <c r="AY564" t="inlineStr">
        <is>
          <t>2261969940002656</t>
        </is>
      </c>
      <c r="AZ564" t="inlineStr">
        <is>
          <t>BOOK</t>
        </is>
      </c>
      <c r="BB564" t="inlineStr">
        <is>
          <t>9780813317755</t>
        </is>
      </c>
      <c r="BC564" t="inlineStr">
        <is>
          <t>32285001924249</t>
        </is>
      </c>
      <c r="BD564" t="inlineStr">
        <is>
          <t>893809361</t>
        </is>
      </c>
    </row>
    <row r="565">
      <c r="A565" t="inlineStr">
        <is>
          <t>No</t>
        </is>
      </c>
      <c r="B565" t="inlineStr">
        <is>
          <t>HQ1190 .M35 1994</t>
        </is>
      </c>
      <c r="C565" t="inlineStr">
        <is>
          <t>0                      HQ 1190000M  35          1994</t>
        </is>
      </c>
      <c r="D565" t="inlineStr">
        <is>
          <t>Micro-politics : agency in a postfeminist era / Patricia S. Mann.</t>
        </is>
      </c>
      <c r="F565" t="inlineStr">
        <is>
          <t>No</t>
        </is>
      </c>
      <c r="G565" t="inlineStr">
        <is>
          <t>1</t>
        </is>
      </c>
      <c r="H565" t="inlineStr">
        <is>
          <t>No</t>
        </is>
      </c>
      <c r="I565" t="inlineStr">
        <is>
          <t>No</t>
        </is>
      </c>
      <c r="J565" t="inlineStr">
        <is>
          <t>0</t>
        </is>
      </c>
      <c r="K565" t="inlineStr">
        <is>
          <t>Mann, Patricia S.</t>
        </is>
      </c>
      <c r="L565" t="inlineStr">
        <is>
          <t>Minneapolis : University of Minnesota Press, c1994.</t>
        </is>
      </c>
      <c r="M565" t="inlineStr">
        <is>
          <t>1994</t>
        </is>
      </c>
      <c r="O565" t="inlineStr">
        <is>
          <t>eng</t>
        </is>
      </c>
      <c r="P565" t="inlineStr">
        <is>
          <t>mnu</t>
        </is>
      </c>
      <c r="R565" t="inlineStr">
        <is>
          <t xml:space="preserve">HQ </t>
        </is>
      </c>
      <c r="S565" t="n">
        <v>7</v>
      </c>
      <c r="T565" t="n">
        <v>7</v>
      </c>
      <c r="U565" t="inlineStr">
        <is>
          <t>2004-02-27</t>
        </is>
      </c>
      <c r="V565" t="inlineStr">
        <is>
          <t>2004-02-27</t>
        </is>
      </c>
      <c r="W565" t="inlineStr">
        <is>
          <t>1994-05-06</t>
        </is>
      </c>
      <c r="X565" t="inlineStr">
        <is>
          <t>1994-05-06</t>
        </is>
      </c>
      <c r="Y565" t="n">
        <v>353</v>
      </c>
      <c r="Z565" t="n">
        <v>286</v>
      </c>
      <c r="AA565" t="n">
        <v>737</v>
      </c>
      <c r="AB565" t="n">
        <v>3</v>
      </c>
      <c r="AC565" t="n">
        <v>6</v>
      </c>
      <c r="AD565" t="n">
        <v>18</v>
      </c>
      <c r="AE565" t="n">
        <v>38</v>
      </c>
      <c r="AF565" t="n">
        <v>3</v>
      </c>
      <c r="AG565" t="n">
        <v>14</v>
      </c>
      <c r="AH565" t="n">
        <v>6</v>
      </c>
      <c r="AI565" t="n">
        <v>10</v>
      </c>
      <c r="AJ565" t="n">
        <v>11</v>
      </c>
      <c r="AK565" t="n">
        <v>16</v>
      </c>
      <c r="AL565" t="n">
        <v>2</v>
      </c>
      <c r="AM565" t="n">
        <v>5</v>
      </c>
      <c r="AN565" t="n">
        <v>1</v>
      </c>
      <c r="AO565" t="n">
        <v>2</v>
      </c>
      <c r="AP565" t="inlineStr">
        <is>
          <t>No</t>
        </is>
      </c>
      <c r="AQ565" t="inlineStr">
        <is>
          <t>No</t>
        </is>
      </c>
      <c r="AS565">
        <f>HYPERLINK("https://creighton-primo.hosted.exlibrisgroup.com/primo-explore/search?tab=default_tab&amp;search_scope=EVERYTHING&amp;vid=01CRU&amp;lang=en_US&amp;offset=0&amp;query=any,contains,991002221919702656","Catalog Record")</f>
        <v/>
      </c>
      <c r="AT565">
        <f>HYPERLINK("http://www.worldcat.org/oclc/28631225","WorldCat Record")</f>
        <v/>
      </c>
      <c r="AU565" t="inlineStr">
        <is>
          <t>794048597:eng</t>
        </is>
      </c>
      <c r="AV565" t="inlineStr">
        <is>
          <t>28631225</t>
        </is>
      </c>
      <c r="AW565" t="inlineStr">
        <is>
          <t>991002221919702656</t>
        </is>
      </c>
      <c r="AX565" t="inlineStr">
        <is>
          <t>991002221919702656</t>
        </is>
      </c>
      <c r="AY565" t="inlineStr">
        <is>
          <t>2268913530002656</t>
        </is>
      </c>
      <c r="AZ565" t="inlineStr">
        <is>
          <t>BOOK</t>
        </is>
      </c>
      <c r="BB565" t="inlineStr">
        <is>
          <t>9780816620487</t>
        </is>
      </c>
      <c r="BC565" t="inlineStr">
        <is>
          <t>32285001878320</t>
        </is>
      </c>
      <c r="BD565" t="inlineStr">
        <is>
          <t>893691346</t>
        </is>
      </c>
    </row>
    <row r="566">
      <c r="A566" t="inlineStr">
        <is>
          <t>No</t>
        </is>
      </c>
      <c r="B566" t="inlineStr">
        <is>
          <t>HQ1190 .M64 2005</t>
        </is>
      </c>
      <c r="C566" t="inlineStr">
        <is>
          <t>0                      HQ 1190000M  64          2005</t>
        </is>
      </c>
      <c r="D566" t="inlineStr">
        <is>
          <t>Sex, gender, and the body : the student edition of What is a woman? /cToril Moi.</t>
        </is>
      </c>
      <c r="F566" t="inlineStr">
        <is>
          <t>No</t>
        </is>
      </c>
      <c r="G566" t="inlineStr">
        <is>
          <t>1</t>
        </is>
      </c>
      <c r="H566" t="inlineStr">
        <is>
          <t>No</t>
        </is>
      </c>
      <c r="I566" t="inlineStr">
        <is>
          <t>No</t>
        </is>
      </c>
      <c r="J566" t="inlineStr">
        <is>
          <t>0</t>
        </is>
      </c>
      <c r="K566" t="inlineStr">
        <is>
          <t>Moi, Toril.</t>
        </is>
      </c>
      <c r="L566" t="inlineStr">
        <is>
          <t>Oxford : Oxford University Press, 2005.</t>
        </is>
      </c>
      <c r="M566" t="inlineStr">
        <is>
          <t>2005</t>
        </is>
      </c>
      <c r="O566" t="inlineStr">
        <is>
          <t>eng</t>
        </is>
      </c>
      <c r="P566" t="inlineStr">
        <is>
          <t>enk</t>
        </is>
      </c>
      <c r="R566" t="inlineStr">
        <is>
          <t xml:space="preserve">HQ </t>
        </is>
      </c>
      <c r="S566" t="n">
        <v>3</v>
      </c>
      <c r="T566" t="n">
        <v>3</v>
      </c>
      <c r="U566" t="inlineStr">
        <is>
          <t>2006-03-12</t>
        </is>
      </c>
      <c r="V566" t="inlineStr">
        <is>
          <t>2006-03-12</t>
        </is>
      </c>
      <c r="W566" t="inlineStr">
        <is>
          <t>2005-03-15</t>
        </is>
      </c>
      <c r="X566" t="inlineStr">
        <is>
          <t>2005-03-15</t>
        </is>
      </c>
      <c r="Y566" t="n">
        <v>166</v>
      </c>
      <c r="Z566" t="n">
        <v>114</v>
      </c>
      <c r="AA566" t="n">
        <v>117</v>
      </c>
      <c r="AB566" t="n">
        <v>2</v>
      </c>
      <c r="AC566" t="n">
        <v>2</v>
      </c>
      <c r="AD566" t="n">
        <v>10</v>
      </c>
      <c r="AE566" t="n">
        <v>10</v>
      </c>
      <c r="AF566" t="n">
        <v>3</v>
      </c>
      <c r="AG566" t="n">
        <v>3</v>
      </c>
      <c r="AH566" t="n">
        <v>3</v>
      </c>
      <c r="AI566" t="n">
        <v>3</v>
      </c>
      <c r="AJ566" t="n">
        <v>4</v>
      </c>
      <c r="AK566" t="n">
        <v>4</v>
      </c>
      <c r="AL566" t="n">
        <v>1</v>
      </c>
      <c r="AM566" t="n">
        <v>1</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HYPERLINK("https://creighton-primo.hosted.exlibrisgroup.com/primo-explore/search?tab=default_tab&amp;search_scope=EVERYTHING&amp;vid=01CRU&amp;lang=en_US&amp;offset=0&amp;query=any,contains,991004474439702656","Catalog Record")</f>
        <v/>
      </c>
      <c r="AT566">
        <f>HYPERLINK("http://www.worldcat.org/oclc/56874662","WorldCat Record")</f>
        <v/>
      </c>
      <c r="AU566" t="inlineStr">
        <is>
          <t>796386587:eng</t>
        </is>
      </c>
      <c r="AV566" t="inlineStr">
        <is>
          <t>56874662</t>
        </is>
      </c>
      <c r="AW566" t="inlineStr">
        <is>
          <t>991004474439702656</t>
        </is>
      </c>
      <c r="AX566" t="inlineStr">
        <is>
          <t>991004474439702656</t>
        </is>
      </c>
      <c r="AY566" t="inlineStr">
        <is>
          <t>2264487520002656</t>
        </is>
      </c>
      <c r="AZ566" t="inlineStr">
        <is>
          <t>BOOK</t>
        </is>
      </c>
      <c r="BB566" t="inlineStr">
        <is>
          <t>9780199276226</t>
        </is>
      </c>
      <c r="BC566" t="inlineStr">
        <is>
          <t>32285005040745</t>
        </is>
      </c>
      <c r="BD566" t="inlineStr">
        <is>
          <t>893618709</t>
        </is>
      </c>
    </row>
    <row r="567">
      <c r="A567" t="inlineStr">
        <is>
          <t>No</t>
        </is>
      </c>
      <c r="B567" t="inlineStr">
        <is>
          <t>HQ1190 .O58 1998</t>
        </is>
      </c>
      <c r="C567" t="inlineStr">
        <is>
          <t>0                      HQ 1190000O  58          1998</t>
        </is>
      </c>
      <c r="D567" t="inlineStr">
        <is>
          <t>Subjectivity without subjects : from abject fathers to desiring mothers / Kelly Oliver.</t>
        </is>
      </c>
      <c r="F567" t="inlineStr">
        <is>
          <t>No</t>
        </is>
      </c>
      <c r="G567" t="inlineStr">
        <is>
          <t>1</t>
        </is>
      </c>
      <c r="H567" t="inlineStr">
        <is>
          <t>No</t>
        </is>
      </c>
      <c r="I567" t="inlineStr">
        <is>
          <t>No</t>
        </is>
      </c>
      <c r="J567" t="inlineStr">
        <is>
          <t>0</t>
        </is>
      </c>
      <c r="K567" t="inlineStr">
        <is>
          <t>Oliver, Kelly, 1958-</t>
        </is>
      </c>
      <c r="L567" t="inlineStr">
        <is>
          <t>Lanham, MD : Rowman &amp; Littlefield, c1998.</t>
        </is>
      </c>
      <c r="M567" t="inlineStr">
        <is>
          <t>1998</t>
        </is>
      </c>
      <c r="O567" t="inlineStr">
        <is>
          <t>eng</t>
        </is>
      </c>
      <c r="P567" t="inlineStr">
        <is>
          <t>mdu</t>
        </is>
      </c>
      <c r="R567" t="inlineStr">
        <is>
          <t xml:space="preserve">HQ </t>
        </is>
      </c>
      <c r="S567" t="n">
        <v>4</v>
      </c>
      <c r="T567" t="n">
        <v>4</v>
      </c>
      <c r="U567" t="inlineStr">
        <is>
          <t>2003-07-14</t>
        </is>
      </c>
      <c r="V567" t="inlineStr">
        <is>
          <t>2003-07-14</t>
        </is>
      </c>
      <c r="W567" t="inlineStr">
        <is>
          <t>1999-11-04</t>
        </is>
      </c>
      <c r="X567" t="inlineStr">
        <is>
          <t>1999-11-04</t>
        </is>
      </c>
      <c r="Y567" t="n">
        <v>288</v>
      </c>
      <c r="Z567" t="n">
        <v>238</v>
      </c>
      <c r="AA567" t="n">
        <v>252</v>
      </c>
      <c r="AB567" t="n">
        <v>3</v>
      </c>
      <c r="AC567" t="n">
        <v>3</v>
      </c>
      <c r="AD567" t="n">
        <v>16</v>
      </c>
      <c r="AE567" t="n">
        <v>17</v>
      </c>
      <c r="AF567" t="n">
        <v>6</v>
      </c>
      <c r="AG567" t="n">
        <v>7</v>
      </c>
      <c r="AH567" t="n">
        <v>3</v>
      </c>
      <c r="AI567" t="n">
        <v>4</v>
      </c>
      <c r="AJ567" t="n">
        <v>8</v>
      </c>
      <c r="AK567" t="n">
        <v>8</v>
      </c>
      <c r="AL567" t="n">
        <v>2</v>
      </c>
      <c r="AM567" t="n">
        <v>2</v>
      </c>
      <c r="AN567" t="n">
        <v>0</v>
      </c>
      <c r="AO567" t="n">
        <v>0</v>
      </c>
      <c r="AP567" t="inlineStr">
        <is>
          <t>No</t>
        </is>
      </c>
      <c r="AQ567" t="inlineStr">
        <is>
          <t>Yes</t>
        </is>
      </c>
      <c r="AR567">
        <f>HYPERLINK("http://catalog.hathitrust.org/Record/004032572","HathiTrust Record")</f>
        <v/>
      </c>
      <c r="AS567">
        <f>HYPERLINK("https://creighton-primo.hosted.exlibrisgroup.com/primo-explore/search?tab=default_tab&amp;search_scope=EVERYTHING&amp;vid=01CRU&amp;lang=en_US&amp;offset=0&amp;query=any,contains,991002956549702656","Catalog Record")</f>
        <v/>
      </c>
      <c r="AT567">
        <f>HYPERLINK("http://www.worldcat.org/oclc/39465056","WorldCat Record")</f>
        <v/>
      </c>
      <c r="AU567" t="inlineStr">
        <is>
          <t>1102907678:eng</t>
        </is>
      </c>
      <c r="AV567" t="inlineStr">
        <is>
          <t>39465056</t>
        </is>
      </c>
      <c r="AW567" t="inlineStr">
        <is>
          <t>991002956549702656</t>
        </is>
      </c>
      <c r="AX567" t="inlineStr">
        <is>
          <t>991002956549702656</t>
        </is>
      </c>
      <c r="AY567" t="inlineStr">
        <is>
          <t>2267451920002656</t>
        </is>
      </c>
      <c r="AZ567" t="inlineStr">
        <is>
          <t>BOOK</t>
        </is>
      </c>
      <c r="BB567" t="inlineStr">
        <is>
          <t>9780847692521</t>
        </is>
      </c>
      <c r="BC567" t="inlineStr">
        <is>
          <t>32285003618294</t>
        </is>
      </c>
      <c r="BD567" t="inlineStr">
        <is>
          <t>893348156</t>
        </is>
      </c>
    </row>
    <row r="568">
      <c r="A568" t="inlineStr">
        <is>
          <t>No</t>
        </is>
      </c>
      <c r="B568" t="inlineStr">
        <is>
          <t>HQ1190 .P43 1996</t>
        </is>
      </c>
      <c r="C568" t="inlineStr">
        <is>
          <t>0                      HQ 1190000P  43          1996</t>
        </is>
      </c>
      <c r="D568" t="inlineStr">
        <is>
          <t>Worlding women : a feminist international politics / Jan Jindy Pettman.</t>
        </is>
      </c>
      <c r="F568" t="inlineStr">
        <is>
          <t>No</t>
        </is>
      </c>
      <c r="G568" t="inlineStr">
        <is>
          <t>1</t>
        </is>
      </c>
      <c r="H568" t="inlineStr">
        <is>
          <t>No</t>
        </is>
      </c>
      <c r="I568" t="inlineStr">
        <is>
          <t>No</t>
        </is>
      </c>
      <c r="J568" t="inlineStr">
        <is>
          <t>0</t>
        </is>
      </c>
      <c r="K568" t="inlineStr">
        <is>
          <t>Pettman, Jan, 1944-</t>
        </is>
      </c>
      <c r="L568" t="inlineStr">
        <is>
          <t>London ; New York : Routledge, 1996.</t>
        </is>
      </c>
      <c r="M568" t="inlineStr">
        <is>
          <t>1996</t>
        </is>
      </c>
      <c r="O568" t="inlineStr">
        <is>
          <t>eng</t>
        </is>
      </c>
      <c r="P568" t="inlineStr">
        <is>
          <t>enk</t>
        </is>
      </c>
      <c r="R568" t="inlineStr">
        <is>
          <t xml:space="preserve">HQ </t>
        </is>
      </c>
      <c r="S568" t="n">
        <v>4</v>
      </c>
      <c r="T568" t="n">
        <v>4</v>
      </c>
      <c r="U568" t="inlineStr">
        <is>
          <t>2004-07-27</t>
        </is>
      </c>
      <c r="V568" t="inlineStr">
        <is>
          <t>2004-07-27</t>
        </is>
      </c>
      <c r="W568" t="inlineStr">
        <is>
          <t>1997-05-27</t>
        </is>
      </c>
      <c r="X568" t="inlineStr">
        <is>
          <t>1997-05-27</t>
        </is>
      </c>
      <c r="Y568" t="n">
        <v>397</v>
      </c>
      <c r="Z568" t="n">
        <v>250</v>
      </c>
      <c r="AA568" t="n">
        <v>298</v>
      </c>
      <c r="AB568" t="n">
        <v>4</v>
      </c>
      <c r="AC568" t="n">
        <v>4</v>
      </c>
      <c r="AD568" t="n">
        <v>15</v>
      </c>
      <c r="AE568" t="n">
        <v>16</v>
      </c>
      <c r="AF568" t="n">
        <v>3</v>
      </c>
      <c r="AG568" t="n">
        <v>4</v>
      </c>
      <c r="AH568" t="n">
        <v>4</v>
      </c>
      <c r="AI568" t="n">
        <v>4</v>
      </c>
      <c r="AJ568" t="n">
        <v>7</v>
      </c>
      <c r="AK568" t="n">
        <v>7</v>
      </c>
      <c r="AL568" t="n">
        <v>3</v>
      </c>
      <c r="AM568" t="n">
        <v>3</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HYPERLINK("https://creighton-primo.hosted.exlibrisgroup.com/primo-explore/search?tab=default_tab&amp;search_scope=EVERYTHING&amp;vid=01CRU&amp;lang=en_US&amp;offset=0&amp;query=any,contains,991002730809702656","Catalog Record")</f>
        <v/>
      </c>
      <c r="AT568">
        <f>HYPERLINK("http://www.worldcat.org/oclc/35820868","WorldCat Record")</f>
        <v/>
      </c>
      <c r="AU568" t="inlineStr">
        <is>
          <t>801445862:eng</t>
        </is>
      </c>
      <c r="AV568" t="inlineStr">
        <is>
          <t>35820868</t>
        </is>
      </c>
      <c r="AW568" t="inlineStr">
        <is>
          <t>991002730809702656</t>
        </is>
      </c>
      <c r="AX568" t="inlineStr">
        <is>
          <t>991002730809702656</t>
        </is>
      </c>
      <c r="AY568" t="inlineStr">
        <is>
          <t>2263929670002656</t>
        </is>
      </c>
      <c r="AZ568" t="inlineStr">
        <is>
          <t>BOOK</t>
        </is>
      </c>
      <c r="BB568" t="inlineStr">
        <is>
          <t>9780415152013</t>
        </is>
      </c>
      <c r="BC568" t="inlineStr">
        <is>
          <t>32285002611365</t>
        </is>
      </c>
      <c r="BD568" t="inlineStr">
        <is>
          <t>893710610</t>
        </is>
      </c>
    </row>
    <row r="569">
      <c r="A569" t="inlineStr">
        <is>
          <t>No</t>
        </is>
      </c>
      <c r="B569" t="inlineStr">
        <is>
          <t>HQ1190 .R44 1997</t>
        </is>
      </c>
      <c r="C569" t="inlineStr">
        <is>
          <t>0                      HQ 1190000R  44          1997</t>
        </is>
      </c>
      <c r="D569" t="inlineStr">
        <is>
          <t>Reconstructing political theory : feminist perspectives / edited by Mary Lyndon Shanley and Uma Narayan.</t>
        </is>
      </c>
      <c r="F569" t="inlineStr">
        <is>
          <t>No</t>
        </is>
      </c>
      <c r="G569" t="inlineStr">
        <is>
          <t>1</t>
        </is>
      </c>
      <c r="H569" t="inlineStr">
        <is>
          <t>No</t>
        </is>
      </c>
      <c r="I569" t="inlineStr">
        <is>
          <t>No</t>
        </is>
      </c>
      <c r="J569" t="inlineStr">
        <is>
          <t>0</t>
        </is>
      </c>
      <c r="L569" t="inlineStr">
        <is>
          <t>University Park, PA : Pennsylvania State University Press, 1997.</t>
        </is>
      </c>
      <c r="M569" t="inlineStr">
        <is>
          <t>1997</t>
        </is>
      </c>
      <c r="O569" t="inlineStr">
        <is>
          <t>eng</t>
        </is>
      </c>
      <c r="P569" t="inlineStr">
        <is>
          <t>pau</t>
        </is>
      </c>
      <c r="R569" t="inlineStr">
        <is>
          <t xml:space="preserve">HQ </t>
        </is>
      </c>
      <c r="S569" t="n">
        <v>3</v>
      </c>
      <c r="T569" t="n">
        <v>3</v>
      </c>
      <c r="U569" t="inlineStr">
        <is>
          <t>2004-03-30</t>
        </is>
      </c>
      <c r="V569" t="inlineStr">
        <is>
          <t>2004-03-30</t>
        </is>
      </c>
      <c r="W569" t="inlineStr">
        <is>
          <t>1998-11-11</t>
        </is>
      </c>
      <c r="X569" t="inlineStr">
        <is>
          <t>1998-11-11</t>
        </is>
      </c>
      <c r="Y569" t="n">
        <v>409</v>
      </c>
      <c r="Z569" t="n">
        <v>333</v>
      </c>
      <c r="AA569" t="n">
        <v>350</v>
      </c>
      <c r="AB569" t="n">
        <v>4</v>
      </c>
      <c r="AC569" t="n">
        <v>4</v>
      </c>
      <c r="AD569" t="n">
        <v>25</v>
      </c>
      <c r="AE569" t="n">
        <v>26</v>
      </c>
      <c r="AF569" t="n">
        <v>9</v>
      </c>
      <c r="AG569" t="n">
        <v>9</v>
      </c>
      <c r="AH569" t="n">
        <v>6</v>
      </c>
      <c r="AI569" t="n">
        <v>7</v>
      </c>
      <c r="AJ569" t="n">
        <v>13</v>
      </c>
      <c r="AK569" t="n">
        <v>14</v>
      </c>
      <c r="AL569" t="n">
        <v>3</v>
      </c>
      <c r="AM569" t="n">
        <v>3</v>
      </c>
      <c r="AN569" t="n">
        <v>0</v>
      </c>
      <c r="AO569" t="n">
        <v>0</v>
      </c>
      <c r="AP569" t="inlineStr">
        <is>
          <t>No</t>
        </is>
      </c>
      <c r="AQ569" t="inlineStr">
        <is>
          <t>Yes</t>
        </is>
      </c>
      <c r="AR569">
        <f>HYPERLINK("http://catalog.hathitrust.org/Record/003174572","HathiTrust Record")</f>
        <v/>
      </c>
      <c r="AS569">
        <f>HYPERLINK("https://creighton-primo.hosted.exlibrisgroup.com/primo-explore/search?tab=default_tab&amp;search_scope=EVERYTHING&amp;vid=01CRU&amp;lang=en_US&amp;offset=0&amp;query=any,contains,991002774939702656","Catalog Record")</f>
        <v/>
      </c>
      <c r="AT569">
        <f>HYPERLINK("http://www.worldcat.org/oclc/36438847","WorldCat Record")</f>
        <v/>
      </c>
      <c r="AU569" t="inlineStr">
        <is>
          <t>355436456:eng</t>
        </is>
      </c>
      <c r="AV569" t="inlineStr">
        <is>
          <t>36438847</t>
        </is>
      </c>
      <c r="AW569" t="inlineStr">
        <is>
          <t>991002774939702656</t>
        </is>
      </c>
      <c r="AX569" t="inlineStr">
        <is>
          <t>991002774939702656</t>
        </is>
      </c>
      <c r="AY569" t="inlineStr">
        <is>
          <t>2272023400002656</t>
        </is>
      </c>
      <c r="AZ569" t="inlineStr">
        <is>
          <t>BOOK</t>
        </is>
      </c>
      <c r="BB569" t="inlineStr">
        <is>
          <t>9780271017242</t>
        </is>
      </c>
      <c r="BC569" t="inlineStr">
        <is>
          <t>32285003488185</t>
        </is>
      </c>
      <c r="BD569" t="inlineStr">
        <is>
          <t>893774007</t>
        </is>
      </c>
    </row>
    <row r="570">
      <c r="A570" t="inlineStr">
        <is>
          <t>No</t>
        </is>
      </c>
      <c r="B570" t="inlineStr">
        <is>
          <t>HQ1190 .R485 1996</t>
        </is>
      </c>
      <c r="C570" t="inlineStr">
        <is>
          <t>0                      HQ 1190000R  485         1996</t>
        </is>
      </c>
      <c r="D570" t="inlineStr">
        <is>
          <t>Revisioning the political : feminist reconstructions of traditional concepts in western political theory / edited by Nancy J. Hirschmann and Christine Di Stefano.</t>
        </is>
      </c>
      <c r="F570" t="inlineStr">
        <is>
          <t>No</t>
        </is>
      </c>
      <c r="G570" t="inlineStr">
        <is>
          <t>1</t>
        </is>
      </c>
      <c r="H570" t="inlineStr">
        <is>
          <t>No</t>
        </is>
      </c>
      <c r="I570" t="inlineStr">
        <is>
          <t>No</t>
        </is>
      </c>
      <c r="J570" t="inlineStr">
        <is>
          <t>0</t>
        </is>
      </c>
      <c r="L570" t="inlineStr">
        <is>
          <t>Boulder, Colo. : Westview Press, 1996.</t>
        </is>
      </c>
      <c r="M570" t="inlineStr">
        <is>
          <t>1996</t>
        </is>
      </c>
      <c r="O570" t="inlineStr">
        <is>
          <t>eng</t>
        </is>
      </c>
      <c r="P570" t="inlineStr">
        <is>
          <t>cou</t>
        </is>
      </c>
      <c r="Q570" t="inlineStr">
        <is>
          <t>Feminist theory and politics</t>
        </is>
      </c>
      <c r="R570" t="inlineStr">
        <is>
          <t xml:space="preserve">HQ </t>
        </is>
      </c>
      <c r="S570" t="n">
        <v>4</v>
      </c>
      <c r="T570" t="n">
        <v>4</v>
      </c>
      <c r="U570" t="inlineStr">
        <is>
          <t>2007-11-26</t>
        </is>
      </c>
      <c r="V570" t="inlineStr">
        <is>
          <t>2007-11-26</t>
        </is>
      </c>
      <c r="W570" t="inlineStr">
        <is>
          <t>1997-01-14</t>
        </is>
      </c>
      <c r="X570" t="inlineStr">
        <is>
          <t>1997-01-14</t>
        </is>
      </c>
      <c r="Y570" t="n">
        <v>500</v>
      </c>
      <c r="Z570" t="n">
        <v>392</v>
      </c>
      <c r="AA570" t="n">
        <v>407</v>
      </c>
      <c r="AB570" t="n">
        <v>3</v>
      </c>
      <c r="AC570" t="n">
        <v>3</v>
      </c>
      <c r="AD570" t="n">
        <v>26</v>
      </c>
      <c r="AE570" t="n">
        <v>26</v>
      </c>
      <c r="AF570" t="n">
        <v>10</v>
      </c>
      <c r="AG570" t="n">
        <v>10</v>
      </c>
      <c r="AH570" t="n">
        <v>6</v>
      </c>
      <c r="AI570" t="n">
        <v>6</v>
      </c>
      <c r="AJ570" t="n">
        <v>12</v>
      </c>
      <c r="AK570" t="n">
        <v>12</v>
      </c>
      <c r="AL570" t="n">
        <v>2</v>
      </c>
      <c r="AM570" t="n">
        <v>2</v>
      </c>
      <c r="AN570" t="n">
        <v>3</v>
      </c>
      <c r="AO570" t="n">
        <v>3</v>
      </c>
      <c r="AP570" t="inlineStr">
        <is>
          <t>No</t>
        </is>
      </c>
      <c r="AQ570" t="inlineStr">
        <is>
          <t>Yes</t>
        </is>
      </c>
      <c r="AR570">
        <f>HYPERLINK("http://catalog.hathitrust.org/Record/003106364","HathiTrust Record")</f>
        <v/>
      </c>
      <c r="AS570">
        <f>HYPERLINK("https://creighton-primo.hosted.exlibrisgroup.com/primo-explore/search?tab=default_tab&amp;search_scope=EVERYTHING&amp;vid=01CRU&amp;lang=en_US&amp;offset=0&amp;query=any,contains,991002678139702656","Catalog Record")</f>
        <v/>
      </c>
      <c r="AT570">
        <f>HYPERLINK("http://www.worldcat.org/oclc/35008223","WorldCat Record")</f>
        <v/>
      </c>
      <c r="AU570" t="inlineStr">
        <is>
          <t>836985966:eng</t>
        </is>
      </c>
      <c r="AV570" t="inlineStr">
        <is>
          <t>35008223</t>
        </is>
      </c>
      <c r="AW570" t="inlineStr">
        <is>
          <t>991002678139702656</t>
        </is>
      </c>
      <c r="AX570" t="inlineStr">
        <is>
          <t>991002678139702656</t>
        </is>
      </c>
      <c r="AY570" t="inlineStr">
        <is>
          <t>2262265140002656</t>
        </is>
      </c>
      <c r="AZ570" t="inlineStr">
        <is>
          <t>BOOK</t>
        </is>
      </c>
      <c r="BB570" t="inlineStr">
        <is>
          <t>9780813386393</t>
        </is>
      </c>
      <c r="BC570" t="inlineStr">
        <is>
          <t>32285002407186</t>
        </is>
      </c>
      <c r="BD570" t="inlineStr">
        <is>
          <t>893335568</t>
        </is>
      </c>
    </row>
    <row r="571">
      <c r="A571" t="inlineStr">
        <is>
          <t>No</t>
        </is>
      </c>
      <c r="B571" t="inlineStr">
        <is>
          <t>HQ1190 .R49 1992</t>
        </is>
      </c>
      <c r="C571" t="inlineStr">
        <is>
          <t>0                      HQ 1190000R  49          1992</t>
        </is>
      </c>
      <c r="D571" t="inlineStr">
        <is>
          <t>Revolutions in knowledge : feminism in the social sciences / edited by Sue Rosenberg Zalk and Janice Gordon-Kelter.</t>
        </is>
      </c>
      <c r="F571" t="inlineStr">
        <is>
          <t>No</t>
        </is>
      </c>
      <c r="G571" t="inlineStr">
        <is>
          <t>1</t>
        </is>
      </c>
      <c r="H571" t="inlineStr">
        <is>
          <t>No</t>
        </is>
      </c>
      <c r="I571" t="inlineStr">
        <is>
          <t>No</t>
        </is>
      </c>
      <c r="J571" t="inlineStr">
        <is>
          <t>0</t>
        </is>
      </c>
      <c r="L571" t="inlineStr">
        <is>
          <t>Boulder, Colo, : Westview Press, 1992.</t>
        </is>
      </c>
      <c r="M571" t="inlineStr">
        <is>
          <t>1992</t>
        </is>
      </c>
      <c r="O571" t="inlineStr">
        <is>
          <t>eng</t>
        </is>
      </c>
      <c r="P571" t="inlineStr">
        <is>
          <t>cou</t>
        </is>
      </c>
      <c r="R571" t="inlineStr">
        <is>
          <t xml:space="preserve">HQ </t>
        </is>
      </c>
      <c r="S571" t="n">
        <v>18</v>
      </c>
      <c r="T571" t="n">
        <v>18</v>
      </c>
      <c r="U571" t="inlineStr">
        <is>
          <t>2003-02-23</t>
        </is>
      </c>
      <c r="V571" t="inlineStr">
        <is>
          <t>2003-02-23</t>
        </is>
      </c>
      <c r="W571" t="inlineStr">
        <is>
          <t>1992-05-22</t>
        </is>
      </c>
      <c r="X571" t="inlineStr">
        <is>
          <t>1992-05-22</t>
        </is>
      </c>
      <c r="Y571" t="n">
        <v>360</v>
      </c>
      <c r="Z571" t="n">
        <v>274</v>
      </c>
      <c r="AA571" t="n">
        <v>306</v>
      </c>
      <c r="AB571" t="n">
        <v>3</v>
      </c>
      <c r="AC571" t="n">
        <v>3</v>
      </c>
      <c r="AD571" t="n">
        <v>16</v>
      </c>
      <c r="AE571" t="n">
        <v>16</v>
      </c>
      <c r="AF571" t="n">
        <v>1</v>
      </c>
      <c r="AG571" t="n">
        <v>1</v>
      </c>
      <c r="AH571" t="n">
        <v>6</v>
      </c>
      <c r="AI571" t="n">
        <v>6</v>
      </c>
      <c r="AJ571" t="n">
        <v>11</v>
      </c>
      <c r="AK571" t="n">
        <v>11</v>
      </c>
      <c r="AL571" t="n">
        <v>2</v>
      </c>
      <c r="AM571" t="n">
        <v>2</v>
      </c>
      <c r="AN571" t="n">
        <v>0</v>
      </c>
      <c r="AO571" t="n">
        <v>0</v>
      </c>
      <c r="AP571" t="inlineStr">
        <is>
          <t>No</t>
        </is>
      </c>
      <c r="AQ571" t="inlineStr">
        <is>
          <t>Yes</t>
        </is>
      </c>
      <c r="AR571">
        <f>HYPERLINK("http://catalog.hathitrust.org/Record/002521941","HathiTrust Record")</f>
        <v/>
      </c>
      <c r="AS571">
        <f>HYPERLINK("https://creighton-primo.hosted.exlibrisgroup.com/primo-explore/search?tab=default_tab&amp;search_scope=EVERYTHING&amp;vid=01CRU&amp;lang=en_US&amp;offset=0&amp;query=any,contains,991001914819702656","Catalog Record")</f>
        <v/>
      </c>
      <c r="AT571">
        <f>HYPERLINK("http://www.worldcat.org/oclc/24174427","WorldCat Record")</f>
        <v/>
      </c>
      <c r="AU571" t="inlineStr">
        <is>
          <t>836730500:eng</t>
        </is>
      </c>
      <c r="AV571" t="inlineStr">
        <is>
          <t>24174427</t>
        </is>
      </c>
      <c r="AW571" t="inlineStr">
        <is>
          <t>991001914819702656</t>
        </is>
      </c>
      <c r="AX571" t="inlineStr">
        <is>
          <t>991001914819702656</t>
        </is>
      </c>
      <c r="AY571" t="inlineStr">
        <is>
          <t>2269356230002656</t>
        </is>
      </c>
      <c r="AZ571" t="inlineStr">
        <is>
          <t>BOOK</t>
        </is>
      </c>
      <c r="BB571" t="inlineStr">
        <is>
          <t>9780813305844</t>
        </is>
      </c>
      <c r="BC571" t="inlineStr">
        <is>
          <t>32285001118198</t>
        </is>
      </c>
      <c r="BD571" t="inlineStr">
        <is>
          <t>893261983</t>
        </is>
      </c>
    </row>
    <row r="572">
      <c r="A572" t="inlineStr">
        <is>
          <t>No</t>
        </is>
      </c>
      <c r="B572" t="inlineStr">
        <is>
          <t>HQ1190 .S28 1991</t>
        </is>
      </c>
      <c r="C572" t="inlineStr">
        <is>
          <t>0                      HQ 1190000S  28          1991</t>
        </is>
      </c>
      <c r="D572" t="inlineStr">
        <is>
          <t>Disciplining foucault : feminism, power, and the body / Jana Sawicki.</t>
        </is>
      </c>
      <c r="F572" t="inlineStr">
        <is>
          <t>No</t>
        </is>
      </c>
      <c r="G572" t="inlineStr">
        <is>
          <t>1</t>
        </is>
      </c>
      <c r="H572" t="inlineStr">
        <is>
          <t>No</t>
        </is>
      </c>
      <c r="I572" t="inlineStr">
        <is>
          <t>No</t>
        </is>
      </c>
      <c r="J572" t="inlineStr">
        <is>
          <t>0</t>
        </is>
      </c>
      <c r="K572" t="inlineStr">
        <is>
          <t>Sawicki, Jana.</t>
        </is>
      </c>
      <c r="L572" t="inlineStr">
        <is>
          <t>New York : Routledge, 1991.</t>
        </is>
      </c>
      <c r="M572" t="inlineStr">
        <is>
          <t>1991</t>
        </is>
      </c>
      <c r="O572" t="inlineStr">
        <is>
          <t>eng</t>
        </is>
      </c>
      <c r="P572" t="inlineStr">
        <is>
          <t>nyu</t>
        </is>
      </c>
      <c r="Q572" t="inlineStr">
        <is>
          <t>Thinking gender</t>
        </is>
      </c>
      <c r="R572" t="inlineStr">
        <is>
          <t xml:space="preserve">HQ </t>
        </is>
      </c>
      <c r="S572" t="n">
        <v>6</v>
      </c>
      <c r="T572" t="n">
        <v>6</v>
      </c>
      <c r="U572" t="inlineStr">
        <is>
          <t>2002-04-15</t>
        </is>
      </c>
      <c r="V572" t="inlineStr">
        <is>
          <t>2002-04-15</t>
        </is>
      </c>
      <c r="W572" t="inlineStr">
        <is>
          <t>1992-09-30</t>
        </is>
      </c>
      <c r="X572" t="inlineStr">
        <is>
          <t>1992-09-30</t>
        </is>
      </c>
      <c r="Y572" t="n">
        <v>630</v>
      </c>
      <c r="Z572" t="n">
        <v>415</v>
      </c>
      <c r="AA572" t="n">
        <v>429</v>
      </c>
      <c r="AB572" t="n">
        <v>2</v>
      </c>
      <c r="AC572" t="n">
        <v>2</v>
      </c>
      <c r="AD572" t="n">
        <v>27</v>
      </c>
      <c r="AE572" t="n">
        <v>27</v>
      </c>
      <c r="AF572" t="n">
        <v>12</v>
      </c>
      <c r="AG572" t="n">
        <v>12</v>
      </c>
      <c r="AH572" t="n">
        <v>8</v>
      </c>
      <c r="AI572" t="n">
        <v>8</v>
      </c>
      <c r="AJ572" t="n">
        <v>13</v>
      </c>
      <c r="AK572" t="n">
        <v>13</v>
      </c>
      <c r="AL572" t="n">
        <v>1</v>
      </c>
      <c r="AM572" t="n">
        <v>1</v>
      </c>
      <c r="AN572" t="n">
        <v>1</v>
      </c>
      <c r="AO572" t="n">
        <v>1</v>
      </c>
      <c r="AP572" t="inlineStr">
        <is>
          <t>No</t>
        </is>
      </c>
      <c r="AQ572" t="inlineStr">
        <is>
          <t>Yes</t>
        </is>
      </c>
      <c r="AR572">
        <f>HYPERLINK("http://catalog.hathitrust.org/Record/002510759","HathiTrust Record")</f>
        <v/>
      </c>
      <c r="AS572">
        <f>HYPERLINK("https://creighton-primo.hosted.exlibrisgroup.com/primo-explore/search?tab=default_tab&amp;search_scope=EVERYTHING&amp;vid=01CRU&amp;lang=en_US&amp;offset=0&amp;query=any,contains,991001842529702656","Catalog Record")</f>
        <v/>
      </c>
      <c r="AT572">
        <f>HYPERLINK("http://www.worldcat.org/oclc/23143716","WorldCat Record")</f>
        <v/>
      </c>
      <c r="AU572" t="inlineStr">
        <is>
          <t>24689965:eng</t>
        </is>
      </c>
      <c r="AV572" t="inlineStr">
        <is>
          <t>23143716</t>
        </is>
      </c>
      <c r="AW572" t="inlineStr">
        <is>
          <t>991001842529702656</t>
        </is>
      </c>
      <c r="AX572" t="inlineStr">
        <is>
          <t>991001842529702656</t>
        </is>
      </c>
      <c r="AY572" t="inlineStr">
        <is>
          <t>2265566570002656</t>
        </is>
      </c>
      <c r="AZ572" t="inlineStr">
        <is>
          <t>BOOK</t>
        </is>
      </c>
      <c r="BB572" t="inlineStr">
        <is>
          <t>9780415901888</t>
        </is>
      </c>
      <c r="BC572" t="inlineStr">
        <is>
          <t>32285001315042</t>
        </is>
      </c>
      <c r="BD572" t="inlineStr">
        <is>
          <t>893879235</t>
        </is>
      </c>
    </row>
    <row r="573">
      <c r="A573" t="inlineStr">
        <is>
          <t>No</t>
        </is>
      </c>
      <c r="B573" t="inlineStr">
        <is>
          <t>HQ1190 .S34 1993</t>
        </is>
      </c>
      <c r="C573" t="inlineStr">
        <is>
          <t>0                      HQ 1190000S  34          1993</t>
        </is>
      </c>
      <c r="D573" t="inlineStr">
        <is>
          <t>Engenderings : constructions of knowledge, authority, and privilege / Naomi Scheman.</t>
        </is>
      </c>
      <c r="F573" t="inlineStr">
        <is>
          <t>No</t>
        </is>
      </c>
      <c r="G573" t="inlineStr">
        <is>
          <t>1</t>
        </is>
      </c>
      <c r="H573" t="inlineStr">
        <is>
          <t>No</t>
        </is>
      </c>
      <c r="I573" t="inlineStr">
        <is>
          <t>No</t>
        </is>
      </c>
      <c r="J573" t="inlineStr">
        <is>
          <t>0</t>
        </is>
      </c>
      <c r="K573" t="inlineStr">
        <is>
          <t>Scheman, Naomi.</t>
        </is>
      </c>
      <c r="L573" t="inlineStr">
        <is>
          <t>New York, NY : Routledge, 1993.</t>
        </is>
      </c>
      <c r="M573" t="inlineStr">
        <is>
          <t>1993</t>
        </is>
      </c>
      <c r="O573" t="inlineStr">
        <is>
          <t>eng</t>
        </is>
      </c>
      <c r="P573" t="inlineStr">
        <is>
          <t>nyu</t>
        </is>
      </c>
      <c r="Q573" t="inlineStr">
        <is>
          <t>Thinking gender</t>
        </is>
      </c>
      <c r="R573" t="inlineStr">
        <is>
          <t xml:space="preserve">HQ </t>
        </is>
      </c>
      <c r="S573" t="n">
        <v>7</v>
      </c>
      <c r="T573" t="n">
        <v>7</v>
      </c>
      <c r="U573" t="inlineStr">
        <is>
          <t>2005-04-05</t>
        </is>
      </c>
      <c r="V573" t="inlineStr">
        <is>
          <t>2005-04-05</t>
        </is>
      </c>
      <c r="W573" t="inlineStr">
        <is>
          <t>1993-12-22</t>
        </is>
      </c>
      <c r="X573" t="inlineStr">
        <is>
          <t>1993-12-22</t>
        </is>
      </c>
      <c r="Y573" t="n">
        <v>495</v>
      </c>
      <c r="Z573" t="n">
        <v>350</v>
      </c>
      <c r="AA573" t="n">
        <v>379</v>
      </c>
      <c r="AB573" t="n">
        <v>3</v>
      </c>
      <c r="AC573" t="n">
        <v>3</v>
      </c>
      <c r="AD573" t="n">
        <v>28</v>
      </c>
      <c r="AE573" t="n">
        <v>28</v>
      </c>
      <c r="AF573" t="n">
        <v>10</v>
      </c>
      <c r="AG573" t="n">
        <v>10</v>
      </c>
      <c r="AH573" t="n">
        <v>8</v>
      </c>
      <c r="AI573" t="n">
        <v>8</v>
      </c>
      <c r="AJ573" t="n">
        <v>15</v>
      </c>
      <c r="AK573" t="n">
        <v>15</v>
      </c>
      <c r="AL573" t="n">
        <v>2</v>
      </c>
      <c r="AM573" t="n">
        <v>2</v>
      </c>
      <c r="AN573" t="n">
        <v>1</v>
      </c>
      <c r="AO573" t="n">
        <v>1</v>
      </c>
      <c r="AP573" t="inlineStr">
        <is>
          <t>No</t>
        </is>
      </c>
      <c r="AQ573" t="inlineStr">
        <is>
          <t>No</t>
        </is>
      </c>
      <c r="AS573">
        <f>HYPERLINK("https://creighton-primo.hosted.exlibrisgroup.com/primo-explore/search?tab=default_tab&amp;search_scope=EVERYTHING&amp;vid=01CRU&amp;lang=en_US&amp;offset=0&amp;query=any,contains,991002158659702656","Catalog Record")</f>
        <v/>
      </c>
      <c r="AT573">
        <f>HYPERLINK("http://www.worldcat.org/oclc/27811680","WorldCat Record")</f>
        <v/>
      </c>
      <c r="AU573" t="inlineStr">
        <is>
          <t>836730656:eng</t>
        </is>
      </c>
      <c r="AV573" t="inlineStr">
        <is>
          <t>27811680</t>
        </is>
      </c>
      <c r="AW573" t="inlineStr">
        <is>
          <t>991002158659702656</t>
        </is>
      </c>
      <c r="AX573" t="inlineStr">
        <is>
          <t>991002158659702656</t>
        </is>
      </c>
      <c r="AY573" t="inlineStr">
        <is>
          <t>2258720800002656</t>
        </is>
      </c>
      <c r="AZ573" t="inlineStr">
        <is>
          <t>BOOK</t>
        </is>
      </c>
      <c r="BB573" t="inlineStr">
        <is>
          <t>9780415907392</t>
        </is>
      </c>
      <c r="BC573" t="inlineStr">
        <is>
          <t>32285001817518</t>
        </is>
      </c>
      <c r="BD573" t="inlineStr">
        <is>
          <t>893873170</t>
        </is>
      </c>
    </row>
    <row r="574">
      <c r="A574" t="inlineStr">
        <is>
          <t>No</t>
        </is>
      </c>
      <c r="B574" t="inlineStr">
        <is>
          <t>HQ1190 .S46 1993</t>
        </is>
      </c>
      <c r="C574" t="inlineStr">
        <is>
          <t>0                      HQ 1190000S  46          1993</t>
        </is>
      </c>
      <c r="D574" t="inlineStr">
        <is>
          <t>Erotic welfare : sexual theory and politics in the age of epidemic / Linda Singer ; edited and introduced by Judith Butler and Maureen MacGrogan.</t>
        </is>
      </c>
      <c r="F574" t="inlineStr">
        <is>
          <t>No</t>
        </is>
      </c>
      <c r="G574" t="inlineStr">
        <is>
          <t>1</t>
        </is>
      </c>
      <c r="H574" t="inlineStr">
        <is>
          <t>No</t>
        </is>
      </c>
      <c r="I574" t="inlineStr">
        <is>
          <t>No</t>
        </is>
      </c>
      <c r="J574" t="inlineStr">
        <is>
          <t>0</t>
        </is>
      </c>
      <c r="K574" t="inlineStr">
        <is>
          <t>Singer, Linda, -1990.</t>
        </is>
      </c>
      <c r="L574" t="inlineStr">
        <is>
          <t>New York : Routledge, 1993.</t>
        </is>
      </c>
      <c r="M574" t="inlineStr">
        <is>
          <t>1993</t>
        </is>
      </c>
      <c r="O574" t="inlineStr">
        <is>
          <t>eng</t>
        </is>
      </c>
      <c r="P574" t="inlineStr">
        <is>
          <t>nyu</t>
        </is>
      </c>
      <c r="Q574" t="inlineStr">
        <is>
          <t>Thinking gender</t>
        </is>
      </c>
      <c r="R574" t="inlineStr">
        <is>
          <t xml:space="preserve">HQ </t>
        </is>
      </c>
      <c r="S574" t="n">
        <v>6</v>
      </c>
      <c r="T574" t="n">
        <v>6</v>
      </c>
      <c r="U574" t="inlineStr">
        <is>
          <t>2010-10-13</t>
        </is>
      </c>
      <c r="V574" t="inlineStr">
        <is>
          <t>2010-10-13</t>
        </is>
      </c>
      <c r="W574" t="inlineStr">
        <is>
          <t>1994-01-13</t>
        </is>
      </c>
      <c r="X574" t="inlineStr">
        <is>
          <t>1994-01-13</t>
        </is>
      </c>
      <c r="Y574" t="n">
        <v>394</v>
      </c>
      <c r="Z574" t="n">
        <v>278</v>
      </c>
      <c r="AA574" t="n">
        <v>320</v>
      </c>
      <c r="AB574" t="n">
        <v>4</v>
      </c>
      <c r="AC574" t="n">
        <v>4</v>
      </c>
      <c r="AD574" t="n">
        <v>13</v>
      </c>
      <c r="AE574" t="n">
        <v>14</v>
      </c>
      <c r="AF574" t="n">
        <v>1</v>
      </c>
      <c r="AG574" t="n">
        <v>1</v>
      </c>
      <c r="AH574" t="n">
        <v>4</v>
      </c>
      <c r="AI574" t="n">
        <v>5</v>
      </c>
      <c r="AJ574" t="n">
        <v>7</v>
      </c>
      <c r="AK574" t="n">
        <v>8</v>
      </c>
      <c r="AL574" t="n">
        <v>3</v>
      </c>
      <c r="AM574" t="n">
        <v>3</v>
      </c>
      <c r="AN574" t="n">
        <v>0</v>
      </c>
      <c r="AO574" t="n">
        <v>0</v>
      </c>
      <c r="AP574" t="inlineStr">
        <is>
          <t>No</t>
        </is>
      </c>
      <c r="AQ574" t="inlineStr">
        <is>
          <t>Yes</t>
        </is>
      </c>
      <c r="AR574">
        <f>HYPERLINK("http://catalog.hathitrust.org/Record/002597049","HathiTrust Record")</f>
        <v/>
      </c>
      <c r="AS574">
        <f>HYPERLINK("https://creighton-primo.hosted.exlibrisgroup.com/primo-explore/search?tab=default_tab&amp;search_scope=EVERYTHING&amp;vid=01CRU&amp;lang=en_US&amp;offset=0&amp;query=any,contains,991001970629702656","Catalog Record")</f>
        <v/>
      </c>
      <c r="AT574">
        <f>HYPERLINK("http://www.worldcat.org/oclc/25008563","WorldCat Record")</f>
        <v/>
      </c>
      <c r="AU574" t="inlineStr">
        <is>
          <t>21004887:eng</t>
        </is>
      </c>
      <c r="AV574" t="inlineStr">
        <is>
          <t>25008563</t>
        </is>
      </c>
      <c r="AW574" t="inlineStr">
        <is>
          <t>991001970629702656</t>
        </is>
      </c>
      <c r="AX574" t="inlineStr">
        <is>
          <t>991001970629702656</t>
        </is>
      </c>
      <c r="AY574" t="inlineStr">
        <is>
          <t>2268932070002656</t>
        </is>
      </c>
      <c r="AZ574" t="inlineStr">
        <is>
          <t>BOOK</t>
        </is>
      </c>
      <c r="BB574" t="inlineStr">
        <is>
          <t>9780415902014</t>
        </is>
      </c>
      <c r="BC574" t="inlineStr">
        <is>
          <t>32285001831295</t>
        </is>
      </c>
      <c r="BD574" t="inlineStr">
        <is>
          <t>893773075</t>
        </is>
      </c>
    </row>
    <row r="575">
      <c r="A575" t="inlineStr">
        <is>
          <t>No</t>
        </is>
      </c>
      <c r="B575" t="inlineStr">
        <is>
          <t>HQ1190 .S685 2000</t>
        </is>
      </c>
      <c r="C575" t="inlineStr">
        <is>
          <t>0                      HQ 1190000S  685         2000</t>
        </is>
      </c>
      <c r="D575" t="inlineStr">
        <is>
          <t>Gender in political theory / Judith Squires.</t>
        </is>
      </c>
      <c r="F575" t="inlineStr">
        <is>
          <t>No</t>
        </is>
      </c>
      <c r="G575" t="inlineStr">
        <is>
          <t>1</t>
        </is>
      </c>
      <c r="H575" t="inlineStr">
        <is>
          <t>No</t>
        </is>
      </c>
      <c r="I575" t="inlineStr">
        <is>
          <t>No</t>
        </is>
      </c>
      <c r="J575" t="inlineStr">
        <is>
          <t>0</t>
        </is>
      </c>
      <c r="K575" t="inlineStr">
        <is>
          <t>Squires, Judith.</t>
        </is>
      </c>
      <c r="L575" t="inlineStr">
        <is>
          <t>Cambridge, UK : Polity Press ; Malden, MA : Blackwell, 2000, c1999.</t>
        </is>
      </c>
      <c r="M575" t="inlineStr">
        <is>
          <t>2000</t>
        </is>
      </c>
      <c r="O575" t="inlineStr">
        <is>
          <t>eng</t>
        </is>
      </c>
      <c r="P575" t="inlineStr">
        <is>
          <t>enk</t>
        </is>
      </c>
      <c r="R575" t="inlineStr">
        <is>
          <t xml:space="preserve">HQ </t>
        </is>
      </c>
      <c r="S575" t="n">
        <v>8</v>
      </c>
      <c r="T575" t="n">
        <v>8</v>
      </c>
      <c r="U575" t="inlineStr">
        <is>
          <t>2010-12-01</t>
        </is>
      </c>
      <c r="V575" t="inlineStr">
        <is>
          <t>2010-12-01</t>
        </is>
      </c>
      <c r="W575" t="inlineStr">
        <is>
          <t>2001-03-05</t>
        </is>
      </c>
      <c r="X575" t="inlineStr">
        <is>
          <t>2001-03-05</t>
        </is>
      </c>
      <c r="Y575" t="n">
        <v>462</v>
      </c>
      <c r="Z575" t="n">
        <v>352</v>
      </c>
      <c r="AA575" t="n">
        <v>401</v>
      </c>
      <c r="AB575" t="n">
        <v>3</v>
      </c>
      <c r="AC575" t="n">
        <v>3</v>
      </c>
      <c r="AD575" t="n">
        <v>23</v>
      </c>
      <c r="AE575" t="n">
        <v>25</v>
      </c>
      <c r="AF575" t="n">
        <v>11</v>
      </c>
      <c r="AG575" t="n">
        <v>12</v>
      </c>
      <c r="AH575" t="n">
        <v>5</v>
      </c>
      <c r="AI575" t="n">
        <v>6</v>
      </c>
      <c r="AJ575" t="n">
        <v>10</v>
      </c>
      <c r="AK575" t="n">
        <v>12</v>
      </c>
      <c r="AL575" t="n">
        <v>2</v>
      </c>
      <c r="AM575" t="n">
        <v>2</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HYPERLINK("https://creighton-primo.hosted.exlibrisgroup.com/primo-explore/search?tab=default_tab&amp;search_scope=EVERYTHING&amp;vid=01CRU&amp;lang=en_US&amp;offset=0&amp;query=any,contains,991003335339702656","Catalog Record")</f>
        <v/>
      </c>
      <c r="AT575">
        <f>HYPERLINK("http://www.worldcat.org/oclc/40980007","WorldCat Record")</f>
        <v/>
      </c>
      <c r="AU575" t="inlineStr">
        <is>
          <t>25675940:eng</t>
        </is>
      </c>
      <c r="AV575" t="inlineStr">
        <is>
          <t>40980007</t>
        </is>
      </c>
      <c r="AW575" t="inlineStr">
        <is>
          <t>991003335339702656</t>
        </is>
      </c>
      <c r="AX575" t="inlineStr">
        <is>
          <t>991003335339702656</t>
        </is>
      </c>
      <c r="AY575" t="inlineStr">
        <is>
          <t>2264631680002656</t>
        </is>
      </c>
      <c r="AZ575" t="inlineStr">
        <is>
          <t>BOOK</t>
        </is>
      </c>
      <c r="BB575" t="inlineStr">
        <is>
          <t>9780745615004</t>
        </is>
      </c>
      <c r="BC575" t="inlineStr">
        <is>
          <t>32285004299177</t>
        </is>
      </c>
      <c r="BD575" t="inlineStr">
        <is>
          <t>893246260</t>
        </is>
      </c>
    </row>
    <row r="576">
      <c r="A576" t="inlineStr">
        <is>
          <t>No</t>
        </is>
      </c>
      <c r="B576" t="inlineStr">
        <is>
          <t>HQ1190 .S73 1994</t>
        </is>
      </c>
      <c r="C576" t="inlineStr">
        <is>
          <t>0                      HQ 1190000S  73          1994</t>
        </is>
      </c>
      <c r="D576" t="inlineStr">
        <is>
          <t>Feminism and the technological fix / Carol A. Stabile.</t>
        </is>
      </c>
      <c r="F576" t="inlineStr">
        <is>
          <t>No</t>
        </is>
      </c>
      <c r="G576" t="inlineStr">
        <is>
          <t>1</t>
        </is>
      </c>
      <c r="H576" t="inlineStr">
        <is>
          <t>No</t>
        </is>
      </c>
      <c r="I576" t="inlineStr">
        <is>
          <t>No</t>
        </is>
      </c>
      <c r="J576" t="inlineStr">
        <is>
          <t>0</t>
        </is>
      </c>
      <c r="K576" t="inlineStr">
        <is>
          <t>Stabile, Carol A.</t>
        </is>
      </c>
      <c r="L576" t="inlineStr">
        <is>
          <t>Manchester [England] ; New York : Manchester University Press ; New York : Distributed exclusively in the USA and Canada by St. Martin's Press, c1994.</t>
        </is>
      </c>
      <c r="M576" t="inlineStr">
        <is>
          <t>1994</t>
        </is>
      </c>
      <c r="O576" t="inlineStr">
        <is>
          <t>eng</t>
        </is>
      </c>
      <c r="P576" t="inlineStr">
        <is>
          <t>enk</t>
        </is>
      </c>
      <c r="R576" t="inlineStr">
        <is>
          <t xml:space="preserve">HQ </t>
        </is>
      </c>
      <c r="S576" t="n">
        <v>3</v>
      </c>
      <c r="T576" t="n">
        <v>3</v>
      </c>
      <c r="U576" t="inlineStr">
        <is>
          <t>2000-04-18</t>
        </is>
      </c>
      <c r="V576" t="inlineStr">
        <is>
          <t>2000-04-18</t>
        </is>
      </c>
      <c r="W576" t="inlineStr">
        <is>
          <t>1995-04-26</t>
        </is>
      </c>
      <c r="X576" t="inlineStr">
        <is>
          <t>1995-04-26</t>
        </is>
      </c>
      <c r="Y576" t="n">
        <v>380</v>
      </c>
      <c r="Z576" t="n">
        <v>269</v>
      </c>
      <c r="AA576" t="n">
        <v>276</v>
      </c>
      <c r="AB576" t="n">
        <v>4</v>
      </c>
      <c r="AC576" t="n">
        <v>4</v>
      </c>
      <c r="AD576" t="n">
        <v>18</v>
      </c>
      <c r="AE576" t="n">
        <v>18</v>
      </c>
      <c r="AF576" t="n">
        <v>4</v>
      </c>
      <c r="AG576" t="n">
        <v>4</v>
      </c>
      <c r="AH576" t="n">
        <v>5</v>
      </c>
      <c r="AI576" t="n">
        <v>5</v>
      </c>
      <c r="AJ576" t="n">
        <v>10</v>
      </c>
      <c r="AK576" t="n">
        <v>10</v>
      </c>
      <c r="AL576" t="n">
        <v>3</v>
      </c>
      <c r="AM576" t="n">
        <v>3</v>
      </c>
      <c r="AN576" t="n">
        <v>0</v>
      </c>
      <c r="AO576" t="n">
        <v>0</v>
      </c>
      <c r="AP576" t="inlineStr">
        <is>
          <t>No</t>
        </is>
      </c>
      <c r="AQ576" t="inlineStr">
        <is>
          <t>Yes</t>
        </is>
      </c>
      <c r="AR576">
        <f>HYPERLINK("http://catalog.hathitrust.org/Record/002903664","HathiTrust Record")</f>
        <v/>
      </c>
      <c r="AS576">
        <f>HYPERLINK("https://creighton-primo.hosted.exlibrisgroup.com/primo-explore/search?tab=default_tab&amp;search_scope=EVERYTHING&amp;vid=01CRU&amp;lang=en_US&amp;offset=0&amp;query=any,contains,991002283259702656","Catalog Record")</f>
        <v/>
      </c>
      <c r="AT576">
        <f>HYPERLINK("http://www.worldcat.org/oclc/29597755","WorldCat Record")</f>
        <v/>
      </c>
      <c r="AU576" t="inlineStr">
        <is>
          <t>31946015:eng</t>
        </is>
      </c>
      <c r="AV576" t="inlineStr">
        <is>
          <t>29597755</t>
        </is>
      </c>
      <c r="AW576" t="inlineStr">
        <is>
          <t>991002283259702656</t>
        </is>
      </c>
      <c r="AX576" t="inlineStr">
        <is>
          <t>991002283259702656</t>
        </is>
      </c>
      <c r="AY576" t="inlineStr">
        <is>
          <t>2266500150002656</t>
        </is>
      </c>
      <c r="AZ576" t="inlineStr">
        <is>
          <t>BOOK</t>
        </is>
      </c>
      <c r="BB576" t="inlineStr">
        <is>
          <t>9780719042744</t>
        </is>
      </c>
      <c r="BC576" t="inlineStr">
        <is>
          <t>32285002036100</t>
        </is>
      </c>
      <c r="BD576" t="inlineStr">
        <is>
          <t>893591160</t>
        </is>
      </c>
    </row>
    <row r="577">
      <c r="A577" t="inlineStr">
        <is>
          <t>No</t>
        </is>
      </c>
      <c r="B577" t="inlineStr">
        <is>
          <t>HQ1190 .S7813 1995</t>
        </is>
      </c>
      <c r="C577" t="inlineStr">
        <is>
          <t>0                      HQ 1190000S  7813        1995</t>
        </is>
      </c>
      <c r="D577" t="inlineStr">
        <is>
          <t>Feminist contentions : a philosophical exchange / Seyla Benhabib ... [et al.] ; introduction by Linda Nicholson.</t>
        </is>
      </c>
      <c r="F577" t="inlineStr">
        <is>
          <t>No</t>
        </is>
      </c>
      <c r="G577" t="inlineStr">
        <is>
          <t>1</t>
        </is>
      </c>
      <c r="H577" t="inlineStr">
        <is>
          <t>No</t>
        </is>
      </c>
      <c r="I577" t="inlineStr">
        <is>
          <t>No</t>
        </is>
      </c>
      <c r="J577" t="inlineStr">
        <is>
          <t>0</t>
        </is>
      </c>
      <c r="K577" t="inlineStr">
        <is>
          <t>Streit um Differenz. English.</t>
        </is>
      </c>
      <c r="L577" t="inlineStr">
        <is>
          <t>New York : Routledge, 1995.</t>
        </is>
      </c>
      <c r="M577" t="inlineStr">
        <is>
          <t>1995</t>
        </is>
      </c>
      <c r="O577" t="inlineStr">
        <is>
          <t>eng</t>
        </is>
      </c>
      <c r="P577" t="inlineStr">
        <is>
          <t>nyu</t>
        </is>
      </c>
      <c r="Q577" t="inlineStr">
        <is>
          <t>Thinking gender</t>
        </is>
      </c>
      <c r="R577" t="inlineStr">
        <is>
          <t xml:space="preserve">HQ </t>
        </is>
      </c>
      <c r="S577" t="n">
        <v>15</v>
      </c>
      <c r="T577" t="n">
        <v>15</v>
      </c>
      <c r="U577" t="inlineStr">
        <is>
          <t>2007-12-01</t>
        </is>
      </c>
      <c r="V577" t="inlineStr">
        <is>
          <t>2007-12-01</t>
        </is>
      </c>
      <c r="W577" t="inlineStr">
        <is>
          <t>1995-04-10</t>
        </is>
      </c>
      <c r="X577" t="inlineStr">
        <is>
          <t>1995-04-10</t>
        </is>
      </c>
      <c r="Y577" t="n">
        <v>628</v>
      </c>
      <c r="Z577" t="n">
        <v>431</v>
      </c>
      <c r="AA577" t="n">
        <v>451</v>
      </c>
      <c r="AB577" t="n">
        <v>2</v>
      </c>
      <c r="AC577" t="n">
        <v>2</v>
      </c>
      <c r="AD577" t="n">
        <v>31</v>
      </c>
      <c r="AE577" t="n">
        <v>31</v>
      </c>
      <c r="AF577" t="n">
        <v>10</v>
      </c>
      <c r="AG577" t="n">
        <v>10</v>
      </c>
      <c r="AH577" t="n">
        <v>7</v>
      </c>
      <c r="AI577" t="n">
        <v>7</v>
      </c>
      <c r="AJ577" t="n">
        <v>13</v>
      </c>
      <c r="AK577" t="n">
        <v>13</v>
      </c>
      <c r="AL577" t="n">
        <v>1</v>
      </c>
      <c r="AM577" t="n">
        <v>1</v>
      </c>
      <c r="AN577" t="n">
        <v>6</v>
      </c>
      <c r="AO577" t="n">
        <v>6</v>
      </c>
      <c r="AP577" t="inlineStr">
        <is>
          <t>No</t>
        </is>
      </c>
      <c r="AQ577" t="inlineStr">
        <is>
          <t>Yes</t>
        </is>
      </c>
      <c r="AR577">
        <f>HYPERLINK("http://catalog.hathitrust.org/Record/002963130","HathiTrust Record")</f>
        <v/>
      </c>
      <c r="AS577">
        <f>HYPERLINK("https://creighton-primo.hosted.exlibrisgroup.com/primo-explore/search?tab=default_tab&amp;search_scope=EVERYTHING&amp;vid=01CRU&amp;lang=en_US&amp;offset=0&amp;query=any,contains,991005419119702656","Catalog Record")</f>
        <v/>
      </c>
      <c r="AT577">
        <f>HYPERLINK("http://www.worldcat.org/oclc/30623637","WorldCat Record")</f>
        <v/>
      </c>
      <c r="AU577" t="inlineStr">
        <is>
          <t>890262977:eng</t>
        </is>
      </c>
      <c r="AV577" t="inlineStr">
        <is>
          <t>30623637</t>
        </is>
      </c>
      <c r="AW577" t="inlineStr">
        <is>
          <t>991005419119702656</t>
        </is>
      </c>
      <c r="AX577" t="inlineStr">
        <is>
          <t>991005419119702656</t>
        </is>
      </c>
      <c r="AY577" t="inlineStr">
        <is>
          <t>2261839730002656</t>
        </is>
      </c>
      <c r="AZ577" t="inlineStr">
        <is>
          <t>BOOK</t>
        </is>
      </c>
      <c r="BB577" t="inlineStr">
        <is>
          <t>9780415910859</t>
        </is>
      </c>
      <c r="BC577" t="inlineStr">
        <is>
          <t>32285002017860</t>
        </is>
      </c>
      <c r="BD577" t="inlineStr">
        <is>
          <t>893625995</t>
        </is>
      </c>
    </row>
    <row r="578">
      <c r="A578" t="inlineStr">
        <is>
          <t>No</t>
        </is>
      </c>
      <c r="B578" t="inlineStr">
        <is>
          <t>HQ1190 .S95 1994</t>
        </is>
      </c>
      <c r="C578" t="inlineStr">
        <is>
          <t>0                      HQ 1190000S  95          1994</t>
        </is>
      </c>
      <c r="D578" t="inlineStr">
        <is>
          <t>Feminist theory and international relations in a postmodern era / Christine Sylvester.</t>
        </is>
      </c>
      <c r="F578" t="inlineStr">
        <is>
          <t>No</t>
        </is>
      </c>
      <c r="G578" t="inlineStr">
        <is>
          <t>1</t>
        </is>
      </c>
      <c r="H578" t="inlineStr">
        <is>
          <t>No</t>
        </is>
      </c>
      <c r="I578" t="inlineStr">
        <is>
          <t>No</t>
        </is>
      </c>
      <c r="J578" t="inlineStr">
        <is>
          <t>0</t>
        </is>
      </c>
      <c r="K578" t="inlineStr">
        <is>
          <t>Sylvester, Christine, 1949-</t>
        </is>
      </c>
      <c r="L578" t="inlineStr">
        <is>
          <t>Cambridge [England] ; New York : Cambridge University Press, 1994.</t>
        </is>
      </c>
      <c r="M578" t="inlineStr">
        <is>
          <t>1994</t>
        </is>
      </c>
      <c r="O578" t="inlineStr">
        <is>
          <t>eng</t>
        </is>
      </c>
      <c r="P578" t="inlineStr">
        <is>
          <t>enk</t>
        </is>
      </c>
      <c r="Q578" t="inlineStr">
        <is>
          <t>Cambridge studies in international relations ; 32</t>
        </is>
      </c>
      <c r="R578" t="inlineStr">
        <is>
          <t xml:space="preserve">HQ </t>
        </is>
      </c>
      <c r="S578" t="n">
        <v>1</v>
      </c>
      <c r="T578" t="n">
        <v>1</v>
      </c>
      <c r="U578" t="inlineStr">
        <is>
          <t>2002-08-23</t>
        </is>
      </c>
      <c r="V578" t="inlineStr">
        <is>
          <t>2002-08-23</t>
        </is>
      </c>
      <c r="W578" t="inlineStr">
        <is>
          <t>1996-12-17</t>
        </is>
      </c>
      <c r="X578" t="inlineStr">
        <is>
          <t>1996-12-17</t>
        </is>
      </c>
      <c r="Y578" t="n">
        <v>678</v>
      </c>
      <c r="Z578" t="n">
        <v>490</v>
      </c>
      <c r="AA578" t="n">
        <v>502</v>
      </c>
      <c r="AB578" t="n">
        <v>5</v>
      </c>
      <c r="AC578" t="n">
        <v>5</v>
      </c>
      <c r="AD578" t="n">
        <v>34</v>
      </c>
      <c r="AE578" t="n">
        <v>34</v>
      </c>
      <c r="AF578" t="n">
        <v>15</v>
      </c>
      <c r="AG578" t="n">
        <v>15</v>
      </c>
      <c r="AH578" t="n">
        <v>8</v>
      </c>
      <c r="AI578" t="n">
        <v>8</v>
      </c>
      <c r="AJ578" t="n">
        <v>14</v>
      </c>
      <c r="AK578" t="n">
        <v>14</v>
      </c>
      <c r="AL578" t="n">
        <v>4</v>
      </c>
      <c r="AM578" t="n">
        <v>4</v>
      </c>
      <c r="AN578" t="n">
        <v>2</v>
      </c>
      <c r="AO578" t="n">
        <v>2</v>
      </c>
      <c r="AP578" t="inlineStr">
        <is>
          <t>No</t>
        </is>
      </c>
      <c r="AQ578" t="inlineStr">
        <is>
          <t>No</t>
        </is>
      </c>
      <c r="AS578">
        <f>HYPERLINK("https://creighton-primo.hosted.exlibrisgroup.com/primo-explore/search?tab=default_tab&amp;search_scope=EVERYTHING&amp;vid=01CRU&amp;lang=en_US&amp;offset=0&amp;query=any,contains,991002185109702656","Catalog Record")</f>
        <v/>
      </c>
      <c r="AT578">
        <f>HYPERLINK("http://www.worldcat.org/oclc/28147533","WorldCat Record")</f>
        <v/>
      </c>
      <c r="AU578" t="inlineStr">
        <is>
          <t>30811924:eng</t>
        </is>
      </c>
      <c r="AV578" t="inlineStr">
        <is>
          <t>28147533</t>
        </is>
      </c>
      <c r="AW578" t="inlineStr">
        <is>
          <t>991002185109702656</t>
        </is>
      </c>
      <c r="AX578" t="inlineStr">
        <is>
          <t>991002185109702656</t>
        </is>
      </c>
      <c r="AY578" t="inlineStr">
        <is>
          <t>2254828840002656</t>
        </is>
      </c>
      <c r="AZ578" t="inlineStr">
        <is>
          <t>BOOK</t>
        </is>
      </c>
      <c r="BB578" t="inlineStr">
        <is>
          <t>9780521393058</t>
        </is>
      </c>
      <c r="BC578" t="inlineStr">
        <is>
          <t>32285002394574</t>
        </is>
      </c>
      <c r="BD578" t="inlineStr">
        <is>
          <t>893597121</t>
        </is>
      </c>
    </row>
    <row r="579">
      <c r="A579" t="inlineStr">
        <is>
          <t>No</t>
        </is>
      </c>
      <c r="B579" t="inlineStr">
        <is>
          <t>HQ1190 .T37 1999</t>
        </is>
      </c>
      <c r="C579" t="inlineStr">
        <is>
          <t>0                      HQ 1190000T  37          1999</t>
        </is>
      </c>
      <c r="D579" t="inlineStr">
        <is>
          <t>An introduction to feminist epistemologies / Alessandra Tanesini.</t>
        </is>
      </c>
      <c r="F579" t="inlineStr">
        <is>
          <t>No</t>
        </is>
      </c>
      <c r="G579" t="inlineStr">
        <is>
          <t>1</t>
        </is>
      </c>
      <c r="H579" t="inlineStr">
        <is>
          <t>No</t>
        </is>
      </c>
      <c r="I579" t="inlineStr">
        <is>
          <t>No</t>
        </is>
      </c>
      <c r="J579" t="inlineStr">
        <is>
          <t>0</t>
        </is>
      </c>
      <c r="K579" t="inlineStr">
        <is>
          <t>Tanesini, Alessandra.</t>
        </is>
      </c>
      <c r="L579" t="inlineStr">
        <is>
          <t>Malden, Mass. : Blackwell Publishers, 1999.</t>
        </is>
      </c>
      <c r="M579" t="inlineStr">
        <is>
          <t>1999</t>
        </is>
      </c>
      <c r="O579" t="inlineStr">
        <is>
          <t>eng</t>
        </is>
      </c>
      <c r="P579" t="inlineStr">
        <is>
          <t>mau</t>
        </is>
      </c>
      <c r="Q579" t="inlineStr">
        <is>
          <t>Introducing philosophy ; 7</t>
        </is>
      </c>
      <c r="R579" t="inlineStr">
        <is>
          <t xml:space="preserve">HQ </t>
        </is>
      </c>
      <c r="S579" t="n">
        <v>4</v>
      </c>
      <c r="T579" t="n">
        <v>4</v>
      </c>
      <c r="U579" t="inlineStr">
        <is>
          <t>2006-03-15</t>
        </is>
      </c>
      <c r="V579" t="inlineStr">
        <is>
          <t>2006-03-15</t>
        </is>
      </c>
      <c r="W579" t="inlineStr">
        <is>
          <t>2002-12-03</t>
        </is>
      </c>
      <c r="X579" t="inlineStr">
        <is>
          <t>2002-12-03</t>
        </is>
      </c>
      <c r="Y579" t="n">
        <v>325</v>
      </c>
      <c r="Z579" t="n">
        <v>208</v>
      </c>
      <c r="AA579" t="n">
        <v>208</v>
      </c>
      <c r="AB579" t="n">
        <v>2</v>
      </c>
      <c r="AC579" t="n">
        <v>2</v>
      </c>
      <c r="AD579" t="n">
        <v>17</v>
      </c>
      <c r="AE579" t="n">
        <v>17</v>
      </c>
      <c r="AF579" t="n">
        <v>6</v>
      </c>
      <c r="AG579" t="n">
        <v>6</v>
      </c>
      <c r="AH579" t="n">
        <v>7</v>
      </c>
      <c r="AI579" t="n">
        <v>7</v>
      </c>
      <c r="AJ579" t="n">
        <v>10</v>
      </c>
      <c r="AK579" t="n">
        <v>10</v>
      </c>
      <c r="AL579" t="n">
        <v>1</v>
      </c>
      <c r="AM579" t="n">
        <v>1</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HYPERLINK("https://creighton-primo.hosted.exlibrisgroup.com/primo-explore/search?tab=default_tab&amp;search_scope=EVERYTHING&amp;vid=01CRU&amp;lang=en_US&amp;offset=0&amp;query=any,contains,991003914189702656","Catalog Record")</f>
        <v/>
      </c>
      <c r="AT579">
        <f>HYPERLINK("http://www.worldcat.org/oclc/39361149","WorldCat Record")</f>
        <v/>
      </c>
      <c r="AU579" t="inlineStr">
        <is>
          <t>914553:eng</t>
        </is>
      </c>
      <c r="AV579" t="inlineStr">
        <is>
          <t>39361149</t>
        </is>
      </c>
      <c r="AW579" t="inlineStr">
        <is>
          <t>991003914189702656</t>
        </is>
      </c>
      <c r="AX579" t="inlineStr">
        <is>
          <t>991003914189702656</t>
        </is>
      </c>
      <c r="AY579" t="inlineStr">
        <is>
          <t>2261103280002656</t>
        </is>
      </c>
      <c r="AZ579" t="inlineStr">
        <is>
          <t>BOOK</t>
        </is>
      </c>
      <c r="BB579" t="inlineStr">
        <is>
          <t>9780631200123</t>
        </is>
      </c>
      <c r="BC579" t="inlineStr">
        <is>
          <t>32285004666383</t>
        </is>
      </c>
      <c r="BD579" t="inlineStr">
        <is>
          <t>893531766</t>
        </is>
      </c>
    </row>
    <row r="580">
      <c r="A580" t="inlineStr">
        <is>
          <t>No</t>
        </is>
      </c>
      <c r="B580" t="inlineStr">
        <is>
          <t>HQ1190 .T48 1993</t>
        </is>
      </c>
      <c r="C580" t="inlineStr">
        <is>
          <t>0                      HQ 1190000T  48          1993</t>
        </is>
      </c>
      <c r="D580" t="inlineStr">
        <is>
          <t>Theory on gender/feminism on theory / Paula England, editor.</t>
        </is>
      </c>
      <c r="F580" t="inlineStr">
        <is>
          <t>No</t>
        </is>
      </c>
      <c r="G580" t="inlineStr">
        <is>
          <t>1</t>
        </is>
      </c>
      <c r="H580" t="inlineStr">
        <is>
          <t>No</t>
        </is>
      </c>
      <c r="I580" t="inlineStr">
        <is>
          <t>No</t>
        </is>
      </c>
      <c r="J580" t="inlineStr">
        <is>
          <t>0</t>
        </is>
      </c>
      <c r="L580" t="inlineStr">
        <is>
          <t>New York : A. de Gruyter, c1993.</t>
        </is>
      </c>
      <c r="M580" t="inlineStr">
        <is>
          <t>1993</t>
        </is>
      </c>
      <c r="O580" t="inlineStr">
        <is>
          <t>eng</t>
        </is>
      </c>
      <c r="P580" t="inlineStr">
        <is>
          <t>nyu</t>
        </is>
      </c>
      <c r="Q580" t="inlineStr">
        <is>
          <t>Social institutions and social change</t>
        </is>
      </c>
      <c r="R580" t="inlineStr">
        <is>
          <t xml:space="preserve">HQ </t>
        </is>
      </c>
      <c r="S580" t="n">
        <v>1</v>
      </c>
      <c r="T580" t="n">
        <v>1</v>
      </c>
      <c r="U580" t="inlineStr">
        <is>
          <t>2007-12-01</t>
        </is>
      </c>
      <c r="V580" t="inlineStr">
        <is>
          <t>2007-12-01</t>
        </is>
      </c>
      <c r="W580" t="inlineStr">
        <is>
          <t>1994-03-11</t>
        </is>
      </c>
      <c r="X580" t="inlineStr">
        <is>
          <t>1994-03-11</t>
        </is>
      </c>
      <c r="Y580" t="n">
        <v>665</v>
      </c>
      <c r="Z580" t="n">
        <v>527</v>
      </c>
      <c r="AA580" t="n">
        <v>527</v>
      </c>
      <c r="AB580" t="n">
        <v>4</v>
      </c>
      <c r="AC580" t="n">
        <v>4</v>
      </c>
      <c r="AD580" t="n">
        <v>30</v>
      </c>
      <c r="AE580" t="n">
        <v>30</v>
      </c>
      <c r="AF580" t="n">
        <v>13</v>
      </c>
      <c r="AG580" t="n">
        <v>13</v>
      </c>
      <c r="AH580" t="n">
        <v>7</v>
      </c>
      <c r="AI580" t="n">
        <v>7</v>
      </c>
      <c r="AJ580" t="n">
        <v>15</v>
      </c>
      <c r="AK580" t="n">
        <v>15</v>
      </c>
      <c r="AL580" t="n">
        <v>3</v>
      </c>
      <c r="AM580" t="n">
        <v>3</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HYPERLINK("https://creighton-primo.hosted.exlibrisgroup.com/primo-explore/search?tab=default_tab&amp;search_scope=EVERYTHING&amp;vid=01CRU&amp;lang=en_US&amp;offset=0&amp;query=any,contains,991002066129702656","Catalog Record")</f>
        <v/>
      </c>
      <c r="AT580">
        <f>HYPERLINK("http://www.worldcat.org/oclc/26404456","WorldCat Record")</f>
        <v/>
      </c>
      <c r="AU580" t="inlineStr">
        <is>
          <t>28659389:eng</t>
        </is>
      </c>
      <c r="AV580" t="inlineStr">
        <is>
          <t>26404456</t>
        </is>
      </c>
      <c r="AW580" t="inlineStr">
        <is>
          <t>991002066129702656</t>
        </is>
      </c>
      <c r="AX580" t="inlineStr">
        <is>
          <t>991002066129702656</t>
        </is>
      </c>
      <c r="AY580" t="inlineStr">
        <is>
          <t>2259890890002656</t>
        </is>
      </c>
      <c r="AZ580" t="inlineStr">
        <is>
          <t>BOOK</t>
        </is>
      </c>
      <c r="BB580" t="inlineStr">
        <is>
          <t>9780202304373</t>
        </is>
      </c>
      <c r="BC580" t="inlineStr">
        <is>
          <t>32285001844918</t>
        </is>
      </c>
      <c r="BD580" t="inlineStr">
        <is>
          <t>893691175</t>
        </is>
      </c>
    </row>
    <row r="581">
      <c r="A581" t="inlineStr">
        <is>
          <t>No</t>
        </is>
      </c>
      <c r="B581" t="inlineStr">
        <is>
          <t>HQ1190 .T83 1992</t>
        </is>
      </c>
      <c r="C581" t="inlineStr">
        <is>
          <t>0                      HQ 1190000T  83          1992</t>
        </is>
      </c>
      <c r="D581" t="inlineStr">
        <is>
          <t>Woman and the history of philosophy / Nancy Tuana.</t>
        </is>
      </c>
      <c r="F581" t="inlineStr">
        <is>
          <t>No</t>
        </is>
      </c>
      <c r="G581" t="inlineStr">
        <is>
          <t>1</t>
        </is>
      </c>
      <c r="H581" t="inlineStr">
        <is>
          <t>No</t>
        </is>
      </c>
      <c r="I581" t="inlineStr">
        <is>
          <t>No</t>
        </is>
      </c>
      <c r="J581" t="inlineStr">
        <is>
          <t>0</t>
        </is>
      </c>
      <c r="K581" t="inlineStr">
        <is>
          <t>Tuana, Nancy.</t>
        </is>
      </c>
      <c r="L581" t="inlineStr">
        <is>
          <t>New York, N.Y. : Paragon House, 1992.</t>
        </is>
      </c>
      <c r="M581" t="inlineStr">
        <is>
          <t>1992</t>
        </is>
      </c>
      <c r="N581" t="inlineStr">
        <is>
          <t>1st ed.</t>
        </is>
      </c>
      <c r="O581" t="inlineStr">
        <is>
          <t>eng</t>
        </is>
      </c>
      <c r="P581" t="inlineStr">
        <is>
          <t>nyu</t>
        </is>
      </c>
      <c r="Q581" t="inlineStr">
        <is>
          <t>Paragon issues in philosophy</t>
        </is>
      </c>
      <c r="R581" t="inlineStr">
        <is>
          <t xml:space="preserve">HQ </t>
        </is>
      </c>
      <c r="S581" t="n">
        <v>10</v>
      </c>
      <c r="T581" t="n">
        <v>10</v>
      </c>
      <c r="U581" t="inlineStr">
        <is>
          <t>2002-04-18</t>
        </is>
      </c>
      <c r="V581" t="inlineStr">
        <is>
          <t>2002-04-18</t>
        </is>
      </c>
      <c r="W581" t="inlineStr">
        <is>
          <t>1992-12-01</t>
        </is>
      </c>
      <c r="X581" t="inlineStr">
        <is>
          <t>1992-12-01</t>
        </is>
      </c>
      <c r="Y581" t="n">
        <v>496</v>
      </c>
      <c r="Z581" t="n">
        <v>421</v>
      </c>
      <c r="AA581" t="n">
        <v>423</v>
      </c>
      <c r="AB581" t="n">
        <v>4</v>
      </c>
      <c r="AC581" t="n">
        <v>4</v>
      </c>
      <c r="AD581" t="n">
        <v>26</v>
      </c>
      <c r="AE581" t="n">
        <v>26</v>
      </c>
      <c r="AF581" t="n">
        <v>10</v>
      </c>
      <c r="AG581" t="n">
        <v>10</v>
      </c>
      <c r="AH581" t="n">
        <v>7</v>
      </c>
      <c r="AI581" t="n">
        <v>7</v>
      </c>
      <c r="AJ581" t="n">
        <v>14</v>
      </c>
      <c r="AK581" t="n">
        <v>14</v>
      </c>
      <c r="AL581" t="n">
        <v>3</v>
      </c>
      <c r="AM581" t="n">
        <v>3</v>
      </c>
      <c r="AN581" t="n">
        <v>0</v>
      </c>
      <c r="AO581" t="n">
        <v>0</v>
      </c>
      <c r="AP581" t="inlineStr">
        <is>
          <t>No</t>
        </is>
      </c>
      <c r="AQ581" t="inlineStr">
        <is>
          <t>Yes</t>
        </is>
      </c>
      <c r="AR581">
        <f>HYPERLINK("http://catalog.hathitrust.org/Record/002710084","HathiTrust Record")</f>
        <v/>
      </c>
      <c r="AS581">
        <f>HYPERLINK("https://creighton-primo.hosted.exlibrisgroup.com/primo-explore/search?tab=default_tab&amp;search_scope=EVERYTHING&amp;vid=01CRU&amp;lang=en_US&amp;offset=0&amp;query=any,contains,991001886939702656","Catalog Record")</f>
        <v/>
      </c>
      <c r="AT581">
        <f>HYPERLINK("http://www.worldcat.org/oclc/23768177","WorldCat Record")</f>
        <v/>
      </c>
      <c r="AU581" t="inlineStr">
        <is>
          <t>25075861:eng</t>
        </is>
      </c>
      <c r="AV581" t="inlineStr">
        <is>
          <t>23768177</t>
        </is>
      </c>
      <c r="AW581" t="inlineStr">
        <is>
          <t>991001886939702656</t>
        </is>
      </c>
      <c r="AX581" t="inlineStr">
        <is>
          <t>991001886939702656</t>
        </is>
      </c>
      <c r="AY581" t="inlineStr">
        <is>
          <t>2269734420002656</t>
        </is>
      </c>
      <c r="AZ581" t="inlineStr">
        <is>
          <t>BOOK</t>
        </is>
      </c>
      <c r="BB581" t="inlineStr">
        <is>
          <t>9781557781949</t>
        </is>
      </c>
      <c r="BC581" t="inlineStr">
        <is>
          <t>32285001400992</t>
        </is>
      </c>
      <c r="BD581" t="inlineStr">
        <is>
          <t>893602959</t>
        </is>
      </c>
    </row>
    <row r="582">
      <c r="A582" t="inlineStr">
        <is>
          <t>No</t>
        </is>
      </c>
      <c r="B582" t="inlineStr">
        <is>
          <t>HQ1190 .W43 1998</t>
        </is>
      </c>
      <c r="C582" t="inlineStr">
        <is>
          <t>0                      HQ 1190000W  43          1998</t>
        </is>
      </c>
      <c r="D582" t="inlineStr">
        <is>
          <t>Constituting feminist subjects / Kathi Weeks.</t>
        </is>
      </c>
      <c r="F582" t="inlineStr">
        <is>
          <t>No</t>
        </is>
      </c>
      <c r="G582" t="inlineStr">
        <is>
          <t>1</t>
        </is>
      </c>
      <c r="H582" t="inlineStr">
        <is>
          <t>No</t>
        </is>
      </c>
      <c r="I582" t="inlineStr">
        <is>
          <t>No</t>
        </is>
      </c>
      <c r="J582" t="inlineStr">
        <is>
          <t>0</t>
        </is>
      </c>
      <c r="K582" t="inlineStr">
        <is>
          <t>Weeks, Kathi, 1958-</t>
        </is>
      </c>
      <c r="L582" t="inlineStr">
        <is>
          <t>Ithaca, NY : Cornell University Press, 1998.</t>
        </is>
      </c>
      <c r="M582" t="inlineStr">
        <is>
          <t>1998</t>
        </is>
      </c>
      <c r="O582" t="inlineStr">
        <is>
          <t>eng</t>
        </is>
      </c>
      <c r="P582" t="inlineStr">
        <is>
          <t>nyu</t>
        </is>
      </c>
      <c r="R582" t="inlineStr">
        <is>
          <t xml:space="preserve">HQ </t>
        </is>
      </c>
      <c r="S582" t="n">
        <v>5</v>
      </c>
      <c r="T582" t="n">
        <v>5</v>
      </c>
      <c r="U582" t="inlineStr">
        <is>
          <t>2005-11-10</t>
        </is>
      </c>
      <c r="V582" t="inlineStr">
        <is>
          <t>2005-11-10</t>
        </is>
      </c>
      <c r="W582" t="inlineStr">
        <is>
          <t>1999-01-18</t>
        </is>
      </c>
      <c r="X582" t="inlineStr">
        <is>
          <t>1999-01-18</t>
        </is>
      </c>
      <c r="Y582" t="n">
        <v>375</v>
      </c>
      <c r="Z582" t="n">
        <v>316</v>
      </c>
      <c r="AA582" t="n">
        <v>349</v>
      </c>
      <c r="AB582" t="n">
        <v>2</v>
      </c>
      <c r="AC582" t="n">
        <v>2</v>
      </c>
      <c r="AD582" t="n">
        <v>20</v>
      </c>
      <c r="AE582" t="n">
        <v>22</v>
      </c>
      <c r="AF582" t="n">
        <v>10</v>
      </c>
      <c r="AG582" t="n">
        <v>11</v>
      </c>
      <c r="AH582" t="n">
        <v>7</v>
      </c>
      <c r="AI582" t="n">
        <v>7</v>
      </c>
      <c r="AJ582" t="n">
        <v>10</v>
      </c>
      <c r="AK582" t="n">
        <v>11</v>
      </c>
      <c r="AL582" t="n">
        <v>1</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HYPERLINK("https://creighton-primo.hosted.exlibrisgroup.com/primo-explore/search?tab=default_tab&amp;search_scope=EVERYTHING&amp;vid=01CRU&amp;lang=en_US&amp;offset=0&amp;query=any,contains,991002895639702656","Catalog Record")</f>
        <v/>
      </c>
      <c r="AT582">
        <f>HYPERLINK("http://www.worldcat.org/oclc/38144440","WorldCat Record")</f>
        <v/>
      </c>
      <c r="AU582" t="inlineStr">
        <is>
          <t>610021:eng</t>
        </is>
      </c>
      <c r="AV582" t="inlineStr">
        <is>
          <t>38144440</t>
        </is>
      </c>
      <c r="AW582" t="inlineStr">
        <is>
          <t>991002895639702656</t>
        </is>
      </c>
      <c r="AX582" t="inlineStr">
        <is>
          <t>991002895639702656</t>
        </is>
      </c>
      <c r="AY582" t="inlineStr">
        <is>
          <t>2263414190002656</t>
        </is>
      </c>
      <c r="AZ582" t="inlineStr">
        <is>
          <t>BOOK</t>
        </is>
      </c>
      <c r="BB582" t="inlineStr">
        <is>
          <t>9780801434273</t>
        </is>
      </c>
      <c r="BC582" t="inlineStr">
        <is>
          <t>32285003512992</t>
        </is>
      </c>
      <c r="BD582" t="inlineStr">
        <is>
          <t>893415780</t>
        </is>
      </c>
    </row>
    <row r="583">
      <c r="A583" t="inlineStr">
        <is>
          <t>No</t>
        </is>
      </c>
      <c r="B583" t="inlineStr">
        <is>
          <t>HQ1190 .W46 1996</t>
        </is>
      </c>
      <c r="C583" t="inlineStr">
        <is>
          <t>0                      HQ 1190000W  46          1996</t>
        </is>
      </c>
      <c r="D583" t="inlineStr">
        <is>
          <t>Sacrificial logics : feminist theory and the critique of identity / Allison Weir.</t>
        </is>
      </c>
      <c r="F583" t="inlineStr">
        <is>
          <t>No</t>
        </is>
      </c>
      <c r="G583" t="inlineStr">
        <is>
          <t>1</t>
        </is>
      </c>
      <c r="H583" t="inlineStr">
        <is>
          <t>No</t>
        </is>
      </c>
      <c r="I583" t="inlineStr">
        <is>
          <t>No</t>
        </is>
      </c>
      <c r="J583" t="inlineStr">
        <is>
          <t>0</t>
        </is>
      </c>
      <c r="K583" t="inlineStr">
        <is>
          <t>Weir, Allison.</t>
        </is>
      </c>
      <c r="L583" t="inlineStr">
        <is>
          <t>New York : Routledge, 1996.</t>
        </is>
      </c>
      <c r="M583" t="inlineStr">
        <is>
          <t>1996</t>
        </is>
      </c>
      <c r="O583" t="inlineStr">
        <is>
          <t>eng</t>
        </is>
      </c>
      <c r="P583" t="inlineStr">
        <is>
          <t>nyu</t>
        </is>
      </c>
      <c r="Q583" t="inlineStr">
        <is>
          <t>Thinking gender</t>
        </is>
      </c>
      <c r="R583" t="inlineStr">
        <is>
          <t xml:space="preserve">HQ </t>
        </is>
      </c>
      <c r="S583" t="n">
        <v>4</v>
      </c>
      <c r="T583" t="n">
        <v>4</v>
      </c>
      <c r="U583" t="inlineStr">
        <is>
          <t>2002-03-20</t>
        </is>
      </c>
      <c r="V583" t="inlineStr">
        <is>
          <t>2002-03-20</t>
        </is>
      </c>
      <c r="W583" t="inlineStr">
        <is>
          <t>1996-04-16</t>
        </is>
      </c>
      <c r="X583" t="inlineStr">
        <is>
          <t>1996-04-16</t>
        </is>
      </c>
      <c r="Y583" t="n">
        <v>354</v>
      </c>
      <c r="Z583" t="n">
        <v>230</v>
      </c>
      <c r="AA583" t="n">
        <v>258</v>
      </c>
      <c r="AB583" t="n">
        <v>2</v>
      </c>
      <c r="AC583" t="n">
        <v>2</v>
      </c>
      <c r="AD583" t="n">
        <v>16</v>
      </c>
      <c r="AE583" t="n">
        <v>16</v>
      </c>
      <c r="AF583" t="n">
        <v>4</v>
      </c>
      <c r="AG583" t="n">
        <v>4</v>
      </c>
      <c r="AH583" t="n">
        <v>6</v>
      </c>
      <c r="AI583" t="n">
        <v>6</v>
      </c>
      <c r="AJ583" t="n">
        <v>8</v>
      </c>
      <c r="AK583" t="n">
        <v>8</v>
      </c>
      <c r="AL583" t="n">
        <v>1</v>
      </c>
      <c r="AM583" t="n">
        <v>1</v>
      </c>
      <c r="AN583" t="n">
        <v>0</v>
      </c>
      <c r="AO583" t="n">
        <v>0</v>
      </c>
      <c r="AP583" t="inlineStr">
        <is>
          <t>No</t>
        </is>
      </c>
      <c r="AQ583" t="inlineStr">
        <is>
          <t>Yes</t>
        </is>
      </c>
      <c r="AR583">
        <f>HYPERLINK("http://catalog.hathitrust.org/Record/003041474","HathiTrust Record")</f>
        <v/>
      </c>
      <c r="AS583">
        <f>HYPERLINK("https://creighton-primo.hosted.exlibrisgroup.com/primo-explore/search?tab=default_tab&amp;search_scope=EVERYTHING&amp;vid=01CRU&amp;lang=en_US&amp;offset=0&amp;query=any,contains,991005420719702656","Catalog Record")</f>
        <v/>
      </c>
      <c r="AT583">
        <f>HYPERLINK("http://www.worldcat.org/oclc/32168286","WorldCat Record")</f>
        <v/>
      </c>
      <c r="AU583" t="inlineStr">
        <is>
          <t>34068411:eng</t>
        </is>
      </c>
      <c r="AV583" t="inlineStr">
        <is>
          <t>32168286</t>
        </is>
      </c>
      <c r="AW583" t="inlineStr">
        <is>
          <t>991005420719702656</t>
        </is>
      </c>
      <c r="AX583" t="inlineStr">
        <is>
          <t>991005420719702656</t>
        </is>
      </c>
      <c r="AY583" t="inlineStr">
        <is>
          <t>2262380430002656</t>
        </is>
      </c>
      <c r="AZ583" t="inlineStr">
        <is>
          <t>BOOK</t>
        </is>
      </c>
      <c r="BB583" t="inlineStr">
        <is>
          <t>9780415908627</t>
        </is>
      </c>
      <c r="BC583" t="inlineStr">
        <is>
          <t>32285002153319</t>
        </is>
      </c>
      <c r="BD583" t="inlineStr">
        <is>
          <t>893783657</t>
        </is>
      </c>
    </row>
    <row r="584">
      <c r="A584" t="inlineStr">
        <is>
          <t>No</t>
        </is>
      </c>
      <c r="B584" t="inlineStr">
        <is>
          <t>HQ1190 .W464 1998</t>
        </is>
      </c>
      <c r="C584" t="inlineStr">
        <is>
          <t>0                      HQ 1190000W  464         1998</t>
        </is>
      </c>
      <c r="D584" t="inlineStr">
        <is>
          <t>Conversations with feminism : political theory and practice / Penny A. Weiss.</t>
        </is>
      </c>
      <c r="F584" t="inlineStr">
        <is>
          <t>No</t>
        </is>
      </c>
      <c r="G584" t="inlineStr">
        <is>
          <t>1</t>
        </is>
      </c>
      <c r="H584" t="inlineStr">
        <is>
          <t>No</t>
        </is>
      </c>
      <c r="I584" t="inlineStr">
        <is>
          <t>No</t>
        </is>
      </c>
      <c r="J584" t="inlineStr">
        <is>
          <t>0</t>
        </is>
      </c>
      <c r="K584" t="inlineStr">
        <is>
          <t>Weiss, Penny A.</t>
        </is>
      </c>
      <c r="L584" t="inlineStr">
        <is>
          <t>Lanham : Rowman &amp; Littlefield, c1998.</t>
        </is>
      </c>
      <c r="M584" t="inlineStr">
        <is>
          <t>1998</t>
        </is>
      </c>
      <c r="O584" t="inlineStr">
        <is>
          <t>eng</t>
        </is>
      </c>
      <c r="P584" t="inlineStr">
        <is>
          <t>mdu</t>
        </is>
      </c>
      <c r="R584" t="inlineStr">
        <is>
          <t xml:space="preserve">HQ </t>
        </is>
      </c>
      <c r="S584" t="n">
        <v>1</v>
      </c>
      <c r="T584" t="n">
        <v>1</v>
      </c>
      <c r="U584" t="inlineStr">
        <is>
          <t>2008-10-16</t>
        </is>
      </c>
      <c r="V584" t="inlineStr">
        <is>
          <t>2008-10-16</t>
        </is>
      </c>
      <c r="W584" t="inlineStr">
        <is>
          <t>1999-07-27</t>
        </is>
      </c>
      <c r="X584" t="inlineStr">
        <is>
          <t>1999-07-27</t>
        </is>
      </c>
      <c r="Y584" t="n">
        <v>262</v>
      </c>
      <c r="Z584" t="n">
        <v>221</v>
      </c>
      <c r="AA584" t="n">
        <v>241</v>
      </c>
      <c r="AB584" t="n">
        <v>2</v>
      </c>
      <c r="AC584" t="n">
        <v>2</v>
      </c>
      <c r="AD584" t="n">
        <v>13</v>
      </c>
      <c r="AE584" t="n">
        <v>15</v>
      </c>
      <c r="AF584" t="n">
        <v>4</v>
      </c>
      <c r="AG584" t="n">
        <v>6</v>
      </c>
      <c r="AH584" t="n">
        <v>4</v>
      </c>
      <c r="AI584" t="n">
        <v>5</v>
      </c>
      <c r="AJ584" t="n">
        <v>8</v>
      </c>
      <c r="AK584" t="n">
        <v>8</v>
      </c>
      <c r="AL584" t="n">
        <v>1</v>
      </c>
      <c r="AM584" t="n">
        <v>1</v>
      </c>
      <c r="AN584" t="n">
        <v>0</v>
      </c>
      <c r="AO584" t="n">
        <v>0</v>
      </c>
      <c r="AP584" t="inlineStr">
        <is>
          <t>No</t>
        </is>
      </c>
      <c r="AQ584" t="inlineStr">
        <is>
          <t>Yes</t>
        </is>
      </c>
      <c r="AR584">
        <f>HYPERLINK("http://catalog.hathitrust.org/Record/003973177","HathiTrust Record")</f>
        <v/>
      </c>
      <c r="AS584">
        <f>HYPERLINK("https://creighton-primo.hosted.exlibrisgroup.com/primo-explore/search?tab=default_tab&amp;search_scope=EVERYTHING&amp;vid=01CRU&amp;lang=en_US&amp;offset=0&amp;query=any,contains,991002837169702656","Catalog Record")</f>
        <v/>
      </c>
      <c r="AT584">
        <f>HYPERLINK("http://www.worldcat.org/oclc/37368694","WorldCat Record")</f>
        <v/>
      </c>
      <c r="AU584" t="inlineStr">
        <is>
          <t>198604552:eng</t>
        </is>
      </c>
      <c r="AV584" t="inlineStr">
        <is>
          <t>37368694</t>
        </is>
      </c>
      <c r="AW584" t="inlineStr">
        <is>
          <t>991002837169702656</t>
        </is>
      </c>
      <c r="AX584" t="inlineStr">
        <is>
          <t>991002837169702656</t>
        </is>
      </c>
      <c r="AY584" t="inlineStr">
        <is>
          <t>2261803930002656</t>
        </is>
      </c>
      <c r="AZ584" t="inlineStr">
        <is>
          <t>BOOK</t>
        </is>
      </c>
      <c r="BB584" t="inlineStr">
        <is>
          <t>9780847688111</t>
        </is>
      </c>
      <c r="BC584" t="inlineStr">
        <is>
          <t>32285003579264</t>
        </is>
      </c>
      <c r="BD584" t="inlineStr">
        <is>
          <t>893704588</t>
        </is>
      </c>
    </row>
    <row r="585">
      <c r="A585" t="inlineStr">
        <is>
          <t>No</t>
        </is>
      </c>
      <c r="B585" t="inlineStr">
        <is>
          <t>HQ1190 .W48 1991</t>
        </is>
      </c>
      <c r="C585" t="inlineStr">
        <is>
          <t>0                      HQ 1190000W  48          1991</t>
        </is>
      </c>
      <c r="D585" t="inlineStr">
        <is>
          <t>Luce Irigaray : philosophy in the feminine / Margaret Whitford.</t>
        </is>
      </c>
      <c r="F585" t="inlineStr">
        <is>
          <t>No</t>
        </is>
      </c>
      <c r="G585" t="inlineStr">
        <is>
          <t>1</t>
        </is>
      </c>
      <c r="H585" t="inlineStr">
        <is>
          <t>No</t>
        </is>
      </c>
      <c r="I585" t="inlineStr">
        <is>
          <t>No</t>
        </is>
      </c>
      <c r="J585" t="inlineStr">
        <is>
          <t>0</t>
        </is>
      </c>
      <c r="K585" t="inlineStr">
        <is>
          <t>Whitford, Margaret.</t>
        </is>
      </c>
      <c r="L585" t="inlineStr">
        <is>
          <t>London ; New York : Routledge, 1991.</t>
        </is>
      </c>
      <c r="M585" t="inlineStr">
        <is>
          <t>1991</t>
        </is>
      </c>
      <c r="O585" t="inlineStr">
        <is>
          <t>eng</t>
        </is>
      </c>
      <c r="P585" t="inlineStr">
        <is>
          <t>enk</t>
        </is>
      </c>
      <c r="R585" t="inlineStr">
        <is>
          <t xml:space="preserve">HQ </t>
        </is>
      </c>
      <c r="S585" t="n">
        <v>12</v>
      </c>
      <c r="T585" t="n">
        <v>12</v>
      </c>
      <c r="U585" t="inlineStr">
        <is>
          <t>2006-12-09</t>
        </is>
      </c>
      <c r="V585" t="inlineStr">
        <is>
          <t>2006-12-09</t>
        </is>
      </c>
      <c r="W585" t="inlineStr">
        <is>
          <t>1992-10-08</t>
        </is>
      </c>
      <c r="X585" t="inlineStr">
        <is>
          <t>1992-10-08</t>
        </is>
      </c>
      <c r="Y585" t="n">
        <v>600</v>
      </c>
      <c r="Z585" t="n">
        <v>384</v>
      </c>
      <c r="AA585" t="n">
        <v>412</v>
      </c>
      <c r="AB585" t="n">
        <v>3</v>
      </c>
      <c r="AC585" t="n">
        <v>3</v>
      </c>
      <c r="AD585" t="n">
        <v>23</v>
      </c>
      <c r="AE585" t="n">
        <v>23</v>
      </c>
      <c r="AF585" t="n">
        <v>9</v>
      </c>
      <c r="AG585" t="n">
        <v>9</v>
      </c>
      <c r="AH585" t="n">
        <v>8</v>
      </c>
      <c r="AI585" t="n">
        <v>8</v>
      </c>
      <c r="AJ585" t="n">
        <v>12</v>
      </c>
      <c r="AK585" t="n">
        <v>12</v>
      </c>
      <c r="AL585" t="n">
        <v>2</v>
      </c>
      <c r="AM585" t="n">
        <v>2</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HYPERLINK("https://creighton-primo.hosted.exlibrisgroup.com/primo-explore/search?tab=default_tab&amp;search_scope=EVERYTHING&amp;vid=01CRU&amp;lang=en_US&amp;offset=0&amp;query=any,contains,991001736299702656","Catalog Record")</f>
        <v/>
      </c>
      <c r="AT585">
        <f>HYPERLINK("http://www.worldcat.org/oclc/21972480","WorldCat Record")</f>
        <v/>
      </c>
      <c r="AU585" t="inlineStr">
        <is>
          <t>18071062:eng</t>
        </is>
      </c>
      <c r="AV585" t="inlineStr">
        <is>
          <t>21972480</t>
        </is>
      </c>
      <c r="AW585" t="inlineStr">
        <is>
          <t>991001736299702656</t>
        </is>
      </c>
      <c r="AX585" t="inlineStr">
        <is>
          <t>991001736299702656</t>
        </is>
      </c>
      <c r="AY585" t="inlineStr">
        <is>
          <t>2268345090002656</t>
        </is>
      </c>
      <c r="AZ585" t="inlineStr">
        <is>
          <t>BOOK</t>
        </is>
      </c>
      <c r="BB585" t="inlineStr">
        <is>
          <t>9780415059695</t>
        </is>
      </c>
      <c r="BC585" t="inlineStr">
        <is>
          <t>32285001316453</t>
        </is>
      </c>
      <c r="BD585" t="inlineStr">
        <is>
          <t>893232209</t>
        </is>
      </c>
    </row>
    <row r="586">
      <c r="A586" t="inlineStr">
        <is>
          <t>No</t>
        </is>
      </c>
      <c r="B586" t="inlineStr">
        <is>
          <t>HQ1190 .W655 2000</t>
        </is>
      </c>
      <c r="C586" t="inlineStr">
        <is>
          <t>0                      HQ 1190000W  655         2000</t>
        </is>
      </c>
      <c r="D586" t="inlineStr">
        <is>
          <t>Women and men political theorists : enlightened conversations / edited and with critical introductions by Kristin Waters.</t>
        </is>
      </c>
      <c r="F586" t="inlineStr">
        <is>
          <t>No</t>
        </is>
      </c>
      <c r="G586" t="inlineStr">
        <is>
          <t>1</t>
        </is>
      </c>
      <c r="H586" t="inlineStr">
        <is>
          <t>No</t>
        </is>
      </c>
      <c r="I586" t="inlineStr">
        <is>
          <t>No</t>
        </is>
      </c>
      <c r="J586" t="inlineStr">
        <is>
          <t>0</t>
        </is>
      </c>
      <c r="L586" t="inlineStr">
        <is>
          <t>Malden, Mass. : Blackwell Publishers, 2000.</t>
        </is>
      </c>
      <c r="M586" t="inlineStr">
        <is>
          <t>2000</t>
        </is>
      </c>
      <c r="O586" t="inlineStr">
        <is>
          <t>eng</t>
        </is>
      </c>
      <c r="P586" t="inlineStr">
        <is>
          <t>mau</t>
        </is>
      </c>
      <c r="R586" t="inlineStr">
        <is>
          <t xml:space="preserve">HQ </t>
        </is>
      </c>
      <c r="S586" t="n">
        <v>7</v>
      </c>
      <c r="T586" t="n">
        <v>7</v>
      </c>
      <c r="U586" t="inlineStr">
        <is>
          <t>2007-11-26</t>
        </is>
      </c>
      <c r="V586" t="inlineStr">
        <is>
          <t>2007-11-26</t>
        </is>
      </c>
      <c r="W586" t="inlineStr">
        <is>
          <t>2000-11-16</t>
        </is>
      </c>
      <c r="X586" t="inlineStr">
        <is>
          <t>2000-11-16</t>
        </is>
      </c>
      <c r="Y586" t="n">
        <v>250</v>
      </c>
      <c r="Z586" t="n">
        <v>177</v>
      </c>
      <c r="AA586" t="n">
        <v>177</v>
      </c>
      <c r="AB586" t="n">
        <v>3</v>
      </c>
      <c r="AC586" t="n">
        <v>3</v>
      </c>
      <c r="AD586" t="n">
        <v>15</v>
      </c>
      <c r="AE586" t="n">
        <v>15</v>
      </c>
      <c r="AF586" t="n">
        <v>6</v>
      </c>
      <c r="AG586" t="n">
        <v>6</v>
      </c>
      <c r="AH586" t="n">
        <v>5</v>
      </c>
      <c r="AI586" t="n">
        <v>5</v>
      </c>
      <c r="AJ586" t="n">
        <v>8</v>
      </c>
      <c r="AK586" t="n">
        <v>8</v>
      </c>
      <c r="AL586" t="n">
        <v>2</v>
      </c>
      <c r="AM586" t="n">
        <v>2</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HYPERLINK("https://creighton-primo.hosted.exlibrisgroup.com/primo-explore/search?tab=default_tab&amp;search_scope=EVERYTHING&amp;vid=01CRU&amp;lang=en_US&amp;offset=0&amp;query=any,contains,991003298239702656","Catalog Record")</f>
        <v/>
      </c>
      <c r="AT586">
        <f>HYPERLINK("http://www.worldcat.org/oclc/42476681","WorldCat Record")</f>
        <v/>
      </c>
      <c r="AU586" t="inlineStr">
        <is>
          <t>836974986:eng</t>
        </is>
      </c>
      <c r="AV586" t="inlineStr">
        <is>
          <t>42476681</t>
        </is>
      </c>
      <c r="AW586" t="inlineStr">
        <is>
          <t>991003298239702656</t>
        </is>
      </c>
      <c r="AX586" t="inlineStr">
        <is>
          <t>991003298239702656</t>
        </is>
      </c>
      <c r="AY586" t="inlineStr">
        <is>
          <t>2262265060002656</t>
        </is>
      </c>
      <c r="AZ586" t="inlineStr">
        <is>
          <t>BOOK</t>
        </is>
      </c>
      <c r="BB586" t="inlineStr">
        <is>
          <t>9780631209799</t>
        </is>
      </c>
      <c r="BC586" t="inlineStr">
        <is>
          <t>32285004266432</t>
        </is>
      </c>
      <c r="BD586" t="inlineStr">
        <is>
          <t>893805639</t>
        </is>
      </c>
    </row>
    <row r="587">
      <c r="A587" t="inlineStr">
        <is>
          <t>No</t>
        </is>
      </c>
      <c r="B587" t="inlineStr">
        <is>
          <t>HQ1190 .W687 1995</t>
        </is>
      </c>
      <c r="C587" t="inlineStr">
        <is>
          <t>0                      HQ 1190000W  687         1995</t>
        </is>
      </c>
      <c r="D587" t="inlineStr">
        <is>
          <t>Women in world politics : an introduction / edited by Francine D'Amico and Peter R. Beckman.</t>
        </is>
      </c>
      <c r="F587" t="inlineStr">
        <is>
          <t>No</t>
        </is>
      </c>
      <c r="G587" t="inlineStr">
        <is>
          <t>1</t>
        </is>
      </c>
      <c r="H587" t="inlineStr">
        <is>
          <t>No</t>
        </is>
      </c>
      <c r="I587" t="inlineStr">
        <is>
          <t>No</t>
        </is>
      </c>
      <c r="J587" t="inlineStr">
        <is>
          <t>0</t>
        </is>
      </c>
      <c r="L587" t="inlineStr">
        <is>
          <t>Westport, Conn. : Bergin &amp; Garvey, 1995.</t>
        </is>
      </c>
      <c r="M587" t="inlineStr">
        <is>
          <t>1995</t>
        </is>
      </c>
      <c r="O587" t="inlineStr">
        <is>
          <t>eng</t>
        </is>
      </c>
      <c r="P587" t="inlineStr">
        <is>
          <t>ctu</t>
        </is>
      </c>
      <c r="R587" t="inlineStr">
        <is>
          <t xml:space="preserve">HQ </t>
        </is>
      </c>
      <c r="S587" t="n">
        <v>12</v>
      </c>
      <c r="T587" t="n">
        <v>12</v>
      </c>
      <c r="U587" t="inlineStr">
        <is>
          <t>2007-10-05</t>
        </is>
      </c>
      <c r="V587" t="inlineStr">
        <is>
          <t>2007-10-05</t>
        </is>
      </c>
      <c r="W587" t="inlineStr">
        <is>
          <t>1995-05-01</t>
        </is>
      </c>
      <c r="X587" t="inlineStr">
        <is>
          <t>1995-05-01</t>
        </is>
      </c>
      <c r="Y587" t="n">
        <v>503</v>
      </c>
      <c r="Z587" t="n">
        <v>398</v>
      </c>
      <c r="AA587" t="n">
        <v>405</v>
      </c>
      <c r="AB587" t="n">
        <v>4</v>
      </c>
      <c r="AC587" t="n">
        <v>4</v>
      </c>
      <c r="AD587" t="n">
        <v>21</v>
      </c>
      <c r="AE587" t="n">
        <v>21</v>
      </c>
      <c r="AF587" t="n">
        <v>7</v>
      </c>
      <c r="AG587" t="n">
        <v>7</v>
      </c>
      <c r="AH587" t="n">
        <v>4</v>
      </c>
      <c r="AI587" t="n">
        <v>4</v>
      </c>
      <c r="AJ587" t="n">
        <v>12</v>
      </c>
      <c r="AK587" t="n">
        <v>12</v>
      </c>
      <c r="AL587" t="n">
        <v>3</v>
      </c>
      <c r="AM587" t="n">
        <v>3</v>
      </c>
      <c r="AN587" t="n">
        <v>0</v>
      </c>
      <c r="AO587" t="n">
        <v>0</v>
      </c>
      <c r="AP587" t="inlineStr">
        <is>
          <t>No</t>
        </is>
      </c>
      <c r="AQ587" t="inlineStr">
        <is>
          <t>Yes</t>
        </is>
      </c>
      <c r="AR587">
        <f>HYPERLINK("http://catalog.hathitrust.org/Record/007130250","HathiTrust Record")</f>
        <v/>
      </c>
      <c r="AS587">
        <f>HYPERLINK("https://creighton-primo.hosted.exlibrisgroup.com/primo-explore/search?tab=default_tab&amp;search_scope=EVERYTHING&amp;vid=01CRU&amp;lang=en_US&amp;offset=0&amp;query=any,contains,991002351869702656","Catalog Record")</f>
        <v/>
      </c>
      <c r="AT587">
        <f>HYPERLINK("http://www.worldcat.org/oclc/30624171","WorldCat Record")</f>
        <v/>
      </c>
      <c r="AU587" t="inlineStr">
        <is>
          <t>836882304:eng</t>
        </is>
      </c>
      <c r="AV587" t="inlineStr">
        <is>
          <t>30624171</t>
        </is>
      </c>
      <c r="AW587" t="inlineStr">
        <is>
          <t>991002351869702656</t>
        </is>
      </c>
      <c r="AX587" t="inlineStr">
        <is>
          <t>991002351869702656</t>
        </is>
      </c>
      <c r="AY587" t="inlineStr">
        <is>
          <t>2260387470002656</t>
        </is>
      </c>
      <c r="AZ587" t="inlineStr">
        <is>
          <t>BOOK</t>
        </is>
      </c>
      <c r="BB587" t="inlineStr">
        <is>
          <t>9780897894104</t>
        </is>
      </c>
      <c r="BC587" t="inlineStr">
        <is>
          <t>32285002036811</t>
        </is>
      </c>
      <c r="BD587" t="inlineStr">
        <is>
          <t>893257184</t>
        </is>
      </c>
    </row>
    <row r="588">
      <c r="A588" t="inlineStr">
        <is>
          <t>No</t>
        </is>
      </c>
      <c r="B588" t="inlineStr">
        <is>
          <t>HQ12 .B84</t>
        </is>
      </c>
      <c r="C588" t="inlineStr">
        <is>
          <t>0                      HQ 0012000B  84</t>
        </is>
      </c>
      <c r="D588" t="inlineStr">
        <is>
          <t>Sexual variance in society and history / Vern L. Bullough.</t>
        </is>
      </c>
      <c r="F588" t="inlineStr">
        <is>
          <t>No</t>
        </is>
      </c>
      <c r="G588" t="inlineStr">
        <is>
          <t>1</t>
        </is>
      </c>
      <c r="H588" t="inlineStr">
        <is>
          <t>No</t>
        </is>
      </c>
      <c r="I588" t="inlineStr">
        <is>
          <t>No</t>
        </is>
      </c>
      <c r="J588" t="inlineStr">
        <is>
          <t>0</t>
        </is>
      </c>
      <c r="K588" t="inlineStr">
        <is>
          <t>Bullough, Vern L.</t>
        </is>
      </c>
      <c r="L588" t="inlineStr">
        <is>
          <t>New York : Wiley, c1976.</t>
        </is>
      </c>
      <c r="M588" t="inlineStr">
        <is>
          <t>1976</t>
        </is>
      </c>
      <c r="O588" t="inlineStr">
        <is>
          <t>eng</t>
        </is>
      </c>
      <c r="P588" t="inlineStr">
        <is>
          <t>nyu</t>
        </is>
      </c>
      <c r="R588" t="inlineStr">
        <is>
          <t xml:space="preserve">HQ </t>
        </is>
      </c>
      <c r="S588" t="n">
        <v>14</v>
      </c>
      <c r="T588" t="n">
        <v>14</v>
      </c>
      <c r="U588" t="inlineStr">
        <is>
          <t>2009-11-05</t>
        </is>
      </c>
      <c r="V588" t="inlineStr">
        <is>
          <t>2009-11-05</t>
        </is>
      </c>
      <c r="W588" t="inlineStr">
        <is>
          <t>1991-02-19</t>
        </is>
      </c>
      <c r="X588" t="inlineStr">
        <is>
          <t>1991-02-19</t>
        </is>
      </c>
      <c r="Y588" t="n">
        <v>684</v>
      </c>
      <c r="Z588" t="n">
        <v>576</v>
      </c>
      <c r="AA588" t="n">
        <v>754</v>
      </c>
      <c r="AB588" t="n">
        <v>5</v>
      </c>
      <c r="AC588" t="n">
        <v>7</v>
      </c>
      <c r="AD588" t="n">
        <v>29</v>
      </c>
      <c r="AE588" t="n">
        <v>40</v>
      </c>
      <c r="AF588" t="n">
        <v>13</v>
      </c>
      <c r="AG588" t="n">
        <v>16</v>
      </c>
      <c r="AH588" t="n">
        <v>7</v>
      </c>
      <c r="AI588" t="n">
        <v>9</v>
      </c>
      <c r="AJ588" t="n">
        <v>12</v>
      </c>
      <c r="AK588" t="n">
        <v>19</v>
      </c>
      <c r="AL588" t="n">
        <v>4</v>
      </c>
      <c r="AM588" t="n">
        <v>6</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HYPERLINK("https://creighton-primo.hosted.exlibrisgroup.com/primo-explore/search?tab=default_tab&amp;search_scope=EVERYTHING&amp;vid=01CRU&amp;lang=en_US&amp;offset=0&amp;query=any,contains,991003951709702656","Catalog Record")</f>
        <v/>
      </c>
      <c r="AT588">
        <f>HYPERLINK("http://www.worldcat.org/oclc/1958304","WorldCat Record")</f>
        <v/>
      </c>
      <c r="AU588" t="inlineStr">
        <is>
          <t>2624895:eng</t>
        </is>
      </c>
      <c r="AV588" t="inlineStr">
        <is>
          <t>1958304</t>
        </is>
      </c>
      <c r="AW588" t="inlineStr">
        <is>
          <t>991003951709702656</t>
        </is>
      </c>
      <c r="AX588" t="inlineStr">
        <is>
          <t>991003951709702656</t>
        </is>
      </c>
      <c r="AY588" t="inlineStr">
        <is>
          <t>2265562160002656</t>
        </is>
      </c>
      <c r="AZ588" t="inlineStr">
        <is>
          <t>BOOK</t>
        </is>
      </c>
      <c r="BB588" t="inlineStr">
        <is>
          <t>9780471120803</t>
        </is>
      </c>
      <c r="BC588" t="inlineStr">
        <is>
          <t>32285000497536</t>
        </is>
      </c>
      <c r="BD588" t="inlineStr">
        <is>
          <t>893349426</t>
        </is>
      </c>
    </row>
    <row r="589">
      <c r="A589" t="inlineStr">
        <is>
          <t>No</t>
        </is>
      </c>
      <c r="B589" t="inlineStr">
        <is>
          <t>HQ12 .B843 1977b</t>
        </is>
      </c>
      <c r="C589" t="inlineStr">
        <is>
          <t>0                      HQ 0012000B  843         1977b</t>
        </is>
      </c>
      <c r="D589" t="inlineStr">
        <is>
          <t>Sin, sickness, and sanity : a history of sexual attitudes / by Vern L. Bullough and Bonnie Bullough.</t>
        </is>
      </c>
      <c r="F589" t="inlineStr">
        <is>
          <t>No</t>
        </is>
      </c>
      <c r="G589" t="inlineStr">
        <is>
          <t>1</t>
        </is>
      </c>
      <c r="H589" t="inlineStr">
        <is>
          <t>No</t>
        </is>
      </c>
      <c r="I589" t="inlineStr">
        <is>
          <t>No</t>
        </is>
      </c>
      <c r="J589" t="inlineStr">
        <is>
          <t>0</t>
        </is>
      </c>
      <c r="K589" t="inlineStr">
        <is>
          <t>Bullough, Vern L.</t>
        </is>
      </c>
      <c r="L589" t="inlineStr">
        <is>
          <t>New York : New American Library, c1977.</t>
        </is>
      </c>
      <c r="M589" t="inlineStr">
        <is>
          <t>1977</t>
        </is>
      </c>
      <c r="O589" t="inlineStr">
        <is>
          <t>eng</t>
        </is>
      </c>
      <c r="P589" t="inlineStr">
        <is>
          <t>nyu</t>
        </is>
      </c>
      <c r="R589" t="inlineStr">
        <is>
          <t xml:space="preserve">HQ </t>
        </is>
      </c>
      <c r="S589" t="n">
        <v>11</v>
      </c>
      <c r="T589" t="n">
        <v>11</v>
      </c>
      <c r="U589" t="inlineStr">
        <is>
          <t>2005-12-12</t>
        </is>
      </c>
      <c r="V589" t="inlineStr">
        <is>
          <t>2005-12-12</t>
        </is>
      </c>
      <c r="W589" t="inlineStr">
        <is>
          <t>1993-12-20</t>
        </is>
      </c>
      <c r="X589" t="inlineStr">
        <is>
          <t>1993-12-20</t>
        </is>
      </c>
      <c r="Y589" t="n">
        <v>239</v>
      </c>
      <c r="Z589" t="n">
        <v>183</v>
      </c>
      <c r="AA589" t="n">
        <v>666</v>
      </c>
      <c r="AB589" t="n">
        <v>2</v>
      </c>
      <c r="AC589" t="n">
        <v>8</v>
      </c>
      <c r="AD589" t="n">
        <v>7</v>
      </c>
      <c r="AE589" t="n">
        <v>29</v>
      </c>
      <c r="AF589" t="n">
        <v>5</v>
      </c>
      <c r="AG589" t="n">
        <v>13</v>
      </c>
      <c r="AH589" t="n">
        <v>0</v>
      </c>
      <c r="AI589" t="n">
        <v>5</v>
      </c>
      <c r="AJ589" t="n">
        <v>3</v>
      </c>
      <c r="AK589" t="n">
        <v>10</v>
      </c>
      <c r="AL589" t="n">
        <v>1</v>
      </c>
      <c r="AM589" t="n">
        <v>7</v>
      </c>
      <c r="AN589" t="n">
        <v>0</v>
      </c>
      <c r="AO589" t="n">
        <v>0</v>
      </c>
      <c r="AP589" t="inlineStr">
        <is>
          <t>No</t>
        </is>
      </c>
      <c r="AQ589" t="inlineStr">
        <is>
          <t>Yes</t>
        </is>
      </c>
      <c r="AR589">
        <f>HYPERLINK("http://catalog.hathitrust.org/Record/003522613","HathiTrust Record")</f>
        <v/>
      </c>
      <c r="AS589">
        <f>HYPERLINK("https://creighton-primo.hosted.exlibrisgroup.com/primo-explore/search?tab=default_tab&amp;search_scope=EVERYTHING&amp;vid=01CRU&amp;lang=en_US&amp;offset=0&amp;query=any,contains,991004492729702656","Catalog Record")</f>
        <v/>
      </c>
      <c r="AT589">
        <f>HYPERLINK("http://www.worldcat.org/oclc/3671113","WorldCat Record")</f>
        <v/>
      </c>
      <c r="AU589" t="inlineStr">
        <is>
          <t>363972873:eng</t>
        </is>
      </c>
      <c r="AV589" t="inlineStr">
        <is>
          <t>3671113</t>
        </is>
      </c>
      <c r="AW589" t="inlineStr">
        <is>
          <t>991004492729702656</t>
        </is>
      </c>
      <c r="AX589" t="inlineStr">
        <is>
          <t>991004492729702656</t>
        </is>
      </c>
      <c r="AY589" t="inlineStr">
        <is>
          <t>2260849810002656</t>
        </is>
      </c>
      <c r="AZ589" t="inlineStr">
        <is>
          <t>BOOK</t>
        </is>
      </c>
      <c r="BB589" t="inlineStr">
        <is>
          <t>9780452004726</t>
        </is>
      </c>
      <c r="BC589" t="inlineStr">
        <is>
          <t>32285001818995</t>
        </is>
      </c>
      <c r="BD589" t="inlineStr">
        <is>
          <t>893593741</t>
        </is>
      </c>
    </row>
    <row r="590">
      <c r="A590" t="inlineStr">
        <is>
          <t>No</t>
        </is>
      </c>
      <c r="B590" t="inlineStr">
        <is>
          <t>HQ12 .E3 1959</t>
        </is>
      </c>
      <c r="C590" t="inlineStr">
        <is>
          <t>0                      HQ 0012000E  3           1959</t>
        </is>
      </c>
      <c r="D590" t="inlineStr">
        <is>
          <t>The jewel in the lotus : a historical survey of the sexual culture of the East / Allen Edwardes ; introd. by Albert Ellis.</t>
        </is>
      </c>
      <c r="F590" t="inlineStr">
        <is>
          <t>No</t>
        </is>
      </c>
      <c r="G590" t="inlineStr">
        <is>
          <t>1</t>
        </is>
      </c>
      <c r="H590" t="inlineStr">
        <is>
          <t>No</t>
        </is>
      </c>
      <c r="I590" t="inlineStr">
        <is>
          <t>No</t>
        </is>
      </c>
      <c r="J590" t="inlineStr">
        <is>
          <t>0</t>
        </is>
      </c>
      <c r="K590" t="inlineStr">
        <is>
          <t>Edwardes, Allen, 1939-</t>
        </is>
      </c>
      <c r="L590" t="inlineStr">
        <is>
          <t>New York : Julian Press, c1959.</t>
        </is>
      </c>
      <c r="M590" t="inlineStr">
        <is>
          <t>1959</t>
        </is>
      </c>
      <c r="O590" t="inlineStr">
        <is>
          <t>eng</t>
        </is>
      </c>
      <c r="P590" t="inlineStr">
        <is>
          <t>nyu</t>
        </is>
      </c>
      <c r="R590" t="inlineStr">
        <is>
          <t xml:space="preserve">HQ </t>
        </is>
      </c>
      <c r="S590" t="n">
        <v>6</v>
      </c>
      <c r="T590" t="n">
        <v>6</v>
      </c>
      <c r="U590" t="inlineStr">
        <is>
          <t>2004-04-01</t>
        </is>
      </c>
      <c r="V590" t="inlineStr">
        <is>
          <t>2004-04-01</t>
        </is>
      </c>
      <c r="W590" t="inlineStr">
        <is>
          <t>1999-02-04</t>
        </is>
      </c>
      <c r="X590" t="inlineStr">
        <is>
          <t>1999-02-04</t>
        </is>
      </c>
      <c r="Y590" t="n">
        <v>259</v>
      </c>
      <c r="Z590" t="n">
        <v>238</v>
      </c>
      <c r="AA590" t="n">
        <v>281</v>
      </c>
      <c r="AB590" t="n">
        <v>3</v>
      </c>
      <c r="AC590" t="n">
        <v>4</v>
      </c>
      <c r="AD590" t="n">
        <v>7</v>
      </c>
      <c r="AE590" t="n">
        <v>8</v>
      </c>
      <c r="AF590" t="n">
        <v>3</v>
      </c>
      <c r="AG590" t="n">
        <v>3</v>
      </c>
      <c r="AH590" t="n">
        <v>2</v>
      </c>
      <c r="AI590" t="n">
        <v>2</v>
      </c>
      <c r="AJ590" t="n">
        <v>1</v>
      </c>
      <c r="AK590" t="n">
        <v>1</v>
      </c>
      <c r="AL590" t="n">
        <v>2</v>
      </c>
      <c r="AM590" t="n">
        <v>3</v>
      </c>
      <c r="AN590" t="n">
        <v>0</v>
      </c>
      <c r="AO590" t="n">
        <v>0</v>
      </c>
      <c r="AP590" t="inlineStr">
        <is>
          <t>No</t>
        </is>
      </c>
      <c r="AQ590" t="inlineStr">
        <is>
          <t>Yes</t>
        </is>
      </c>
      <c r="AR590">
        <f>HYPERLINK("http://catalog.hathitrust.org/Record/001109806","HathiTrust Record")</f>
        <v/>
      </c>
      <c r="AS590">
        <f>HYPERLINK("https://creighton-primo.hosted.exlibrisgroup.com/primo-explore/search?tab=default_tab&amp;search_scope=EVERYTHING&amp;vid=01CRU&amp;lang=en_US&amp;offset=0&amp;query=any,contains,991002027839702656","Catalog Record")</f>
        <v/>
      </c>
      <c r="AT590">
        <f>HYPERLINK("http://www.worldcat.org/oclc/259889","WorldCat Record")</f>
        <v/>
      </c>
      <c r="AU590" t="inlineStr">
        <is>
          <t>197165822:eng</t>
        </is>
      </c>
      <c r="AV590" t="inlineStr">
        <is>
          <t>259889</t>
        </is>
      </c>
      <c r="AW590" t="inlineStr">
        <is>
          <t>991002027839702656</t>
        </is>
      </c>
      <c r="AX590" t="inlineStr">
        <is>
          <t>991002027839702656</t>
        </is>
      </c>
      <c r="AY590" t="inlineStr">
        <is>
          <t>2272772860002656</t>
        </is>
      </c>
      <c r="AZ590" t="inlineStr">
        <is>
          <t>BOOK</t>
        </is>
      </c>
      <c r="BC590" t="inlineStr">
        <is>
          <t>32285003517918</t>
        </is>
      </c>
      <c r="BD590" t="inlineStr">
        <is>
          <t>893316288</t>
        </is>
      </c>
    </row>
    <row r="591">
      <c r="A591" t="inlineStr">
        <is>
          <t>No</t>
        </is>
      </c>
      <c r="B591" t="inlineStr">
        <is>
          <t>HQ12 .G88 1983</t>
        </is>
      </c>
      <c r="C591" t="inlineStr">
        <is>
          <t>0                      HQ 0012000G  88          1983</t>
        </is>
      </c>
      <c r="D591" t="inlineStr">
        <is>
          <t>Too many women? : the sex ratio question / Marcia Guttentag, Paul F. Secord.</t>
        </is>
      </c>
      <c r="F591" t="inlineStr">
        <is>
          <t>No</t>
        </is>
      </c>
      <c r="G591" t="inlineStr">
        <is>
          <t>1</t>
        </is>
      </c>
      <c r="H591" t="inlineStr">
        <is>
          <t>No</t>
        </is>
      </c>
      <c r="I591" t="inlineStr">
        <is>
          <t>No</t>
        </is>
      </c>
      <c r="J591" t="inlineStr">
        <is>
          <t>0</t>
        </is>
      </c>
      <c r="K591" t="inlineStr">
        <is>
          <t>Guttentag, Marcia.</t>
        </is>
      </c>
      <c r="L591" t="inlineStr">
        <is>
          <t>Beverly Hills : Sage Publications, c1983.</t>
        </is>
      </c>
      <c r="M591" t="inlineStr">
        <is>
          <t>1983</t>
        </is>
      </c>
      <c r="O591" t="inlineStr">
        <is>
          <t>eng</t>
        </is>
      </c>
      <c r="P591" t="inlineStr">
        <is>
          <t>cau</t>
        </is>
      </c>
      <c r="R591" t="inlineStr">
        <is>
          <t xml:space="preserve">HQ </t>
        </is>
      </c>
      <c r="S591" t="n">
        <v>11</v>
      </c>
      <c r="T591" t="n">
        <v>11</v>
      </c>
      <c r="U591" t="inlineStr">
        <is>
          <t>2008-09-30</t>
        </is>
      </c>
      <c r="V591" t="inlineStr">
        <is>
          <t>2008-09-30</t>
        </is>
      </c>
      <c r="W591" t="inlineStr">
        <is>
          <t>1990-07-24</t>
        </is>
      </c>
      <c r="X591" t="inlineStr">
        <is>
          <t>1990-07-24</t>
        </is>
      </c>
      <c r="Y591" t="n">
        <v>759</v>
      </c>
      <c r="Z591" t="n">
        <v>627</v>
      </c>
      <c r="AA591" t="n">
        <v>639</v>
      </c>
      <c r="AB591" t="n">
        <v>7</v>
      </c>
      <c r="AC591" t="n">
        <v>7</v>
      </c>
      <c r="AD591" t="n">
        <v>28</v>
      </c>
      <c r="AE591" t="n">
        <v>28</v>
      </c>
      <c r="AF591" t="n">
        <v>10</v>
      </c>
      <c r="AG591" t="n">
        <v>10</v>
      </c>
      <c r="AH591" t="n">
        <v>7</v>
      </c>
      <c r="AI591" t="n">
        <v>7</v>
      </c>
      <c r="AJ591" t="n">
        <v>15</v>
      </c>
      <c r="AK591" t="n">
        <v>15</v>
      </c>
      <c r="AL591" t="n">
        <v>6</v>
      </c>
      <c r="AM591" t="n">
        <v>6</v>
      </c>
      <c r="AN591" t="n">
        <v>0</v>
      </c>
      <c r="AO591" t="n">
        <v>0</v>
      </c>
      <c r="AP591" t="inlineStr">
        <is>
          <t>No</t>
        </is>
      </c>
      <c r="AQ591" t="inlineStr">
        <is>
          <t>Yes</t>
        </is>
      </c>
      <c r="AR591">
        <f>HYPERLINK("http://catalog.hathitrust.org/Record/000235495","HathiTrust Record")</f>
        <v/>
      </c>
      <c r="AS591">
        <f>HYPERLINK("https://creighton-primo.hosted.exlibrisgroup.com/primo-explore/search?tab=default_tab&amp;search_scope=EVERYTHING&amp;vid=01CRU&amp;lang=en_US&amp;offset=0&amp;query=any,contains,991000087479702656","Catalog Record")</f>
        <v/>
      </c>
      <c r="AT591">
        <f>HYPERLINK("http://www.worldcat.org/oclc/8866599","WorldCat Record")</f>
        <v/>
      </c>
      <c r="AU591" t="inlineStr">
        <is>
          <t>42757413:eng</t>
        </is>
      </c>
      <c r="AV591" t="inlineStr">
        <is>
          <t>8866599</t>
        </is>
      </c>
      <c r="AW591" t="inlineStr">
        <is>
          <t>991000087479702656</t>
        </is>
      </c>
      <c r="AX591" t="inlineStr">
        <is>
          <t>991000087479702656</t>
        </is>
      </c>
      <c r="AY591" t="inlineStr">
        <is>
          <t>2262443380002656</t>
        </is>
      </c>
      <c r="AZ591" t="inlineStr">
        <is>
          <t>BOOK</t>
        </is>
      </c>
      <c r="BB591" t="inlineStr">
        <is>
          <t>9780803919198</t>
        </is>
      </c>
      <c r="BC591" t="inlineStr">
        <is>
          <t>32285000247881</t>
        </is>
      </c>
      <c r="BD591" t="inlineStr">
        <is>
          <t>893521380</t>
        </is>
      </c>
    </row>
    <row r="592">
      <c r="A592" t="inlineStr">
        <is>
          <t>No</t>
        </is>
      </c>
      <c r="B592" t="inlineStr">
        <is>
          <t>HQ12 .J36</t>
        </is>
      </c>
      <c r="C592" t="inlineStr">
        <is>
          <t>0                      HQ 0012000J  36</t>
        </is>
      </c>
      <c r="D592" t="inlineStr">
        <is>
          <t>Human sexuality / Louis H. Janda, Karin E. Klenke-Hamel ; [cover photo by Martin S. Halpert].</t>
        </is>
      </c>
      <c r="F592" t="inlineStr">
        <is>
          <t>No</t>
        </is>
      </c>
      <c r="G592" t="inlineStr">
        <is>
          <t>1</t>
        </is>
      </c>
      <c r="H592" t="inlineStr">
        <is>
          <t>No</t>
        </is>
      </c>
      <c r="I592" t="inlineStr">
        <is>
          <t>No</t>
        </is>
      </c>
      <c r="J592" t="inlineStr">
        <is>
          <t>0</t>
        </is>
      </c>
      <c r="K592" t="inlineStr">
        <is>
          <t>Janda, Louis H.</t>
        </is>
      </c>
      <c r="L592" t="inlineStr">
        <is>
          <t>New York : Van Nostrand, c1980.</t>
        </is>
      </c>
      <c r="M592" t="inlineStr">
        <is>
          <t>1980</t>
        </is>
      </c>
      <c r="O592" t="inlineStr">
        <is>
          <t>eng</t>
        </is>
      </c>
      <c r="P592" t="inlineStr">
        <is>
          <t>nyu</t>
        </is>
      </c>
      <c r="R592" t="inlineStr">
        <is>
          <t xml:space="preserve">HQ </t>
        </is>
      </c>
      <c r="S592" t="n">
        <v>12</v>
      </c>
      <c r="T592" t="n">
        <v>12</v>
      </c>
      <c r="U592" t="inlineStr">
        <is>
          <t>1998-06-13</t>
        </is>
      </c>
      <c r="V592" t="inlineStr">
        <is>
          <t>1998-06-13</t>
        </is>
      </c>
      <c r="W592" t="inlineStr">
        <is>
          <t>1990-07-24</t>
        </is>
      </c>
      <c r="X592" t="inlineStr">
        <is>
          <t>1990-07-24</t>
        </is>
      </c>
      <c r="Y592" t="n">
        <v>117</v>
      </c>
      <c r="Z592" t="n">
        <v>93</v>
      </c>
      <c r="AA592" t="n">
        <v>93</v>
      </c>
      <c r="AB592" t="n">
        <v>2</v>
      </c>
      <c r="AC592" t="n">
        <v>2</v>
      </c>
      <c r="AD592" t="n">
        <v>4</v>
      </c>
      <c r="AE592" t="n">
        <v>4</v>
      </c>
      <c r="AF592" t="n">
        <v>0</v>
      </c>
      <c r="AG592" t="n">
        <v>0</v>
      </c>
      <c r="AH592" t="n">
        <v>1</v>
      </c>
      <c r="AI592" t="n">
        <v>1</v>
      </c>
      <c r="AJ592" t="n">
        <v>2</v>
      </c>
      <c r="AK592" t="n">
        <v>2</v>
      </c>
      <c r="AL592" t="n">
        <v>1</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HYPERLINK("https://creighton-primo.hosted.exlibrisgroup.com/primo-explore/search?tab=default_tab&amp;search_scope=EVERYTHING&amp;vid=01CRU&amp;lang=en_US&amp;offset=0&amp;query=any,contains,991004950589702656","Catalog Record")</f>
        <v/>
      </c>
      <c r="AT592">
        <f>HYPERLINK("http://www.worldcat.org/oclc/6246353","WorldCat Record")</f>
        <v/>
      </c>
      <c r="AU592" t="inlineStr">
        <is>
          <t>21817634:eng</t>
        </is>
      </c>
      <c r="AV592" t="inlineStr">
        <is>
          <t>6246353</t>
        </is>
      </c>
      <c r="AW592" t="inlineStr">
        <is>
          <t>991004950589702656</t>
        </is>
      </c>
      <c r="AX592" t="inlineStr">
        <is>
          <t>991004950589702656</t>
        </is>
      </c>
      <c r="AY592" t="inlineStr">
        <is>
          <t>2266836210002656</t>
        </is>
      </c>
      <c r="AZ592" t="inlineStr">
        <is>
          <t>BOOK</t>
        </is>
      </c>
      <c r="BB592" t="inlineStr">
        <is>
          <t>9780442257378</t>
        </is>
      </c>
      <c r="BC592" t="inlineStr">
        <is>
          <t>32285000247899</t>
        </is>
      </c>
      <c r="BD592" t="inlineStr">
        <is>
          <t>893520205</t>
        </is>
      </c>
    </row>
    <row r="593">
      <c r="A593" t="inlineStr">
        <is>
          <t>No</t>
        </is>
      </c>
      <c r="B593" t="inlineStr">
        <is>
          <t>HQ12 .K37</t>
        </is>
      </c>
      <c r="C593" t="inlineStr">
        <is>
          <t>0                      HQ 0012000K  37</t>
        </is>
      </c>
      <c r="D593" t="inlineStr">
        <is>
          <t>Sexuality and homosexuality : a new view.</t>
        </is>
      </c>
      <c r="F593" t="inlineStr">
        <is>
          <t>No</t>
        </is>
      </c>
      <c r="G593" t="inlineStr">
        <is>
          <t>1</t>
        </is>
      </c>
      <c r="H593" t="inlineStr">
        <is>
          <t>No</t>
        </is>
      </c>
      <c r="I593" t="inlineStr">
        <is>
          <t>No</t>
        </is>
      </c>
      <c r="J593" t="inlineStr">
        <is>
          <t>0</t>
        </is>
      </c>
      <c r="K593" t="inlineStr">
        <is>
          <t>Karlen, Arno.</t>
        </is>
      </c>
      <c r="L593" t="inlineStr">
        <is>
          <t>New York : W. W. Norton, [1971]</t>
        </is>
      </c>
      <c r="M593" t="inlineStr">
        <is>
          <t>1971</t>
        </is>
      </c>
      <c r="N593" t="inlineStr">
        <is>
          <t>[1st ed.]</t>
        </is>
      </c>
      <c r="O593" t="inlineStr">
        <is>
          <t>eng</t>
        </is>
      </c>
      <c r="P593" t="inlineStr">
        <is>
          <t>nyu</t>
        </is>
      </c>
      <c r="R593" t="inlineStr">
        <is>
          <t xml:space="preserve">HQ </t>
        </is>
      </c>
      <c r="S593" t="n">
        <v>5</v>
      </c>
      <c r="T593" t="n">
        <v>5</v>
      </c>
      <c r="U593" t="inlineStr">
        <is>
          <t>1995-02-08</t>
        </is>
      </c>
      <c r="V593" t="inlineStr">
        <is>
          <t>1995-02-08</t>
        </is>
      </c>
      <c r="W593" t="inlineStr">
        <is>
          <t>1990-02-12</t>
        </is>
      </c>
      <c r="X593" t="inlineStr">
        <is>
          <t>1990-02-12</t>
        </is>
      </c>
      <c r="Y593" t="n">
        <v>1035</v>
      </c>
      <c r="Z593" t="n">
        <v>933</v>
      </c>
      <c r="AA593" t="n">
        <v>938</v>
      </c>
      <c r="AB593" t="n">
        <v>10</v>
      </c>
      <c r="AC593" t="n">
        <v>10</v>
      </c>
      <c r="AD593" t="n">
        <v>38</v>
      </c>
      <c r="AE593" t="n">
        <v>38</v>
      </c>
      <c r="AF593" t="n">
        <v>13</v>
      </c>
      <c r="AG593" t="n">
        <v>13</v>
      </c>
      <c r="AH593" t="n">
        <v>8</v>
      </c>
      <c r="AI593" t="n">
        <v>8</v>
      </c>
      <c r="AJ593" t="n">
        <v>18</v>
      </c>
      <c r="AK593" t="n">
        <v>18</v>
      </c>
      <c r="AL593" t="n">
        <v>7</v>
      </c>
      <c r="AM593" t="n">
        <v>7</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HYPERLINK("https://creighton-primo.hosted.exlibrisgroup.com/primo-explore/search?tab=default_tab&amp;search_scope=EVERYTHING&amp;vid=01CRU&amp;lang=en_US&amp;offset=0&amp;query=any,contains,991000894479702656","Catalog Record")</f>
        <v/>
      </c>
      <c r="AT593">
        <f>HYPERLINK("http://www.worldcat.org/oclc/155371","WorldCat Record")</f>
        <v/>
      </c>
      <c r="AU593" t="inlineStr">
        <is>
          <t>836861789:eng</t>
        </is>
      </c>
      <c r="AV593" t="inlineStr">
        <is>
          <t>155371</t>
        </is>
      </c>
      <c r="AW593" t="inlineStr">
        <is>
          <t>991000894479702656</t>
        </is>
      </c>
      <c r="AX593" t="inlineStr">
        <is>
          <t>991000894479702656</t>
        </is>
      </c>
      <c r="AY593" t="inlineStr">
        <is>
          <t>2256421790002656</t>
        </is>
      </c>
      <c r="AZ593" t="inlineStr">
        <is>
          <t>BOOK</t>
        </is>
      </c>
      <c r="BB593" t="inlineStr">
        <is>
          <t>9780393010879</t>
        </is>
      </c>
      <c r="BC593" t="inlineStr">
        <is>
          <t>32285000041755</t>
        </is>
      </c>
      <c r="BD593" t="inlineStr">
        <is>
          <t>893496645</t>
        </is>
      </c>
    </row>
    <row r="594">
      <c r="A594" t="inlineStr">
        <is>
          <t>No</t>
        </is>
      </c>
      <c r="B594" t="inlineStr">
        <is>
          <t>HQ12 .S4413 1985</t>
        </is>
      </c>
      <c r="C594" t="inlineStr">
        <is>
          <t>0                      HQ 0012000S  4413        1985</t>
        </is>
      </c>
      <c r="D594" t="inlineStr">
        <is>
          <t>Western sexuality : practice and precept in past and present times / edited by Philippe Ariès and André Béjin ; translated by Anthony Forster.</t>
        </is>
      </c>
      <c r="F594" t="inlineStr">
        <is>
          <t>No</t>
        </is>
      </c>
      <c r="G594" t="inlineStr">
        <is>
          <t>1</t>
        </is>
      </c>
      <c r="H594" t="inlineStr">
        <is>
          <t>No</t>
        </is>
      </c>
      <c r="I594" t="inlineStr">
        <is>
          <t>No</t>
        </is>
      </c>
      <c r="J594" t="inlineStr">
        <is>
          <t>0</t>
        </is>
      </c>
      <c r="K594" t="inlineStr">
        <is>
          <t>Sexualités occidentales. English.</t>
        </is>
      </c>
      <c r="L594" t="inlineStr">
        <is>
          <t>Oxford, UK ; New York, NY, USA : B. Blackwell, 1985.</t>
        </is>
      </c>
      <c r="M594" t="inlineStr">
        <is>
          <t>1985</t>
        </is>
      </c>
      <c r="O594" t="inlineStr">
        <is>
          <t>eng</t>
        </is>
      </c>
      <c r="P594" t="inlineStr">
        <is>
          <t>enk</t>
        </is>
      </c>
      <c r="Q594" t="inlineStr">
        <is>
          <t>Family, sexuality, and social relations in past times</t>
        </is>
      </c>
      <c r="R594" t="inlineStr">
        <is>
          <t xml:space="preserve">HQ </t>
        </is>
      </c>
      <c r="S594" t="n">
        <v>10</v>
      </c>
      <c r="T594" t="n">
        <v>10</v>
      </c>
      <c r="U594" t="inlineStr">
        <is>
          <t>2007-11-15</t>
        </is>
      </c>
      <c r="V594" t="inlineStr">
        <is>
          <t>2007-11-15</t>
        </is>
      </c>
      <c r="W594" t="inlineStr">
        <is>
          <t>1990-05-03</t>
        </is>
      </c>
      <c r="X594" t="inlineStr">
        <is>
          <t>1990-05-03</t>
        </is>
      </c>
      <c r="Y594" t="n">
        <v>942</v>
      </c>
      <c r="Z594" t="n">
        <v>733</v>
      </c>
      <c r="AA594" t="n">
        <v>741</v>
      </c>
      <c r="AB594" t="n">
        <v>5</v>
      </c>
      <c r="AC594" t="n">
        <v>5</v>
      </c>
      <c r="AD594" t="n">
        <v>32</v>
      </c>
      <c r="AE594" t="n">
        <v>32</v>
      </c>
      <c r="AF594" t="n">
        <v>13</v>
      </c>
      <c r="AG594" t="n">
        <v>13</v>
      </c>
      <c r="AH594" t="n">
        <v>8</v>
      </c>
      <c r="AI594" t="n">
        <v>8</v>
      </c>
      <c r="AJ594" t="n">
        <v>15</v>
      </c>
      <c r="AK594" t="n">
        <v>15</v>
      </c>
      <c r="AL594" t="n">
        <v>4</v>
      </c>
      <c r="AM594" t="n">
        <v>4</v>
      </c>
      <c r="AN594" t="n">
        <v>1</v>
      </c>
      <c r="AO594" t="n">
        <v>1</v>
      </c>
      <c r="AP594" t="inlineStr">
        <is>
          <t>No</t>
        </is>
      </c>
      <c r="AQ594" t="inlineStr">
        <is>
          <t>No</t>
        </is>
      </c>
      <c r="AS594">
        <f>HYPERLINK("https://creighton-primo.hosted.exlibrisgroup.com/primo-explore/search?tab=default_tab&amp;search_scope=EVERYTHING&amp;vid=01CRU&amp;lang=en_US&amp;offset=0&amp;query=any,contains,991000495389702656","Catalog Record")</f>
        <v/>
      </c>
      <c r="AT594">
        <f>HYPERLINK("http://www.worldcat.org/oclc/11133774","WorldCat Record")</f>
        <v/>
      </c>
      <c r="AU594" t="inlineStr">
        <is>
          <t>54665918:eng</t>
        </is>
      </c>
      <c r="AV594" t="inlineStr">
        <is>
          <t>11133774</t>
        </is>
      </c>
      <c r="AW594" t="inlineStr">
        <is>
          <t>991000495389702656</t>
        </is>
      </c>
      <c r="AX594" t="inlineStr">
        <is>
          <t>991000495389702656</t>
        </is>
      </c>
      <c r="AY594" t="inlineStr">
        <is>
          <t>2255439460002656</t>
        </is>
      </c>
      <c r="AZ594" t="inlineStr">
        <is>
          <t>BOOK</t>
        </is>
      </c>
      <c r="BB594" t="inlineStr">
        <is>
          <t>9780631134763</t>
        </is>
      </c>
      <c r="BC594" t="inlineStr">
        <is>
          <t>32285000148584</t>
        </is>
      </c>
      <c r="BD594" t="inlineStr">
        <is>
          <t>893884437</t>
        </is>
      </c>
    </row>
    <row r="595">
      <c r="A595" t="inlineStr">
        <is>
          <t>No</t>
        </is>
      </c>
      <c r="B595" t="inlineStr">
        <is>
          <t>HQ12 .T27</t>
        </is>
      </c>
      <c r="C595" t="inlineStr">
        <is>
          <t>0                      HQ 0012000T  27</t>
        </is>
      </c>
      <c r="D595" t="inlineStr">
        <is>
          <t>Sex in history / Reay Tannahill.</t>
        </is>
      </c>
      <c r="F595" t="inlineStr">
        <is>
          <t>No</t>
        </is>
      </c>
      <c r="G595" t="inlineStr">
        <is>
          <t>1</t>
        </is>
      </c>
      <c r="H595" t="inlineStr">
        <is>
          <t>No</t>
        </is>
      </c>
      <c r="I595" t="inlineStr">
        <is>
          <t>No</t>
        </is>
      </c>
      <c r="J595" t="inlineStr">
        <is>
          <t>0</t>
        </is>
      </c>
      <c r="K595" t="inlineStr">
        <is>
          <t>Tannahill, Reay.</t>
        </is>
      </c>
      <c r="L595" t="inlineStr">
        <is>
          <t>New York : Stein and Day, 1980.</t>
        </is>
      </c>
      <c r="M595" t="inlineStr">
        <is>
          <t>1979</t>
        </is>
      </c>
      <c r="O595" t="inlineStr">
        <is>
          <t>eng</t>
        </is>
      </c>
      <c r="P595" t="inlineStr">
        <is>
          <t>nyu</t>
        </is>
      </c>
      <c r="R595" t="inlineStr">
        <is>
          <t xml:space="preserve">HQ </t>
        </is>
      </c>
      <c r="S595" t="n">
        <v>30</v>
      </c>
      <c r="T595" t="n">
        <v>30</v>
      </c>
      <c r="U595" t="inlineStr">
        <is>
          <t>2004-04-01</t>
        </is>
      </c>
      <c r="V595" t="inlineStr">
        <is>
          <t>2004-04-01</t>
        </is>
      </c>
      <c r="W595" t="inlineStr">
        <is>
          <t>1995-11-28</t>
        </is>
      </c>
      <c r="X595" t="inlineStr">
        <is>
          <t>1995-11-28</t>
        </is>
      </c>
      <c r="Y595" t="n">
        <v>1083</v>
      </c>
      <c r="Z595" t="n">
        <v>999</v>
      </c>
      <c r="AA595" t="n">
        <v>1430</v>
      </c>
      <c r="AB595" t="n">
        <v>6</v>
      </c>
      <c r="AC595" t="n">
        <v>10</v>
      </c>
      <c r="AD595" t="n">
        <v>27</v>
      </c>
      <c r="AE595" t="n">
        <v>40</v>
      </c>
      <c r="AF595" t="n">
        <v>11</v>
      </c>
      <c r="AG595" t="n">
        <v>18</v>
      </c>
      <c r="AH595" t="n">
        <v>6</v>
      </c>
      <c r="AI595" t="n">
        <v>6</v>
      </c>
      <c r="AJ595" t="n">
        <v>14</v>
      </c>
      <c r="AK595" t="n">
        <v>19</v>
      </c>
      <c r="AL595" t="n">
        <v>3</v>
      </c>
      <c r="AM595" t="n">
        <v>6</v>
      </c>
      <c r="AN595" t="n">
        <v>1</v>
      </c>
      <c r="AO595" t="n">
        <v>1</v>
      </c>
      <c r="AP595" t="inlineStr">
        <is>
          <t>No</t>
        </is>
      </c>
      <c r="AQ595" t="inlineStr">
        <is>
          <t>No</t>
        </is>
      </c>
      <c r="AS595">
        <f>HYPERLINK("https://creighton-primo.hosted.exlibrisgroup.com/primo-explore/search?tab=default_tab&amp;search_scope=EVERYTHING&amp;vid=01CRU&amp;lang=en_US&amp;offset=0&amp;query=any,contains,991004783559702656","Catalog Record")</f>
        <v/>
      </c>
      <c r="AT595">
        <f>HYPERLINK("http://www.worldcat.org/oclc/5126292","WorldCat Record")</f>
        <v/>
      </c>
      <c r="AU595" t="inlineStr">
        <is>
          <t>473263:eng</t>
        </is>
      </c>
      <c r="AV595" t="inlineStr">
        <is>
          <t>5126292</t>
        </is>
      </c>
      <c r="AW595" t="inlineStr">
        <is>
          <t>991004783559702656</t>
        </is>
      </c>
      <c r="AX595" t="inlineStr">
        <is>
          <t>991004783559702656</t>
        </is>
      </c>
      <c r="AY595" t="inlineStr">
        <is>
          <t>2267920300002656</t>
        </is>
      </c>
      <c r="AZ595" t="inlineStr">
        <is>
          <t>BOOK</t>
        </is>
      </c>
      <c r="BB595" t="inlineStr">
        <is>
          <t>9780812825800</t>
        </is>
      </c>
      <c r="BC595" t="inlineStr">
        <is>
          <t>32285002120136</t>
        </is>
      </c>
      <c r="BD595" t="inlineStr">
        <is>
          <t>893532799</t>
        </is>
      </c>
    </row>
    <row r="596">
      <c r="A596" t="inlineStr">
        <is>
          <t>No</t>
        </is>
      </c>
      <c r="B596" t="inlineStr">
        <is>
          <t>HQ12 .W43</t>
        </is>
      </c>
      <c r="C596" t="inlineStr">
        <is>
          <t>0                      HQ 0012000W  43</t>
        </is>
      </c>
      <c r="D596" t="inlineStr">
        <is>
          <t>Sex, modesty, and deviants / by Martin Stephan Weinburg.</t>
        </is>
      </c>
      <c r="F596" t="inlineStr">
        <is>
          <t>No</t>
        </is>
      </c>
      <c r="G596" t="inlineStr">
        <is>
          <t>1</t>
        </is>
      </c>
      <c r="H596" t="inlineStr">
        <is>
          <t>No</t>
        </is>
      </c>
      <c r="I596" t="inlineStr">
        <is>
          <t>No</t>
        </is>
      </c>
      <c r="J596" t="inlineStr">
        <is>
          <t>0</t>
        </is>
      </c>
      <c r="K596" t="inlineStr">
        <is>
          <t>Weinberg, Martin S.</t>
        </is>
      </c>
      <c r="M596" t="inlineStr">
        <is>
          <t>1965</t>
        </is>
      </c>
      <c r="O596" t="inlineStr">
        <is>
          <t>eng</t>
        </is>
      </c>
      <c r="P596" t="inlineStr">
        <is>
          <t xml:space="preserve">xx </t>
        </is>
      </c>
      <c r="R596" t="inlineStr">
        <is>
          <t xml:space="preserve">HQ </t>
        </is>
      </c>
      <c r="S596" t="n">
        <v>10</v>
      </c>
      <c r="T596" t="n">
        <v>10</v>
      </c>
      <c r="U596" t="inlineStr">
        <is>
          <t>2004-04-01</t>
        </is>
      </c>
      <c r="V596" t="inlineStr">
        <is>
          <t>2004-04-01</t>
        </is>
      </c>
      <c r="W596" t="inlineStr">
        <is>
          <t>1997-02-05</t>
        </is>
      </c>
      <c r="X596" t="inlineStr">
        <is>
          <t>1997-02-05</t>
        </is>
      </c>
      <c r="Y596" t="n">
        <v>4</v>
      </c>
      <c r="Z596" t="n">
        <v>4</v>
      </c>
      <c r="AA596" t="n">
        <v>9</v>
      </c>
      <c r="AB596" t="n">
        <v>1</v>
      </c>
      <c r="AC596" t="n">
        <v>1</v>
      </c>
      <c r="AD596" t="n">
        <v>0</v>
      </c>
      <c r="AE596" t="n">
        <v>0</v>
      </c>
      <c r="AF596" t="n">
        <v>0</v>
      </c>
      <c r="AG596" t="n">
        <v>0</v>
      </c>
      <c r="AH596" t="n">
        <v>0</v>
      </c>
      <c r="AI596" t="n">
        <v>0</v>
      </c>
      <c r="AJ596" t="n">
        <v>0</v>
      </c>
      <c r="AK596" t="n">
        <v>0</v>
      </c>
      <c r="AL596" t="n">
        <v>0</v>
      </c>
      <c r="AM596" t="n">
        <v>0</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HYPERLINK("https://creighton-primo.hosted.exlibrisgroup.com/primo-explore/search?tab=default_tab&amp;search_scope=EVERYTHING&amp;vid=01CRU&amp;lang=en_US&amp;offset=0&amp;query=any,contains,991003851889702656","Catalog Record")</f>
        <v/>
      </c>
      <c r="AT596">
        <f>HYPERLINK("http://www.worldcat.org/oclc/1646862","WorldCat Record")</f>
        <v/>
      </c>
      <c r="AU596" t="inlineStr">
        <is>
          <t>2513885:eng</t>
        </is>
      </c>
      <c r="AV596" t="inlineStr">
        <is>
          <t>1646862</t>
        </is>
      </c>
      <c r="AW596" t="inlineStr">
        <is>
          <t>991003851889702656</t>
        </is>
      </c>
      <c r="AX596" t="inlineStr">
        <is>
          <t>991003851889702656</t>
        </is>
      </c>
      <c r="AY596" t="inlineStr">
        <is>
          <t>2259505150002656</t>
        </is>
      </c>
      <c r="AZ596" t="inlineStr">
        <is>
          <t>BOOK</t>
        </is>
      </c>
      <c r="BC596" t="inlineStr">
        <is>
          <t>32285002423407</t>
        </is>
      </c>
      <c r="BD596" t="inlineStr">
        <is>
          <t>893611539</t>
        </is>
      </c>
    </row>
    <row r="597">
      <c r="A597" t="inlineStr">
        <is>
          <t>No</t>
        </is>
      </c>
      <c r="B597" t="inlineStr">
        <is>
          <t>HQ1201 .H67 1977</t>
        </is>
      </c>
      <c r="C597" t="inlineStr">
        <is>
          <t>0                      HQ 1201000H  67          1977</t>
        </is>
      </c>
      <c r="D597" t="inlineStr">
        <is>
          <t>History of ideas on woman : a source book / Rosemary Agonito.</t>
        </is>
      </c>
      <c r="F597" t="inlineStr">
        <is>
          <t>No</t>
        </is>
      </c>
      <c r="G597" t="inlineStr">
        <is>
          <t>1</t>
        </is>
      </c>
      <c r="H597" t="inlineStr">
        <is>
          <t>No</t>
        </is>
      </c>
      <c r="I597" t="inlineStr">
        <is>
          <t>No</t>
        </is>
      </c>
      <c r="J597" t="inlineStr">
        <is>
          <t>0</t>
        </is>
      </c>
      <c r="L597" t="inlineStr">
        <is>
          <t>New York : Putnam, c1977.</t>
        </is>
      </c>
      <c r="M597" t="inlineStr">
        <is>
          <t>1977</t>
        </is>
      </c>
      <c r="O597" t="inlineStr">
        <is>
          <t>eng</t>
        </is>
      </c>
      <c r="P597" t="inlineStr">
        <is>
          <t>nyu</t>
        </is>
      </c>
      <c r="R597" t="inlineStr">
        <is>
          <t xml:space="preserve">HQ </t>
        </is>
      </c>
      <c r="S597" t="n">
        <v>3</v>
      </c>
      <c r="T597" t="n">
        <v>3</v>
      </c>
      <c r="U597" t="inlineStr">
        <is>
          <t>2009-04-06</t>
        </is>
      </c>
      <c r="V597" t="inlineStr">
        <is>
          <t>2009-04-06</t>
        </is>
      </c>
      <c r="W597" t="inlineStr">
        <is>
          <t>1992-11-03</t>
        </is>
      </c>
      <c r="X597" t="inlineStr">
        <is>
          <t>1992-11-03</t>
        </is>
      </c>
      <c r="Y597" t="n">
        <v>872</v>
      </c>
      <c r="Z597" t="n">
        <v>789</v>
      </c>
      <c r="AA597" t="n">
        <v>884</v>
      </c>
      <c r="AB597" t="n">
        <v>5</v>
      </c>
      <c r="AC597" t="n">
        <v>6</v>
      </c>
      <c r="AD597" t="n">
        <v>28</v>
      </c>
      <c r="AE597" t="n">
        <v>32</v>
      </c>
      <c r="AF597" t="n">
        <v>12</v>
      </c>
      <c r="AG597" t="n">
        <v>14</v>
      </c>
      <c r="AH597" t="n">
        <v>7</v>
      </c>
      <c r="AI597" t="n">
        <v>7</v>
      </c>
      <c r="AJ597" t="n">
        <v>13</v>
      </c>
      <c r="AK597" t="n">
        <v>14</v>
      </c>
      <c r="AL597" t="n">
        <v>3</v>
      </c>
      <c r="AM597" t="n">
        <v>4</v>
      </c>
      <c r="AN597" t="n">
        <v>1</v>
      </c>
      <c r="AO597" t="n">
        <v>1</v>
      </c>
      <c r="AP597" t="inlineStr">
        <is>
          <t>No</t>
        </is>
      </c>
      <c r="AQ597" t="inlineStr">
        <is>
          <t>Yes</t>
        </is>
      </c>
      <c r="AR597">
        <f>HYPERLINK("http://catalog.hathitrust.org/Record/000724830","HathiTrust Record")</f>
        <v/>
      </c>
      <c r="AS597">
        <f>HYPERLINK("https://creighton-primo.hosted.exlibrisgroup.com/primo-explore/search?tab=default_tab&amp;search_scope=EVERYTHING&amp;vid=01CRU&amp;lang=en_US&amp;offset=0&amp;query=any,contains,991004268339702656","Catalog Record")</f>
        <v/>
      </c>
      <c r="AT597">
        <f>HYPERLINK("http://www.worldcat.org/oclc/2873696","WorldCat Record")</f>
        <v/>
      </c>
      <c r="AU597" t="inlineStr">
        <is>
          <t>815097592:eng</t>
        </is>
      </c>
      <c r="AV597" t="inlineStr">
        <is>
          <t>2873696</t>
        </is>
      </c>
      <c r="AW597" t="inlineStr">
        <is>
          <t>991004268339702656</t>
        </is>
      </c>
      <c r="AX597" t="inlineStr">
        <is>
          <t>991004268339702656</t>
        </is>
      </c>
      <c r="AY597" t="inlineStr">
        <is>
          <t>2259484340002656</t>
        </is>
      </c>
      <c r="AZ597" t="inlineStr">
        <is>
          <t>BOOK</t>
        </is>
      </c>
      <c r="BB597" t="inlineStr">
        <is>
          <t>9780399119644</t>
        </is>
      </c>
      <c r="BC597" t="inlineStr">
        <is>
          <t>32285001381481</t>
        </is>
      </c>
      <c r="BD597" t="inlineStr">
        <is>
          <t>893241220</t>
        </is>
      </c>
    </row>
    <row r="598">
      <c r="A598" t="inlineStr">
        <is>
          <t>No</t>
        </is>
      </c>
      <c r="B598" t="inlineStr">
        <is>
          <t>HQ1206 .B26 1978</t>
        </is>
      </c>
      <c r="C598" t="inlineStr">
        <is>
          <t>0                      HQ 1206000B  26          1978</t>
        </is>
      </c>
      <c r="D598" t="inlineStr">
        <is>
          <t>The competent woman : perspectives on development / by Rosalind C. Barnett and Grace K. Baruch ; with an afterword by Carolyn G. Heilbrun.</t>
        </is>
      </c>
      <c r="F598" t="inlineStr">
        <is>
          <t>No</t>
        </is>
      </c>
      <c r="G598" t="inlineStr">
        <is>
          <t>1</t>
        </is>
      </c>
      <c r="H598" t="inlineStr">
        <is>
          <t>No</t>
        </is>
      </c>
      <c r="I598" t="inlineStr">
        <is>
          <t>No</t>
        </is>
      </c>
      <c r="J598" t="inlineStr">
        <is>
          <t>0</t>
        </is>
      </c>
      <c r="K598" t="inlineStr">
        <is>
          <t>Barnett, Rosalind C.</t>
        </is>
      </c>
      <c r="L598" t="inlineStr">
        <is>
          <t>New York : Irvington Publishers : distributed by Halsted Press, c1978.</t>
        </is>
      </c>
      <c r="M598" t="inlineStr">
        <is>
          <t>1978</t>
        </is>
      </c>
      <c r="O598" t="inlineStr">
        <is>
          <t>eng</t>
        </is>
      </c>
      <c r="P598" t="inlineStr">
        <is>
          <t>nyu</t>
        </is>
      </c>
      <c r="Q598" t="inlineStr">
        <is>
          <t>Irvington social relations series</t>
        </is>
      </c>
      <c r="R598" t="inlineStr">
        <is>
          <t xml:space="preserve">HQ </t>
        </is>
      </c>
      <c r="S598" t="n">
        <v>2</v>
      </c>
      <c r="T598" t="n">
        <v>2</v>
      </c>
      <c r="U598" t="inlineStr">
        <is>
          <t>1995-09-29</t>
        </is>
      </c>
      <c r="V598" t="inlineStr">
        <is>
          <t>1995-09-29</t>
        </is>
      </c>
      <c r="W598" t="inlineStr">
        <is>
          <t>1990-02-20</t>
        </is>
      </c>
      <c r="X598" t="inlineStr">
        <is>
          <t>1990-02-20</t>
        </is>
      </c>
      <c r="Y598" t="n">
        <v>696</v>
      </c>
      <c r="Z598" t="n">
        <v>595</v>
      </c>
      <c r="AA598" t="n">
        <v>615</v>
      </c>
      <c r="AB598" t="n">
        <v>5</v>
      </c>
      <c r="AC598" t="n">
        <v>5</v>
      </c>
      <c r="AD598" t="n">
        <v>27</v>
      </c>
      <c r="AE598" t="n">
        <v>27</v>
      </c>
      <c r="AF598" t="n">
        <v>12</v>
      </c>
      <c r="AG598" t="n">
        <v>12</v>
      </c>
      <c r="AH598" t="n">
        <v>5</v>
      </c>
      <c r="AI598" t="n">
        <v>5</v>
      </c>
      <c r="AJ598" t="n">
        <v>13</v>
      </c>
      <c r="AK598" t="n">
        <v>13</v>
      </c>
      <c r="AL598" t="n">
        <v>4</v>
      </c>
      <c r="AM598" t="n">
        <v>4</v>
      </c>
      <c r="AN598" t="n">
        <v>0</v>
      </c>
      <c r="AO598" t="n">
        <v>0</v>
      </c>
      <c r="AP598" t="inlineStr">
        <is>
          <t>No</t>
        </is>
      </c>
      <c r="AQ598" t="inlineStr">
        <is>
          <t>Yes</t>
        </is>
      </c>
      <c r="AR598">
        <f>HYPERLINK("http://catalog.hathitrust.org/Record/000137305","HathiTrust Record")</f>
        <v/>
      </c>
      <c r="AS598">
        <f>HYPERLINK("https://creighton-primo.hosted.exlibrisgroup.com/primo-explore/search?tab=default_tab&amp;search_scope=EVERYTHING&amp;vid=01CRU&amp;lang=en_US&amp;offset=0&amp;query=any,contains,991004541149702656","Catalog Record")</f>
        <v/>
      </c>
      <c r="AT598">
        <f>HYPERLINK("http://www.worldcat.org/oclc/3893746","WorldCat Record")</f>
        <v/>
      </c>
      <c r="AU598" t="inlineStr">
        <is>
          <t>13378011:eng</t>
        </is>
      </c>
      <c r="AV598" t="inlineStr">
        <is>
          <t>3893746</t>
        </is>
      </c>
      <c r="AW598" t="inlineStr">
        <is>
          <t>991004541149702656</t>
        </is>
      </c>
      <c r="AX598" t="inlineStr">
        <is>
          <t>991004541149702656</t>
        </is>
      </c>
      <c r="AY598" t="inlineStr">
        <is>
          <t>2271901560002656</t>
        </is>
      </c>
      <c r="AZ598" t="inlineStr">
        <is>
          <t>BOOK</t>
        </is>
      </c>
      <c r="BB598" t="inlineStr">
        <is>
          <t>9780470264249</t>
        </is>
      </c>
      <c r="BC598" t="inlineStr">
        <is>
          <t>32285000056415</t>
        </is>
      </c>
      <c r="BD598" t="inlineStr">
        <is>
          <t>893599962</t>
        </is>
      </c>
    </row>
    <row r="599">
      <c r="A599" t="inlineStr">
        <is>
          <t>No</t>
        </is>
      </c>
      <c r="B599" t="inlineStr">
        <is>
          <t>HQ1206 .B345 1997</t>
        </is>
      </c>
      <c r="C599" t="inlineStr">
        <is>
          <t>0                      HQ 1206000B  345         1997</t>
        </is>
      </c>
      <c r="D599" t="inlineStr">
        <is>
          <t>A tradition that has no name : nurturing the development of people, families, and communities / Mary Field Belenky, Lynne A. Bond, and Jacqueline S. Weinstock.</t>
        </is>
      </c>
      <c r="F599" t="inlineStr">
        <is>
          <t>No</t>
        </is>
      </c>
      <c r="G599" t="inlineStr">
        <is>
          <t>1</t>
        </is>
      </c>
      <c r="H599" t="inlineStr">
        <is>
          <t>No</t>
        </is>
      </c>
      <c r="I599" t="inlineStr">
        <is>
          <t>No</t>
        </is>
      </c>
      <c r="J599" t="inlineStr">
        <is>
          <t>0</t>
        </is>
      </c>
      <c r="K599" t="inlineStr">
        <is>
          <t>Belenky, Mary Field.</t>
        </is>
      </c>
      <c r="L599" t="inlineStr">
        <is>
          <t>New York : BasicBooks, c1997.</t>
        </is>
      </c>
      <c r="M599" t="inlineStr">
        <is>
          <t>1997</t>
        </is>
      </c>
      <c r="O599" t="inlineStr">
        <is>
          <t>eng</t>
        </is>
      </c>
      <c r="P599" t="inlineStr">
        <is>
          <t>nyu</t>
        </is>
      </c>
      <c r="R599" t="inlineStr">
        <is>
          <t xml:space="preserve">HQ </t>
        </is>
      </c>
      <c r="S599" t="n">
        <v>6</v>
      </c>
      <c r="T599" t="n">
        <v>6</v>
      </c>
      <c r="U599" t="inlineStr">
        <is>
          <t>2006-12-04</t>
        </is>
      </c>
      <c r="V599" t="inlineStr">
        <is>
          <t>2006-12-04</t>
        </is>
      </c>
      <c r="W599" t="inlineStr">
        <is>
          <t>1997-09-23</t>
        </is>
      </c>
      <c r="X599" t="inlineStr">
        <is>
          <t>1997-09-23</t>
        </is>
      </c>
      <c r="Y599" t="n">
        <v>517</v>
      </c>
      <c r="Z599" t="n">
        <v>464</v>
      </c>
      <c r="AA599" t="n">
        <v>472</v>
      </c>
      <c r="AB599" t="n">
        <v>5</v>
      </c>
      <c r="AC599" t="n">
        <v>5</v>
      </c>
      <c r="AD599" t="n">
        <v>24</v>
      </c>
      <c r="AE599" t="n">
        <v>24</v>
      </c>
      <c r="AF599" t="n">
        <v>5</v>
      </c>
      <c r="AG599" t="n">
        <v>5</v>
      </c>
      <c r="AH599" t="n">
        <v>7</v>
      </c>
      <c r="AI599" t="n">
        <v>7</v>
      </c>
      <c r="AJ599" t="n">
        <v>13</v>
      </c>
      <c r="AK599" t="n">
        <v>13</v>
      </c>
      <c r="AL599" t="n">
        <v>4</v>
      </c>
      <c r="AM599" t="n">
        <v>4</v>
      </c>
      <c r="AN599" t="n">
        <v>0</v>
      </c>
      <c r="AO599" t="n">
        <v>0</v>
      </c>
      <c r="AP599" t="inlineStr">
        <is>
          <t>No</t>
        </is>
      </c>
      <c r="AQ599" t="inlineStr">
        <is>
          <t>Yes</t>
        </is>
      </c>
      <c r="AR599">
        <f>HYPERLINK("http://catalog.hathitrust.org/Record/003159431","HathiTrust Record")</f>
        <v/>
      </c>
      <c r="AS599">
        <f>HYPERLINK("https://creighton-primo.hosted.exlibrisgroup.com/primo-explore/search?tab=default_tab&amp;search_scope=EVERYTHING&amp;vid=01CRU&amp;lang=en_US&amp;offset=0&amp;query=any,contains,991002755809702656","Catalog Record")</f>
        <v/>
      </c>
      <c r="AT599">
        <f>HYPERLINK("http://www.worldcat.org/oclc/36143613","WorldCat Record")</f>
        <v/>
      </c>
      <c r="AU599" t="inlineStr">
        <is>
          <t>20475841:eng</t>
        </is>
      </c>
      <c r="AV599" t="inlineStr">
        <is>
          <t>36143613</t>
        </is>
      </c>
      <c r="AW599" t="inlineStr">
        <is>
          <t>991002755809702656</t>
        </is>
      </c>
      <c r="AX599" t="inlineStr">
        <is>
          <t>991002755809702656</t>
        </is>
      </c>
      <c r="AY599" t="inlineStr">
        <is>
          <t>2259325050002656</t>
        </is>
      </c>
      <c r="AZ599" t="inlineStr">
        <is>
          <t>BOOK</t>
        </is>
      </c>
      <c r="BB599" t="inlineStr">
        <is>
          <t>9780465026050</t>
        </is>
      </c>
      <c r="BC599" t="inlineStr">
        <is>
          <t>32285003250239</t>
        </is>
      </c>
      <c r="BD599" t="inlineStr">
        <is>
          <t>893716880</t>
        </is>
      </c>
    </row>
    <row r="600">
      <c r="A600" t="inlineStr">
        <is>
          <t>No</t>
        </is>
      </c>
      <c r="B600" t="inlineStr">
        <is>
          <t>HQ1206 .B36 1989</t>
        </is>
      </c>
      <c r="C600" t="inlineStr">
        <is>
          <t>0                      HQ 1206000B  36          1989</t>
        </is>
      </c>
      <c r="D600" t="inlineStr">
        <is>
          <t>Becoming mature : childhood ghosts and spirits in adult life / Valerie Malhotra Bentz.</t>
        </is>
      </c>
      <c r="F600" t="inlineStr">
        <is>
          <t>No</t>
        </is>
      </c>
      <c r="G600" t="inlineStr">
        <is>
          <t>1</t>
        </is>
      </c>
      <c r="H600" t="inlineStr">
        <is>
          <t>No</t>
        </is>
      </c>
      <c r="I600" t="inlineStr">
        <is>
          <t>No</t>
        </is>
      </c>
      <c r="J600" t="inlineStr">
        <is>
          <t>0</t>
        </is>
      </c>
      <c r="K600" t="inlineStr">
        <is>
          <t>Bentz, Valerie Malhotra, 1942-</t>
        </is>
      </c>
      <c r="L600" t="inlineStr">
        <is>
          <t>New York : A. de Gruyter, 1989.</t>
        </is>
      </c>
      <c r="M600" t="inlineStr">
        <is>
          <t>1989</t>
        </is>
      </c>
      <c r="O600" t="inlineStr">
        <is>
          <t>eng</t>
        </is>
      </c>
      <c r="P600" t="inlineStr">
        <is>
          <t>nyu</t>
        </is>
      </c>
      <c r="Q600" t="inlineStr">
        <is>
          <t>Communication and social order</t>
        </is>
      </c>
      <c r="R600" t="inlineStr">
        <is>
          <t xml:space="preserve">HQ </t>
        </is>
      </c>
      <c r="S600" t="n">
        <v>1</v>
      </c>
      <c r="T600" t="n">
        <v>1</v>
      </c>
      <c r="U600" t="inlineStr">
        <is>
          <t>1993-01-18</t>
        </is>
      </c>
      <c r="V600" t="inlineStr">
        <is>
          <t>1993-01-18</t>
        </is>
      </c>
      <c r="W600" t="inlineStr">
        <is>
          <t>1989-11-27</t>
        </is>
      </c>
      <c r="X600" t="inlineStr">
        <is>
          <t>1989-11-27</t>
        </is>
      </c>
      <c r="Y600" t="n">
        <v>402</v>
      </c>
      <c r="Z600" t="n">
        <v>338</v>
      </c>
      <c r="AA600" t="n">
        <v>338</v>
      </c>
      <c r="AB600" t="n">
        <v>3</v>
      </c>
      <c r="AC600" t="n">
        <v>3</v>
      </c>
      <c r="AD600" t="n">
        <v>19</v>
      </c>
      <c r="AE600" t="n">
        <v>19</v>
      </c>
      <c r="AF600" t="n">
        <v>7</v>
      </c>
      <c r="AG600" t="n">
        <v>7</v>
      </c>
      <c r="AH600" t="n">
        <v>3</v>
      </c>
      <c r="AI600" t="n">
        <v>3</v>
      </c>
      <c r="AJ600" t="n">
        <v>12</v>
      </c>
      <c r="AK600" t="n">
        <v>12</v>
      </c>
      <c r="AL600" t="n">
        <v>2</v>
      </c>
      <c r="AM600" t="n">
        <v>2</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HYPERLINK("https://creighton-primo.hosted.exlibrisgroup.com/primo-explore/search?tab=default_tab&amp;search_scope=EVERYTHING&amp;vid=01CRU&amp;lang=en_US&amp;offset=0&amp;query=any,contains,991001506789702656","Catalog Record")</f>
        <v/>
      </c>
      <c r="AT600">
        <f>HYPERLINK("http://www.worldcat.org/oclc/19846633","WorldCat Record")</f>
        <v/>
      </c>
      <c r="AU600" t="inlineStr">
        <is>
          <t>371429282:eng</t>
        </is>
      </c>
      <c r="AV600" t="inlineStr">
        <is>
          <t>19846633</t>
        </is>
      </c>
      <c r="AW600" t="inlineStr">
        <is>
          <t>991001506789702656</t>
        </is>
      </c>
      <c r="AX600" t="inlineStr">
        <is>
          <t>991001506789702656</t>
        </is>
      </c>
      <c r="AY600" t="inlineStr">
        <is>
          <t>2265652350002656</t>
        </is>
      </c>
      <c r="AZ600" t="inlineStr">
        <is>
          <t>BOOK</t>
        </is>
      </c>
      <c r="BB600" t="inlineStr">
        <is>
          <t>9780202303598</t>
        </is>
      </c>
      <c r="BC600" t="inlineStr">
        <is>
          <t>32285000014968</t>
        </is>
      </c>
      <c r="BD600" t="inlineStr">
        <is>
          <t>893340482</t>
        </is>
      </c>
    </row>
    <row r="601">
      <c r="A601" t="inlineStr">
        <is>
          <t>No</t>
        </is>
      </c>
      <c r="B601" t="inlineStr">
        <is>
          <t>HQ1206 .B365 1990</t>
        </is>
      </c>
      <c r="C601" t="inlineStr">
        <is>
          <t>0                      HQ 1206000B  365         1990</t>
        </is>
      </c>
      <c r="D601" t="inlineStr">
        <is>
          <t>Too good for her own good : breaking free from the burden of female responsibility / Claudia Bepko &amp; Jo-Ann Krestan.</t>
        </is>
      </c>
      <c r="F601" t="inlineStr">
        <is>
          <t>No</t>
        </is>
      </c>
      <c r="G601" t="inlineStr">
        <is>
          <t>1</t>
        </is>
      </c>
      <c r="H601" t="inlineStr">
        <is>
          <t>No</t>
        </is>
      </c>
      <c r="I601" t="inlineStr">
        <is>
          <t>No</t>
        </is>
      </c>
      <c r="J601" t="inlineStr">
        <is>
          <t>0</t>
        </is>
      </c>
      <c r="K601" t="inlineStr">
        <is>
          <t>Bepko, Claudia.</t>
        </is>
      </c>
      <c r="L601" t="inlineStr">
        <is>
          <t>New York : Harper &amp; Row, c1990.</t>
        </is>
      </c>
      <c r="M601" t="inlineStr">
        <is>
          <t>1990</t>
        </is>
      </c>
      <c r="N601" t="inlineStr">
        <is>
          <t>1st ed.</t>
        </is>
      </c>
      <c r="O601" t="inlineStr">
        <is>
          <t>eng</t>
        </is>
      </c>
      <c r="P601" t="inlineStr">
        <is>
          <t>nyu</t>
        </is>
      </c>
      <c r="R601" t="inlineStr">
        <is>
          <t xml:space="preserve">HQ </t>
        </is>
      </c>
      <c r="S601" t="n">
        <v>3</v>
      </c>
      <c r="T601" t="n">
        <v>3</v>
      </c>
      <c r="U601" t="inlineStr">
        <is>
          <t>2003-07-21</t>
        </is>
      </c>
      <c r="V601" t="inlineStr">
        <is>
          <t>2003-07-21</t>
        </is>
      </c>
      <c r="W601" t="inlineStr">
        <is>
          <t>1991-06-11</t>
        </is>
      </c>
      <c r="X601" t="inlineStr">
        <is>
          <t>1991-06-11</t>
        </is>
      </c>
      <c r="Y601" t="n">
        <v>573</v>
      </c>
      <c r="Z601" t="n">
        <v>534</v>
      </c>
      <c r="AA601" t="n">
        <v>572</v>
      </c>
      <c r="AB601" t="n">
        <v>5</v>
      </c>
      <c r="AC601" t="n">
        <v>6</v>
      </c>
      <c r="AD601" t="n">
        <v>15</v>
      </c>
      <c r="AE601" t="n">
        <v>16</v>
      </c>
      <c r="AF601" t="n">
        <v>5</v>
      </c>
      <c r="AG601" t="n">
        <v>5</v>
      </c>
      <c r="AH601" t="n">
        <v>3</v>
      </c>
      <c r="AI601" t="n">
        <v>3</v>
      </c>
      <c r="AJ601" t="n">
        <v>8</v>
      </c>
      <c r="AK601" t="n">
        <v>8</v>
      </c>
      <c r="AL601" t="n">
        <v>1</v>
      </c>
      <c r="AM601" t="n">
        <v>2</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HYPERLINK("https://creighton-primo.hosted.exlibrisgroup.com/primo-explore/search?tab=default_tab&amp;search_scope=EVERYTHING&amp;vid=01CRU&amp;lang=en_US&amp;offset=0&amp;query=any,contains,991001624619702656","Catalog Record")</f>
        <v/>
      </c>
      <c r="AT601">
        <f>HYPERLINK("http://www.worldcat.org/oclc/20827876","WorldCat Record")</f>
        <v/>
      </c>
      <c r="AU601" t="inlineStr">
        <is>
          <t>4494946598:eng</t>
        </is>
      </c>
      <c r="AV601" t="inlineStr">
        <is>
          <t>20827876</t>
        </is>
      </c>
      <c r="AW601" t="inlineStr">
        <is>
          <t>991001624619702656</t>
        </is>
      </c>
      <c r="AX601" t="inlineStr">
        <is>
          <t>991001624619702656</t>
        </is>
      </c>
      <c r="AY601" t="inlineStr">
        <is>
          <t>2261696490002656</t>
        </is>
      </c>
      <c r="AZ601" t="inlineStr">
        <is>
          <t>BOOK</t>
        </is>
      </c>
      <c r="BB601" t="inlineStr">
        <is>
          <t>9780060163655</t>
        </is>
      </c>
      <c r="BC601" t="inlineStr">
        <is>
          <t>32285000594332</t>
        </is>
      </c>
      <c r="BD601" t="inlineStr">
        <is>
          <t>893608994</t>
        </is>
      </c>
    </row>
    <row r="602">
      <c r="A602" t="inlineStr">
        <is>
          <t>No</t>
        </is>
      </c>
      <c r="B602" t="inlineStr">
        <is>
          <t>HQ1206 .B374</t>
        </is>
      </c>
      <c r="C602" t="inlineStr">
        <is>
          <t>0                      HQ 1206000B  374</t>
        </is>
      </c>
      <c r="D602" t="inlineStr">
        <is>
          <t>The female world / Jessie Bernard.</t>
        </is>
      </c>
      <c r="F602" t="inlineStr">
        <is>
          <t>No</t>
        </is>
      </c>
      <c r="G602" t="inlineStr">
        <is>
          <t>1</t>
        </is>
      </c>
      <c r="H602" t="inlineStr">
        <is>
          <t>No</t>
        </is>
      </c>
      <c r="I602" t="inlineStr">
        <is>
          <t>No</t>
        </is>
      </c>
      <c r="J602" t="inlineStr">
        <is>
          <t>0</t>
        </is>
      </c>
      <c r="K602" t="inlineStr">
        <is>
          <t>Bernard, Jessie, 1903-1996.</t>
        </is>
      </c>
      <c r="L602" t="inlineStr">
        <is>
          <t>New York : Free Press, c1981.</t>
        </is>
      </c>
      <c r="M602" t="inlineStr">
        <is>
          <t>1981</t>
        </is>
      </c>
      <c r="O602" t="inlineStr">
        <is>
          <t>eng</t>
        </is>
      </c>
      <c r="P602" t="inlineStr">
        <is>
          <t>nyu</t>
        </is>
      </c>
      <c r="R602" t="inlineStr">
        <is>
          <t xml:space="preserve">HQ </t>
        </is>
      </c>
      <c r="S602" t="n">
        <v>4</v>
      </c>
      <c r="T602" t="n">
        <v>4</v>
      </c>
      <c r="U602" t="inlineStr">
        <is>
          <t>1994-09-03</t>
        </is>
      </c>
      <c r="V602" t="inlineStr">
        <is>
          <t>1994-09-03</t>
        </is>
      </c>
      <c r="W602" t="inlineStr">
        <is>
          <t>1993-04-15</t>
        </is>
      </c>
      <c r="X602" t="inlineStr">
        <is>
          <t>1993-04-15</t>
        </is>
      </c>
      <c r="Y602" t="n">
        <v>1242</v>
      </c>
      <c r="Z602" t="n">
        <v>1099</v>
      </c>
      <c r="AA602" t="n">
        <v>1111</v>
      </c>
      <c r="AB602" t="n">
        <v>11</v>
      </c>
      <c r="AC602" t="n">
        <v>11</v>
      </c>
      <c r="AD602" t="n">
        <v>49</v>
      </c>
      <c r="AE602" t="n">
        <v>50</v>
      </c>
      <c r="AF602" t="n">
        <v>19</v>
      </c>
      <c r="AG602" t="n">
        <v>20</v>
      </c>
      <c r="AH602" t="n">
        <v>10</v>
      </c>
      <c r="AI602" t="n">
        <v>10</v>
      </c>
      <c r="AJ602" t="n">
        <v>22</v>
      </c>
      <c r="AK602" t="n">
        <v>22</v>
      </c>
      <c r="AL602" t="n">
        <v>10</v>
      </c>
      <c r="AM602" t="n">
        <v>10</v>
      </c>
      <c r="AN602" t="n">
        <v>1</v>
      </c>
      <c r="AO602" t="n">
        <v>1</v>
      </c>
      <c r="AP602" t="inlineStr">
        <is>
          <t>No</t>
        </is>
      </c>
      <c r="AQ602" t="inlineStr">
        <is>
          <t>Yes</t>
        </is>
      </c>
      <c r="AR602">
        <f>HYPERLINK("http://catalog.hathitrust.org/Record/000130048","HathiTrust Record")</f>
        <v/>
      </c>
      <c r="AS602">
        <f>HYPERLINK("https://creighton-primo.hosted.exlibrisgroup.com/primo-explore/search?tab=default_tab&amp;search_scope=EVERYTHING&amp;vid=01CRU&amp;lang=en_US&amp;offset=0&amp;query=any,contains,991005098969702656","Catalog Record")</f>
        <v/>
      </c>
      <c r="AT602">
        <f>HYPERLINK("http://www.worldcat.org/oclc/7278416","WorldCat Record")</f>
        <v/>
      </c>
      <c r="AU602" t="inlineStr">
        <is>
          <t>112987310:eng</t>
        </is>
      </c>
      <c r="AV602" t="inlineStr">
        <is>
          <t>7278416</t>
        </is>
      </c>
      <c r="AW602" t="inlineStr">
        <is>
          <t>991005098969702656</t>
        </is>
      </c>
      <c r="AX602" t="inlineStr">
        <is>
          <t>991005098969702656</t>
        </is>
      </c>
      <c r="AY602" t="inlineStr">
        <is>
          <t>2263323500002656</t>
        </is>
      </c>
      <c r="AZ602" t="inlineStr">
        <is>
          <t>BOOK</t>
        </is>
      </c>
      <c r="BB602" t="inlineStr">
        <is>
          <t>9780029030004</t>
        </is>
      </c>
      <c r="BC602" t="inlineStr">
        <is>
          <t>32285001620300</t>
        </is>
      </c>
      <c r="BD602" t="inlineStr">
        <is>
          <t>893895863</t>
        </is>
      </c>
    </row>
    <row r="603">
      <c r="A603" t="inlineStr">
        <is>
          <t>No</t>
        </is>
      </c>
      <c r="B603" t="inlineStr">
        <is>
          <t>HQ1206 .B44 1982</t>
        </is>
      </c>
      <c r="C603" t="inlineStr">
        <is>
          <t>0                      HQ 1206000B  44          1982</t>
        </is>
      </c>
      <c r="D603" t="inlineStr">
        <is>
          <t>Biological woman--the convenient myth : a collection of feminist essays and a comprehensive bibliography / edited by Ruth Hubbard, Mary Sue Henifin, and Barbara Fried.</t>
        </is>
      </c>
      <c r="F603" t="inlineStr">
        <is>
          <t>No</t>
        </is>
      </c>
      <c r="G603" t="inlineStr">
        <is>
          <t>1</t>
        </is>
      </c>
      <c r="H603" t="inlineStr">
        <is>
          <t>No</t>
        </is>
      </c>
      <c r="I603" t="inlineStr">
        <is>
          <t>No</t>
        </is>
      </c>
      <c r="J603" t="inlineStr">
        <is>
          <t>0</t>
        </is>
      </c>
      <c r="L603" t="inlineStr">
        <is>
          <t>Cambridge, MA : Schenkman Pub. Co., c1982.</t>
        </is>
      </c>
      <c r="M603" t="inlineStr">
        <is>
          <t>1982</t>
        </is>
      </c>
      <c r="O603" t="inlineStr">
        <is>
          <t>eng</t>
        </is>
      </c>
      <c r="P603" t="inlineStr">
        <is>
          <t>mau</t>
        </is>
      </c>
      <c r="R603" t="inlineStr">
        <is>
          <t xml:space="preserve">HQ </t>
        </is>
      </c>
      <c r="S603" t="n">
        <v>3</v>
      </c>
      <c r="T603" t="n">
        <v>3</v>
      </c>
      <c r="U603" t="inlineStr">
        <is>
          <t>1997-02-10</t>
        </is>
      </c>
      <c r="V603" t="inlineStr">
        <is>
          <t>1997-02-10</t>
        </is>
      </c>
      <c r="W603" t="inlineStr">
        <is>
          <t>1993-04-27</t>
        </is>
      </c>
      <c r="X603" t="inlineStr">
        <is>
          <t>1993-04-27</t>
        </is>
      </c>
      <c r="Y603" t="n">
        <v>429</v>
      </c>
      <c r="Z603" t="n">
        <v>349</v>
      </c>
      <c r="AA603" t="n">
        <v>352</v>
      </c>
      <c r="AB603" t="n">
        <v>2</v>
      </c>
      <c r="AC603" t="n">
        <v>2</v>
      </c>
      <c r="AD603" t="n">
        <v>16</v>
      </c>
      <c r="AE603" t="n">
        <v>16</v>
      </c>
      <c r="AF603" t="n">
        <v>6</v>
      </c>
      <c r="AG603" t="n">
        <v>6</v>
      </c>
      <c r="AH603" t="n">
        <v>3</v>
      </c>
      <c r="AI603" t="n">
        <v>3</v>
      </c>
      <c r="AJ603" t="n">
        <v>10</v>
      </c>
      <c r="AK603" t="n">
        <v>10</v>
      </c>
      <c r="AL603" t="n">
        <v>1</v>
      </c>
      <c r="AM603" t="n">
        <v>1</v>
      </c>
      <c r="AN603" t="n">
        <v>0</v>
      </c>
      <c r="AO603" t="n">
        <v>0</v>
      </c>
      <c r="AP603" t="inlineStr">
        <is>
          <t>No</t>
        </is>
      </c>
      <c r="AQ603" t="inlineStr">
        <is>
          <t>Yes</t>
        </is>
      </c>
      <c r="AR603">
        <f>HYPERLINK("http://catalog.hathitrust.org/Record/000774953","HathiTrust Record")</f>
        <v/>
      </c>
      <c r="AS603">
        <f>HYPERLINK("https://creighton-primo.hosted.exlibrisgroup.com/primo-explore/search?tab=default_tab&amp;search_scope=EVERYTHING&amp;vid=01CRU&amp;lang=en_US&amp;offset=0&amp;query=any,contains,991000054349702656","Catalog Record")</f>
        <v/>
      </c>
      <c r="AT603">
        <f>HYPERLINK("http://www.worldcat.org/oclc/8708160","WorldCat Record")</f>
        <v/>
      </c>
      <c r="AU603" t="inlineStr">
        <is>
          <t>836945088:eng</t>
        </is>
      </c>
      <c r="AV603" t="inlineStr">
        <is>
          <t>8708160</t>
        </is>
      </c>
      <c r="AW603" t="inlineStr">
        <is>
          <t>991000054349702656</t>
        </is>
      </c>
      <c r="AX603" t="inlineStr">
        <is>
          <t>991000054349702656</t>
        </is>
      </c>
      <c r="AY603" t="inlineStr">
        <is>
          <t>2255595920002656</t>
        </is>
      </c>
      <c r="AZ603" t="inlineStr">
        <is>
          <t>BOOK</t>
        </is>
      </c>
      <c r="BB603" t="inlineStr">
        <is>
          <t>9780870737022</t>
        </is>
      </c>
      <c r="BC603" t="inlineStr">
        <is>
          <t>32285001628246</t>
        </is>
      </c>
      <c r="BD603" t="inlineStr">
        <is>
          <t>893884055</t>
        </is>
      </c>
    </row>
    <row r="604">
      <c r="A604" t="inlineStr">
        <is>
          <t>No</t>
        </is>
      </c>
      <c r="B604" t="inlineStr">
        <is>
          <t>HQ1206 .B47</t>
        </is>
      </c>
      <c r="C604" t="inlineStr">
        <is>
          <t>0                      HQ 1206000B  47</t>
        </is>
      </c>
      <c r="D604" t="inlineStr">
        <is>
          <t>The new assertive woman / Lynn Z. Bloom, Karen Coburn, Joan Pearlman.</t>
        </is>
      </c>
      <c r="F604" t="inlineStr">
        <is>
          <t>No</t>
        </is>
      </c>
      <c r="G604" t="inlineStr">
        <is>
          <t>1</t>
        </is>
      </c>
      <c r="H604" t="inlineStr">
        <is>
          <t>No</t>
        </is>
      </c>
      <c r="I604" t="inlineStr">
        <is>
          <t>No</t>
        </is>
      </c>
      <c r="J604" t="inlineStr">
        <is>
          <t>0</t>
        </is>
      </c>
      <c r="K604" t="inlineStr">
        <is>
          <t>Bloom, Lynn Z., 1934-</t>
        </is>
      </c>
      <c r="L604" t="inlineStr">
        <is>
          <t>New York : Delacorte Press, [1975]</t>
        </is>
      </c>
      <c r="M604" t="inlineStr">
        <is>
          <t>1975</t>
        </is>
      </c>
      <c r="O604" t="inlineStr">
        <is>
          <t>eng</t>
        </is>
      </c>
      <c r="P604" t="inlineStr">
        <is>
          <t>nyu</t>
        </is>
      </c>
      <c r="R604" t="inlineStr">
        <is>
          <t xml:space="preserve">HQ </t>
        </is>
      </c>
      <c r="S604" t="n">
        <v>6</v>
      </c>
      <c r="T604" t="n">
        <v>6</v>
      </c>
      <c r="U604" t="inlineStr">
        <is>
          <t>2010-03-30</t>
        </is>
      </c>
      <c r="V604" t="inlineStr">
        <is>
          <t>2010-03-30</t>
        </is>
      </c>
      <c r="W604" t="inlineStr">
        <is>
          <t>1990-10-02</t>
        </is>
      </c>
      <c r="X604" t="inlineStr">
        <is>
          <t>1990-10-02</t>
        </is>
      </c>
      <c r="Y604" t="n">
        <v>508</v>
      </c>
      <c r="Z604" t="n">
        <v>474</v>
      </c>
      <c r="AA604" t="n">
        <v>668</v>
      </c>
      <c r="AB604" t="n">
        <v>3</v>
      </c>
      <c r="AC604" t="n">
        <v>5</v>
      </c>
      <c r="AD604" t="n">
        <v>11</v>
      </c>
      <c r="AE604" t="n">
        <v>15</v>
      </c>
      <c r="AF604" t="n">
        <v>5</v>
      </c>
      <c r="AG604" t="n">
        <v>6</v>
      </c>
      <c r="AH604" t="n">
        <v>2</v>
      </c>
      <c r="AI604" t="n">
        <v>3</v>
      </c>
      <c r="AJ604" t="n">
        <v>6</v>
      </c>
      <c r="AK604" t="n">
        <v>8</v>
      </c>
      <c r="AL604" t="n">
        <v>1</v>
      </c>
      <c r="AM604" t="n">
        <v>3</v>
      </c>
      <c r="AN604" t="n">
        <v>0</v>
      </c>
      <c r="AO604" t="n">
        <v>0</v>
      </c>
      <c r="AP604" t="inlineStr">
        <is>
          <t>No</t>
        </is>
      </c>
      <c r="AQ604" t="inlineStr">
        <is>
          <t>Yes</t>
        </is>
      </c>
      <c r="AR604">
        <f>HYPERLINK("http://catalog.hathitrust.org/Record/000025954","HathiTrust Record")</f>
        <v/>
      </c>
      <c r="AS604">
        <f>HYPERLINK("https://creighton-primo.hosted.exlibrisgroup.com/primo-explore/search?tab=default_tab&amp;search_scope=EVERYTHING&amp;vid=01CRU&amp;lang=en_US&amp;offset=0&amp;query=any,contains,991003818419702656","Catalog Record")</f>
        <v/>
      </c>
      <c r="AT604">
        <f>HYPERLINK("http://www.worldcat.org/oclc/1551550","WorldCat Record")</f>
        <v/>
      </c>
      <c r="AU604" t="inlineStr">
        <is>
          <t>480055:eng</t>
        </is>
      </c>
      <c r="AV604" t="inlineStr">
        <is>
          <t>1551550</t>
        </is>
      </c>
      <c r="AW604" t="inlineStr">
        <is>
          <t>991003818419702656</t>
        </is>
      </c>
      <c r="AX604" t="inlineStr">
        <is>
          <t>991003818419702656</t>
        </is>
      </c>
      <c r="AY604" t="inlineStr">
        <is>
          <t>2265818130002656</t>
        </is>
      </c>
      <c r="AZ604" t="inlineStr">
        <is>
          <t>BOOK</t>
        </is>
      </c>
      <c r="BB604" t="inlineStr">
        <is>
          <t>9780440064398</t>
        </is>
      </c>
      <c r="BC604" t="inlineStr">
        <is>
          <t>32285000324920</t>
        </is>
      </c>
      <c r="BD604" t="inlineStr">
        <is>
          <t>893410734</t>
        </is>
      </c>
    </row>
    <row r="605">
      <c r="A605" t="inlineStr">
        <is>
          <t>No</t>
        </is>
      </c>
      <c r="B605" t="inlineStr">
        <is>
          <t>HQ1206 .B66 1997</t>
        </is>
      </c>
      <c r="C605" t="inlineStr">
        <is>
          <t>0                      HQ 1206000B  66          1997</t>
        </is>
      </c>
      <c r="D605" t="inlineStr">
        <is>
          <t>10 smart moves for women who want to succeed in love and life/ Dianna Booher.</t>
        </is>
      </c>
      <c r="F605" t="inlineStr">
        <is>
          <t>No</t>
        </is>
      </c>
      <c r="G605" t="inlineStr">
        <is>
          <t>1</t>
        </is>
      </c>
      <c r="H605" t="inlineStr">
        <is>
          <t>No</t>
        </is>
      </c>
      <c r="I605" t="inlineStr">
        <is>
          <t>No</t>
        </is>
      </c>
      <c r="J605" t="inlineStr">
        <is>
          <t>0</t>
        </is>
      </c>
      <c r="K605" t="inlineStr">
        <is>
          <t>Booher, Dianna Daniels.</t>
        </is>
      </c>
      <c r="M605" t="inlineStr">
        <is>
          <t>1997</t>
        </is>
      </c>
      <c r="O605" t="inlineStr">
        <is>
          <t>eng</t>
        </is>
      </c>
      <c r="P605" t="inlineStr">
        <is>
          <t>oku</t>
        </is>
      </c>
      <c r="R605" t="inlineStr">
        <is>
          <t xml:space="preserve">HQ </t>
        </is>
      </c>
      <c r="S605" t="n">
        <v>1</v>
      </c>
      <c r="T605" t="n">
        <v>1</v>
      </c>
      <c r="U605" t="inlineStr">
        <is>
          <t>1999-07-16</t>
        </is>
      </c>
      <c r="V605" t="inlineStr">
        <is>
          <t>1999-07-16</t>
        </is>
      </c>
      <c r="W605" t="inlineStr">
        <is>
          <t>1997-12-03</t>
        </is>
      </c>
      <c r="X605" t="inlineStr">
        <is>
          <t>1997-12-03</t>
        </is>
      </c>
      <c r="Y605" t="n">
        <v>70</v>
      </c>
      <c r="Z605" t="n">
        <v>63</v>
      </c>
      <c r="AA605" t="n">
        <v>63</v>
      </c>
      <c r="AB605" t="n">
        <v>1</v>
      </c>
      <c r="AC605" t="n">
        <v>1</v>
      </c>
      <c r="AD605" t="n">
        <v>0</v>
      </c>
      <c r="AE605" t="n">
        <v>0</v>
      </c>
      <c r="AF605" t="n">
        <v>0</v>
      </c>
      <c r="AG605" t="n">
        <v>0</v>
      </c>
      <c r="AH605" t="n">
        <v>0</v>
      </c>
      <c r="AI605" t="n">
        <v>0</v>
      </c>
      <c r="AJ605" t="n">
        <v>0</v>
      </c>
      <c r="AK605" t="n">
        <v>0</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HYPERLINK("https://creighton-primo.hosted.exlibrisgroup.com/primo-explore/search?tab=default_tab&amp;search_scope=EVERYTHING&amp;vid=01CRU&amp;lang=en_US&amp;offset=0&amp;query=any,contains,991002873819702656","Catalog Record")</f>
        <v/>
      </c>
      <c r="AT605">
        <f>HYPERLINK("http://www.worldcat.org/oclc/46968501","WorldCat Record")</f>
        <v/>
      </c>
      <c r="AU605" t="inlineStr">
        <is>
          <t>689663:eng</t>
        </is>
      </c>
      <c r="AV605" t="inlineStr">
        <is>
          <t>46968501</t>
        </is>
      </c>
      <c r="AW605" t="inlineStr">
        <is>
          <t>991002873819702656</t>
        </is>
      </c>
      <c r="AX605" t="inlineStr">
        <is>
          <t>991002873819702656</t>
        </is>
      </c>
      <c r="AY605" t="inlineStr">
        <is>
          <t>2265401270002656</t>
        </is>
      </c>
      <c r="AZ605" t="inlineStr">
        <is>
          <t>BOOK</t>
        </is>
      </c>
      <c r="BB605" t="inlineStr">
        <is>
          <t>9781577570165</t>
        </is>
      </c>
      <c r="BC605" t="inlineStr">
        <is>
          <t>32285003281036</t>
        </is>
      </c>
      <c r="BD605" t="inlineStr">
        <is>
          <t>893434399</t>
        </is>
      </c>
    </row>
    <row r="606">
      <c r="A606" t="inlineStr">
        <is>
          <t>No</t>
        </is>
      </c>
      <c r="B606" t="inlineStr">
        <is>
          <t>HQ1206 .B76 1987</t>
        </is>
      </c>
      <c r="C606" t="inlineStr">
        <is>
          <t>0                      HQ 1206000B  76          1987</t>
        </is>
      </c>
      <c r="D606" t="inlineStr">
        <is>
          <t>Woman to woman : from sabotage to support / Judith Briles.</t>
        </is>
      </c>
      <c r="F606" t="inlineStr">
        <is>
          <t>No</t>
        </is>
      </c>
      <c r="G606" t="inlineStr">
        <is>
          <t>1</t>
        </is>
      </c>
      <c r="H606" t="inlineStr">
        <is>
          <t>No</t>
        </is>
      </c>
      <c r="I606" t="inlineStr">
        <is>
          <t>No</t>
        </is>
      </c>
      <c r="J606" t="inlineStr">
        <is>
          <t>0</t>
        </is>
      </c>
      <c r="K606" t="inlineStr">
        <is>
          <t>Briles, Judith.</t>
        </is>
      </c>
      <c r="L606" t="inlineStr">
        <is>
          <t>Far Hills, NJ : New Horizon Press, 1987.</t>
        </is>
      </c>
      <c r="M606" t="inlineStr">
        <is>
          <t>1987</t>
        </is>
      </c>
      <c r="O606" t="inlineStr">
        <is>
          <t>eng</t>
        </is>
      </c>
      <c r="P606" t="inlineStr">
        <is>
          <t>nju</t>
        </is>
      </c>
      <c r="R606" t="inlineStr">
        <is>
          <t xml:space="preserve">HQ </t>
        </is>
      </c>
      <c r="S606" t="n">
        <v>3</v>
      </c>
      <c r="T606" t="n">
        <v>3</v>
      </c>
      <c r="U606" t="inlineStr">
        <is>
          <t>1994-12-08</t>
        </is>
      </c>
      <c r="V606" t="inlineStr">
        <is>
          <t>1994-12-08</t>
        </is>
      </c>
      <c r="W606" t="inlineStr">
        <is>
          <t>1990-04-09</t>
        </is>
      </c>
      <c r="X606" t="inlineStr">
        <is>
          <t>1990-04-09</t>
        </is>
      </c>
      <c r="Y606" t="n">
        <v>482</v>
      </c>
      <c r="Z606" t="n">
        <v>456</v>
      </c>
      <c r="AA606" t="n">
        <v>485</v>
      </c>
      <c r="AB606" t="n">
        <v>5</v>
      </c>
      <c r="AC606" t="n">
        <v>5</v>
      </c>
      <c r="AD606" t="n">
        <v>13</v>
      </c>
      <c r="AE606" t="n">
        <v>15</v>
      </c>
      <c r="AF606" t="n">
        <v>5</v>
      </c>
      <c r="AG606" t="n">
        <v>6</v>
      </c>
      <c r="AH606" t="n">
        <v>2</v>
      </c>
      <c r="AI606" t="n">
        <v>3</v>
      </c>
      <c r="AJ606" t="n">
        <v>6</v>
      </c>
      <c r="AK606" t="n">
        <v>7</v>
      </c>
      <c r="AL606" t="n">
        <v>3</v>
      </c>
      <c r="AM606" t="n">
        <v>3</v>
      </c>
      <c r="AN606" t="n">
        <v>0</v>
      </c>
      <c r="AO606" t="n">
        <v>0</v>
      </c>
      <c r="AP606" t="inlineStr">
        <is>
          <t>No</t>
        </is>
      </c>
      <c r="AQ606" t="inlineStr">
        <is>
          <t>Yes</t>
        </is>
      </c>
      <c r="AR606">
        <f>HYPERLINK("http://catalog.hathitrust.org/Record/000881196","HathiTrust Record")</f>
        <v/>
      </c>
      <c r="AS606">
        <f>HYPERLINK("https://creighton-primo.hosted.exlibrisgroup.com/primo-explore/search?tab=default_tab&amp;search_scope=EVERYTHING&amp;vid=01CRU&amp;lang=en_US&amp;offset=0&amp;query=any,contains,991001105139702656","Catalog Record")</f>
        <v/>
      </c>
      <c r="AT606">
        <f>HYPERLINK("http://www.worldcat.org/oclc/16404278","WorldCat Record")</f>
        <v/>
      </c>
      <c r="AU606" t="inlineStr">
        <is>
          <t>11925255:eng</t>
        </is>
      </c>
      <c r="AV606" t="inlineStr">
        <is>
          <t>16404278</t>
        </is>
      </c>
      <c r="AW606" t="inlineStr">
        <is>
          <t>991001105139702656</t>
        </is>
      </c>
      <c r="AX606" t="inlineStr">
        <is>
          <t>991001105139702656</t>
        </is>
      </c>
      <c r="AY606" t="inlineStr">
        <is>
          <t>2260864980002656</t>
        </is>
      </c>
      <c r="AZ606" t="inlineStr">
        <is>
          <t>BOOK</t>
        </is>
      </c>
      <c r="BB606" t="inlineStr">
        <is>
          <t>9780882820323</t>
        </is>
      </c>
      <c r="BC606" t="inlineStr">
        <is>
          <t>32285000112705</t>
        </is>
      </c>
      <c r="BD606" t="inlineStr">
        <is>
          <t>893407854</t>
        </is>
      </c>
    </row>
    <row r="607">
      <c r="A607" t="inlineStr">
        <is>
          <t>No</t>
        </is>
      </c>
      <c r="B607" t="inlineStr">
        <is>
          <t>HQ1206 .B85</t>
        </is>
      </c>
      <c r="C607" t="inlineStr">
        <is>
          <t>0                      HQ 1206000B  85</t>
        </is>
      </c>
      <c r="D607" t="inlineStr">
        <is>
          <t>Self-assertion for women : a guide to becoming androgynous / Pamela Butler.</t>
        </is>
      </c>
      <c r="F607" t="inlineStr">
        <is>
          <t>No</t>
        </is>
      </c>
      <c r="G607" t="inlineStr">
        <is>
          <t>1</t>
        </is>
      </c>
      <c r="H607" t="inlineStr">
        <is>
          <t>No</t>
        </is>
      </c>
      <c r="I607" t="inlineStr">
        <is>
          <t>Yes</t>
        </is>
      </c>
      <c r="J607" t="inlineStr">
        <is>
          <t>0</t>
        </is>
      </c>
      <c r="K607" t="inlineStr">
        <is>
          <t>Butler, Pamela E.</t>
        </is>
      </c>
      <c r="L607" t="inlineStr">
        <is>
          <t>San Francisco : Canfield Press, c1976.</t>
        </is>
      </c>
      <c r="M607" t="inlineStr">
        <is>
          <t>1976</t>
        </is>
      </c>
      <c r="O607" t="inlineStr">
        <is>
          <t>eng</t>
        </is>
      </c>
      <c r="P607" t="inlineStr">
        <is>
          <t>cau</t>
        </is>
      </c>
      <c r="R607" t="inlineStr">
        <is>
          <t xml:space="preserve">HQ </t>
        </is>
      </c>
      <c r="S607" t="n">
        <v>3</v>
      </c>
      <c r="T607" t="n">
        <v>3</v>
      </c>
      <c r="U607" t="inlineStr">
        <is>
          <t>1995-11-05</t>
        </is>
      </c>
      <c r="V607" t="inlineStr">
        <is>
          <t>1995-11-05</t>
        </is>
      </c>
      <c r="W607" t="inlineStr">
        <is>
          <t>1993-05-05</t>
        </is>
      </c>
      <c r="X607" t="inlineStr">
        <is>
          <t>1993-05-05</t>
        </is>
      </c>
      <c r="Y607" t="n">
        <v>421</v>
      </c>
      <c r="Z607" t="n">
        <v>389</v>
      </c>
      <c r="AA607" t="n">
        <v>842</v>
      </c>
      <c r="AB607" t="n">
        <v>5</v>
      </c>
      <c r="AC607" t="n">
        <v>7</v>
      </c>
      <c r="AD607" t="n">
        <v>19</v>
      </c>
      <c r="AE607" t="n">
        <v>28</v>
      </c>
      <c r="AF607" t="n">
        <v>7</v>
      </c>
      <c r="AG607" t="n">
        <v>11</v>
      </c>
      <c r="AH607" t="n">
        <v>5</v>
      </c>
      <c r="AI607" t="n">
        <v>6</v>
      </c>
      <c r="AJ607" t="n">
        <v>7</v>
      </c>
      <c r="AK607" t="n">
        <v>12</v>
      </c>
      <c r="AL607" t="n">
        <v>4</v>
      </c>
      <c r="AM607" t="n">
        <v>5</v>
      </c>
      <c r="AN607" t="n">
        <v>0</v>
      </c>
      <c r="AO607" t="n">
        <v>0</v>
      </c>
      <c r="AP607" t="inlineStr">
        <is>
          <t>No</t>
        </is>
      </c>
      <c r="AQ607" t="inlineStr">
        <is>
          <t>Yes</t>
        </is>
      </c>
      <c r="AR607">
        <f>HYPERLINK("http://catalog.hathitrust.org/Record/000735101","HathiTrust Record")</f>
        <v/>
      </c>
      <c r="AS607">
        <f>HYPERLINK("https://creighton-primo.hosted.exlibrisgroup.com/primo-explore/search?tab=default_tab&amp;search_scope=EVERYTHING&amp;vid=01CRU&amp;lang=en_US&amp;offset=0&amp;query=any,contains,991004138899702656","Catalog Record")</f>
        <v/>
      </c>
      <c r="AT607">
        <f>HYPERLINK("http://www.worldcat.org/oclc/2493394","WorldCat Record")</f>
        <v/>
      </c>
      <c r="AU607" t="inlineStr">
        <is>
          <t>19840551:eng</t>
        </is>
      </c>
      <c r="AV607" t="inlineStr">
        <is>
          <t>2493394</t>
        </is>
      </c>
      <c r="AW607" t="inlineStr">
        <is>
          <t>991004138899702656</t>
        </is>
      </c>
      <c r="AX607" t="inlineStr">
        <is>
          <t>991004138899702656</t>
        </is>
      </c>
      <c r="AY607" t="inlineStr">
        <is>
          <t>2256452690002656</t>
        </is>
      </c>
      <c r="AZ607" t="inlineStr">
        <is>
          <t>BOOK</t>
        </is>
      </c>
      <c r="BB607" t="inlineStr">
        <is>
          <t>9780063812185</t>
        </is>
      </c>
      <c r="BC607" t="inlineStr">
        <is>
          <t>32285001633931</t>
        </is>
      </c>
      <c r="BD607" t="inlineStr">
        <is>
          <t>893593310</t>
        </is>
      </c>
    </row>
    <row r="608">
      <c r="A608" t="inlineStr">
        <is>
          <t>No</t>
        </is>
      </c>
      <c r="B608" t="inlineStr">
        <is>
          <t>HQ1206 .C253 2002</t>
        </is>
      </c>
      <c r="C608" t="inlineStr">
        <is>
          <t>0                      HQ 1206000C  253         2002</t>
        </is>
      </c>
      <c r="D608" t="inlineStr">
        <is>
          <t>A mind of her own : the evolutionary psychology of women / Anne Campbell.</t>
        </is>
      </c>
      <c r="F608" t="inlineStr">
        <is>
          <t>No</t>
        </is>
      </c>
      <c r="G608" t="inlineStr">
        <is>
          <t>1</t>
        </is>
      </c>
      <c r="H608" t="inlineStr">
        <is>
          <t>No</t>
        </is>
      </c>
      <c r="I608" t="inlineStr">
        <is>
          <t>No</t>
        </is>
      </c>
      <c r="J608" t="inlineStr">
        <is>
          <t>0</t>
        </is>
      </c>
      <c r="K608" t="inlineStr">
        <is>
          <t>Campbell, Anne, 1951-</t>
        </is>
      </c>
      <c r="L608" t="inlineStr">
        <is>
          <t>Oxford ; New York : Oxford University Press, 2002.</t>
        </is>
      </c>
      <c r="M608" t="inlineStr">
        <is>
          <t>2002</t>
        </is>
      </c>
      <c r="O608" t="inlineStr">
        <is>
          <t>eng</t>
        </is>
      </c>
      <c r="P608" t="inlineStr">
        <is>
          <t>enk</t>
        </is>
      </c>
      <c r="R608" t="inlineStr">
        <is>
          <t xml:space="preserve">HQ </t>
        </is>
      </c>
      <c r="S608" t="n">
        <v>6</v>
      </c>
      <c r="T608" t="n">
        <v>6</v>
      </c>
      <c r="U608" t="inlineStr">
        <is>
          <t>2010-04-27</t>
        </is>
      </c>
      <c r="V608" t="inlineStr">
        <is>
          <t>2010-04-27</t>
        </is>
      </c>
      <c r="W608" t="inlineStr">
        <is>
          <t>2002-11-12</t>
        </is>
      </c>
      <c r="X608" t="inlineStr">
        <is>
          <t>2002-11-12</t>
        </is>
      </c>
      <c r="Y608" t="n">
        <v>488</v>
      </c>
      <c r="Z608" t="n">
        <v>369</v>
      </c>
      <c r="AA608" t="n">
        <v>725</v>
      </c>
      <c r="AB608" t="n">
        <v>4</v>
      </c>
      <c r="AC608" t="n">
        <v>10</v>
      </c>
      <c r="AD608" t="n">
        <v>23</v>
      </c>
      <c r="AE608" t="n">
        <v>39</v>
      </c>
      <c r="AF608" t="n">
        <v>6</v>
      </c>
      <c r="AG608" t="n">
        <v>14</v>
      </c>
      <c r="AH608" t="n">
        <v>6</v>
      </c>
      <c r="AI608" t="n">
        <v>8</v>
      </c>
      <c r="AJ608" t="n">
        <v>12</v>
      </c>
      <c r="AK608" t="n">
        <v>16</v>
      </c>
      <c r="AL608" t="n">
        <v>3</v>
      </c>
      <c r="AM608" t="n">
        <v>9</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HYPERLINK("https://creighton-primo.hosted.exlibrisgroup.com/primo-explore/search?tab=default_tab&amp;search_scope=EVERYTHING&amp;vid=01CRU&amp;lang=en_US&amp;offset=0&amp;query=any,contains,991003923459702656","Catalog Record")</f>
        <v/>
      </c>
      <c r="AT608">
        <f>HYPERLINK("http://www.worldcat.org/oclc/48532779","WorldCat Record")</f>
        <v/>
      </c>
      <c r="AU608" t="inlineStr">
        <is>
          <t>801559918:eng</t>
        </is>
      </c>
      <c r="AV608" t="inlineStr">
        <is>
          <t>48532779</t>
        </is>
      </c>
      <c r="AW608" t="inlineStr">
        <is>
          <t>991003923459702656</t>
        </is>
      </c>
      <c r="AX608" t="inlineStr">
        <is>
          <t>991003923459702656</t>
        </is>
      </c>
      <c r="AY608" t="inlineStr">
        <is>
          <t>2271500640002656</t>
        </is>
      </c>
      <c r="AZ608" t="inlineStr">
        <is>
          <t>BOOK</t>
        </is>
      </c>
      <c r="BB608" t="inlineStr">
        <is>
          <t>9780198504986</t>
        </is>
      </c>
      <c r="BC608" t="inlineStr">
        <is>
          <t>32285004662952</t>
        </is>
      </c>
      <c r="BD608" t="inlineStr">
        <is>
          <t>893722170</t>
        </is>
      </c>
    </row>
    <row r="609">
      <c r="A609" t="inlineStr">
        <is>
          <t>No</t>
        </is>
      </c>
      <c r="B609" t="inlineStr">
        <is>
          <t>HQ1206 .C26</t>
        </is>
      </c>
      <c r="C609" t="inlineStr">
        <is>
          <t>0                      HQ 1206000C  26</t>
        </is>
      </c>
      <c r="D609" t="inlineStr">
        <is>
          <t>Barriers between women / by Paula Caplan.</t>
        </is>
      </c>
      <c r="F609" t="inlineStr">
        <is>
          <t>No</t>
        </is>
      </c>
      <c r="G609" t="inlineStr">
        <is>
          <t>1</t>
        </is>
      </c>
      <c r="H609" t="inlineStr">
        <is>
          <t>No</t>
        </is>
      </c>
      <c r="I609" t="inlineStr">
        <is>
          <t>No</t>
        </is>
      </c>
      <c r="J609" t="inlineStr">
        <is>
          <t>0</t>
        </is>
      </c>
      <c r="K609" t="inlineStr">
        <is>
          <t>Caplan, Paula J.</t>
        </is>
      </c>
      <c r="L609" t="inlineStr">
        <is>
          <t>Jamaica, N.Y. : SP Medical &amp; Scientific Books, c1981.</t>
        </is>
      </c>
      <c r="M609" t="inlineStr">
        <is>
          <t>1980</t>
        </is>
      </c>
      <c r="O609" t="inlineStr">
        <is>
          <t>eng</t>
        </is>
      </c>
      <c r="P609" t="inlineStr">
        <is>
          <t>nyu</t>
        </is>
      </c>
      <c r="R609" t="inlineStr">
        <is>
          <t xml:space="preserve">HQ </t>
        </is>
      </c>
      <c r="S609" t="n">
        <v>2</v>
      </c>
      <c r="T609" t="n">
        <v>2</v>
      </c>
      <c r="U609" t="inlineStr">
        <is>
          <t>1994-10-05</t>
        </is>
      </c>
      <c r="V609" t="inlineStr">
        <is>
          <t>1994-10-05</t>
        </is>
      </c>
      <c r="W609" t="inlineStr">
        <is>
          <t>1993-04-27</t>
        </is>
      </c>
      <c r="X609" t="inlineStr">
        <is>
          <t>1993-04-27</t>
        </is>
      </c>
      <c r="Y609" t="n">
        <v>344</v>
      </c>
      <c r="Z609" t="n">
        <v>311</v>
      </c>
      <c r="AA609" t="n">
        <v>349</v>
      </c>
      <c r="AB609" t="n">
        <v>2</v>
      </c>
      <c r="AC609" t="n">
        <v>2</v>
      </c>
      <c r="AD609" t="n">
        <v>8</v>
      </c>
      <c r="AE609" t="n">
        <v>12</v>
      </c>
      <c r="AF609" t="n">
        <v>3</v>
      </c>
      <c r="AG609" t="n">
        <v>6</v>
      </c>
      <c r="AH609" t="n">
        <v>2</v>
      </c>
      <c r="AI609" t="n">
        <v>3</v>
      </c>
      <c r="AJ609" t="n">
        <v>5</v>
      </c>
      <c r="AK609" t="n">
        <v>7</v>
      </c>
      <c r="AL609" t="n">
        <v>1</v>
      </c>
      <c r="AM609" t="n">
        <v>1</v>
      </c>
      <c r="AN609" t="n">
        <v>0</v>
      </c>
      <c r="AO609" t="n">
        <v>0</v>
      </c>
      <c r="AP609" t="inlineStr">
        <is>
          <t>No</t>
        </is>
      </c>
      <c r="AQ609" t="inlineStr">
        <is>
          <t>Yes</t>
        </is>
      </c>
      <c r="AR609">
        <f>HYPERLINK("http://catalog.hathitrust.org/Record/000138540","HathiTrust Record")</f>
        <v/>
      </c>
      <c r="AS609">
        <f>HYPERLINK("https://creighton-primo.hosted.exlibrisgroup.com/primo-explore/search?tab=default_tab&amp;search_scope=EVERYTHING&amp;vid=01CRU&amp;lang=en_US&amp;offset=0&amp;query=any,contains,991004941259702656","Catalog Record")</f>
        <v/>
      </c>
      <c r="AT609">
        <f>HYPERLINK("http://www.worldcat.org/oclc/6194304","WorldCat Record")</f>
        <v/>
      </c>
      <c r="AU609" t="inlineStr">
        <is>
          <t>581876:eng</t>
        </is>
      </c>
      <c r="AV609" t="inlineStr">
        <is>
          <t>6194304</t>
        </is>
      </c>
      <c r="AW609" t="inlineStr">
        <is>
          <t>991004941259702656</t>
        </is>
      </c>
      <c r="AX609" t="inlineStr">
        <is>
          <t>991004941259702656</t>
        </is>
      </c>
      <c r="AY609" t="inlineStr">
        <is>
          <t>2262645160002656</t>
        </is>
      </c>
      <c r="AZ609" t="inlineStr">
        <is>
          <t>BOOK</t>
        </is>
      </c>
      <c r="BB609" t="inlineStr">
        <is>
          <t>9780893351038</t>
        </is>
      </c>
      <c r="BC609" t="inlineStr">
        <is>
          <t>32285001628253</t>
        </is>
      </c>
      <c r="BD609" t="inlineStr">
        <is>
          <t>893260343</t>
        </is>
      </c>
    </row>
    <row r="610">
      <c r="A610" t="inlineStr">
        <is>
          <t>No</t>
        </is>
      </c>
      <c r="B610" t="inlineStr">
        <is>
          <t>HQ1206 .C28 1997</t>
        </is>
      </c>
      <c r="C610" t="inlineStr">
        <is>
          <t>0                      HQ 1206000C  28          1997</t>
        </is>
      </c>
      <c r="D610" t="inlineStr">
        <is>
          <t>Knowing woman : a feminine psychology / Irene Claremont de Castillejo.</t>
        </is>
      </c>
      <c r="F610" t="inlineStr">
        <is>
          <t>No</t>
        </is>
      </c>
      <c r="G610" t="inlineStr">
        <is>
          <t>1</t>
        </is>
      </c>
      <c r="H610" t="inlineStr">
        <is>
          <t>No</t>
        </is>
      </c>
      <c r="I610" t="inlineStr">
        <is>
          <t>No</t>
        </is>
      </c>
      <c r="J610" t="inlineStr">
        <is>
          <t>0</t>
        </is>
      </c>
      <c r="K610" t="inlineStr">
        <is>
          <t>Claremont de Castillejo, Irene, 1885-1967.</t>
        </is>
      </c>
      <c r="L610" t="inlineStr">
        <is>
          <t>Boston : Shambhala ; [S.l.] : Distributed in the U.S. by Random House, 1997, c1973.</t>
        </is>
      </c>
      <c r="M610" t="inlineStr">
        <is>
          <t>1997</t>
        </is>
      </c>
      <c r="O610" t="inlineStr">
        <is>
          <t>eng</t>
        </is>
      </c>
      <c r="P610" t="inlineStr">
        <is>
          <t>mau</t>
        </is>
      </c>
      <c r="R610" t="inlineStr">
        <is>
          <t xml:space="preserve">HQ </t>
        </is>
      </c>
      <c r="S610" t="n">
        <v>1</v>
      </c>
      <c r="T610" t="n">
        <v>1</v>
      </c>
      <c r="U610" t="inlineStr">
        <is>
          <t>2010-09-08</t>
        </is>
      </c>
      <c r="V610" t="inlineStr">
        <is>
          <t>2010-09-08</t>
        </is>
      </c>
      <c r="W610" t="inlineStr">
        <is>
          <t>2010-09-08</t>
        </is>
      </c>
      <c r="X610" t="inlineStr">
        <is>
          <t>2010-09-08</t>
        </is>
      </c>
      <c r="Y610" t="n">
        <v>51</v>
      </c>
      <c r="Z610" t="n">
        <v>37</v>
      </c>
      <c r="AA610" t="n">
        <v>805</v>
      </c>
      <c r="AB610" t="n">
        <v>1</v>
      </c>
      <c r="AC610" t="n">
        <v>4</v>
      </c>
      <c r="AD610" t="n">
        <v>0</v>
      </c>
      <c r="AE610" t="n">
        <v>29</v>
      </c>
      <c r="AF610" t="n">
        <v>0</v>
      </c>
      <c r="AG610" t="n">
        <v>15</v>
      </c>
      <c r="AH610" t="n">
        <v>0</v>
      </c>
      <c r="AI610" t="n">
        <v>5</v>
      </c>
      <c r="AJ610" t="n">
        <v>0</v>
      </c>
      <c r="AK610" t="n">
        <v>16</v>
      </c>
      <c r="AL610" t="n">
        <v>0</v>
      </c>
      <c r="AM610" t="n">
        <v>3</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HYPERLINK("https://creighton-primo.hosted.exlibrisgroup.com/primo-explore/search?tab=default_tab&amp;search_scope=EVERYTHING&amp;vid=01CRU&amp;lang=en_US&amp;offset=0&amp;query=any,contains,991000075999702656","Catalog Record")</f>
        <v/>
      </c>
      <c r="AT610">
        <f>HYPERLINK("http://www.worldcat.org/oclc/37143485","WorldCat Record")</f>
        <v/>
      </c>
      <c r="AU610" t="inlineStr">
        <is>
          <t>1681053:eng</t>
        </is>
      </c>
      <c r="AV610" t="inlineStr">
        <is>
          <t>37143485</t>
        </is>
      </c>
      <c r="AW610" t="inlineStr">
        <is>
          <t>991000075999702656</t>
        </is>
      </c>
      <c r="AX610" t="inlineStr">
        <is>
          <t>991000075999702656</t>
        </is>
      </c>
      <c r="AY610" t="inlineStr">
        <is>
          <t>2269074730002656</t>
        </is>
      </c>
      <c r="AZ610" t="inlineStr">
        <is>
          <t>BOOK</t>
        </is>
      </c>
      <c r="BB610" t="inlineStr">
        <is>
          <t>9781570622045</t>
        </is>
      </c>
      <c r="BC610" t="inlineStr">
        <is>
          <t>32285005594774</t>
        </is>
      </c>
      <c r="BD610" t="inlineStr">
        <is>
          <t>893802479</t>
        </is>
      </c>
    </row>
    <row r="611">
      <c r="A611" t="inlineStr">
        <is>
          <t>No</t>
        </is>
      </c>
      <c r="B611" t="inlineStr">
        <is>
          <t>HQ1206 .C395 1990</t>
        </is>
      </c>
      <c r="C611" t="inlineStr">
        <is>
          <t>0                      HQ 1206000C  395         1990</t>
        </is>
      </c>
      <c r="D611" t="inlineStr">
        <is>
          <t>Gender equity : an integrated theory of stability and change / Janet Saltzman Chafetz.</t>
        </is>
      </c>
      <c r="F611" t="inlineStr">
        <is>
          <t>No</t>
        </is>
      </c>
      <c r="G611" t="inlineStr">
        <is>
          <t>1</t>
        </is>
      </c>
      <c r="H611" t="inlineStr">
        <is>
          <t>No</t>
        </is>
      </c>
      <c r="I611" t="inlineStr">
        <is>
          <t>No</t>
        </is>
      </c>
      <c r="J611" t="inlineStr">
        <is>
          <t>0</t>
        </is>
      </c>
      <c r="K611" t="inlineStr">
        <is>
          <t>Chafetz, Janet Saltzman.</t>
        </is>
      </c>
      <c r="L611" t="inlineStr">
        <is>
          <t>Newbury Park, Calif. : Sage Publications, c1990.</t>
        </is>
      </c>
      <c r="M611" t="inlineStr">
        <is>
          <t>1990</t>
        </is>
      </c>
      <c r="O611" t="inlineStr">
        <is>
          <t>eng</t>
        </is>
      </c>
      <c r="P611" t="inlineStr">
        <is>
          <t>cau</t>
        </is>
      </c>
      <c r="Q611" t="inlineStr">
        <is>
          <t>Sage library of social research ; 176</t>
        </is>
      </c>
      <c r="R611" t="inlineStr">
        <is>
          <t xml:space="preserve">HQ </t>
        </is>
      </c>
      <c r="S611" t="n">
        <v>6</v>
      </c>
      <c r="T611" t="n">
        <v>6</v>
      </c>
      <c r="U611" t="inlineStr">
        <is>
          <t>1996-07-18</t>
        </is>
      </c>
      <c r="V611" t="inlineStr">
        <is>
          <t>1996-07-18</t>
        </is>
      </c>
      <c r="W611" t="inlineStr">
        <is>
          <t>1990-06-22</t>
        </is>
      </c>
      <c r="X611" t="inlineStr">
        <is>
          <t>1990-06-22</t>
        </is>
      </c>
      <c r="Y611" t="n">
        <v>757</v>
      </c>
      <c r="Z611" t="n">
        <v>611</v>
      </c>
      <c r="AA611" t="n">
        <v>618</v>
      </c>
      <c r="AB611" t="n">
        <v>7</v>
      </c>
      <c r="AC611" t="n">
        <v>7</v>
      </c>
      <c r="AD611" t="n">
        <v>35</v>
      </c>
      <c r="AE611" t="n">
        <v>35</v>
      </c>
      <c r="AF611" t="n">
        <v>13</v>
      </c>
      <c r="AG611" t="n">
        <v>13</v>
      </c>
      <c r="AH611" t="n">
        <v>6</v>
      </c>
      <c r="AI611" t="n">
        <v>6</v>
      </c>
      <c r="AJ611" t="n">
        <v>20</v>
      </c>
      <c r="AK611" t="n">
        <v>20</v>
      </c>
      <c r="AL611" t="n">
        <v>6</v>
      </c>
      <c r="AM611" t="n">
        <v>6</v>
      </c>
      <c r="AN611" t="n">
        <v>0</v>
      </c>
      <c r="AO611" t="n">
        <v>0</v>
      </c>
      <c r="AP611" t="inlineStr">
        <is>
          <t>No</t>
        </is>
      </c>
      <c r="AQ611" t="inlineStr">
        <is>
          <t>Yes</t>
        </is>
      </c>
      <c r="AR611">
        <f>HYPERLINK("http://catalog.hathitrust.org/Record/001842829","HathiTrust Record")</f>
        <v/>
      </c>
      <c r="AS611">
        <f>HYPERLINK("https://creighton-primo.hosted.exlibrisgroup.com/primo-explore/search?tab=default_tab&amp;search_scope=EVERYTHING&amp;vid=01CRU&amp;lang=en_US&amp;offset=0&amp;query=any,contains,991001541389702656","Catalog Record")</f>
        <v/>
      </c>
      <c r="AT611">
        <f>HYPERLINK("http://www.worldcat.org/oclc/20131005","WorldCat Record")</f>
        <v/>
      </c>
      <c r="AU611" t="inlineStr">
        <is>
          <t>21630290:eng</t>
        </is>
      </c>
      <c r="AV611" t="inlineStr">
        <is>
          <t>20131005</t>
        </is>
      </c>
      <c r="AW611" t="inlineStr">
        <is>
          <t>991001541389702656</t>
        </is>
      </c>
      <c r="AX611" t="inlineStr">
        <is>
          <t>991001541389702656</t>
        </is>
      </c>
      <c r="AY611" t="inlineStr">
        <is>
          <t>2264183830002656</t>
        </is>
      </c>
      <c r="AZ611" t="inlineStr">
        <is>
          <t>BOOK</t>
        </is>
      </c>
      <c r="BB611" t="inlineStr">
        <is>
          <t>9780803934023</t>
        </is>
      </c>
      <c r="BC611" t="inlineStr">
        <is>
          <t>32285000179563</t>
        </is>
      </c>
      <c r="BD611" t="inlineStr">
        <is>
          <t>893772653</t>
        </is>
      </c>
    </row>
    <row r="612">
      <c r="A612" t="inlineStr">
        <is>
          <t>No</t>
        </is>
      </c>
      <c r="B612" t="inlineStr">
        <is>
          <t>HQ1206 .C69 1987</t>
        </is>
      </c>
      <c r="C612" t="inlineStr">
        <is>
          <t>0                      HQ 1206000C  69          1987</t>
        </is>
      </c>
      <c r="D612" t="inlineStr">
        <is>
          <t>Competition, a feminist taboo? / edited by Valerie Miner and Helen E. Longino ; foreword by Nell Irvin Painter.</t>
        </is>
      </c>
      <c r="F612" t="inlineStr">
        <is>
          <t>No</t>
        </is>
      </c>
      <c r="G612" t="inlineStr">
        <is>
          <t>1</t>
        </is>
      </c>
      <c r="H612" t="inlineStr">
        <is>
          <t>No</t>
        </is>
      </c>
      <c r="I612" t="inlineStr">
        <is>
          <t>No</t>
        </is>
      </c>
      <c r="J612" t="inlineStr">
        <is>
          <t>0</t>
        </is>
      </c>
      <c r="L612" t="inlineStr">
        <is>
          <t>New York : The Feminist Press at the City University of New York, 1987.</t>
        </is>
      </c>
      <c r="M612" t="inlineStr">
        <is>
          <t>1987</t>
        </is>
      </c>
      <c r="O612" t="inlineStr">
        <is>
          <t>eng</t>
        </is>
      </c>
      <c r="P612" t="inlineStr">
        <is>
          <t>nyu</t>
        </is>
      </c>
      <c r="R612" t="inlineStr">
        <is>
          <t xml:space="preserve">HQ </t>
        </is>
      </c>
      <c r="S612" t="n">
        <v>4</v>
      </c>
      <c r="T612" t="n">
        <v>4</v>
      </c>
      <c r="U612" t="inlineStr">
        <is>
          <t>1999-09-13</t>
        </is>
      </c>
      <c r="V612" t="inlineStr">
        <is>
          <t>1999-09-13</t>
        </is>
      </c>
      <c r="W612" t="inlineStr">
        <is>
          <t>1992-04-27</t>
        </is>
      </c>
      <c r="X612" t="inlineStr">
        <is>
          <t>1992-04-27</t>
        </is>
      </c>
      <c r="Y612" t="n">
        <v>738</v>
      </c>
      <c r="Z612" t="n">
        <v>639</v>
      </c>
      <c r="AA612" t="n">
        <v>644</v>
      </c>
      <c r="AB612" t="n">
        <v>3</v>
      </c>
      <c r="AC612" t="n">
        <v>3</v>
      </c>
      <c r="AD612" t="n">
        <v>31</v>
      </c>
      <c r="AE612" t="n">
        <v>31</v>
      </c>
      <c r="AF612" t="n">
        <v>13</v>
      </c>
      <c r="AG612" t="n">
        <v>13</v>
      </c>
      <c r="AH612" t="n">
        <v>7</v>
      </c>
      <c r="AI612" t="n">
        <v>7</v>
      </c>
      <c r="AJ612" t="n">
        <v>18</v>
      </c>
      <c r="AK612" t="n">
        <v>18</v>
      </c>
      <c r="AL612" t="n">
        <v>2</v>
      </c>
      <c r="AM612" t="n">
        <v>2</v>
      </c>
      <c r="AN612" t="n">
        <v>1</v>
      </c>
      <c r="AO612" t="n">
        <v>1</v>
      </c>
      <c r="AP612" t="inlineStr">
        <is>
          <t>No</t>
        </is>
      </c>
      <c r="AQ612" t="inlineStr">
        <is>
          <t>No</t>
        </is>
      </c>
      <c r="AS612">
        <f>HYPERLINK("https://creighton-primo.hosted.exlibrisgroup.com/primo-explore/search?tab=default_tab&amp;search_scope=EVERYTHING&amp;vid=01CRU&amp;lang=en_US&amp;offset=0&amp;query=any,contains,991001036479702656","Catalog Record")</f>
        <v/>
      </c>
      <c r="AT612">
        <f>HYPERLINK("http://www.worldcat.org/oclc/15549408","WorldCat Record")</f>
        <v/>
      </c>
      <c r="AU612" t="inlineStr">
        <is>
          <t>363908004:eng</t>
        </is>
      </c>
      <c r="AV612" t="inlineStr">
        <is>
          <t>15549408</t>
        </is>
      </c>
      <c r="AW612" t="inlineStr">
        <is>
          <t>991001036479702656</t>
        </is>
      </c>
      <c r="AX612" t="inlineStr">
        <is>
          <t>991001036479702656</t>
        </is>
      </c>
      <c r="AY612" t="inlineStr">
        <is>
          <t>2266738320002656</t>
        </is>
      </c>
      <c r="AZ612" t="inlineStr">
        <is>
          <t>BOOK</t>
        </is>
      </c>
      <c r="BB612" t="inlineStr">
        <is>
          <t>9780935312744</t>
        </is>
      </c>
      <c r="BC612" t="inlineStr">
        <is>
          <t>32285001095669</t>
        </is>
      </c>
      <c r="BD612" t="inlineStr">
        <is>
          <t>893340109</t>
        </is>
      </c>
    </row>
    <row r="613">
      <c r="A613" t="inlineStr">
        <is>
          <t>No</t>
        </is>
      </c>
      <c r="B613" t="inlineStr">
        <is>
          <t>HQ1206 .C696 2001</t>
        </is>
      </c>
      <c r="C613" t="inlineStr">
        <is>
          <t>0                      HQ 1206000C  696         2001</t>
        </is>
      </c>
      <c r="D613" t="inlineStr">
        <is>
          <t>Controversies in feminism / edited by James P. Sterba.</t>
        </is>
      </c>
      <c r="F613" t="inlineStr">
        <is>
          <t>No</t>
        </is>
      </c>
      <c r="G613" t="inlineStr">
        <is>
          <t>1</t>
        </is>
      </c>
      <c r="H613" t="inlineStr">
        <is>
          <t>No</t>
        </is>
      </c>
      <c r="I613" t="inlineStr">
        <is>
          <t>No</t>
        </is>
      </c>
      <c r="J613" t="inlineStr">
        <is>
          <t>0</t>
        </is>
      </c>
      <c r="L613" t="inlineStr">
        <is>
          <t>Lanham, Md. : Rowman &amp; Littlefield, c2001.</t>
        </is>
      </c>
      <c r="M613" t="inlineStr">
        <is>
          <t>2001</t>
        </is>
      </c>
      <c r="O613" t="inlineStr">
        <is>
          <t>eng</t>
        </is>
      </c>
      <c r="P613" t="inlineStr">
        <is>
          <t>mdu</t>
        </is>
      </c>
      <c r="Q613" t="inlineStr">
        <is>
          <t>Studies in social, political, and legal philosophy</t>
        </is>
      </c>
      <c r="R613" t="inlineStr">
        <is>
          <t xml:space="preserve">HQ </t>
        </is>
      </c>
      <c r="S613" t="n">
        <v>1</v>
      </c>
      <c r="T613" t="n">
        <v>1</v>
      </c>
      <c r="U613" t="inlineStr">
        <is>
          <t>2001-05-17</t>
        </is>
      </c>
      <c r="V613" t="inlineStr">
        <is>
          <t>2001-05-17</t>
        </is>
      </c>
      <c r="W613" t="inlineStr">
        <is>
          <t>2001-05-17</t>
        </is>
      </c>
      <c r="X613" t="inlineStr">
        <is>
          <t>2001-05-17</t>
        </is>
      </c>
      <c r="Y613" t="n">
        <v>295</v>
      </c>
      <c r="Z613" t="n">
        <v>231</v>
      </c>
      <c r="AA613" t="n">
        <v>233</v>
      </c>
      <c r="AB613" t="n">
        <v>4</v>
      </c>
      <c r="AC613" t="n">
        <v>4</v>
      </c>
      <c r="AD613" t="n">
        <v>13</v>
      </c>
      <c r="AE613" t="n">
        <v>13</v>
      </c>
      <c r="AF613" t="n">
        <v>4</v>
      </c>
      <c r="AG613" t="n">
        <v>4</v>
      </c>
      <c r="AH613" t="n">
        <v>4</v>
      </c>
      <c r="AI613" t="n">
        <v>4</v>
      </c>
      <c r="AJ613" t="n">
        <v>7</v>
      </c>
      <c r="AK613" t="n">
        <v>7</v>
      </c>
      <c r="AL613" t="n">
        <v>3</v>
      </c>
      <c r="AM613" t="n">
        <v>3</v>
      </c>
      <c r="AN613" t="n">
        <v>0</v>
      </c>
      <c r="AO613" t="n">
        <v>0</v>
      </c>
      <c r="AP613" t="inlineStr">
        <is>
          <t>No</t>
        </is>
      </c>
      <c r="AQ613" t="inlineStr">
        <is>
          <t>Yes</t>
        </is>
      </c>
      <c r="AR613">
        <f>HYPERLINK("http://catalog.hathitrust.org/Record/004141966","HathiTrust Record")</f>
        <v/>
      </c>
      <c r="AS613">
        <f>HYPERLINK("https://creighton-primo.hosted.exlibrisgroup.com/primo-explore/search?tab=default_tab&amp;search_scope=EVERYTHING&amp;vid=01CRU&amp;lang=en_US&amp;offset=0&amp;query=any,contains,991003504019702656","Catalog Record")</f>
        <v/>
      </c>
      <c r="AT613">
        <f>HYPERLINK("http://www.worldcat.org/oclc/43810835","WorldCat Record")</f>
        <v/>
      </c>
      <c r="AU613" t="inlineStr">
        <is>
          <t>56538290:eng</t>
        </is>
      </c>
      <c r="AV613" t="inlineStr">
        <is>
          <t>43810835</t>
        </is>
      </c>
      <c r="AW613" t="inlineStr">
        <is>
          <t>991003504019702656</t>
        </is>
      </c>
      <c r="AX613" t="inlineStr">
        <is>
          <t>991003504019702656</t>
        </is>
      </c>
      <c r="AY613" t="inlineStr">
        <is>
          <t>2269427300002656</t>
        </is>
      </c>
      <c r="AZ613" t="inlineStr">
        <is>
          <t>BOOK</t>
        </is>
      </c>
      <c r="BB613" t="inlineStr">
        <is>
          <t>9780742507128</t>
        </is>
      </c>
      <c r="BC613" t="inlineStr">
        <is>
          <t>32285004318035</t>
        </is>
      </c>
      <c r="BD613" t="inlineStr">
        <is>
          <t>893518539</t>
        </is>
      </c>
    </row>
    <row r="614">
      <c r="A614" t="inlineStr">
        <is>
          <t>No</t>
        </is>
      </c>
      <c r="B614" t="inlineStr">
        <is>
          <t>HQ1206 .C724 1992</t>
        </is>
      </c>
      <c r="C614" t="inlineStr">
        <is>
          <t>0                      HQ 1206000C  724         1992</t>
        </is>
      </c>
      <c r="D614" t="inlineStr">
        <is>
          <t>Counseling women, over the life span / [edited by] Judith A. Lewis, Bree A. Hayes, Loretta J. Bradley.</t>
        </is>
      </c>
      <c r="F614" t="inlineStr">
        <is>
          <t>No</t>
        </is>
      </c>
      <c r="G614" t="inlineStr">
        <is>
          <t>1</t>
        </is>
      </c>
      <c r="H614" t="inlineStr">
        <is>
          <t>No</t>
        </is>
      </c>
      <c r="I614" t="inlineStr">
        <is>
          <t>No</t>
        </is>
      </c>
      <c r="J614" t="inlineStr">
        <is>
          <t>0</t>
        </is>
      </c>
      <c r="L614" t="inlineStr">
        <is>
          <t>Denver, Colo. : Love Pub. Co., c1992.</t>
        </is>
      </c>
      <c r="M614" t="inlineStr">
        <is>
          <t>1992</t>
        </is>
      </c>
      <c r="O614" t="inlineStr">
        <is>
          <t>eng</t>
        </is>
      </c>
      <c r="P614" t="inlineStr">
        <is>
          <t>cou</t>
        </is>
      </c>
      <c r="R614" t="inlineStr">
        <is>
          <t xml:space="preserve">HQ </t>
        </is>
      </c>
      <c r="S614" t="n">
        <v>12</v>
      </c>
      <c r="T614" t="n">
        <v>12</v>
      </c>
      <c r="U614" t="inlineStr">
        <is>
          <t>2002-07-17</t>
        </is>
      </c>
      <c r="V614" t="inlineStr">
        <is>
          <t>2002-07-17</t>
        </is>
      </c>
      <c r="W614" t="inlineStr">
        <is>
          <t>1995-07-05</t>
        </is>
      </c>
      <c r="X614" t="inlineStr">
        <is>
          <t>1995-07-05</t>
        </is>
      </c>
      <c r="Y614" t="n">
        <v>198</v>
      </c>
      <c r="Z614" t="n">
        <v>190</v>
      </c>
      <c r="AA614" t="n">
        <v>194</v>
      </c>
      <c r="AB614" t="n">
        <v>1</v>
      </c>
      <c r="AC614" t="n">
        <v>1</v>
      </c>
      <c r="AD614" t="n">
        <v>8</v>
      </c>
      <c r="AE614" t="n">
        <v>8</v>
      </c>
      <c r="AF614" t="n">
        <v>3</v>
      </c>
      <c r="AG614" t="n">
        <v>3</v>
      </c>
      <c r="AH614" t="n">
        <v>3</v>
      </c>
      <c r="AI614" t="n">
        <v>3</v>
      </c>
      <c r="AJ614" t="n">
        <v>3</v>
      </c>
      <c r="AK614" t="n">
        <v>3</v>
      </c>
      <c r="AL614" t="n">
        <v>0</v>
      </c>
      <c r="AM614" t="n">
        <v>0</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HYPERLINK("https://creighton-primo.hosted.exlibrisgroup.com/primo-explore/search?tab=default_tab&amp;search_scope=EVERYTHING&amp;vid=01CRU&amp;lang=en_US&amp;offset=0&amp;query=any,contains,991002033399702656","Catalog Record")</f>
        <v/>
      </c>
      <c r="AT614">
        <f>HYPERLINK("http://www.worldcat.org/oclc/25884189","WorldCat Record")</f>
        <v/>
      </c>
      <c r="AU614" t="inlineStr">
        <is>
          <t>1780478856:eng</t>
        </is>
      </c>
      <c r="AV614" t="inlineStr">
        <is>
          <t>25884189</t>
        </is>
      </c>
      <c r="AW614" t="inlineStr">
        <is>
          <t>991002033399702656</t>
        </is>
      </c>
      <c r="AX614" t="inlineStr">
        <is>
          <t>991002033399702656</t>
        </is>
      </c>
      <c r="AY614" t="inlineStr">
        <is>
          <t>2261546750002656</t>
        </is>
      </c>
      <c r="AZ614" t="inlineStr">
        <is>
          <t>BOOK</t>
        </is>
      </c>
      <c r="BB614" t="inlineStr">
        <is>
          <t>9780891082224</t>
        </is>
      </c>
      <c r="BC614" t="inlineStr">
        <is>
          <t>32285002053840</t>
        </is>
      </c>
      <c r="BD614" t="inlineStr">
        <is>
          <t>893873018</t>
        </is>
      </c>
    </row>
    <row r="615">
      <c r="A615" t="inlineStr">
        <is>
          <t>No</t>
        </is>
      </c>
      <c r="B615" t="inlineStr">
        <is>
          <t>HQ1206 .C74 1988</t>
        </is>
      </c>
      <c r="C615" t="inlineStr">
        <is>
          <t>0                      HQ 1206000C  74          1988</t>
        </is>
      </c>
      <c r="D615" t="inlineStr">
        <is>
          <t>Critical psychophysical passages in the life of a woman : a psychodynamic perspective / edited by Joan Offerman-Zuckerberg.</t>
        </is>
      </c>
      <c r="F615" t="inlineStr">
        <is>
          <t>No</t>
        </is>
      </c>
      <c r="G615" t="inlineStr">
        <is>
          <t>1</t>
        </is>
      </c>
      <c r="H615" t="inlineStr">
        <is>
          <t>No</t>
        </is>
      </c>
      <c r="I615" t="inlineStr">
        <is>
          <t>No</t>
        </is>
      </c>
      <c r="J615" t="inlineStr">
        <is>
          <t>0</t>
        </is>
      </c>
      <c r="L615" t="inlineStr">
        <is>
          <t>New York : Plenum Medical, c1988.</t>
        </is>
      </c>
      <c r="M615" t="inlineStr">
        <is>
          <t>1988</t>
        </is>
      </c>
      <c r="O615" t="inlineStr">
        <is>
          <t>eng</t>
        </is>
      </c>
      <c r="P615" t="inlineStr">
        <is>
          <t>nyu</t>
        </is>
      </c>
      <c r="R615" t="inlineStr">
        <is>
          <t xml:space="preserve">HQ </t>
        </is>
      </c>
      <c r="S615" t="n">
        <v>3</v>
      </c>
      <c r="T615" t="n">
        <v>3</v>
      </c>
      <c r="U615" t="inlineStr">
        <is>
          <t>1996-03-07</t>
        </is>
      </c>
      <c r="V615" t="inlineStr">
        <is>
          <t>1996-03-07</t>
        </is>
      </c>
      <c r="W615" t="inlineStr">
        <is>
          <t>1991-05-13</t>
        </is>
      </c>
      <c r="X615" t="inlineStr">
        <is>
          <t>1991-05-13</t>
        </is>
      </c>
      <c r="Y615" t="n">
        <v>320</v>
      </c>
      <c r="Z615" t="n">
        <v>252</v>
      </c>
      <c r="AA615" t="n">
        <v>269</v>
      </c>
      <c r="AB615" t="n">
        <v>4</v>
      </c>
      <c r="AC615" t="n">
        <v>4</v>
      </c>
      <c r="AD615" t="n">
        <v>13</v>
      </c>
      <c r="AE615" t="n">
        <v>14</v>
      </c>
      <c r="AF615" t="n">
        <v>3</v>
      </c>
      <c r="AG615" t="n">
        <v>4</v>
      </c>
      <c r="AH615" t="n">
        <v>3</v>
      </c>
      <c r="AI615" t="n">
        <v>3</v>
      </c>
      <c r="AJ615" t="n">
        <v>9</v>
      </c>
      <c r="AK615" t="n">
        <v>10</v>
      </c>
      <c r="AL615" t="n">
        <v>3</v>
      </c>
      <c r="AM615" t="n">
        <v>3</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HYPERLINK("https://creighton-primo.hosted.exlibrisgroup.com/primo-explore/search?tab=default_tab&amp;search_scope=EVERYTHING&amp;vid=01CRU&amp;lang=en_US&amp;offset=0&amp;query=any,contains,991001282249702656","Catalog Record")</f>
        <v/>
      </c>
      <c r="AT615">
        <f>HYPERLINK("http://www.worldcat.org/oclc/17919293","WorldCat Record")</f>
        <v/>
      </c>
      <c r="AU615" t="inlineStr">
        <is>
          <t>836878404:eng</t>
        </is>
      </c>
      <c r="AV615" t="inlineStr">
        <is>
          <t>17919293</t>
        </is>
      </c>
      <c r="AW615" t="inlineStr">
        <is>
          <t>991001282249702656</t>
        </is>
      </c>
      <c r="AX615" t="inlineStr">
        <is>
          <t>991001282249702656</t>
        </is>
      </c>
      <c r="AY615" t="inlineStr">
        <is>
          <t>2269275310002656</t>
        </is>
      </c>
      <c r="AZ615" t="inlineStr">
        <is>
          <t>BOOK</t>
        </is>
      </c>
      <c r="BB615" t="inlineStr">
        <is>
          <t>9780306426391</t>
        </is>
      </c>
      <c r="BC615" t="inlineStr">
        <is>
          <t>32285000572353</t>
        </is>
      </c>
      <c r="BD615" t="inlineStr">
        <is>
          <t>893785002</t>
        </is>
      </c>
    </row>
    <row r="616">
      <c r="A616" t="inlineStr">
        <is>
          <t>No</t>
        </is>
      </c>
      <c r="B616" t="inlineStr">
        <is>
          <t>HQ1206 .C755 1986</t>
        </is>
      </c>
      <c r="C616" t="inlineStr">
        <is>
          <t>0                      HQ 1206000C  755         1986</t>
        </is>
      </c>
      <c r="D616" t="inlineStr">
        <is>
          <t>The Cross-cultural study of women : a comprehensive guide / edited by Margot I. Duley and Mary I. Edwards.</t>
        </is>
      </c>
      <c r="F616" t="inlineStr">
        <is>
          <t>No</t>
        </is>
      </c>
      <c r="G616" t="inlineStr">
        <is>
          <t>1</t>
        </is>
      </c>
      <c r="H616" t="inlineStr">
        <is>
          <t>No</t>
        </is>
      </c>
      <c r="I616" t="inlineStr">
        <is>
          <t>No</t>
        </is>
      </c>
      <c r="J616" t="inlineStr">
        <is>
          <t>0</t>
        </is>
      </c>
      <c r="L616" t="inlineStr">
        <is>
          <t>Old Westbury, N.Y. : Feminist Press, c1986.</t>
        </is>
      </c>
      <c r="M616" t="inlineStr">
        <is>
          <t>1986</t>
        </is>
      </c>
      <c r="N616" t="inlineStr">
        <is>
          <t>1st ed.</t>
        </is>
      </c>
      <c r="O616" t="inlineStr">
        <is>
          <t>eng</t>
        </is>
      </c>
      <c r="P616" t="inlineStr">
        <is>
          <t>nyu</t>
        </is>
      </c>
      <c r="R616" t="inlineStr">
        <is>
          <t xml:space="preserve">HQ </t>
        </is>
      </c>
      <c r="S616" t="n">
        <v>3</v>
      </c>
      <c r="T616" t="n">
        <v>3</v>
      </c>
      <c r="U616" t="inlineStr">
        <is>
          <t>2009-12-04</t>
        </is>
      </c>
      <c r="V616" t="inlineStr">
        <is>
          <t>2009-12-04</t>
        </is>
      </c>
      <c r="W616" t="inlineStr">
        <is>
          <t>1993-04-27</t>
        </is>
      </c>
      <c r="X616" t="inlineStr">
        <is>
          <t>1993-04-27</t>
        </is>
      </c>
      <c r="Y616" t="n">
        <v>729</v>
      </c>
      <c r="Z616" t="n">
        <v>635</v>
      </c>
      <c r="AA616" t="n">
        <v>644</v>
      </c>
      <c r="AB616" t="n">
        <v>4</v>
      </c>
      <c r="AC616" t="n">
        <v>4</v>
      </c>
      <c r="AD616" t="n">
        <v>24</v>
      </c>
      <c r="AE616" t="n">
        <v>24</v>
      </c>
      <c r="AF616" t="n">
        <v>9</v>
      </c>
      <c r="AG616" t="n">
        <v>9</v>
      </c>
      <c r="AH616" t="n">
        <v>7</v>
      </c>
      <c r="AI616" t="n">
        <v>7</v>
      </c>
      <c r="AJ616" t="n">
        <v>12</v>
      </c>
      <c r="AK616" t="n">
        <v>12</v>
      </c>
      <c r="AL616" t="n">
        <v>3</v>
      </c>
      <c r="AM616" t="n">
        <v>3</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HYPERLINK("https://creighton-primo.hosted.exlibrisgroup.com/primo-explore/search?tab=default_tab&amp;search_scope=EVERYTHING&amp;vid=01CRU&amp;lang=en_US&amp;offset=0&amp;query=any,contains,991000257959702656","Catalog Record")</f>
        <v/>
      </c>
      <c r="AT616">
        <f>HYPERLINK("http://www.worldcat.org/oclc/9784721","WorldCat Record")</f>
        <v/>
      </c>
      <c r="AU616" t="inlineStr">
        <is>
          <t>375257688:eng</t>
        </is>
      </c>
      <c r="AV616" t="inlineStr">
        <is>
          <t>9784721</t>
        </is>
      </c>
      <c r="AW616" t="inlineStr">
        <is>
          <t>991000257959702656</t>
        </is>
      </c>
      <c r="AX616" t="inlineStr">
        <is>
          <t>991000257959702656</t>
        </is>
      </c>
      <c r="AY616" t="inlineStr">
        <is>
          <t>2268846600002656</t>
        </is>
      </c>
      <c r="AZ616" t="inlineStr">
        <is>
          <t>BOOK</t>
        </is>
      </c>
      <c r="BB616" t="inlineStr">
        <is>
          <t>9780935312027</t>
        </is>
      </c>
      <c r="BC616" t="inlineStr">
        <is>
          <t>32285001628261</t>
        </is>
      </c>
      <c r="BD616" t="inlineStr">
        <is>
          <t>893224871</t>
        </is>
      </c>
    </row>
    <row r="617">
      <c r="A617" t="inlineStr">
        <is>
          <t>No</t>
        </is>
      </c>
      <c r="B617" t="inlineStr">
        <is>
          <t>HQ1206 .D37</t>
        </is>
      </c>
      <c r="C617" t="inlineStr">
        <is>
          <t>0                      HQ 1206000D  37</t>
        </is>
      </c>
      <c r="D617" t="inlineStr">
        <is>
          <t>The book of hope : how women can overcome depression / Helen A. De Rosis and Victoria Y. Pellegrino.</t>
        </is>
      </c>
      <c r="F617" t="inlineStr">
        <is>
          <t>No</t>
        </is>
      </c>
      <c r="G617" t="inlineStr">
        <is>
          <t>1</t>
        </is>
      </c>
      <c r="H617" t="inlineStr">
        <is>
          <t>No</t>
        </is>
      </c>
      <c r="I617" t="inlineStr">
        <is>
          <t>No</t>
        </is>
      </c>
      <c r="J617" t="inlineStr">
        <is>
          <t>0</t>
        </is>
      </c>
      <c r="K617" t="inlineStr">
        <is>
          <t>De Rosis, Helen.</t>
        </is>
      </c>
      <c r="L617" t="inlineStr">
        <is>
          <t>New York : Macmillan, c1976.</t>
        </is>
      </c>
      <c r="M617" t="inlineStr">
        <is>
          <t>1976</t>
        </is>
      </c>
      <c r="O617" t="inlineStr">
        <is>
          <t>eng</t>
        </is>
      </c>
      <c r="P617" t="inlineStr">
        <is>
          <t>nyu</t>
        </is>
      </c>
      <c r="R617" t="inlineStr">
        <is>
          <t xml:space="preserve">HQ </t>
        </is>
      </c>
      <c r="S617" t="n">
        <v>4</v>
      </c>
      <c r="T617" t="n">
        <v>4</v>
      </c>
      <c r="U617" t="inlineStr">
        <is>
          <t>2001-11-27</t>
        </is>
      </c>
      <c r="V617" t="inlineStr">
        <is>
          <t>2001-11-27</t>
        </is>
      </c>
      <c r="W617" t="inlineStr">
        <is>
          <t>1997-08-14</t>
        </is>
      </c>
      <c r="X617" t="inlineStr">
        <is>
          <t>1997-08-14</t>
        </is>
      </c>
      <c r="Y617" t="n">
        <v>580</v>
      </c>
      <c r="Z617" t="n">
        <v>549</v>
      </c>
      <c r="AA617" t="n">
        <v>634</v>
      </c>
      <c r="AB617" t="n">
        <v>9</v>
      </c>
      <c r="AC617" t="n">
        <v>9</v>
      </c>
      <c r="AD617" t="n">
        <v>6</v>
      </c>
      <c r="AE617" t="n">
        <v>7</v>
      </c>
      <c r="AF617" t="n">
        <v>3</v>
      </c>
      <c r="AG617" t="n">
        <v>3</v>
      </c>
      <c r="AH617" t="n">
        <v>2</v>
      </c>
      <c r="AI617" t="n">
        <v>2</v>
      </c>
      <c r="AJ617" t="n">
        <v>3</v>
      </c>
      <c r="AK617" t="n">
        <v>4</v>
      </c>
      <c r="AL617" t="n">
        <v>1</v>
      </c>
      <c r="AM617" t="n">
        <v>1</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HYPERLINK("https://creighton-primo.hosted.exlibrisgroup.com/primo-explore/search?tab=default_tab&amp;search_scope=EVERYTHING&amp;vid=01CRU&amp;lang=en_US&amp;offset=0&amp;query=any,contains,991004034069702656","Catalog Record")</f>
        <v/>
      </c>
      <c r="AT617">
        <f>HYPERLINK("http://www.worldcat.org/oclc/2164904","WorldCat Record")</f>
        <v/>
      </c>
      <c r="AU617" t="inlineStr">
        <is>
          <t>4018939:eng</t>
        </is>
      </c>
      <c r="AV617" t="inlineStr">
        <is>
          <t>2164904</t>
        </is>
      </c>
      <c r="AW617" t="inlineStr">
        <is>
          <t>991004034069702656</t>
        </is>
      </c>
      <c r="AX617" t="inlineStr">
        <is>
          <t>991004034069702656</t>
        </is>
      </c>
      <c r="AY617" t="inlineStr">
        <is>
          <t>2265378880002656</t>
        </is>
      </c>
      <c r="AZ617" t="inlineStr">
        <is>
          <t>BOOK</t>
        </is>
      </c>
      <c r="BB617" t="inlineStr">
        <is>
          <t>9780025310407</t>
        </is>
      </c>
      <c r="BC617" t="inlineStr">
        <is>
          <t>32285003104014</t>
        </is>
      </c>
      <c r="BD617" t="inlineStr">
        <is>
          <t>893605554</t>
        </is>
      </c>
    </row>
    <row r="618">
      <c r="A618" t="inlineStr">
        <is>
          <t>No</t>
        </is>
      </c>
      <c r="B618" t="inlineStr">
        <is>
          <t>HQ1206 .D4</t>
        </is>
      </c>
      <c r="C618" t="inlineStr">
        <is>
          <t>0                      HQ 1206000D  4</t>
        </is>
      </c>
      <c r="D618" t="inlineStr">
        <is>
          <t>The psychology of women : a psychoanalytic interpretation / by Helene Deutsch. Foreword by Stanley Cobb.</t>
        </is>
      </c>
      <c r="E618" t="inlineStr">
        <is>
          <t>V. 2</t>
        </is>
      </c>
      <c r="F618" t="inlineStr">
        <is>
          <t>Yes</t>
        </is>
      </c>
      <c r="G618" t="inlineStr">
        <is>
          <t>1</t>
        </is>
      </c>
      <c r="H618" t="inlineStr">
        <is>
          <t>Yes</t>
        </is>
      </c>
      <c r="I618" t="inlineStr">
        <is>
          <t>No</t>
        </is>
      </c>
      <c r="J618" t="inlineStr">
        <is>
          <t>0</t>
        </is>
      </c>
      <c r="K618" t="inlineStr">
        <is>
          <t>Deutsch, Helene, 1884-1982.</t>
        </is>
      </c>
      <c r="L618" t="inlineStr">
        <is>
          <t>New York : Grune &amp; Stratton, 1944-</t>
        </is>
      </c>
      <c r="M618" t="inlineStr">
        <is>
          <t>1944</t>
        </is>
      </c>
      <c r="O618" t="inlineStr">
        <is>
          <t>eng</t>
        </is>
      </c>
      <c r="P618" t="inlineStr">
        <is>
          <t>nyu</t>
        </is>
      </c>
      <c r="R618" t="inlineStr">
        <is>
          <t xml:space="preserve">HQ </t>
        </is>
      </c>
      <c r="S618" t="n">
        <v>1</v>
      </c>
      <c r="T618" t="n">
        <v>4</v>
      </c>
      <c r="U618" t="inlineStr">
        <is>
          <t>1993-09-08</t>
        </is>
      </c>
      <c r="V618" t="inlineStr">
        <is>
          <t>1994-10-24</t>
        </is>
      </c>
      <c r="W618" t="inlineStr">
        <is>
          <t>1993-04-27</t>
        </is>
      </c>
      <c r="X618" t="inlineStr">
        <is>
          <t>1993-04-27</t>
        </is>
      </c>
      <c r="Y618" t="n">
        <v>1042</v>
      </c>
      <c r="Z618" t="n">
        <v>923</v>
      </c>
      <c r="AA618" t="n">
        <v>1039</v>
      </c>
      <c r="AB618" t="n">
        <v>5</v>
      </c>
      <c r="AC618" t="n">
        <v>5</v>
      </c>
      <c r="AD618" t="n">
        <v>39</v>
      </c>
      <c r="AE618" t="n">
        <v>44</v>
      </c>
      <c r="AF618" t="n">
        <v>18</v>
      </c>
      <c r="AG618" t="n">
        <v>20</v>
      </c>
      <c r="AH618" t="n">
        <v>9</v>
      </c>
      <c r="AI618" t="n">
        <v>9</v>
      </c>
      <c r="AJ618" t="n">
        <v>19</v>
      </c>
      <c r="AK618" t="n">
        <v>23</v>
      </c>
      <c r="AL618" t="n">
        <v>3</v>
      </c>
      <c r="AM618" t="n">
        <v>3</v>
      </c>
      <c r="AN618" t="n">
        <v>1</v>
      </c>
      <c r="AO618" t="n">
        <v>1</v>
      </c>
      <c r="AP618" t="inlineStr">
        <is>
          <t>No</t>
        </is>
      </c>
      <c r="AQ618" t="inlineStr">
        <is>
          <t>Yes</t>
        </is>
      </c>
      <c r="AR618">
        <f>HYPERLINK("http://catalog.hathitrust.org/Record/102075127","HathiTrust Record")</f>
        <v/>
      </c>
      <c r="AS618">
        <f>HYPERLINK("https://creighton-primo.hosted.exlibrisgroup.com/primo-explore/search?tab=default_tab&amp;search_scope=EVERYTHING&amp;vid=01CRU&amp;lang=en_US&amp;offset=0&amp;query=any,contains,991001787229702656","Catalog Record")</f>
        <v/>
      </c>
      <c r="AT618">
        <f>HYPERLINK("http://www.worldcat.org/oclc/888867","WorldCat Record")</f>
        <v/>
      </c>
      <c r="AU618" t="inlineStr">
        <is>
          <t>3376385249:eng</t>
        </is>
      </c>
      <c r="AV618" t="inlineStr">
        <is>
          <t>888867</t>
        </is>
      </c>
      <c r="AW618" t="inlineStr">
        <is>
          <t>991001787229702656</t>
        </is>
      </c>
      <c r="AX618" t="inlineStr">
        <is>
          <t>991001787229702656</t>
        </is>
      </c>
      <c r="AY618" t="inlineStr">
        <is>
          <t>2254809150002656</t>
        </is>
      </c>
      <c r="AZ618" t="inlineStr">
        <is>
          <t>BOOK</t>
        </is>
      </c>
      <c r="BC618" t="inlineStr">
        <is>
          <t>32285001628287</t>
        </is>
      </c>
      <c r="BD618" t="inlineStr">
        <is>
          <t>893256512</t>
        </is>
      </c>
    </row>
    <row r="619">
      <c r="A619" t="inlineStr">
        <is>
          <t>No</t>
        </is>
      </c>
      <c r="B619" t="inlineStr">
        <is>
          <t>HQ1206 .D4</t>
        </is>
      </c>
      <c r="C619" t="inlineStr">
        <is>
          <t>0                      HQ 1206000D  4</t>
        </is>
      </c>
      <c r="D619" t="inlineStr">
        <is>
          <t>The psychology of women : a psychoanalytic interpretation / by Helene Deutsch. Foreword by Stanley Cobb.</t>
        </is>
      </c>
      <c r="E619" t="inlineStr">
        <is>
          <t>V. 1</t>
        </is>
      </c>
      <c r="F619" t="inlineStr">
        <is>
          <t>Yes</t>
        </is>
      </c>
      <c r="G619" t="inlineStr">
        <is>
          <t>1</t>
        </is>
      </c>
      <c r="H619" t="inlineStr">
        <is>
          <t>No</t>
        </is>
      </c>
      <c r="I619" t="inlineStr">
        <is>
          <t>No</t>
        </is>
      </c>
      <c r="J619" t="inlineStr">
        <is>
          <t>0</t>
        </is>
      </c>
      <c r="K619" t="inlineStr">
        <is>
          <t>Deutsch, Helene, 1884-1982.</t>
        </is>
      </c>
      <c r="L619" t="inlineStr">
        <is>
          <t>New York : Grune &amp; Stratton, 1944-</t>
        </is>
      </c>
      <c r="M619" t="inlineStr">
        <is>
          <t>1944</t>
        </is>
      </c>
      <c r="O619" t="inlineStr">
        <is>
          <t>eng</t>
        </is>
      </c>
      <c r="P619" t="inlineStr">
        <is>
          <t>nyu</t>
        </is>
      </c>
      <c r="R619" t="inlineStr">
        <is>
          <t xml:space="preserve">HQ </t>
        </is>
      </c>
      <c r="S619" t="n">
        <v>3</v>
      </c>
      <c r="T619" t="n">
        <v>4</v>
      </c>
      <c r="U619" t="inlineStr">
        <is>
          <t>1994-10-24</t>
        </is>
      </c>
      <c r="V619" t="inlineStr">
        <is>
          <t>1994-10-24</t>
        </is>
      </c>
      <c r="W619" t="inlineStr">
        <is>
          <t>1993-04-27</t>
        </is>
      </c>
      <c r="X619" t="inlineStr">
        <is>
          <t>1993-04-27</t>
        </is>
      </c>
      <c r="Y619" t="n">
        <v>1042</v>
      </c>
      <c r="Z619" t="n">
        <v>923</v>
      </c>
      <c r="AA619" t="n">
        <v>1039</v>
      </c>
      <c r="AB619" t="n">
        <v>5</v>
      </c>
      <c r="AC619" t="n">
        <v>5</v>
      </c>
      <c r="AD619" t="n">
        <v>39</v>
      </c>
      <c r="AE619" t="n">
        <v>44</v>
      </c>
      <c r="AF619" t="n">
        <v>18</v>
      </c>
      <c r="AG619" t="n">
        <v>20</v>
      </c>
      <c r="AH619" t="n">
        <v>9</v>
      </c>
      <c r="AI619" t="n">
        <v>9</v>
      </c>
      <c r="AJ619" t="n">
        <v>19</v>
      </c>
      <c r="AK619" t="n">
        <v>23</v>
      </c>
      <c r="AL619" t="n">
        <v>3</v>
      </c>
      <c r="AM619" t="n">
        <v>3</v>
      </c>
      <c r="AN619" t="n">
        <v>1</v>
      </c>
      <c r="AO619" t="n">
        <v>1</v>
      </c>
      <c r="AP619" t="inlineStr">
        <is>
          <t>No</t>
        </is>
      </c>
      <c r="AQ619" t="inlineStr">
        <is>
          <t>Yes</t>
        </is>
      </c>
      <c r="AR619">
        <f>HYPERLINK("http://catalog.hathitrust.org/Record/102075127","HathiTrust Record")</f>
        <v/>
      </c>
      <c r="AS619">
        <f>HYPERLINK("https://creighton-primo.hosted.exlibrisgroup.com/primo-explore/search?tab=default_tab&amp;search_scope=EVERYTHING&amp;vid=01CRU&amp;lang=en_US&amp;offset=0&amp;query=any,contains,991001787229702656","Catalog Record")</f>
        <v/>
      </c>
      <c r="AT619">
        <f>HYPERLINK("http://www.worldcat.org/oclc/888867","WorldCat Record")</f>
        <v/>
      </c>
      <c r="AU619" t="inlineStr">
        <is>
          <t>3376385249:eng</t>
        </is>
      </c>
      <c r="AV619" t="inlineStr">
        <is>
          <t>888867</t>
        </is>
      </c>
      <c r="AW619" t="inlineStr">
        <is>
          <t>991001787229702656</t>
        </is>
      </c>
      <c r="AX619" t="inlineStr">
        <is>
          <t>991001787229702656</t>
        </is>
      </c>
      <c r="AY619" t="inlineStr">
        <is>
          <t>2254809150002656</t>
        </is>
      </c>
      <c r="AZ619" t="inlineStr">
        <is>
          <t>BOOK</t>
        </is>
      </c>
      <c r="BC619" t="inlineStr">
        <is>
          <t>32285001628279</t>
        </is>
      </c>
      <c r="BD619" t="inlineStr">
        <is>
          <t>893244415</t>
        </is>
      </c>
    </row>
    <row r="620">
      <c r="A620" t="inlineStr">
        <is>
          <t>No</t>
        </is>
      </c>
      <c r="B620" t="inlineStr">
        <is>
          <t>HQ1206 .D683 2000</t>
        </is>
      </c>
      <c r="C620" t="inlineStr">
        <is>
          <t>0                      HQ 1206000D  683         2000</t>
        </is>
      </c>
      <c r="D620" t="inlineStr">
        <is>
          <t>The frailty myth : women approaching physical equality / Colette Dowling.</t>
        </is>
      </c>
      <c r="F620" t="inlineStr">
        <is>
          <t>No</t>
        </is>
      </c>
      <c r="G620" t="inlineStr">
        <is>
          <t>1</t>
        </is>
      </c>
      <c r="H620" t="inlineStr">
        <is>
          <t>No</t>
        </is>
      </c>
      <c r="I620" t="inlineStr">
        <is>
          <t>No</t>
        </is>
      </c>
      <c r="J620" t="inlineStr">
        <is>
          <t>0</t>
        </is>
      </c>
      <c r="K620" t="inlineStr">
        <is>
          <t>Dowling, Colette.</t>
        </is>
      </c>
      <c r="L620" t="inlineStr">
        <is>
          <t>New York : Random House, c2000.</t>
        </is>
      </c>
      <c r="M620" t="inlineStr">
        <is>
          <t>2000</t>
        </is>
      </c>
      <c r="N620" t="inlineStr">
        <is>
          <t>1st ed.</t>
        </is>
      </c>
      <c r="O620" t="inlineStr">
        <is>
          <t>eng</t>
        </is>
      </c>
      <c r="P620" t="inlineStr">
        <is>
          <t>nyu</t>
        </is>
      </c>
      <c r="R620" t="inlineStr">
        <is>
          <t xml:space="preserve">HQ </t>
        </is>
      </c>
      <c r="S620" t="n">
        <v>2</v>
      </c>
      <c r="T620" t="n">
        <v>2</v>
      </c>
      <c r="U620" t="inlineStr">
        <is>
          <t>2001-11-01</t>
        </is>
      </c>
      <c r="V620" t="inlineStr">
        <is>
          <t>2001-11-01</t>
        </is>
      </c>
      <c r="W620" t="inlineStr">
        <is>
          <t>2001-10-31</t>
        </is>
      </c>
      <c r="X620" t="inlineStr">
        <is>
          <t>2001-10-31</t>
        </is>
      </c>
      <c r="Y620" t="n">
        <v>845</v>
      </c>
      <c r="Z620" t="n">
        <v>773</v>
      </c>
      <c r="AA620" t="n">
        <v>776</v>
      </c>
      <c r="AB620" t="n">
        <v>6</v>
      </c>
      <c r="AC620" t="n">
        <v>6</v>
      </c>
      <c r="AD620" t="n">
        <v>30</v>
      </c>
      <c r="AE620" t="n">
        <v>30</v>
      </c>
      <c r="AF620" t="n">
        <v>8</v>
      </c>
      <c r="AG620" t="n">
        <v>8</v>
      </c>
      <c r="AH620" t="n">
        <v>7</v>
      </c>
      <c r="AI620" t="n">
        <v>7</v>
      </c>
      <c r="AJ620" t="n">
        <v>17</v>
      </c>
      <c r="AK620" t="n">
        <v>17</v>
      </c>
      <c r="AL620" t="n">
        <v>5</v>
      </c>
      <c r="AM620" t="n">
        <v>5</v>
      </c>
      <c r="AN620" t="n">
        <v>0</v>
      </c>
      <c r="AO620" t="n">
        <v>0</v>
      </c>
      <c r="AP620" t="inlineStr">
        <is>
          <t>No</t>
        </is>
      </c>
      <c r="AQ620" t="inlineStr">
        <is>
          <t>Yes</t>
        </is>
      </c>
      <c r="AR620">
        <f>HYPERLINK("http://catalog.hathitrust.org/Record/004121718","HathiTrust Record")</f>
        <v/>
      </c>
      <c r="AS620">
        <f>HYPERLINK("https://creighton-primo.hosted.exlibrisgroup.com/primo-explore/search?tab=default_tab&amp;search_scope=EVERYTHING&amp;vid=01CRU&amp;lang=en_US&amp;offset=0&amp;query=any,contains,991003644179702656","Catalog Record")</f>
        <v/>
      </c>
      <c r="AT620">
        <f>HYPERLINK("http://www.worldcat.org/oclc/43599153","WorldCat Record")</f>
        <v/>
      </c>
      <c r="AU620" t="inlineStr">
        <is>
          <t>5195087976:eng</t>
        </is>
      </c>
      <c r="AV620" t="inlineStr">
        <is>
          <t>43599153</t>
        </is>
      </c>
      <c r="AW620" t="inlineStr">
        <is>
          <t>991003644179702656</t>
        </is>
      </c>
      <c r="AX620" t="inlineStr">
        <is>
          <t>991003644179702656</t>
        </is>
      </c>
      <c r="AY620" t="inlineStr">
        <is>
          <t>2266475880002656</t>
        </is>
      </c>
      <c r="AZ620" t="inlineStr">
        <is>
          <t>BOOK</t>
        </is>
      </c>
      <c r="BB620" t="inlineStr">
        <is>
          <t>9780375502354</t>
        </is>
      </c>
      <c r="BC620" t="inlineStr">
        <is>
          <t>32285004417118</t>
        </is>
      </c>
      <c r="BD620" t="inlineStr">
        <is>
          <t>893342806</t>
        </is>
      </c>
    </row>
    <row r="621">
      <c r="A621" t="inlineStr">
        <is>
          <t>No</t>
        </is>
      </c>
      <c r="B621" t="inlineStr">
        <is>
          <t>HQ1206 .D685 1988</t>
        </is>
      </c>
      <c r="C621" t="inlineStr">
        <is>
          <t>0                      HQ 1206000D  685         1988</t>
        </is>
      </c>
      <c r="D621" t="inlineStr">
        <is>
          <t>Perfect women : hidden fears of inadequacy and the drive to perform / by Colette Dowling.</t>
        </is>
      </c>
      <c r="F621" t="inlineStr">
        <is>
          <t>No</t>
        </is>
      </c>
      <c r="G621" t="inlineStr">
        <is>
          <t>1</t>
        </is>
      </c>
      <c r="H621" t="inlineStr">
        <is>
          <t>No</t>
        </is>
      </c>
      <c r="I621" t="inlineStr">
        <is>
          <t>No</t>
        </is>
      </c>
      <c r="J621" t="inlineStr">
        <is>
          <t>0</t>
        </is>
      </c>
      <c r="K621" t="inlineStr">
        <is>
          <t>Dowling, Colette.</t>
        </is>
      </c>
      <c r="L621" t="inlineStr">
        <is>
          <t>New York : Summit Books, 1988.</t>
        </is>
      </c>
      <c r="M621" t="inlineStr">
        <is>
          <t>1988</t>
        </is>
      </c>
      <c r="O621" t="inlineStr">
        <is>
          <t>eng</t>
        </is>
      </c>
      <c r="P621" t="inlineStr">
        <is>
          <t>nyu</t>
        </is>
      </c>
      <c r="R621" t="inlineStr">
        <is>
          <t xml:space="preserve">HQ </t>
        </is>
      </c>
      <c r="S621" t="n">
        <v>6</v>
      </c>
      <c r="T621" t="n">
        <v>6</v>
      </c>
      <c r="U621" t="inlineStr">
        <is>
          <t>2000-04-17</t>
        </is>
      </c>
      <c r="V621" t="inlineStr">
        <is>
          <t>2000-04-17</t>
        </is>
      </c>
      <c r="W621" t="inlineStr">
        <is>
          <t>1993-03-03</t>
        </is>
      </c>
      <c r="X621" t="inlineStr">
        <is>
          <t>1993-03-03</t>
        </is>
      </c>
      <c r="Y621" t="n">
        <v>828</v>
      </c>
      <c r="Z621" t="n">
        <v>777</v>
      </c>
      <c r="AA621" t="n">
        <v>785</v>
      </c>
      <c r="AB621" t="n">
        <v>9</v>
      </c>
      <c r="AC621" t="n">
        <v>9</v>
      </c>
      <c r="AD621" t="n">
        <v>15</v>
      </c>
      <c r="AE621" t="n">
        <v>15</v>
      </c>
      <c r="AF621" t="n">
        <v>6</v>
      </c>
      <c r="AG621" t="n">
        <v>6</v>
      </c>
      <c r="AH621" t="n">
        <v>1</v>
      </c>
      <c r="AI621" t="n">
        <v>1</v>
      </c>
      <c r="AJ621" t="n">
        <v>6</v>
      </c>
      <c r="AK621" t="n">
        <v>6</v>
      </c>
      <c r="AL621" t="n">
        <v>5</v>
      </c>
      <c r="AM621" t="n">
        <v>5</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HYPERLINK("https://creighton-primo.hosted.exlibrisgroup.com/primo-explore/search?tab=default_tab&amp;search_scope=EVERYTHING&amp;vid=01CRU&amp;lang=en_US&amp;offset=0&amp;query=any,contains,991001320429702656","Catalog Record")</f>
        <v/>
      </c>
      <c r="AT621">
        <f>HYPERLINK("http://www.worldcat.org/oclc/18222660","WorldCat Record")</f>
        <v/>
      </c>
      <c r="AU621" t="inlineStr">
        <is>
          <t>17509151:eng</t>
        </is>
      </c>
      <c r="AV621" t="inlineStr">
        <is>
          <t>18222660</t>
        </is>
      </c>
      <c r="AW621" t="inlineStr">
        <is>
          <t>991001320429702656</t>
        </is>
      </c>
      <c r="AX621" t="inlineStr">
        <is>
          <t>991001320429702656</t>
        </is>
      </c>
      <c r="AY621" t="inlineStr">
        <is>
          <t>2258318760002656</t>
        </is>
      </c>
      <c r="AZ621" t="inlineStr">
        <is>
          <t>BOOK</t>
        </is>
      </c>
      <c r="BB621" t="inlineStr">
        <is>
          <t>9780671547479</t>
        </is>
      </c>
      <c r="BC621" t="inlineStr">
        <is>
          <t>32285001542322</t>
        </is>
      </c>
      <c r="BD621" t="inlineStr">
        <is>
          <t>893238037</t>
        </is>
      </c>
    </row>
    <row r="622">
      <c r="A622" t="inlineStr">
        <is>
          <t>No</t>
        </is>
      </c>
      <c r="B622" t="inlineStr">
        <is>
          <t>HQ1206 .E32 1982</t>
        </is>
      </c>
      <c r="C622" t="inlineStr">
        <is>
          <t>0                      HQ 1206000E  32          1982</t>
        </is>
      </c>
      <c r="D622" t="inlineStr">
        <is>
          <t>Early female development : current psychoanalytic views / edited by Dale Mendell.</t>
        </is>
      </c>
      <c r="F622" t="inlineStr">
        <is>
          <t>No</t>
        </is>
      </c>
      <c r="G622" t="inlineStr">
        <is>
          <t>1</t>
        </is>
      </c>
      <c r="H622" t="inlineStr">
        <is>
          <t>No</t>
        </is>
      </c>
      <c r="I622" t="inlineStr">
        <is>
          <t>No</t>
        </is>
      </c>
      <c r="J622" t="inlineStr">
        <is>
          <t>0</t>
        </is>
      </c>
      <c r="L622" t="inlineStr">
        <is>
          <t>Jamaica, N.Y. : Spectrum Publications, c1982.</t>
        </is>
      </c>
      <c r="M622" t="inlineStr">
        <is>
          <t>1982</t>
        </is>
      </c>
      <c r="O622" t="inlineStr">
        <is>
          <t>eng</t>
        </is>
      </c>
      <c r="P622" t="inlineStr">
        <is>
          <t>nyu</t>
        </is>
      </c>
      <c r="R622" t="inlineStr">
        <is>
          <t xml:space="preserve">HQ </t>
        </is>
      </c>
      <c r="S622" t="n">
        <v>4</v>
      </c>
      <c r="T622" t="n">
        <v>4</v>
      </c>
      <c r="U622" t="inlineStr">
        <is>
          <t>1998-01-30</t>
        </is>
      </c>
      <c r="V622" t="inlineStr">
        <is>
          <t>1998-01-30</t>
        </is>
      </c>
      <c r="W622" t="inlineStr">
        <is>
          <t>1993-04-27</t>
        </is>
      </c>
      <c r="X622" t="inlineStr">
        <is>
          <t>1993-04-27</t>
        </is>
      </c>
      <c r="Y622" t="n">
        <v>200</v>
      </c>
      <c r="Z622" t="n">
        <v>180</v>
      </c>
      <c r="AA622" t="n">
        <v>201</v>
      </c>
      <c r="AB622" t="n">
        <v>2</v>
      </c>
      <c r="AC622" t="n">
        <v>2</v>
      </c>
      <c r="AD622" t="n">
        <v>3</v>
      </c>
      <c r="AE622" t="n">
        <v>3</v>
      </c>
      <c r="AF622" t="n">
        <v>1</v>
      </c>
      <c r="AG622" t="n">
        <v>1</v>
      </c>
      <c r="AH622" t="n">
        <v>0</v>
      </c>
      <c r="AI622" t="n">
        <v>0</v>
      </c>
      <c r="AJ622" t="n">
        <v>2</v>
      </c>
      <c r="AK622" t="n">
        <v>2</v>
      </c>
      <c r="AL622" t="n">
        <v>1</v>
      </c>
      <c r="AM622" t="n">
        <v>1</v>
      </c>
      <c r="AN622" t="n">
        <v>0</v>
      </c>
      <c r="AO622" t="n">
        <v>0</v>
      </c>
      <c r="AP622" t="inlineStr">
        <is>
          <t>No</t>
        </is>
      </c>
      <c r="AQ622" t="inlineStr">
        <is>
          <t>Yes</t>
        </is>
      </c>
      <c r="AR622">
        <f>HYPERLINK("http://catalog.hathitrust.org/Record/000188234","HathiTrust Record")</f>
        <v/>
      </c>
      <c r="AS622">
        <f>HYPERLINK("https://creighton-primo.hosted.exlibrisgroup.com/primo-explore/search?tab=default_tab&amp;search_scope=EVERYTHING&amp;vid=01CRU&amp;lang=en_US&amp;offset=0&amp;query=any,contains,991005033909702656","Catalog Record")</f>
        <v/>
      </c>
      <c r="AT622">
        <f>HYPERLINK("http://www.worldcat.org/oclc/6735810","WorldCat Record")</f>
        <v/>
      </c>
      <c r="AU622" t="inlineStr">
        <is>
          <t>836681203:eng</t>
        </is>
      </c>
      <c r="AV622" t="inlineStr">
        <is>
          <t>6735810</t>
        </is>
      </c>
      <c r="AW622" t="inlineStr">
        <is>
          <t>991005033909702656</t>
        </is>
      </c>
      <c r="AX622" t="inlineStr">
        <is>
          <t>991005033909702656</t>
        </is>
      </c>
      <c r="AY622" t="inlineStr">
        <is>
          <t>2268050740002656</t>
        </is>
      </c>
      <c r="AZ622" t="inlineStr">
        <is>
          <t>BOOK</t>
        </is>
      </c>
      <c r="BB622" t="inlineStr">
        <is>
          <t>9780893351359</t>
        </is>
      </c>
      <c r="BC622" t="inlineStr">
        <is>
          <t>32285001628295</t>
        </is>
      </c>
      <c r="BD622" t="inlineStr">
        <is>
          <t>893707145</t>
        </is>
      </c>
    </row>
    <row r="623">
      <c r="A623" t="inlineStr">
        <is>
          <t>No</t>
        </is>
      </c>
      <c r="B623" t="inlineStr">
        <is>
          <t>HQ1206 .F35 2004</t>
        </is>
      </c>
      <c r="C623" t="inlineStr">
        <is>
          <t>0                      HQ 1206000F  35          2004</t>
        </is>
      </c>
      <c r="D623" t="inlineStr">
        <is>
          <t>Necessary dreams : ambition in women's changing lives / Anna Fels.</t>
        </is>
      </c>
      <c r="F623" t="inlineStr">
        <is>
          <t>No</t>
        </is>
      </c>
      <c r="G623" t="inlineStr">
        <is>
          <t>1</t>
        </is>
      </c>
      <c r="H623" t="inlineStr">
        <is>
          <t>No</t>
        </is>
      </c>
      <c r="I623" t="inlineStr">
        <is>
          <t>No</t>
        </is>
      </c>
      <c r="J623" t="inlineStr">
        <is>
          <t>0</t>
        </is>
      </c>
      <c r="K623" t="inlineStr">
        <is>
          <t>Fels, Anna.</t>
        </is>
      </c>
      <c r="L623" t="inlineStr">
        <is>
          <t>New York : Pantheon Books, c2004.</t>
        </is>
      </c>
      <c r="M623" t="inlineStr">
        <is>
          <t>2004</t>
        </is>
      </c>
      <c r="O623" t="inlineStr">
        <is>
          <t>eng</t>
        </is>
      </c>
      <c r="P623" t="inlineStr">
        <is>
          <t>nyu</t>
        </is>
      </c>
      <c r="R623" t="inlineStr">
        <is>
          <t xml:space="preserve">HQ </t>
        </is>
      </c>
      <c r="S623" t="n">
        <v>1</v>
      </c>
      <c r="T623" t="n">
        <v>1</v>
      </c>
      <c r="U623" t="inlineStr">
        <is>
          <t>2004-06-29</t>
        </is>
      </c>
      <c r="V623" t="inlineStr">
        <is>
          <t>2004-06-29</t>
        </is>
      </c>
      <c r="W623" t="inlineStr">
        <is>
          <t>2004-06-29</t>
        </is>
      </c>
      <c r="X623" t="inlineStr">
        <is>
          <t>2004-06-29</t>
        </is>
      </c>
      <c r="Y623" t="n">
        <v>618</v>
      </c>
      <c r="Z623" t="n">
        <v>567</v>
      </c>
      <c r="AA623" t="n">
        <v>652</v>
      </c>
      <c r="AB623" t="n">
        <v>5</v>
      </c>
      <c r="AC623" t="n">
        <v>7</v>
      </c>
      <c r="AD623" t="n">
        <v>18</v>
      </c>
      <c r="AE623" t="n">
        <v>20</v>
      </c>
      <c r="AF623" t="n">
        <v>6</v>
      </c>
      <c r="AG623" t="n">
        <v>6</v>
      </c>
      <c r="AH623" t="n">
        <v>4</v>
      </c>
      <c r="AI623" t="n">
        <v>4</v>
      </c>
      <c r="AJ623" t="n">
        <v>7</v>
      </c>
      <c r="AK623" t="n">
        <v>7</v>
      </c>
      <c r="AL623" t="n">
        <v>3</v>
      </c>
      <c r="AM623" t="n">
        <v>5</v>
      </c>
      <c r="AN623" t="n">
        <v>1</v>
      </c>
      <c r="AO623" t="n">
        <v>1</v>
      </c>
      <c r="AP623" t="inlineStr">
        <is>
          <t>No</t>
        </is>
      </c>
      <c r="AQ623" t="inlineStr">
        <is>
          <t>Yes</t>
        </is>
      </c>
      <c r="AR623">
        <f>HYPERLINK("http://catalog.hathitrust.org/Record/004377152","HathiTrust Record")</f>
        <v/>
      </c>
      <c r="AS623">
        <f>HYPERLINK("https://creighton-primo.hosted.exlibrisgroup.com/primo-explore/search?tab=default_tab&amp;search_scope=EVERYTHING&amp;vid=01CRU&amp;lang=en_US&amp;offset=0&amp;query=any,contains,991004303259702656","Catalog Record")</f>
        <v/>
      </c>
      <c r="AT623">
        <f>HYPERLINK("http://www.worldcat.org/oclc/53038445","WorldCat Record")</f>
        <v/>
      </c>
      <c r="AU623" t="inlineStr">
        <is>
          <t>862838765:eng</t>
        </is>
      </c>
      <c r="AV623" t="inlineStr">
        <is>
          <t>53038445</t>
        </is>
      </c>
      <c r="AW623" t="inlineStr">
        <is>
          <t>991004303259702656</t>
        </is>
      </c>
      <c r="AX623" t="inlineStr">
        <is>
          <t>991004303259702656</t>
        </is>
      </c>
      <c r="AY623" t="inlineStr">
        <is>
          <t>2271113750002656</t>
        </is>
      </c>
      <c r="AZ623" t="inlineStr">
        <is>
          <t>BOOK</t>
        </is>
      </c>
      <c r="BB623" t="inlineStr">
        <is>
          <t>9780679442448</t>
        </is>
      </c>
      <c r="BC623" t="inlineStr">
        <is>
          <t>32285004922117</t>
        </is>
      </c>
      <c r="BD623" t="inlineStr">
        <is>
          <t>893628084</t>
        </is>
      </c>
    </row>
    <row r="624">
      <c r="A624" t="inlineStr">
        <is>
          <t>No</t>
        </is>
      </c>
      <c r="B624" t="inlineStr">
        <is>
          <t>HQ1206 .F44 1982b</t>
        </is>
      </c>
      <c r="C624" t="inlineStr">
        <is>
          <t>0                      HQ 1206000F  44          1982b</t>
        </is>
      </c>
      <c r="D624" t="inlineStr">
        <is>
          <t>Femininity, "masculinity," and "androgyny" : a modern philosophical discussion / edited by Mary Vetterling-Braggin.</t>
        </is>
      </c>
      <c r="F624" t="inlineStr">
        <is>
          <t>No</t>
        </is>
      </c>
      <c r="G624" t="inlineStr">
        <is>
          <t>1</t>
        </is>
      </c>
      <c r="H624" t="inlineStr">
        <is>
          <t>No</t>
        </is>
      </c>
      <c r="I624" t="inlineStr">
        <is>
          <t>No</t>
        </is>
      </c>
      <c r="J624" t="inlineStr">
        <is>
          <t>0</t>
        </is>
      </c>
      <c r="L624" t="inlineStr">
        <is>
          <t>Totowa, N.J. : Rowman and Littlefield, 1982.</t>
        </is>
      </c>
      <c r="M624" t="inlineStr">
        <is>
          <t>1982</t>
        </is>
      </c>
      <c r="O624" t="inlineStr">
        <is>
          <t>eng</t>
        </is>
      </c>
      <c r="P624" t="inlineStr">
        <is>
          <t>nju</t>
        </is>
      </c>
      <c r="R624" t="inlineStr">
        <is>
          <t xml:space="preserve">HQ </t>
        </is>
      </c>
      <c r="S624" t="n">
        <v>4</v>
      </c>
      <c r="T624" t="n">
        <v>4</v>
      </c>
      <c r="U624" t="inlineStr">
        <is>
          <t>1998-11-07</t>
        </is>
      </c>
      <c r="V624" t="inlineStr">
        <is>
          <t>1998-11-07</t>
        </is>
      </c>
      <c r="W624" t="inlineStr">
        <is>
          <t>1992-01-10</t>
        </is>
      </c>
      <c r="X624" t="inlineStr">
        <is>
          <t>1992-01-10</t>
        </is>
      </c>
      <c r="Y624" t="n">
        <v>436</v>
      </c>
      <c r="Z624" t="n">
        <v>404</v>
      </c>
      <c r="AA624" t="n">
        <v>641</v>
      </c>
      <c r="AB624" t="n">
        <v>3</v>
      </c>
      <c r="AC624" t="n">
        <v>5</v>
      </c>
      <c r="AD624" t="n">
        <v>19</v>
      </c>
      <c r="AE624" t="n">
        <v>33</v>
      </c>
      <c r="AF624" t="n">
        <v>6</v>
      </c>
      <c r="AG624" t="n">
        <v>13</v>
      </c>
      <c r="AH624" t="n">
        <v>5</v>
      </c>
      <c r="AI624" t="n">
        <v>9</v>
      </c>
      <c r="AJ624" t="n">
        <v>12</v>
      </c>
      <c r="AK624" t="n">
        <v>17</v>
      </c>
      <c r="AL624" t="n">
        <v>2</v>
      </c>
      <c r="AM624" t="n">
        <v>4</v>
      </c>
      <c r="AN624" t="n">
        <v>0</v>
      </c>
      <c r="AO624" t="n">
        <v>0</v>
      </c>
      <c r="AP624" t="inlineStr">
        <is>
          <t>No</t>
        </is>
      </c>
      <c r="AQ624" t="inlineStr">
        <is>
          <t>Yes</t>
        </is>
      </c>
      <c r="AR624">
        <f>HYPERLINK("http://catalog.hathitrust.org/Record/000145033","HathiTrust Record")</f>
        <v/>
      </c>
      <c r="AS624">
        <f>HYPERLINK("https://creighton-primo.hosted.exlibrisgroup.com/primo-explore/search?tab=default_tab&amp;search_scope=EVERYTHING&amp;vid=01CRU&amp;lang=en_US&amp;offset=0&amp;query=any,contains,991005216819702656","Catalog Record")</f>
        <v/>
      </c>
      <c r="AT624">
        <f>HYPERLINK("http://www.worldcat.org/oclc/8195118","WorldCat Record")</f>
        <v/>
      </c>
      <c r="AU624" t="inlineStr">
        <is>
          <t>865282590:eng</t>
        </is>
      </c>
      <c r="AV624" t="inlineStr">
        <is>
          <t>8195118</t>
        </is>
      </c>
      <c r="AW624" t="inlineStr">
        <is>
          <t>991005216819702656</t>
        </is>
      </c>
      <c r="AX624" t="inlineStr">
        <is>
          <t>991005216819702656</t>
        </is>
      </c>
      <c r="AY624" t="inlineStr">
        <is>
          <t>2268271300002656</t>
        </is>
      </c>
      <c r="AZ624" t="inlineStr">
        <is>
          <t>BOOK</t>
        </is>
      </c>
      <c r="BB624" t="inlineStr">
        <is>
          <t>9780847670703</t>
        </is>
      </c>
      <c r="BC624" t="inlineStr">
        <is>
          <t>32285000912617</t>
        </is>
      </c>
      <c r="BD624" t="inlineStr">
        <is>
          <t>893254659</t>
        </is>
      </c>
    </row>
    <row r="625">
      <c r="A625" t="inlineStr">
        <is>
          <t>No</t>
        </is>
      </c>
      <c r="B625" t="inlineStr">
        <is>
          <t>HQ1206 .F453 1990</t>
        </is>
      </c>
      <c r="C625" t="inlineStr">
        <is>
          <t>0                      HQ 1206000F  453         1990</t>
        </is>
      </c>
      <c r="D625" t="inlineStr">
        <is>
          <t>Feminism/postmodernism / edited and with an introduction by Linda J. Nicholson.</t>
        </is>
      </c>
      <c r="F625" t="inlineStr">
        <is>
          <t>No</t>
        </is>
      </c>
      <c r="G625" t="inlineStr">
        <is>
          <t>1</t>
        </is>
      </c>
      <c r="H625" t="inlineStr">
        <is>
          <t>No</t>
        </is>
      </c>
      <c r="I625" t="inlineStr">
        <is>
          <t>No</t>
        </is>
      </c>
      <c r="J625" t="inlineStr">
        <is>
          <t>0</t>
        </is>
      </c>
      <c r="L625" t="inlineStr">
        <is>
          <t>New York : Routledge, 1990.</t>
        </is>
      </c>
      <c r="M625" t="inlineStr">
        <is>
          <t>1990</t>
        </is>
      </c>
      <c r="O625" t="inlineStr">
        <is>
          <t>eng</t>
        </is>
      </c>
      <c r="P625" t="inlineStr">
        <is>
          <t>nyu</t>
        </is>
      </c>
      <c r="Q625" t="inlineStr">
        <is>
          <t>Thinking gender</t>
        </is>
      </c>
      <c r="R625" t="inlineStr">
        <is>
          <t xml:space="preserve">HQ </t>
        </is>
      </c>
      <c r="S625" t="n">
        <v>8</v>
      </c>
      <c r="T625" t="n">
        <v>8</v>
      </c>
      <c r="U625" t="inlineStr">
        <is>
          <t>2004-03-28</t>
        </is>
      </c>
      <c r="V625" t="inlineStr">
        <is>
          <t>2004-03-28</t>
        </is>
      </c>
      <c r="W625" t="inlineStr">
        <is>
          <t>1990-04-02</t>
        </is>
      </c>
      <c r="X625" t="inlineStr">
        <is>
          <t>1990-04-02</t>
        </is>
      </c>
      <c r="Y625" t="n">
        <v>1021</v>
      </c>
      <c r="Z625" t="n">
        <v>682</v>
      </c>
      <c r="AA625" t="n">
        <v>721</v>
      </c>
      <c r="AB625" t="n">
        <v>7</v>
      </c>
      <c r="AC625" t="n">
        <v>7</v>
      </c>
      <c r="AD625" t="n">
        <v>43</v>
      </c>
      <c r="AE625" t="n">
        <v>43</v>
      </c>
      <c r="AF625" t="n">
        <v>16</v>
      </c>
      <c r="AG625" t="n">
        <v>16</v>
      </c>
      <c r="AH625" t="n">
        <v>10</v>
      </c>
      <c r="AI625" t="n">
        <v>10</v>
      </c>
      <c r="AJ625" t="n">
        <v>18</v>
      </c>
      <c r="AK625" t="n">
        <v>18</v>
      </c>
      <c r="AL625" t="n">
        <v>6</v>
      </c>
      <c r="AM625" t="n">
        <v>6</v>
      </c>
      <c r="AN625" t="n">
        <v>3</v>
      </c>
      <c r="AO625" t="n">
        <v>3</v>
      </c>
      <c r="AP625" t="inlineStr">
        <is>
          <t>No</t>
        </is>
      </c>
      <c r="AQ625" t="inlineStr">
        <is>
          <t>Yes</t>
        </is>
      </c>
      <c r="AR625">
        <f>HYPERLINK("http://catalog.hathitrust.org/Record/001833976","HathiTrust Record")</f>
        <v/>
      </c>
      <c r="AS625">
        <f>HYPERLINK("https://creighton-primo.hosted.exlibrisgroup.com/primo-explore/search?tab=default_tab&amp;search_scope=EVERYTHING&amp;vid=01CRU&amp;lang=en_US&amp;offset=0&amp;query=any,contains,991001484829702656","Catalog Record")</f>
        <v/>
      </c>
      <c r="AT625">
        <f>HYPERLINK("http://www.worldcat.org/oclc/19630536","WorldCat Record")</f>
        <v/>
      </c>
      <c r="AU625" t="inlineStr">
        <is>
          <t>55205540:eng</t>
        </is>
      </c>
      <c r="AV625" t="inlineStr">
        <is>
          <t>19630536</t>
        </is>
      </c>
      <c r="AW625" t="inlineStr">
        <is>
          <t>991001484829702656</t>
        </is>
      </c>
      <c r="AX625" t="inlineStr">
        <is>
          <t>991001484829702656</t>
        </is>
      </c>
      <c r="AY625" t="inlineStr">
        <is>
          <t>2257691900002656</t>
        </is>
      </c>
      <c r="AZ625" t="inlineStr">
        <is>
          <t>BOOK</t>
        </is>
      </c>
      <c r="BB625" t="inlineStr">
        <is>
          <t>9780415900591</t>
        </is>
      </c>
      <c r="BC625" t="inlineStr">
        <is>
          <t>32285000092691</t>
        </is>
      </c>
      <c r="BD625" t="inlineStr">
        <is>
          <t>893709317</t>
        </is>
      </c>
    </row>
    <row r="626">
      <c r="A626" t="inlineStr">
        <is>
          <t>No</t>
        </is>
      </c>
      <c r="B626" t="inlineStr">
        <is>
          <t>HQ1206 .F72</t>
        </is>
      </c>
      <c r="C626" t="inlineStr">
        <is>
          <t>0                      HQ 1206000F  72</t>
        </is>
      </c>
      <c r="D626" t="inlineStr">
        <is>
          <t>My mother/my self : the daughter's search for identity / Nancy Friday.</t>
        </is>
      </c>
      <c r="F626" t="inlineStr">
        <is>
          <t>No</t>
        </is>
      </c>
      <c r="G626" t="inlineStr">
        <is>
          <t>1</t>
        </is>
      </c>
      <c r="H626" t="inlineStr">
        <is>
          <t>No</t>
        </is>
      </c>
      <c r="I626" t="inlineStr">
        <is>
          <t>No</t>
        </is>
      </c>
      <c r="J626" t="inlineStr">
        <is>
          <t>0</t>
        </is>
      </c>
      <c r="K626" t="inlineStr">
        <is>
          <t>Friday, Nancy.</t>
        </is>
      </c>
      <c r="L626" t="inlineStr">
        <is>
          <t>New York : Delacorte Press, c1977.</t>
        </is>
      </c>
      <c r="M626" t="inlineStr">
        <is>
          <t>1977</t>
        </is>
      </c>
      <c r="O626" t="inlineStr">
        <is>
          <t>eng</t>
        </is>
      </c>
      <c r="P626" t="inlineStr">
        <is>
          <t>nyu</t>
        </is>
      </c>
      <c r="R626" t="inlineStr">
        <is>
          <t xml:space="preserve">HQ </t>
        </is>
      </c>
      <c r="S626" t="n">
        <v>6</v>
      </c>
      <c r="T626" t="n">
        <v>6</v>
      </c>
      <c r="U626" t="inlineStr">
        <is>
          <t>1995-11-14</t>
        </is>
      </c>
      <c r="V626" t="inlineStr">
        <is>
          <t>1995-11-14</t>
        </is>
      </c>
      <c r="W626" t="inlineStr">
        <is>
          <t>1991-09-12</t>
        </is>
      </c>
      <c r="X626" t="inlineStr">
        <is>
          <t>1991-09-12</t>
        </is>
      </c>
      <c r="Y626" t="n">
        <v>1610</v>
      </c>
      <c r="Z626" t="n">
        <v>1543</v>
      </c>
      <c r="AA626" t="n">
        <v>2194</v>
      </c>
      <c r="AB626" t="n">
        <v>16</v>
      </c>
      <c r="AC626" t="n">
        <v>18</v>
      </c>
      <c r="AD626" t="n">
        <v>22</v>
      </c>
      <c r="AE626" t="n">
        <v>34</v>
      </c>
      <c r="AF626" t="n">
        <v>4</v>
      </c>
      <c r="AG626" t="n">
        <v>11</v>
      </c>
      <c r="AH626" t="n">
        <v>6</v>
      </c>
      <c r="AI626" t="n">
        <v>7</v>
      </c>
      <c r="AJ626" t="n">
        <v>10</v>
      </c>
      <c r="AK626" t="n">
        <v>18</v>
      </c>
      <c r="AL626" t="n">
        <v>5</v>
      </c>
      <c r="AM626" t="n">
        <v>5</v>
      </c>
      <c r="AN626" t="n">
        <v>0</v>
      </c>
      <c r="AO626" t="n">
        <v>0</v>
      </c>
      <c r="AP626" t="inlineStr">
        <is>
          <t>No</t>
        </is>
      </c>
      <c r="AQ626" t="inlineStr">
        <is>
          <t>Yes</t>
        </is>
      </c>
      <c r="AR626">
        <f>HYPERLINK("http://catalog.hathitrust.org/Record/004399485","HathiTrust Record")</f>
        <v/>
      </c>
      <c r="AS626">
        <f>HYPERLINK("https://creighton-primo.hosted.exlibrisgroup.com/primo-explore/search?tab=default_tab&amp;search_scope=EVERYTHING&amp;vid=01CRU&amp;lang=en_US&amp;offset=0&amp;query=any,contains,991004319479702656","Catalog Record")</f>
        <v/>
      </c>
      <c r="AT626">
        <f>HYPERLINK("http://www.worldcat.org/oclc/3016731","WorldCat Record")</f>
        <v/>
      </c>
      <c r="AU626" t="inlineStr">
        <is>
          <t>151437439:eng</t>
        </is>
      </c>
      <c r="AV626" t="inlineStr">
        <is>
          <t>3016731</t>
        </is>
      </c>
      <c r="AW626" t="inlineStr">
        <is>
          <t>991004319479702656</t>
        </is>
      </c>
      <c r="AX626" t="inlineStr">
        <is>
          <t>991004319479702656</t>
        </is>
      </c>
      <c r="AY626" t="inlineStr">
        <is>
          <t>2271452880002656</t>
        </is>
      </c>
      <c r="AZ626" t="inlineStr">
        <is>
          <t>BOOK</t>
        </is>
      </c>
      <c r="BB626" t="inlineStr">
        <is>
          <t>9780440060062</t>
        </is>
      </c>
      <c r="BC626" t="inlineStr">
        <is>
          <t>32285000757947</t>
        </is>
      </c>
      <c r="BD626" t="inlineStr">
        <is>
          <t>893506703</t>
        </is>
      </c>
    </row>
    <row r="627">
      <c r="A627" t="inlineStr">
        <is>
          <t>No</t>
        </is>
      </c>
      <c r="B627" t="inlineStr">
        <is>
          <t>HQ1206 .F73</t>
        </is>
      </c>
      <c r="C627" t="inlineStr">
        <is>
          <t>0                      HQ 1206000F  73</t>
        </is>
      </c>
      <c r="D627" t="inlineStr">
        <is>
          <t>Personal and vocational interplay in identity building; a longitudinal study, by Jeannette G. Friend.</t>
        </is>
      </c>
      <c r="F627" t="inlineStr">
        <is>
          <t>No</t>
        </is>
      </c>
      <c r="G627" t="inlineStr">
        <is>
          <t>1</t>
        </is>
      </c>
      <c r="H627" t="inlineStr">
        <is>
          <t>No</t>
        </is>
      </c>
      <c r="I627" t="inlineStr">
        <is>
          <t>No</t>
        </is>
      </c>
      <c r="J627" t="inlineStr">
        <is>
          <t>0</t>
        </is>
      </c>
      <c r="K627" t="inlineStr">
        <is>
          <t>Friend, Jeannette G., 1901-</t>
        </is>
      </c>
      <c r="L627" t="inlineStr">
        <is>
          <t>Boston, Branden Press [1973]</t>
        </is>
      </c>
      <c r="M627" t="inlineStr">
        <is>
          <t>1973</t>
        </is>
      </c>
      <c r="O627" t="inlineStr">
        <is>
          <t>eng</t>
        </is>
      </c>
      <c r="P627" t="inlineStr">
        <is>
          <t>mau</t>
        </is>
      </c>
      <c r="R627" t="inlineStr">
        <is>
          <t xml:space="preserve">HQ </t>
        </is>
      </c>
      <c r="S627" t="n">
        <v>4</v>
      </c>
      <c r="T627" t="n">
        <v>4</v>
      </c>
      <c r="U627" t="inlineStr">
        <is>
          <t>1996-12-04</t>
        </is>
      </c>
      <c r="V627" t="inlineStr">
        <is>
          <t>1996-12-04</t>
        </is>
      </c>
      <c r="W627" t="inlineStr">
        <is>
          <t>1993-04-27</t>
        </is>
      </c>
      <c r="X627" t="inlineStr">
        <is>
          <t>1993-04-27</t>
        </is>
      </c>
      <c r="Y627" t="n">
        <v>414</v>
      </c>
      <c r="Z627" t="n">
        <v>398</v>
      </c>
      <c r="AA627" t="n">
        <v>400</v>
      </c>
      <c r="AB627" t="n">
        <v>5</v>
      </c>
      <c r="AC627" t="n">
        <v>5</v>
      </c>
      <c r="AD627" t="n">
        <v>13</v>
      </c>
      <c r="AE627" t="n">
        <v>13</v>
      </c>
      <c r="AF627" t="n">
        <v>4</v>
      </c>
      <c r="AG627" t="n">
        <v>4</v>
      </c>
      <c r="AH627" t="n">
        <v>2</v>
      </c>
      <c r="AI627" t="n">
        <v>2</v>
      </c>
      <c r="AJ627" t="n">
        <v>5</v>
      </c>
      <c r="AK627" t="n">
        <v>5</v>
      </c>
      <c r="AL627" t="n">
        <v>4</v>
      </c>
      <c r="AM627" t="n">
        <v>4</v>
      </c>
      <c r="AN627" t="n">
        <v>0</v>
      </c>
      <c r="AO627" t="n">
        <v>0</v>
      </c>
      <c r="AP627" t="inlineStr">
        <is>
          <t>No</t>
        </is>
      </c>
      <c r="AQ627" t="inlineStr">
        <is>
          <t>Yes</t>
        </is>
      </c>
      <c r="AR627">
        <f>HYPERLINK("http://catalog.hathitrust.org/Record/001063529","HathiTrust Record")</f>
        <v/>
      </c>
      <c r="AS627">
        <f>HYPERLINK("https://creighton-primo.hosted.exlibrisgroup.com/primo-explore/search?tab=default_tab&amp;search_scope=EVERYTHING&amp;vid=01CRU&amp;lang=en_US&amp;offset=0&amp;query=any,contains,991003238149702656","Catalog Record")</f>
        <v/>
      </c>
      <c r="AT627">
        <f>HYPERLINK("http://www.worldcat.org/oclc/762226","WorldCat Record")</f>
        <v/>
      </c>
      <c r="AU627" t="inlineStr">
        <is>
          <t>312583034:eng</t>
        </is>
      </c>
      <c r="AV627" t="inlineStr">
        <is>
          <t>762226</t>
        </is>
      </c>
      <c r="AW627" t="inlineStr">
        <is>
          <t>991003238149702656</t>
        </is>
      </c>
      <c r="AX627" t="inlineStr">
        <is>
          <t>991003238149702656</t>
        </is>
      </c>
      <c r="AY627" t="inlineStr">
        <is>
          <t>2265238490002656</t>
        </is>
      </c>
      <c r="AZ627" t="inlineStr">
        <is>
          <t>BOOK</t>
        </is>
      </c>
      <c r="BB627" t="inlineStr">
        <is>
          <t>9780828314800</t>
        </is>
      </c>
      <c r="BC627" t="inlineStr">
        <is>
          <t>32285001628311</t>
        </is>
      </c>
      <c r="BD627" t="inlineStr">
        <is>
          <t>893799508</t>
        </is>
      </c>
    </row>
    <row r="628">
      <c r="A628" t="inlineStr">
        <is>
          <t>No</t>
        </is>
      </c>
      <c r="B628" t="inlineStr">
        <is>
          <t>HQ1206 .F745 1987</t>
        </is>
      </c>
      <c r="C628" t="inlineStr">
        <is>
          <t>0                      HQ 1206000F  745         1987</t>
        </is>
      </c>
      <c r="D628" t="inlineStr">
        <is>
          <t>Men who hate women &amp; the women who love them / Susan Forward and Joan Torres.</t>
        </is>
      </c>
      <c r="F628" t="inlineStr">
        <is>
          <t>No</t>
        </is>
      </c>
      <c r="G628" t="inlineStr">
        <is>
          <t>1</t>
        </is>
      </c>
      <c r="H628" t="inlineStr">
        <is>
          <t>No</t>
        </is>
      </c>
      <c r="I628" t="inlineStr">
        <is>
          <t>No</t>
        </is>
      </c>
      <c r="J628" t="inlineStr">
        <is>
          <t>0</t>
        </is>
      </c>
      <c r="K628" t="inlineStr">
        <is>
          <t>Forward, Susan.</t>
        </is>
      </c>
      <c r="L628" t="inlineStr">
        <is>
          <t>Toronto ; New York : Bantam Books, 1987, c1986.</t>
        </is>
      </c>
      <c r="M628" t="inlineStr">
        <is>
          <t>1987</t>
        </is>
      </c>
      <c r="N628" t="inlineStr">
        <is>
          <t>Bantam paperback ed.</t>
        </is>
      </c>
      <c r="O628" t="inlineStr">
        <is>
          <t>eng</t>
        </is>
      </c>
      <c r="P628" t="inlineStr">
        <is>
          <t>onc</t>
        </is>
      </c>
      <c r="R628" t="inlineStr">
        <is>
          <t xml:space="preserve">HQ </t>
        </is>
      </c>
      <c r="S628" t="n">
        <v>18</v>
      </c>
      <c r="T628" t="n">
        <v>18</v>
      </c>
      <c r="U628" t="inlineStr">
        <is>
          <t>1996-10-31</t>
        </is>
      </c>
      <c r="V628" t="inlineStr">
        <is>
          <t>1996-10-31</t>
        </is>
      </c>
      <c r="W628" t="inlineStr">
        <is>
          <t>1994-06-02</t>
        </is>
      </c>
      <c r="X628" t="inlineStr">
        <is>
          <t>1994-06-02</t>
        </is>
      </c>
      <c r="Y628" t="n">
        <v>141</v>
      </c>
      <c r="Z628" t="n">
        <v>126</v>
      </c>
      <c r="AA628" t="n">
        <v>1793</v>
      </c>
      <c r="AB628" t="n">
        <v>3</v>
      </c>
      <c r="AC628" t="n">
        <v>20</v>
      </c>
      <c r="AD628" t="n">
        <v>1</v>
      </c>
      <c r="AE628" t="n">
        <v>18</v>
      </c>
      <c r="AF628" t="n">
        <v>0</v>
      </c>
      <c r="AG628" t="n">
        <v>8</v>
      </c>
      <c r="AH628" t="n">
        <v>0</v>
      </c>
      <c r="AI628" t="n">
        <v>1</v>
      </c>
      <c r="AJ628" t="n">
        <v>0</v>
      </c>
      <c r="AK628" t="n">
        <v>6</v>
      </c>
      <c r="AL628" t="n">
        <v>1</v>
      </c>
      <c r="AM628" t="n">
        <v>5</v>
      </c>
      <c r="AN628" t="n">
        <v>0</v>
      </c>
      <c r="AO628" t="n">
        <v>1</v>
      </c>
      <c r="AP628" t="inlineStr">
        <is>
          <t>No</t>
        </is>
      </c>
      <c r="AQ628" t="inlineStr">
        <is>
          <t>No</t>
        </is>
      </c>
      <c r="AS628">
        <f>HYPERLINK("https://creighton-primo.hosted.exlibrisgroup.com/primo-explore/search?tab=default_tab&amp;search_scope=EVERYTHING&amp;vid=01CRU&amp;lang=en_US&amp;offset=0&amp;query=any,contains,991001072779702656","Catalog Record")</f>
        <v/>
      </c>
      <c r="AT628">
        <f>HYPERLINK("http://www.worldcat.org/oclc/15998704","WorldCat Record")</f>
        <v/>
      </c>
      <c r="AU628" t="inlineStr">
        <is>
          <t>4757674963:eng</t>
        </is>
      </c>
      <c r="AV628" t="inlineStr">
        <is>
          <t>15998704</t>
        </is>
      </c>
      <c r="AW628" t="inlineStr">
        <is>
          <t>991001072779702656</t>
        </is>
      </c>
      <c r="AX628" t="inlineStr">
        <is>
          <t>991001072779702656</t>
        </is>
      </c>
      <c r="AY628" t="inlineStr">
        <is>
          <t>2256091320002656</t>
        </is>
      </c>
      <c r="AZ628" t="inlineStr">
        <is>
          <t>BOOK</t>
        </is>
      </c>
      <c r="BB628" t="inlineStr">
        <is>
          <t>9780553265071</t>
        </is>
      </c>
      <c r="BC628" t="inlineStr">
        <is>
          <t>32285001915544</t>
        </is>
      </c>
      <c r="BD628" t="inlineStr">
        <is>
          <t>893684002</t>
        </is>
      </c>
    </row>
    <row r="629">
      <c r="A629" t="inlineStr">
        <is>
          <t>No</t>
        </is>
      </c>
      <c r="B629" t="inlineStr">
        <is>
          <t>HQ1206 .G6 2001</t>
        </is>
      </c>
      <c r="C629" t="inlineStr">
        <is>
          <t>0                      HQ 1206000G  6           2001</t>
        </is>
      </c>
      <c r="D629" t="inlineStr">
        <is>
          <t>The man-made world / Charlotte Perkins Gilman ; with an introduction by Mary A. Hill.</t>
        </is>
      </c>
      <c r="F629" t="inlineStr">
        <is>
          <t>No</t>
        </is>
      </c>
      <c r="G629" t="inlineStr">
        <is>
          <t>1</t>
        </is>
      </c>
      <c r="H629" t="inlineStr">
        <is>
          <t>No</t>
        </is>
      </c>
      <c r="I629" t="inlineStr">
        <is>
          <t>No</t>
        </is>
      </c>
      <c r="J629" t="inlineStr">
        <is>
          <t>0</t>
        </is>
      </c>
      <c r="K629" t="inlineStr">
        <is>
          <t>Gilman, Charlotte Perkins, 1860-1935.</t>
        </is>
      </c>
      <c r="L629" t="inlineStr">
        <is>
          <t>Amherst, N.Y. : Humanity Books, 2001.</t>
        </is>
      </c>
      <c r="M629" t="inlineStr">
        <is>
          <t>2001</t>
        </is>
      </c>
      <c r="O629" t="inlineStr">
        <is>
          <t>eng</t>
        </is>
      </c>
      <c r="P629" t="inlineStr">
        <is>
          <t>nyu</t>
        </is>
      </c>
      <c r="Q629" t="inlineStr">
        <is>
          <t>Classics in women's studies</t>
        </is>
      </c>
      <c r="R629" t="inlineStr">
        <is>
          <t xml:space="preserve">HQ </t>
        </is>
      </c>
      <c r="S629" t="n">
        <v>2</v>
      </c>
      <c r="T629" t="n">
        <v>2</v>
      </c>
      <c r="U629" t="inlineStr">
        <is>
          <t>2008-11-17</t>
        </is>
      </c>
      <c r="V629" t="inlineStr">
        <is>
          <t>2008-11-17</t>
        </is>
      </c>
      <c r="W629" t="inlineStr">
        <is>
          <t>2004-11-22</t>
        </is>
      </c>
      <c r="X629" t="inlineStr">
        <is>
          <t>2004-11-22</t>
        </is>
      </c>
      <c r="Y629" t="n">
        <v>181</v>
      </c>
      <c r="Z629" t="n">
        <v>161</v>
      </c>
      <c r="AA629" t="n">
        <v>165</v>
      </c>
      <c r="AB629" t="n">
        <v>2</v>
      </c>
      <c r="AC629" t="n">
        <v>2</v>
      </c>
      <c r="AD629" t="n">
        <v>6</v>
      </c>
      <c r="AE629" t="n">
        <v>6</v>
      </c>
      <c r="AF629" t="n">
        <v>3</v>
      </c>
      <c r="AG629" t="n">
        <v>3</v>
      </c>
      <c r="AH629" t="n">
        <v>2</v>
      </c>
      <c r="AI629" t="n">
        <v>2</v>
      </c>
      <c r="AJ629" t="n">
        <v>1</v>
      </c>
      <c r="AK629" t="n">
        <v>1</v>
      </c>
      <c r="AL629" t="n">
        <v>1</v>
      </c>
      <c r="AM629" t="n">
        <v>1</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HYPERLINK("https://creighton-primo.hosted.exlibrisgroup.com/primo-explore/search?tab=default_tab&amp;search_scope=EVERYTHING&amp;vid=01CRU&amp;lang=en_US&amp;offset=0&amp;query=any,contains,991004410519702656","Catalog Record")</f>
        <v/>
      </c>
      <c r="AT629">
        <f>HYPERLINK("http://www.worldcat.org/oclc/47717909","WorldCat Record")</f>
        <v/>
      </c>
      <c r="AU629" t="inlineStr">
        <is>
          <t>3856104936:eng</t>
        </is>
      </c>
      <c r="AV629" t="inlineStr">
        <is>
          <t>47717909</t>
        </is>
      </c>
      <c r="AW629" t="inlineStr">
        <is>
          <t>991004410519702656</t>
        </is>
      </c>
      <c r="AX629" t="inlineStr">
        <is>
          <t>991004410519702656</t>
        </is>
      </c>
      <c r="AY629" t="inlineStr">
        <is>
          <t>2271057480002656</t>
        </is>
      </c>
      <c r="AZ629" t="inlineStr">
        <is>
          <t>BOOK</t>
        </is>
      </c>
      <c r="BB629" t="inlineStr">
        <is>
          <t>9781573929592</t>
        </is>
      </c>
      <c r="BC629" t="inlineStr">
        <is>
          <t>32285005012512</t>
        </is>
      </c>
      <c r="BD629" t="inlineStr">
        <is>
          <t>893718867</t>
        </is>
      </c>
    </row>
    <row r="630">
      <c r="A630" t="inlineStr">
        <is>
          <t>No</t>
        </is>
      </c>
      <c r="B630" t="inlineStr">
        <is>
          <t>HQ1206 .G73 1987</t>
        </is>
      </c>
      <c r="C630" t="inlineStr">
        <is>
          <t>0                      HQ 1206000G  73          1987</t>
        </is>
      </c>
      <c r="D630" t="inlineStr">
        <is>
          <t>Speaking of friendship : middle-class women and their friends / Helen Gouldner and Mary Symons Strong.</t>
        </is>
      </c>
      <c r="F630" t="inlineStr">
        <is>
          <t>No</t>
        </is>
      </c>
      <c r="G630" t="inlineStr">
        <is>
          <t>1</t>
        </is>
      </c>
      <c r="H630" t="inlineStr">
        <is>
          <t>No</t>
        </is>
      </c>
      <c r="I630" t="inlineStr">
        <is>
          <t>No</t>
        </is>
      </c>
      <c r="J630" t="inlineStr">
        <is>
          <t>0</t>
        </is>
      </c>
      <c r="K630" t="inlineStr">
        <is>
          <t>Gouldner, Helen.</t>
        </is>
      </c>
      <c r="L630" t="inlineStr">
        <is>
          <t>New York : Greenwood Press, 1987.</t>
        </is>
      </c>
      <c r="M630" t="inlineStr">
        <is>
          <t>1987</t>
        </is>
      </c>
      <c r="O630" t="inlineStr">
        <is>
          <t>eng</t>
        </is>
      </c>
      <c r="P630" t="inlineStr">
        <is>
          <t>nyu</t>
        </is>
      </c>
      <c r="Q630" t="inlineStr">
        <is>
          <t>Contributions in women's studies, 0147-104X ; no. 80</t>
        </is>
      </c>
      <c r="R630" t="inlineStr">
        <is>
          <t xml:space="preserve">HQ </t>
        </is>
      </c>
      <c r="S630" t="n">
        <v>5</v>
      </c>
      <c r="T630" t="n">
        <v>5</v>
      </c>
      <c r="U630" t="inlineStr">
        <is>
          <t>1997-07-24</t>
        </is>
      </c>
      <c r="V630" t="inlineStr">
        <is>
          <t>1997-07-24</t>
        </is>
      </c>
      <c r="W630" t="inlineStr">
        <is>
          <t>1993-04-27</t>
        </is>
      </c>
      <c r="X630" t="inlineStr">
        <is>
          <t>1993-04-27</t>
        </is>
      </c>
      <c r="Y630" t="n">
        <v>378</v>
      </c>
      <c r="Z630" t="n">
        <v>317</v>
      </c>
      <c r="AA630" t="n">
        <v>336</v>
      </c>
      <c r="AB630" t="n">
        <v>4</v>
      </c>
      <c r="AC630" t="n">
        <v>4</v>
      </c>
      <c r="AD630" t="n">
        <v>15</v>
      </c>
      <c r="AE630" t="n">
        <v>15</v>
      </c>
      <c r="AF630" t="n">
        <v>3</v>
      </c>
      <c r="AG630" t="n">
        <v>3</v>
      </c>
      <c r="AH630" t="n">
        <v>4</v>
      </c>
      <c r="AI630" t="n">
        <v>4</v>
      </c>
      <c r="AJ630" t="n">
        <v>7</v>
      </c>
      <c r="AK630" t="n">
        <v>7</v>
      </c>
      <c r="AL630" t="n">
        <v>3</v>
      </c>
      <c r="AM630" t="n">
        <v>3</v>
      </c>
      <c r="AN630" t="n">
        <v>1</v>
      </c>
      <c r="AO630" t="n">
        <v>1</v>
      </c>
      <c r="AP630" t="inlineStr">
        <is>
          <t>No</t>
        </is>
      </c>
      <c r="AQ630" t="inlineStr">
        <is>
          <t>Yes</t>
        </is>
      </c>
      <c r="AR630">
        <f>HYPERLINK("http://catalog.hathitrust.org/Record/000834045","HathiTrust Record")</f>
        <v/>
      </c>
      <c r="AS630">
        <f>HYPERLINK("https://creighton-primo.hosted.exlibrisgroup.com/primo-explore/search?tab=default_tab&amp;search_scope=EVERYTHING&amp;vid=01CRU&amp;lang=en_US&amp;offset=0&amp;query=any,contains,991000956169702656","Catalog Record")</f>
        <v/>
      </c>
      <c r="AT630">
        <f>HYPERLINK("http://www.worldcat.org/oclc/14718926","WorldCat Record")</f>
        <v/>
      </c>
      <c r="AU630" t="inlineStr">
        <is>
          <t>836691310:eng</t>
        </is>
      </c>
      <c r="AV630" t="inlineStr">
        <is>
          <t>14718926</t>
        </is>
      </c>
      <c r="AW630" t="inlineStr">
        <is>
          <t>991000956169702656</t>
        </is>
      </c>
      <c r="AX630" t="inlineStr">
        <is>
          <t>991000956169702656</t>
        </is>
      </c>
      <c r="AY630" t="inlineStr">
        <is>
          <t>2255397600002656</t>
        </is>
      </c>
      <c r="AZ630" t="inlineStr">
        <is>
          <t>BOOK</t>
        </is>
      </c>
      <c r="BB630" t="inlineStr">
        <is>
          <t>9780313250682</t>
        </is>
      </c>
      <c r="BC630" t="inlineStr">
        <is>
          <t>32285001628329</t>
        </is>
      </c>
      <c r="BD630" t="inlineStr">
        <is>
          <t>893683895</t>
        </is>
      </c>
    </row>
    <row r="631">
      <c r="A631" t="inlineStr">
        <is>
          <t>No</t>
        </is>
      </c>
      <c r="B631" t="inlineStr">
        <is>
          <t>HQ1206 .G87 1991</t>
        </is>
      </c>
      <c r="C631" t="inlineStr">
        <is>
          <t>0                      HQ 1206000G  87          1991</t>
        </is>
      </c>
      <c r="D631" t="inlineStr">
        <is>
          <t>Female life careers : a pattern approach / Sigrid B. Gustafson, David Magnusson.</t>
        </is>
      </c>
      <c r="F631" t="inlineStr">
        <is>
          <t>No</t>
        </is>
      </c>
      <c r="G631" t="inlineStr">
        <is>
          <t>1</t>
        </is>
      </c>
      <c r="H631" t="inlineStr">
        <is>
          <t>No</t>
        </is>
      </c>
      <c r="I631" t="inlineStr">
        <is>
          <t>No</t>
        </is>
      </c>
      <c r="J631" t="inlineStr">
        <is>
          <t>0</t>
        </is>
      </c>
      <c r="K631" t="inlineStr">
        <is>
          <t>Gustafson, Sigrid B.</t>
        </is>
      </c>
      <c r="L631" t="inlineStr">
        <is>
          <t>Hillsdale, N.J. : L. Erlbaum, c1991.</t>
        </is>
      </c>
      <c r="M631" t="inlineStr">
        <is>
          <t>1991</t>
        </is>
      </c>
      <c r="O631" t="inlineStr">
        <is>
          <t>eng</t>
        </is>
      </c>
      <c r="P631" t="inlineStr">
        <is>
          <t>nju</t>
        </is>
      </c>
      <c r="Q631" t="inlineStr">
        <is>
          <t>Paths through life ; v. 3</t>
        </is>
      </c>
      <c r="R631" t="inlineStr">
        <is>
          <t xml:space="preserve">HQ </t>
        </is>
      </c>
      <c r="S631" t="n">
        <v>5</v>
      </c>
      <c r="T631" t="n">
        <v>5</v>
      </c>
      <c r="U631" t="inlineStr">
        <is>
          <t>1994-12-12</t>
        </is>
      </c>
      <c r="V631" t="inlineStr">
        <is>
          <t>1994-12-12</t>
        </is>
      </c>
      <c r="W631" t="inlineStr">
        <is>
          <t>1991-08-19</t>
        </is>
      </c>
      <c r="X631" t="inlineStr">
        <is>
          <t>1991-08-19</t>
        </is>
      </c>
      <c r="Y631" t="n">
        <v>318</v>
      </c>
      <c r="Z631" t="n">
        <v>258</v>
      </c>
      <c r="AA631" t="n">
        <v>263</v>
      </c>
      <c r="AB631" t="n">
        <v>2</v>
      </c>
      <c r="AC631" t="n">
        <v>2</v>
      </c>
      <c r="AD631" t="n">
        <v>14</v>
      </c>
      <c r="AE631" t="n">
        <v>14</v>
      </c>
      <c r="AF631" t="n">
        <v>6</v>
      </c>
      <c r="AG631" t="n">
        <v>6</v>
      </c>
      <c r="AH631" t="n">
        <v>3</v>
      </c>
      <c r="AI631" t="n">
        <v>3</v>
      </c>
      <c r="AJ631" t="n">
        <v>9</v>
      </c>
      <c r="AK631" t="n">
        <v>9</v>
      </c>
      <c r="AL631" t="n">
        <v>1</v>
      </c>
      <c r="AM631" t="n">
        <v>1</v>
      </c>
      <c r="AN631" t="n">
        <v>0</v>
      </c>
      <c r="AO631" t="n">
        <v>0</v>
      </c>
      <c r="AP631" t="inlineStr">
        <is>
          <t>No</t>
        </is>
      </c>
      <c r="AQ631" t="inlineStr">
        <is>
          <t>Yes</t>
        </is>
      </c>
      <c r="AR631">
        <f>HYPERLINK("http://catalog.hathitrust.org/Record/002497283","HathiTrust Record")</f>
        <v/>
      </c>
      <c r="AS631">
        <f>HYPERLINK("https://creighton-primo.hosted.exlibrisgroup.com/primo-explore/search?tab=default_tab&amp;search_scope=EVERYTHING&amp;vid=01CRU&amp;lang=en_US&amp;offset=0&amp;query=any,contains,991001767049702656","Catalog Record")</f>
        <v/>
      </c>
      <c r="AT631">
        <f>HYPERLINK("http://www.worldcat.org/oclc/22311113","WorldCat Record")</f>
        <v/>
      </c>
      <c r="AU631" t="inlineStr">
        <is>
          <t>369422435:eng</t>
        </is>
      </c>
      <c r="AV631" t="inlineStr">
        <is>
          <t>22311113</t>
        </is>
      </c>
      <c r="AW631" t="inlineStr">
        <is>
          <t>991001767049702656</t>
        </is>
      </c>
      <c r="AX631" t="inlineStr">
        <is>
          <t>991001767049702656</t>
        </is>
      </c>
      <c r="AY631" t="inlineStr">
        <is>
          <t>2264472080002656</t>
        </is>
      </c>
      <c r="AZ631" t="inlineStr">
        <is>
          <t>BOOK</t>
        </is>
      </c>
      <c r="BB631" t="inlineStr">
        <is>
          <t>9780805809480</t>
        </is>
      </c>
      <c r="BC631" t="inlineStr">
        <is>
          <t>32285000701010</t>
        </is>
      </c>
      <c r="BD631" t="inlineStr">
        <is>
          <t>893346760</t>
        </is>
      </c>
    </row>
    <row r="632">
      <c r="A632" t="inlineStr">
        <is>
          <t>No</t>
        </is>
      </c>
      <c r="B632" t="inlineStr">
        <is>
          <t>HQ1206 .H2325 1999</t>
        </is>
      </c>
      <c r="C632" t="inlineStr">
        <is>
          <t>0                      HQ 1206000H  2325        1999</t>
        </is>
      </c>
      <c r="D632" t="inlineStr">
        <is>
          <t>Just like a woman : how gender science is redefining what makes us female / Dianne Hales.</t>
        </is>
      </c>
      <c r="F632" t="inlineStr">
        <is>
          <t>No</t>
        </is>
      </c>
      <c r="G632" t="inlineStr">
        <is>
          <t>1</t>
        </is>
      </c>
      <c r="H632" t="inlineStr">
        <is>
          <t>No</t>
        </is>
      </c>
      <c r="I632" t="inlineStr">
        <is>
          <t>No</t>
        </is>
      </c>
      <c r="J632" t="inlineStr">
        <is>
          <t>0</t>
        </is>
      </c>
      <c r="K632" t="inlineStr">
        <is>
          <t>Hales, Dianne, 1950-</t>
        </is>
      </c>
      <c r="L632" t="inlineStr">
        <is>
          <t>New York : Bantam Books, 1999.</t>
        </is>
      </c>
      <c r="M632" t="inlineStr">
        <is>
          <t>1999</t>
        </is>
      </c>
      <c r="O632" t="inlineStr">
        <is>
          <t>eng</t>
        </is>
      </c>
      <c r="P632" t="inlineStr">
        <is>
          <t>nyu</t>
        </is>
      </c>
      <c r="R632" t="inlineStr">
        <is>
          <t xml:space="preserve">HQ </t>
        </is>
      </c>
      <c r="S632" t="n">
        <v>4</v>
      </c>
      <c r="T632" t="n">
        <v>4</v>
      </c>
      <c r="U632" t="inlineStr">
        <is>
          <t>1999-11-01</t>
        </is>
      </c>
      <c r="V632" t="inlineStr">
        <is>
          <t>1999-11-01</t>
        </is>
      </c>
      <c r="W632" t="inlineStr">
        <is>
          <t>1999-04-12</t>
        </is>
      </c>
      <c r="X632" t="inlineStr">
        <is>
          <t>1999-04-12</t>
        </is>
      </c>
      <c r="Y632" t="n">
        <v>811</v>
      </c>
      <c r="Z632" t="n">
        <v>752</v>
      </c>
      <c r="AA632" t="n">
        <v>917</v>
      </c>
      <c r="AB632" t="n">
        <v>6</v>
      </c>
      <c r="AC632" t="n">
        <v>7</v>
      </c>
      <c r="AD632" t="n">
        <v>24</v>
      </c>
      <c r="AE632" t="n">
        <v>27</v>
      </c>
      <c r="AF632" t="n">
        <v>7</v>
      </c>
      <c r="AG632" t="n">
        <v>8</v>
      </c>
      <c r="AH632" t="n">
        <v>6</v>
      </c>
      <c r="AI632" t="n">
        <v>7</v>
      </c>
      <c r="AJ632" t="n">
        <v>13</v>
      </c>
      <c r="AK632" t="n">
        <v>16</v>
      </c>
      <c r="AL632" t="n">
        <v>5</v>
      </c>
      <c r="AM632" t="n">
        <v>5</v>
      </c>
      <c r="AN632" t="n">
        <v>0</v>
      </c>
      <c r="AO632" t="n">
        <v>0</v>
      </c>
      <c r="AP632" t="inlineStr">
        <is>
          <t>No</t>
        </is>
      </c>
      <c r="AQ632" t="inlineStr">
        <is>
          <t>Yes</t>
        </is>
      </c>
      <c r="AR632">
        <f>HYPERLINK("http://catalog.hathitrust.org/Record/003339588","HathiTrust Record")</f>
        <v/>
      </c>
      <c r="AS632">
        <f>HYPERLINK("https://creighton-primo.hosted.exlibrisgroup.com/primo-explore/search?tab=default_tab&amp;search_scope=EVERYTHING&amp;vid=01CRU&amp;lang=en_US&amp;offset=0&amp;query=any,contains,991002966659702656","Catalog Record")</f>
        <v/>
      </c>
      <c r="AT632">
        <f>HYPERLINK("http://www.worldcat.org/oclc/39695992","WorldCat Record")</f>
        <v/>
      </c>
      <c r="AU632" t="inlineStr">
        <is>
          <t>26958375:eng</t>
        </is>
      </c>
      <c r="AV632" t="inlineStr">
        <is>
          <t>39695992</t>
        </is>
      </c>
      <c r="AW632" t="inlineStr">
        <is>
          <t>991002966659702656</t>
        </is>
      </c>
      <c r="AX632" t="inlineStr">
        <is>
          <t>991002966659702656</t>
        </is>
      </c>
      <c r="AY632" t="inlineStr">
        <is>
          <t>2264756770002656</t>
        </is>
      </c>
      <c r="AZ632" t="inlineStr">
        <is>
          <t>BOOK</t>
        </is>
      </c>
      <c r="BB632" t="inlineStr">
        <is>
          <t>9780553102284</t>
        </is>
      </c>
      <c r="BC632" t="inlineStr">
        <is>
          <t>32285003551362</t>
        </is>
      </c>
      <c r="BD632" t="inlineStr">
        <is>
          <t>893245877</t>
        </is>
      </c>
    </row>
    <row r="633">
      <c r="A633" t="inlineStr">
        <is>
          <t>No</t>
        </is>
      </c>
      <c r="B633" t="inlineStr">
        <is>
          <t>HQ1206 .H234 1990</t>
        </is>
      </c>
      <c r="C633" t="inlineStr">
        <is>
          <t>0                      HQ 1206000H  234         1990</t>
        </is>
      </c>
      <c r="D633" t="inlineStr">
        <is>
          <t>Women and identity : value choices in a changing world / C. Margaret Hall.</t>
        </is>
      </c>
      <c r="F633" t="inlineStr">
        <is>
          <t>No</t>
        </is>
      </c>
      <c r="G633" t="inlineStr">
        <is>
          <t>1</t>
        </is>
      </c>
      <c r="H633" t="inlineStr">
        <is>
          <t>No</t>
        </is>
      </c>
      <c r="I633" t="inlineStr">
        <is>
          <t>No</t>
        </is>
      </c>
      <c r="J633" t="inlineStr">
        <is>
          <t>0</t>
        </is>
      </c>
      <c r="K633" t="inlineStr">
        <is>
          <t>Hall, C. Margaret (Constance Margaret)</t>
        </is>
      </c>
      <c r="L633" t="inlineStr">
        <is>
          <t>New York : Hemisphere Pub., c1990.</t>
        </is>
      </c>
      <c r="M633" t="inlineStr">
        <is>
          <t>1990</t>
        </is>
      </c>
      <c r="O633" t="inlineStr">
        <is>
          <t>eng</t>
        </is>
      </c>
      <c r="P633" t="inlineStr">
        <is>
          <t>nyu</t>
        </is>
      </c>
      <c r="R633" t="inlineStr">
        <is>
          <t xml:space="preserve">HQ </t>
        </is>
      </c>
      <c r="S633" t="n">
        <v>14</v>
      </c>
      <c r="T633" t="n">
        <v>14</v>
      </c>
      <c r="U633" t="inlineStr">
        <is>
          <t>2003-04-02</t>
        </is>
      </c>
      <c r="V633" t="inlineStr">
        <is>
          <t>2003-04-02</t>
        </is>
      </c>
      <c r="W633" t="inlineStr">
        <is>
          <t>1989-11-16</t>
        </is>
      </c>
      <c r="X633" t="inlineStr">
        <is>
          <t>1989-11-16</t>
        </is>
      </c>
      <c r="Y633" t="n">
        <v>383</v>
      </c>
      <c r="Z633" t="n">
        <v>291</v>
      </c>
      <c r="AA633" t="n">
        <v>296</v>
      </c>
      <c r="AB633" t="n">
        <v>5</v>
      </c>
      <c r="AC633" t="n">
        <v>5</v>
      </c>
      <c r="AD633" t="n">
        <v>17</v>
      </c>
      <c r="AE633" t="n">
        <v>17</v>
      </c>
      <c r="AF633" t="n">
        <v>3</v>
      </c>
      <c r="AG633" t="n">
        <v>3</v>
      </c>
      <c r="AH633" t="n">
        <v>6</v>
      </c>
      <c r="AI633" t="n">
        <v>6</v>
      </c>
      <c r="AJ633" t="n">
        <v>8</v>
      </c>
      <c r="AK633" t="n">
        <v>8</v>
      </c>
      <c r="AL633" t="n">
        <v>4</v>
      </c>
      <c r="AM633" t="n">
        <v>4</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HYPERLINK("https://creighton-primo.hosted.exlibrisgroup.com/primo-explore/search?tab=default_tab&amp;search_scope=EVERYTHING&amp;vid=01CRU&amp;lang=en_US&amp;offset=0&amp;query=any,contains,991001480679702656","Catalog Record")</f>
        <v/>
      </c>
      <c r="AT633">
        <f>HYPERLINK("http://www.worldcat.org/oclc/19624849","WorldCat Record")</f>
        <v/>
      </c>
      <c r="AU633" t="inlineStr">
        <is>
          <t>836894634:eng</t>
        </is>
      </c>
      <c r="AV633" t="inlineStr">
        <is>
          <t>19624849</t>
        </is>
      </c>
      <c r="AW633" t="inlineStr">
        <is>
          <t>991001480679702656</t>
        </is>
      </c>
      <c r="AX633" t="inlineStr">
        <is>
          <t>991001480679702656</t>
        </is>
      </c>
      <c r="AY633" t="inlineStr">
        <is>
          <t>2263548990002656</t>
        </is>
      </c>
      <c r="AZ633" t="inlineStr">
        <is>
          <t>BOOK</t>
        </is>
      </c>
      <c r="BB633" t="inlineStr">
        <is>
          <t>9780891167853</t>
        </is>
      </c>
      <c r="BC633" t="inlineStr">
        <is>
          <t>32285000013119</t>
        </is>
      </c>
      <c r="BD633" t="inlineStr">
        <is>
          <t>893250268</t>
        </is>
      </c>
    </row>
    <row r="634">
      <c r="A634" t="inlineStr">
        <is>
          <t>No</t>
        </is>
      </c>
      <c r="B634" t="inlineStr">
        <is>
          <t>HQ1206 .H235 1980</t>
        </is>
      </c>
      <c r="C634" t="inlineStr">
        <is>
          <t>0                      HQ 1206000H  235         1980</t>
        </is>
      </c>
      <c r="D634" t="inlineStr">
        <is>
          <t>The Moon and the virgin : reflections on the archetypal feminine / Nor Hall.</t>
        </is>
      </c>
      <c r="F634" t="inlineStr">
        <is>
          <t>No</t>
        </is>
      </c>
      <c r="G634" t="inlineStr">
        <is>
          <t>1</t>
        </is>
      </c>
      <c r="H634" t="inlineStr">
        <is>
          <t>No</t>
        </is>
      </c>
      <c r="I634" t="inlineStr">
        <is>
          <t>No</t>
        </is>
      </c>
      <c r="J634" t="inlineStr">
        <is>
          <t>0</t>
        </is>
      </c>
      <c r="K634" t="inlineStr">
        <is>
          <t>Hall, Nor.</t>
        </is>
      </c>
      <c r="L634" t="inlineStr">
        <is>
          <t>New York : Harper &amp; Row, c1980.</t>
        </is>
      </c>
      <c r="M634" t="inlineStr">
        <is>
          <t>1980</t>
        </is>
      </c>
      <c r="N634" t="inlineStr">
        <is>
          <t>1st ed.</t>
        </is>
      </c>
      <c r="O634" t="inlineStr">
        <is>
          <t>eng</t>
        </is>
      </c>
      <c r="P634" t="inlineStr">
        <is>
          <t>nyu</t>
        </is>
      </c>
      <c r="R634" t="inlineStr">
        <is>
          <t xml:space="preserve">HQ </t>
        </is>
      </c>
      <c r="S634" t="n">
        <v>4</v>
      </c>
      <c r="T634" t="n">
        <v>4</v>
      </c>
      <c r="U634" t="inlineStr">
        <is>
          <t>2003-04-03</t>
        </is>
      </c>
      <c r="V634" t="inlineStr">
        <is>
          <t>2003-04-03</t>
        </is>
      </c>
      <c r="W634" t="inlineStr">
        <is>
          <t>1991-09-03</t>
        </is>
      </c>
      <c r="X634" t="inlineStr">
        <is>
          <t>1991-09-03</t>
        </is>
      </c>
      <c r="Y634" t="n">
        <v>686</v>
      </c>
      <c r="Z634" t="n">
        <v>636</v>
      </c>
      <c r="AA634" t="n">
        <v>668</v>
      </c>
      <c r="AB634" t="n">
        <v>8</v>
      </c>
      <c r="AC634" t="n">
        <v>8</v>
      </c>
      <c r="AD634" t="n">
        <v>31</v>
      </c>
      <c r="AE634" t="n">
        <v>31</v>
      </c>
      <c r="AF634" t="n">
        <v>12</v>
      </c>
      <c r="AG634" t="n">
        <v>12</v>
      </c>
      <c r="AH634" t="n">
        <v>5</v>
      </c>
      <c r="AI634" t="n">
        <v>5</v>
      </c>
      <c r="AJ634" t="n">
        <v>14</v>
      </c>
      <c r="AK634" t="n">
        <v>14</v>
      </c>
      <c r="AL634" t="n">
        <v>7</v>
      </c>
      <c r="AM634" t="n">
        <v>7</v>
      </c>
      <c r="AN634" t="n">
        <v>0</v>
      </c>
      <c r="AO634" t="n">
        <v>0</v>
      </c>
      <c r="AP634" t="inlineStr">
        <is>
          <t>No</t>
        </is>
      </c>
      <c r="AQ634" t="inlineStr">
        <is>
          <t>Yes</t>
        </is>
      </c>
      <c r="AR634">
        <f>HYPERLINK("http://catalog.hathitrust.org/Record/000128443","HathiTrust Record")</f>
        <v/>
      </c>
      <c r="AS634">
        <f>HYPERLINK("https://creighton-primo.hosted.exlibrisgroup.com/primo-explore/search?tab=default_tab&amp;search_scope=EVERYTHING&amp;vid=01CRU&amp;lang=en_US&amp;offset=0&amp;query=any,contains,991004903169702656","Catalog Record")</f>
        <v/>
      </c>
      <c r="AT634">
        <f>HYPERLINK("http://www.worldcat.org/oclc/5942429","WorldCat Record")</f>
        <v/>
      </c>
      <c r="AU634" t="inlineStr">
        <is>
          <t>12787075:eng</t>
        </is>
      </c>
      <c r="AV634" t="inlineStr">
        <is>
          <t>5942429</t>
        </is>
      </c>
      <c r="AW634" t="inlineStr">
        <is>
          <t>991004903169702656</t>
        </is>
      </c>
      <c r="AX634" t="inlineStr">
        <is>
          <t>991004903169702656</t>
        </is>
      </c>
      <c r="AY634" t="inlineStr">
        <is>
          <t>2270612280002656</t>
        </is>
      </c>
      <c r="AZ634" t="inlineStr">
        <is>
          <t>BOOK</t>
        </is>
      </c>
      <c r="BB634" t="inlineStr">
        <is>
          <t>9780060117030</t>
        </is>
      </c>
      <c r="BC634" t="inlineStr">
        <is>
          <t>32285000734441</t>
        </is>
      </c>
      <c r="BD634" t="inlineStr">
        <is>
          <t>893883090</t>
        </is>
      </c>
    </row>
    <row r="635">
      <c r="A635" t="inlineStr">
        <is>
          <t>No</t>
        </is>
      </c>
      <c r="B635" t="inlineStr">
        <is>
          <t>HQ1206 .H2385 2001</t>
        </is>
      </c>
      <c r="C635" t="inlineStr">
        <is>
          <t>0                      HQ 1206000H  2385        2001</t>
        </is>
      </c>
      <c r="D635" t="inlineStr">
        <is>
          <t>Handbook of the psychology of women and gender/ edited by Rhoda K. Unger.</t>
        </is>
      </c>
      <c r="F635" t="inlineStr">
        <is>
          <t>No</t>
        </is>
      </c>
      <c r="G635" t="inlineStr">
        <is>
          <t>1</t>
        </is>
      </c>
      <c r="H635" t="inlineStr">
        <is>
          <t>No</t>
        </is>
      </c>
      <c r="I635" t="inlineStr">
        <is>
          <t>No</t>
        </is>
      </c>
      <c r="J635" t="inlineStr">
        <is>
          <t>0</t>
        </is>
      </c>
      <c r="L635" t="inlineStr">
        <is>
          <t>New York : Wiley, c2001.</t>
        </is>
      </c>
      <c r="M635" t="inlineStr">
        <is>
          <t>2001</t>
        </is>
      </c>
      <c r="O635" t="inlineStr">
        <is>
          <t>eng</t>
        </is>
      </c>
      <c r="P635" t="inlineStr">
        <is>
          <t>nyu</t>
        </is>
      </c>
      <c r="R635" t="inlineStr">
        <is>
          <t xml:space="preserve">HQ </t>
        </is>
      </c>
      <c r="S635" t="n">
        <v>4</v>
      </c>
      <c r="T635" t="n">
        <v>4</v>
      </c>
      <c r="U635" t="inlineStr">
        <is>
          <t>2007-09-21</t>
        </is>
      </c>
      <c r="V635" t="inlineStr">
        <is>
          <t>2007-09-21</t>
        </is>
      </c>
      <c r="W635" t="inlineStr">
        <is>
          <t>2002-07-30</t>
        </is>
      </c>
      <c r="X635" t="inlineStr">
        <is>
          <t>2002-07-30</t>
        </is>
      </c>
      <c r="Y635" t="n">
        <v>827</v>
      </c>
      <c r="Z635" t="n">
        <v>661</v>
      </c>
      <c r="AA635" t="n">
        <v>1330</v>
      </c>
      <c r="AB635" t="n">
        <v>6</v>
      </c>
      <c r="AC635" t="n">
        <v>7</v>
      </c>
      <c r="AD635" t="n">
        <v>39</v>
      </c>
      <c r="AE635" t="n">
        <v>48</v>
      </c>
      <c r="AF635" t="n">
        <v>18</v>
      </c>
      <c r="AG635" t="n">
        <v>23</v>
      </c>
      <c r="AH635" t="n">
        <v>9</v>
      </c>
      <c r="AI635" t="n">
        <v>11</v>
      </c>
      <c r="AJ635" t="n">
        <v>17</v>
      </c>
      <c r="AK635" t="n">
        <v>19</v>
      </c>
      <c r="AL635" t="n">
        <v>5</v>
      </c>
      <c r="AM635" t="n">
        <v>6</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HYPERLINK("https://creighton-primo.hosted.exlibrisgroup.com/primo-explore/search?tab=default_tab&amp;search_scope=EVERYTHING&amp;vid=01CRU&amp;lang=en_US&amp;offset=0&amp;query=any,contains,991003840209702656","Catalog Record")</f>
        <v/>
      </c>
      <c r="AT635">
        <f>HYPERLINK("http://www.worldcat.org/oclc/43864400","WorldCat Record")</f>
        <v/>
      </c>
      <c r="AU635" t="inlineStr">
        <is>
          <t>413045525:eng</t>
        </is>
      </c>
      <c r="AV635" t="inlineStr">
        <is>
          <t>43864400</t>
        </is>
      </c>
      <c r="AW635" t="inlineStr">
        <is>
          <t>991003840209702656</t>
        </is>
      </c>
      <c r="AX635" t="inlineStr">
        <is>
          <t>991003840209702656</t>
        </is>
      </c>
      <c r="AY635" t="inlineStr">
        <is>
          <t>2259318840002656</t>
        </is>
      </c>
      <c r="AZ635" t="inlineStr">
        <is>
          <t>BOOK</t>
        </is>
      </c>
      <c r="BB635" t="inlineStr">
        <is>
          <t>9780471333326</t>
        </is>
      </c>
      <c r="BC635" t="inlineStr">
        <is>
          <t>32285004640784</t>
        </is>
      </c>
      <c r="BD635" t="inlineStr">
        <is>
          <t>893429282</t>
        </is>
      </c>
    </row>
    <row r="636">
      <c r="A636" t="inlineStr">
        <is>
          <t>No</t>
        </is>
      </c>
      <c r="B636" t="inlineStr">
        <is>
          <t>HQ1206 .H5 1992</t>
        </is>
      </c>
      <c r="C636" t="inlineStr">
        <is>
          <t>0                      HQ 1206000H  5           1992</t>
        </is>
      </c>
      <c r="D636" t="inlineStr">
        <is>
          <t>Recovery of your self-esteem : a guide for women / Carolynn Hillman.</t>
        </is>
      </c>
      <c r="F636" t="inlineStr">
        <is>
          <t>No</t>
        </is>
      </c>
      <c r="G636" t="inlineStr">
        <is>
          <t>1</t>
        </is>
      </c>
      <c r="H636" t="inlineStr">
        <is>
          <t>No</t>
        </is>
      </c>
      <c r="I636" t="inlineStr">
        <is>
          <t>No</t>
        </is>
      </c>
      <c r="J636" t="inlineStr">
        <is>
          <t>0</t>
        </is>
      </c>
      <c r="K636" t="inlineStr">
        <is>
          <t>Hillman, Carolynn.</t>
        </is>
      </c>
      <c r="L636" t="inlineStr">
        <is>
          <t>New York : Simon &amp; Schuster, c1992.</t>
        </is>
      </c>
      <c r="M636" t="inlineStr">
        <is>
          <t>1992</t>
        </is>
      </c>
      <c r="O636" t="inlineStr">
        <is>
          <t>eng</t>
        </is>
      </c>
      <c r="P636" t="inlineStr">
        <is>
          <t>nyu</t>
        </is>
      </c>
      <c r="R636" t="inlineStr">
        <is>
          <t xml:space="preserve">HQ </t>
        </is>
      </c>
      <c r="S636" t="n">
        <v>10</v>
      </c>
      <c r="T636" t="n">
        <v>10</v>
      </c>
      <c r="U636" t="inlineStr">
        <is>
          <t>1999-05-02</t>
        </is>
      </c>
      <c r="V636" t="inlineStr">
        <is>
          <t>1999-05-02</t>
        </is>
      </c>
      <c r="W636" t="inlineStr">
        <is>
          <t>1993-10-16</t>
        </is>
      </c>
      <c r="X636" t="inlineStr">
        <is>
          <t>1993-10-16</t>
        </is>
      </c>
      <c r="Y636" t="n">
        <v>194</v>
      </c>
      <c r="Z636" t="n">
        <v>155</v>
      </c>
      <c r="AA636" t="n">
        <v>165</v>
      </c>
      <c r="AB636" t="n">
        <v>1</v>
      </c>
      <c r="AC636" t="n">
        <v>1</v>
      </c>
      <c r="AD636" t="n">
        <v>1</v>
      </c>
      <c r="AE636" t="n">
        <v>1</v>
      </c>
      <c r="AF636" t="n">
        <v>0</v>
      </c>
      <c r="AG636" t="n">
        <v>0</v>
      </c>
      <c r="AH636" t="n">
        <v>0</v>
      </c>
      <c r="AI636" t="n">
        <v>0</v>
      </c>
      <c r="AJ636" t="n">
        <v>1</v>
      </c>
      <c r="AK636" t="n">
        <v>1</v>
      </c>
      <c r="AL636" t="n">
        <v>0</v>
      </c>
      <c r="AM636" t="n">
        <v>0</v>
      </c>
      <c r="AN636" t="n">
        <v>0</v>
      </c>
      <c r="AO636" t="n">
        <v>0</v>
      </c>
      <c r="AP636" t="inlineStr">
        <is>
          <t>No</t>
        </is>
      </c>
      <c r="AQ636" t="inlineStr">
        <is>
          <t>Yes</t>
        </is>
      </c>
      <c r="AR636">
        <f>HYPERLINK("http://catalog.hathitrust.org/Record/007110342","HathiTrust Record")</f>
        <v/>
      </c>
      <c r="AS636">
        <f>HYPERLINK("https://creighton-primo.hosted.exlibrisgroup.com/primo-explore/search?tab=default_tab&amp;search_scope=EVERYTHING&amp;vid=01CRU&amp;lang=en_US&amp;offset=0&amp;query=any,contains,991001987129702656","Catalog Record")</f>
        <v/>
      </c>
      <c r="AT636">
        <f>HYPERLINK("http://www.worldcat.org/oclc/25246169","WorldCat Record")</f>
        <v/>
      </c>
      <c r="AU636" t="inlineStr">
        <is>
          <t>24183492:eng</t>
        </is>
      </c>
      <c r="AV636" t="inlineStr">
        <is>
          <t>25246169</t>
        </is>
      </c>
      <c r="AW636" t="inlineStr">
        <is>
          <t>991001987129702656</t>
        </is>
      </c>
      <c r="AX636" t="inlineStr">
        <is>
          <t>991001987129702656</t>
        </is>
      </c>
      <c r="AY636" t="inlineStr">
        <is>
          <t>2256319250002656</t>
        </is>
      </c>
      <c r="AZ636" t="inlineStr">
        <is>
          <t>BOOK</t>
        </is>
      </c>
      <c r="BB636" t="inlineStr">
        <is>
          <t>9780671738136</t>
        </is>
      </c>
      <c r="BC636" t="inlineStr">
        <is>
          <t>32285001786523</t>
        </is>
      </c>
      <c r="BD636" t="inlineStr">
        <is>
          <t>893510150</t>
        </is>
      </c>
    </row>
    <row r="637">
      <c r="A637" t="inlineStr">
        <is>
          <t>No</t>
        </is>
      </c>
      <c r="B637" t="inlineStr">
        <is>
          <t>HQ1206 .H53</t>
        </is>
      </c>
      <c r="C637" t="inlineStr">
        <is>
          <t>0                      HQ 1206000H  53</t>
        </is>
      </c>
      <c r="D637" t="inlineStr">
        <is>
          <t>Women and violence / Miriam F. Hirsch.</t>
        </is>
      </c>
      <c r="F637" t="inlineStr">
        <is>
          <t>No</t>
        </is>
      </c>
      <c r="G637" t="inlineStr">
        <is>
          <t>1</t>
        </is>
      </c>
      <c r="H637" t="inlineStr">
        <is>
          <t>No</t>
        </is>
      </c>
      <c r="I637" t="inlineStr">
        <is>
          <t>No</t>
        </is>
      </c>
      <c r="J637" t="inlineStr">
        <is>
          <t>0</t>
        </is>
      </c>
      <c r="K637" t="inlineStr">
        <is>
          <t>Hirsch, Miriam F.</t>
        </is>
      </c>
      <c r="L637" t="inlineStr">
        <is>
          <t>New York : Van Nostrand Reinhold Co., c1981.</t>
        </is>
      </c>
      <c r="M637" t="inlineStr">
        <is>
          <t>1981</t>
        </is>
      </c>
      <c r="O637" t="inlineStr">
        <is>
          <t>eng</t>
        </is>
      </c>
      <c r="P637" t="inlineStr">
        <is>
          <t>nyu</t>
        </is>
      </c>
      <c r="R637" t="inlineStr">
        <is>
          <t xml:space="preserve">HQ </t>
        </is>
      </c>
      <c r="S637" t="n">
        <v>5</v>
      </c>
      <c r="T637" t="n">
        <v>5</v>
      </c>
      <c r="U637" t="inlineStr">
        <is>
          <t>1999-05-02</t>
        </is>
      </c>
      <c r="V637" t="inlineStr">
        <is>
          <t>1999-05-02</t>
        </is>
      </c>
      <c r="W637" t="inlineStr">
        <is>
          <t>1992-11-03</t>
        </is>
      </c>
      <c r="X637" t="inlineStr">
        <is>
          <t>1992-11-03</t>
        </is>
      </c>
      <c r="Y637" t="n">
        <v>1000</v>
      </c>
      <c r="Z637" t="n">
        <v>889</v>
      </c>
      <c r="AA637" t="n">
        <v>902</v>
      </c>
      <c r="AB637" t="n">
        <v>9</v>
      </c>
      <c r="AC637" t="n">
        <v>9</v>
      </c>
      <c r="AD637" t="n">
        <v>24</v>
      </c>
      <c r="AE637" t="n">
        <v>24</v>
      </c>
      <c r="AF637" t="n">
        <v>5</v>
      </c>
      <c r="AG637" t="n">
        <v>5</v>
      </c>
      <c r="AH637" t="n">
        <v>5</v>
      </c>
      <c r="AI637" t="n">
        <v>5</v>
      </c>
      <c r="AJ637" t="n">
        <v>7</v>
      </c>
      <c r="AK637" t="n">
        <v>7</v>
      </c>
      <c r="AL637" t="n">
        <v>7</v>
      </c>
      <c r="AM637" t="n">
        <v>7</v>
      </c>
      <c r="AN637" t="n">
        <v>3</v>
      </c>
      <c r="AO637" t="n">
        <v>3</v>
      </c>
      <c r="AP637" t="inlineStr">
        <is>
          <t>No</t>
        </is>
      </c>
      <c r="AQ637" t="inlineStr">
        <is>
          <t>Yes</t>
        </is>
      </c>
      <c r="AR637">
        <f>HYPERLINK("http://catalog.hathitrust.org/Record/000169827","HathiTrust Record")</f>
        <v/>
      </c>
      <c r="AS637">
        <f>HYPERLINK("https://creighton-primo.hosted.exlibrisgroup.com/primo-explore/search?tab=default_tab&amp;search_scope=EVERYTHING&amp;vid=01CRU&amp;lang=en_US&amp;offset=0&amp;query=any,contains,991004981819702656","Catalog Record")</f>
        <v/>
      </c>
      <c r="AT637">
        <f>HYPERLINK("http://www.worldcat.org/oclc/6423461","WorldCat Record")</f>
        <v/>
      </c>
      <c r="AU637" t="inlineStr">
        <is>
          <t>22241745:eng</t>
        </is>
      </c>
      <c r="AV637" t="inlineStr">
        <is>
          <t>6423461</t>
        </is>
      </c>
      <c r="AW637" t="inlineStr">
        <is>
          <t>991004981819702656</t>
        </is>
      </c>
      <c r="AX637" t="inlineStr">
        <is>
          <t>991004981819702656</t>
        </is>
      </c>
      <c r="AY637" t="inlineStr">
        <is>
          <t>2269413920002656</t>
        </is>
      </c>
      <c r="AZ637" t="inlineStr">
        <is>
          <t>BOOK</t>
        </is>
      </c>
      <c r="BB637" t="inlineStr">
        <is>
          <t>9780442261481</t>
        </is>
      </c>
      <c r="BC637" t="inlineStr">
        <is>
          <t>32285001381473</t>
        </is>
      </c>
      <c r="BD637" t="inlineStr">
        <is>
          <t>893536290</t>
        </is>
      </c>
    </row>
    <row r="638">
      <c r="A638" t="inlineStr">
        <is>
          <t>No</t>
        </is>
      </c>
      <c r="B638" t="inlineStr">
        <is>
          <t>HQ1206 .H79 1983</t>
        </is>
      </c>
      <c r="C638" t="inlineStr">
        <is>
          <t>0                      HQ 1206000H  79          1983</t>
        </is>
      </c>
      <c r="D638" t="inlineStr">
        <is>
          <t>Sex stratification : children, housework, and jobs / Joan Huber, Glenna Spitze.</t>
        </is>
      </c>
      <c r="F638" t="inlineStr">
        <is>
          <t>No</t>
        </is>
      </c>
      <c r="G638" t="inlineStr">
        <is>
          <t>1</t>
        </is>
      </c>
      <c r="H638" t="inlineStr">
        <is>
          <t>No</t>
        </is>
      </c>
      <c r="I638" t="inlineStr">
        <is>
          <t>No</t>
        </is>
      </c>
      <c r="J638" t="inlineStr">
        <is>
          <t>0</t>
        </is>
      </c>
      <c r="K638" t="inlineStr">
        <is>
          <t>Huber, Joan, 1925-</t>
        </is>
      </c>
      <c r="L638" t="inlineStr">
        <is>
          <t>New York : Academic Press, c1983.</t>
        </is>
      </c>
      <c r="M638" t="inlineStr">
        <is>
          <t>1983</t>
        </is>
      </c>
      <c r="O638" t="inlineStr">
        <is>
          <t>eng</t>
        </is>
      </c>
      <c r="P638" t="inlineStr">
        <is>
          <t>nyu</t>
        </is>
      </c>
      <c r="Q638" t="inlineStr">
        <is>
          <t>Quantitative studies in social relations</t>
        </is>
      </c>
      <c r="R638" t="inlineStr">
        <is>
          <t xml:space="preserve">HQ </t>
        </is>
      </c>
      <c r="S638" t="n">
        <v>2</v>
      </c>
      <c r="T638" t="n">
        <v>2</v>
      </c>
      <c r="U638" t="inlineStr">
        <is>
          <t>1994-02-15</t>
        </is>
      </c>
      <c r="V638" t="inlineStr">
        <is>
          <t>1994-02-15</t>
        </is>
      </c>
      <c r="W638" t="inlineStr">
        <is>
          <t>1992-05-12</t>
        </is>
      </c>
      <c r="X638" t="inlineStr">
        <is>
          <t>1992-05-12</t>
        </is>
      </c>
      <c r="Y638" t="n">
        <v>462</v>
      </c>
      <c r="Z638" t="n">
        <v>339</v>
      </c>
      <c r="AA638" t="n">
        <v>346</v>
      </c>
      <c r="AB638" t="n">
        <v>4</v>
      </c>
      <c r="AC638" t="n">
        <v>4</v>
      </c>
      <c r="AD638" t="n">
        <v>14</v>
      </c>
      <c r="AE638" t="n">
        <v>14</v>
      </c>
      <c r="AF638" t="n">
        <v>2</v>
      </c>
      <c r="AG638" t="n">
        <v>2</v>
      </c>
      <c r="AH638" t="n">
        <v>4</v>
      </c>
      <c r="AI638" t="n">
        <v>4</v>
      </c>
      <c r="AJ638" t="n">
        <v>8</v>
      </c>
      <c r="AK638" t="n">
        <v>8</v>
      </c>
      <c r="AL638" t="n">
        <v>3</v>
      </c>
      <c r="AM638" t="n">
        <v>3</v>
      </c>
      <c r="AN638" t="n">
        <v>0</v>
      </c>
      <c r="AO638" t="n">
        <v>0</v>
      </c>
      <c r="AP638" t="inlineStr">
        <is>
          <t>No</t>
        </is>
      </c>
      <c r="AQ638" t="inlineStr">
        <is>
          <t>Yes</t>
        </is>
      </c>
      <c r="AR638">
        <f>HYPERLINK("http://catalog.hathitrust.org/Record/000276209","HathiTrust Record")</f>
        <v/>
      </c>
      <c r="AS638">
        <f>HYPERLINK("https://creighton-primo.hosted.exlibrisgroup.com/primo-explore/search?tab=default_tab&amp;search_scope=EVERYTHING&amp;vid=01CRU&amp;lang=en_US&amp;offset=0&amp;query=any,contains,991000080709702656","Catalog Record")</f>
        <v/>
      </c>
      <c r="AT638">
        <f>HYPERLINK("http://www.worldcat.org/oclc/8827849","WorldCat Record")</f>
        <v/>
      </c>
      <c r="AU638" t="inlineStr">
        <is>
          <t>836703303:eng</t>
        </is>
      </c>
      <c r="AV638" t="inlineStr">
        <is>
          <t>8827849</t>
        </is>
      </c>
      <c r="AW638" t="inlineStr">
        <is>
          <t>991000080709702656</t>
        </is>
      </c>
      <c r="AX638" t="inlineStr">
        <is>
          <t>991000080709702656</t>
        </is>
      </c>
      <c r="AY638" t="inlineStr">
        <is>
          <t>2266577490002656</t>
        </is>
      </c>
      <c r="AZ638" t="inlineStr">
        <is>
          <t>BOOK</t>
        </is>
      </c>
      <c r="BB638" t="inlineStr">
        <is>
          <t>9780123584809</t>
        </is>
      </c>
      <c r="BC638" t="inlineStr">
        <is>
          <t>32285001108686</t>
        </is>
      </c>
      <c r="BD638" t="inlineStr">
        <is>
          <t>893714271</t>
        </is>
      </c>
    </row>
    <row r="639">
      <c r="A639" t="inlineStr">
        <is>
          <t>No</t>
        </is>
      </c>
      <c r="B639" t="inlineStr">
        <is>
          <t>HQ1206 .H85 1987</t>
        </is>
      </c>
      <c r="C639" t="inlineStr">
        <is>
          <t>0                      HQ 1206000H  85          1987</t>
        </is>
      </c>
      <c r="D639" t="inlineStr">
        <is>
          <t>An annotated critical bibliography of feminist criticism / Maggie Humm.</t>
        </is>
      </c>
      <c r="F639" t="inlineStr">
        <is>
          <t>No</t>
        </is>
      </c>
      <c r="G639" t="inlineStr">
        <is>
          <t>1</t>
        </is>
      </c>
      <c r="H639" t="inlineStr">
        <is>
          <t>No</t>
        </is>
      </c>
      <c r="I639" t="inlineStr">
        <is>
          <t>No</t>
        </is>
      </c>
      <c r="J639" t="inlineStr">
        <is>
          <t>0</t>
        </is>
      </c>
      <c r="K639" t="inlineStr">
        <is>
          <t>Humm, Maggie.</t>
        </is>
      </c>
      <c r="L639" t="inlineStr">
        <is>
          <t>Boston, Mass. : G.K. Hall, 1987.</t>
        </is>
      </c>
      <c r="M639" t="inlineStr">
        <is>
          <t>1987</t>
        </is>
      </c>
      <c r="O639" t="inlineStr">
        <is>
          <t>eng</t>
        </is>
      </c>
      <c r="P639" t="inlineStr">
        <is>
          <t>mau</t>
        </is>
      </c>
      <c r="Q639" t="inlineStr">
        <is>
          <t>Harvester annotated critical bibliographies</t>
        </is>
      </c>
      <c r="R639" t="inlineStr">
        <is>
          <t xml:space="preserve">HQ </t>
        </is>
      </c>
      <c r="S639" t="n">
        <v>1</v>
      </c>
      <c r="T639" t="n">
        <v>1</v>
      </c>
      <c r="U639" t="inlineStr">
        <is>
          <t>2008-02-07</t>
        </is>
      </c>
      <c r="V639" t="inlineStr">
        <is>
          <t>2008-02-07</t>
        </is>
      </c>
      <c r="W639" t="inlineStr">
        <is>
          <t>1998-02-12</t>
        </is>
      </c>
      <c r="X639" t="inlineStr">
        <is>
          <t>1998-02-12</t>
        </is>
      </c>
      <c r="Y639" t="n">
        <v>388</v>
      </c>
      <c r="Z639" t="n">
        <v>347</v>
      </c>
      <c r="AA639" t="n">
        <v>358</v>
      </c>
      <c r="AB639" t="n">
        <v>3</v>
      </c>
      <c r="AC639" t="n">
        <v>3</v>
      </c>
      <c r="AD639" t="n">
        <v>16</v>
      </c>
      <c r="AE639" t="n">
        <v>16</v>
      </c>
      <c r="AF639" t="n">
        <v>4</v>
      </c>
      <c r="AG639" t="n">
        <v>4</v>
      </c>
      <c r="AH639" t="n">
        <v>5</v>
      </c>
      <c r="AI639" t="n">
        <v>5</v>
      </c>
      <c r="AJ639" t="n">
        <v>10</v>
      </c>
      <c r="AK639" t="n">
        <v>10</v>
      </c>
      <c r="AL639" t="n">
        <v>2</v>
      </c>
      <c r="AM639" t="n">
        <v>2</v>
      </c>
      <c r="AN639" t="n">
        <v>0</v>
      </c>
      <c r="AO639" t="n">
        <v>0</v>
      </c>
      <c r="AP639" t="inlineStr">
        <is>
          <t>No</t>
        </is>
      </c>
      <c r="AQ639" t="inlineStr">
        <is>
          <t>Yes</t>
        </is>
      </c>
      <c r="AR639">
        <f>HYPERLINK("http://catalog.hathitrust.org/Record/000901766","HathiTrust Record")</f>
        <v/>
      </c>
      <c r="AS639">
        <f>HYPERLINK("https://creighton-primo.hosted.exlibrisgroup.com/primo-explore/search?tab=default_tab&amp;search_scope=EVERYTHING&amp;vid=01CRU&amp;lang=en_US&amp;offset=0&amp;query=any,contains,991002106579702656","Catalog Record")</f>
        <v/>
      </c>
      <c r="AT639">
        <f>HYPERLINK("http://www.worldcat.org/oclc/15593710","WorldCat Record")</f>
        <v/>
      </c>
      <c r="AU639" t="inlineStr">
        <is>
          <t>9471844:eng</t>
        </is>
      </c>
      <c r="AV639" t="inlineStr">
        <is>
          <t>15593710</t>
        </is>
      </c>
      <c r="AW639" t="inlineStr">
        <is>
          <t>991002106579702656</t>
        </is>
      </c>
      <c r="AX639" t="inlineStr">
        <is>
          <t>991002106579702656</t>
        </is>
      </c>
      <c r="AY639" t="inlineStr">
        <is>
          <t>2254923340002656</t>
        </is>
      </c>
      <c r="AZ639" t="inlineStr">
        <is>
          <t>BOOK</t>
        </is>
      </c>
      <c r="BB639" t="inlineStr">
        <is>
          <t>9780816189373</t>
        </is>
      </c>
      <c r="BC639" t="inlineStr">
        <is>
          <t>32285003350740</t>
        </is>
      </c>
      <c r="BD639" t="inlineStr">
        <is>
          <t>893691226</t>
        </is>
      </c>
    </row>
    <row r="640">
      <c r="A640" t="inlineStr">
        <is>
          <t>No</t>
        </is>
      </c>
      <c r="B640" t="inlineStr">
        <is>
          <t>HQ1206 .J66</t>
        </is>
      </c>
      <c r="C640" t="inlineStr">
        <is>
          <t>0                      HQ 1206000J  66</t>
        </is>
      </c>
      <c r="D640" t="inlineStr">
        <is>
          <t>Women as winners : transactional analysis for personal growth / Dorothy Jongeward, Dru Scott.</t>
        </is>
      </c>
      <c r="F640" t="inlineStr">
        <is>
          <t>No</t>
        </is>
      </c>
      <c r="G640" t="inlineStr">
        <is>
          <t>1</t>
        </is>
      </c>
      <c r="H640" t="inlineStr">
        <is>
          <t>No</t>
        </is>
      </c>
      <c r="I640" t="inlineStr">
        <is>
          <t>No</t>
        </is>
      </c>
      <c r="J640" t="inlineStr">
        <is>
          <t>0</t>
        </is>
      </c>
      <c r="K640" t="inlineStr">
        <is>
          <t>Jongeward, Dorothy.</t>
        </is>
      </c>
      <c r="L640" t="inlineStr">
        <is>
          <t>Reading, Mass. : Addison-Wesley Pub. Co., c1976.</t>
        </is>
      </c>
      <c r="M640" t="inlineStr">
        <is>
          <t>1976</t>
        </is>
      </c>
      <c r="O640" t="inlineStr">
        <is>
          <t>eng</t>
        </is>
      </c>
      <c r="P640" t="inlineStr">
        <is>
          <t>mau</t>
        </is>
      </c>
      <c r="R640" t="inlineStr">
        <is>
          <t xml:space="preserve">HQ </t>
        </is>
      </c>
      <c r="S640" t="n">
        <v>2</v>
      </c>
      <c r="T640" t="n">
        <v>2</v>
      </c>
      <c r="U640" t="inlineStr">
        <is>
          <t>1995-01-11</t>
        </is>
      </c>
      <c r="V640" t="inlineStr">
        <is>
          <t>1995-01-11</t>
        </is>
      </c>
      <c r="W640" t="inlineStr">
        <is>
          <t>1993-04-27</t>
        </is>
      </c>
      <c r="X640" t="inlineStr">
        <is>
          <t>1993-04-27</t>
        </is>
      </c>
      <c r="Y640" t="n">
        <v>770</v>
      </c>
      <c r="Z640" t="n">
        <v>663</v>
      </c>
      <c r="AA640" t="n">
        <v>678</v>
      </c>
      <c r="AB640" t="n">
        <v>6</v>
      </c>
      <c r="AC640" t="n">
        <v>6</v>
      </c>
      <c r="AD640" t="n">
        <v>14</v>
      </c>
      <c r="AE640" t="n">
        <v>16</v>
      </c>
      <c r="AF640" t="n">
        <v>7</v>
      </c>
      <c r="AG640" t="n">
        <v>8</v>
      </c>
      <c r="AH640" t="n">
        <v>2</v>
      </c>
      <c r="AI640" t="n">
        <v>3</v>
      </c>
      <c r="AJ640" t="n">
        <v>8</v>
      </c>
      <c r="AK640" t="n">
        <v>8</v>
      </c>
      <c r="AL640" t="n">
        <v>3</v>
      </c>
      <c r="AM640" t="n">
        <v>3</v>
      </c>
      <c r="AN640" t="n">
        <v>0</v>
      </c>
      <c r="AO640" t="n">
        <v>0</v>
      </c>
      <c r="AP640" t="inlineStr">
        <is>
          <t>No</t>
        </is>
      </c>
      <c r="AQ640" t="inlineStr">
        <is>
          <t>Yes</t>
        </is>
      </c>
      <c r="AR640">
        <f>HYPERLINK("http://catalog.hathitrust.org/Record/000706446","HathiTrust Record")</f>
        <v/>
      </c>
      <c r="AS640">
        <f>HYPERLINK("https://creighton-primo.hosted.exlibrisgroup.com/primo-explore/search?tab=default_tab&amp;search_scope=EVERYTHING&amp;vid=01CRU&amp;lang=en_US&amp;offset=0&amp;query=any,contains,991004055329702656","Catalog Record")</f>
        <v/>
      </c>
      <c r="AT640">
        <f>HYPERLINK("http://www.worldcat.org/oclc/2224898","WorldCat Record")</f>
        <v/>
      </c>
      <c r="AU640" t="inlineStr">
        <is>
          <t>416835:eng</t>
        </is>
      </c>
      <c r="AV640" t="inlineStr">
        <is>
          <t>2224898</t>
        </is>
      </c>
      <c r="AW640" t="inlineStr">
        <is>
          <t>991004055329702656</t>
        </is>
      </c>
      <c r="AX640" t="inlineStr">
        <is>
          <t>991004055329702656</t>
        </is>
      </c>
      <c r="AY640" t="inlineStr">
        <is>
          <t>2258983150002656</t>
        </is>
      </c>
      <c r="AZ640" t="inlineStr">
        <is>
          <t>BOOK</t>
        </is>
      </c>
      <c r="BB640" t="inlineStr">
        <is>
          <t>9780201033861</t>
        </is>
      </c>
      <c r="BC640" t="inlineStr">
        <is>
          <t>32285001628345</t>
        </is>
      </c>
      <c r="BD640" t="inlineStr">
        <is>
          <t>893343412</t>
        </is>
      </c>
    </row>
    <row r="641">
      <c r="A641" t="inlineStr">
        <is>
          <t>No</t>
        </is>
      </c>
      <c r="B641" t="inlineStr">
        <is>
          <t>HQ1206 .K37 1992</t>
        </is>
      </c>
      <c r="C641" t="inlineStr">
        <is>
          <t>0                      HQ 1206000K  37          1992</t>
        </is>
      </c>
      <c r="D641" t="inlineStr">
        <is>
          <t>Engendered lives : a new psychology of women's experience / Ellyn Kaschak.</t>
        </is>
      </c>
      <c r="F641" t="inlineStr">
        <is>
          <t>No</t>
        </is>
      </c>
      <c r="G641" t="inlineStr">
        <is>
          <t>1</t>
        </is>
      </c>
      <c r="H641" t="inlineStr">
        <is>
          <t>No</t>
        </is>
      </c>
      <c r="I641" t="inlineStr">
        <is>
          <t>No</t>
        </is>
      </c>
      <c r="J641" t="inlineStr">
        <is>
          <t>0</t>
        </is>
      </c>
      <c r="K641" t="inlineStr">
        <is>
          <t>Kaschak, Ellyn, 1943-</t>
        </is>
      </c>
      <c r="L641" t="inlineStr">
        <is>
          <t>New York, NY : Basic Books, c1992.</t>
        </is>
      </c>
      <c r="M641" t="inlineStr">
        <is>
          <t>1992</t>
        </is>
      </c>
      <c r="O641" t="inlineStr">
        <is>
          <t>eng</t>
        </is>
      </c>
      <c r="P641" t="inlineStr">
        <is>
          <t>nyu</t>
        </is>
      </c>
      <c r="R641" t="inlineStr">
        <is>
          <t xml:space="preserve">HQ </t>
        </is>
      </c>
      <c r="S641" t="n">
        <v>4</v>
      </c>
      <c r="T641" t="n">
        <v>4</v>
      </c>
      <c r="U641" t="inlineStr">
        <is>
          <t>1997-07-24</t>
        </is>
      </c>
      <c r="V641" t="inlineStr">
        <is>
          <t>1997-07-24</t>
        </is>
      </c>
      <c r="W641" t="inlineStr">
        <is>
          <t>1993-09-14</t>
        </is>
      </c>
      <c r="X641" t="inlineStr">
        <is>
          <t>1993-09-14</t>
        </is>
      </c>
      <c r="Y641" t="n">
        <v>961</v>
      </c>
      <c r="Z641" t="n">
        <v>836</v>
      </c>
      <c r="AA641" t="n">
        <v>879</v>
      </c>
      <c r="AB641" t="n">
        <v>8</v>
      </c>
      <c r="AC641" t="n">
        <v>8</v>
      </c>
      <c r="AD641" t="n">
        <v>38</v>
      </c>
      <c r="AE641" t="n">
        <v>39</v>
      </c>
      <c r="AF641" t="n">
        <v>14</v>
      </c>
      <c r="AG641" t="n">
        <v>15</v>
      </c>
      <c r="AH641" t="n">
        <v>8</v>
      </c>
      <c r="AI641" t="n">
        <v>8</v>
      </c>
      <c r="AJ641" t="n">
        <v>20</v>
      </c>
      <c r="AK641" t="n">
        <v>20</v>
      </c>
      <c r="AL641" t="n">
        <v>7</v>
      </c>
      <c r="AM641" t="n">
        <v>7</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HYPERLINK("https://creighton-primo.hosted.exlibrisgroup.com/primo-explore/search?tab=default_tab&amp;search_scope=EVERYTHING&amp;vid=01CRU&amp;lang=en_US&amp;offset=0&amp;query=any,contains,991001974989702656","Catalog Record")</f>
        <v/>
      </c>
      <c r="AT641">
        <f>HYPERLINK("http://www.worldcat.org/oclc/25048316","WorldCat Record")</f>
        <v/>
      </c>
      <c r="AU641" t="inlineStr">
        <is>
          <t>37964010:eng</t>
        </is>
      </c>
      <c r="AV641" t="inlineStr">
        <is>
          <t>25048316</t>
        </is>
      </c>
      <c r="AW641" t="inlineStr">
        <is>
          <t>991001974989702656</t>
        </is>
      </c>
      <c r="AX641" t="inlineStr">
        <is>
          <t>991001974989702656</t>
        </is>
      </c>
      <c r="AY641" t="inlineStr">
        <is>
          <t>2263588650002656</t>
        </is>
      </c>
      <c r="AZ641" t="inlineStr">
        <is>
          <t>BOOK</t>
        </is>
      </c>
      <c r="BB641" t="inlineStr">
        <is>
          <t>9780465013470</t>
        </is>
      </c>
      <c r="BC641" t="inlineStr">
        <is>
          <t>32285001766178</t>
        </is>
      </c>
      <c r="BD641" t="inlineStr">
        <is>
          <t>893697212</t>
        </is>
      </c>
    </row>
    <row r="642">
      <c r="A642" t="inlineStr">
        <is>
          <t>No</t>
        </is>
      </c>
      <c r="B642" t="inlineStr">
        <is>
          <t>HQ1206 .K47 1979</t>
        </is>
      </c>
      <c r="C642" t="inlineStr">
        <is>
          <t>0                      HQ 1206000K  47          1979</t>
        </is>
      </c>
      <c r="D642" t="inlineStr">
        <is>
          <t>Stress and the American woman / Nora Scott Kinzer.</t>
        </is>
      </c>
      <c r="F642" t="inlineStr">
        <is>
          <t>No</t>
        </is>
      </c>
      <c r="G642" t="inlineStr">
        <is>
          <t>1</t>
        </is>
      </c>
      <c r="H642" t="inlineStr">
        <is>
          <t>No</t>
        </is>
      </c>
      <c r="I642" t="inlineStr">
        <is>
          <t>No</t>
        </is>
      </c>
      <c r="J642" t="inlineStr">
        <is>
          <t>0</t>
        </is>
      </c>
      <c r="K642" t="inlineStr">
        <is>
          <t>Stewart, Nora Kinzer.</t>
        </is>
      </c>
      <c r="L642" t="inlineStr">
        <is>
          <t>New York : Ballantine Books, c1979.</t>
        </is>
      </c>
      <c r="M642" t="inlineStr">
        <is>
          <t>1980</t>
        </is>
      </c>
      <c r="O642" t="inlineStr">
        <is>
          <t>eng</t>
        </is>
      </c>
      <c r="P642" t="inlineStr">
        <is>
          <t>nyu</t>
        </is>
      </c>
      <c r="R642" t="inlineStr">
        <is>
          <t xml:space="preserve">HQ </t>
        </is>
      </c>
      <c r="S642" t="n">
        <v>3</v>
      </c>
      <c r="T642" t="n">
        <v>3</v>
      </c>
      <c r="U642" t="inlineStr">
        <is>
          <t>1999-05-02</t>
        </is>
      </c>
      <c r="V642" t="inlineStr">
        <is>
          <t>1999-05-02</t>
        </is>
      </c>
      <c r="W642" t="inlineStr">
        <is>
          <t>1993-04-27</t>
        </is>
      </c>
      <c r="X642" t="inlineStr">
        <is>
          <t>1993-04-27</t>
        </is>
      </c>
      <c r="Y642" t="n">
        <v>39</v>
      </c>
      <c r="Z642" t="n">
        <v>35</v>
      </c>
      <c r="AA642" t="n">
        <v>604</v>
      </c>
      <c r="AB642" t="n">
        <v>1</v>
      </c>
      <c r="AC642" t="n">
        <v>4</v>
      </c>
      <c r="AD642" t="n">
        <v>2</v>
      </c>
      <c r="AE642" t="n">
        <v>12</v>
      </c>
      <c r="AF642" t="n">
        <v>1</v>
      </c>
      <c r="AG642" t="n">
        <v>5</v>
      </c>
      <c r="AH642" t="n">
        <v>1</v>
      </c>
      <c r="AI642" t="n">
        <v>3</v>
      </c>
      <c r="AJ642" t="n">
        <v>0</v>
      </c>
      <c r="AK642" t="n">
        <v>5</v>
      </c>
      <c r="AL642" t="n">
        <v>0</v>
      </c>
      <c r="AM642" t="n">
        <v>1</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HYPERLINK("https://creighton-primo.hosted.exlibrisgroup.com/primo-explore/search?tab=default_tab&amp;search_scope=EVERYTHING&amp;vid=01CRU&amp;lang=en_US&amp;offset=0&amp;query=any,contains,991004921569702656","Catalog Record")</f>
        <v/>
      </c>
      <c r="AT642">
        <f>HYPERLINK("http://www.worldcat.org/oclc/6047520","WorldCat Record")</f>
        <v/>
      </c>
      <c r="AU642" t="inlineStr">
        <is>
          <t>449527:eng</t>
        </is>
      </c>
      <c r="AV642" t="inlineStr">
        <is>
          <t>6047520</t>
        </is>
      </c>
      <c r="AW642" t="inlineStr">
        <is>
          <t>991004921569702656</t>
        </is>
      </c>
      <c r="AX642" t="inlineStr">
        <is>
          <t>991004921569702656</t>
        </is>
      </c>
      <c r="AY642" t="inlineStr">
        <is>
          <t>2262066460002656</t>
        </is>
      </c>
      <c r="AZ642" t="inlineStr">
        <is>
          <t>BOOK</t>
        </is>
      </c>
      <c r="BB642" t="inlineStr">
        <is>
          <t>9780345285584</t>
        </is>
      </c>
      <c r="BC642" t="inlineStr">
        <is>
          <t>32285001581197</t>
        </is>
      </c>
      <c r="BD642" t="inlineStr">
        <is>
          <t>893325938</t>
        </is>
      </c>
    </row>
    <row r="643">
      <c r="A643" t="inlineStr">
        <is>
          <t>No</t>
        </is>
      </c>
      <c r="B643" t="inlineStr">
        <is>
          <t>HQ1206 .K59</t>
        </is>
      </c>
      <c r="C643" t="inlineStr">
        <is>
          <t>0                      HQ 1206000K  59</t>
        </is>
      </c>
      <c r="D643" t="inlineStr">
        <is>
          <t>Kiss sleeping beauty good-bye : breaking the spell of feminine myths and models / Madonna Kolbenschlag.</t>
        </is>
      </c>
      <c r="F643" t="inlineStr">
        <is>
          <t>No</t>
        </is>
      </c>
      <c r="G643" t="inlineStr">
        <is>
          <t>1</t>
        </is>
      </c>
      <c r="H643" t="inlineStr">
        <is>
          <t>No</t>
        </is>
      </c>
      <c r="I643" t="inlineStr">
        <is>
          <t>No</t>
        </is>
      </c>
      <c r="J643" t="inlineStr">
        <is>
          <t>0</t>
        </is>
      </c>
      <c r="K643" t="inlineStr">
        <is>
          <t>Kolbenschlag, Madonna, 1935-</t>
        </is>
      </c>
      <c r="L643" t="inlineStr">
        <is>
          <t>Garden City, N.Y. : Doubleday, 1979.</t>
        </is>
      </c>
      <c r="M643" t="inlineStr">
        <is>
          <t>1979</t>
        </is>
      </c>
      <c r="N643" t="inlineStr">
        <is>
          <t>1st ed.</t>
        </is>
      </c>
      <c r="O643" t="inlineStr">
        <is>
          <t>eng</t>
        </is>
      </c>
      <c r="P643" t="inlineStr">
        <is>
          <t>nyu</t>
        </is>
      </c>
      <c r="R643" t="inlineStr">
        <is>
          <t xml:space="preserve">HQ </t>
        </is>
      </c>
      <c r="S643" t="n">
        <v>12</v>
      </c>
      <c r="T643" t="n">
        <v>12</v>
      </c>
      <c r="U643" t="inlineStr">
        <is>
          <t>2002-04-21</t>
        </is>
      </c>
      <c r="V643" t="inlineStr">
        <is>
          <t>2002-04-21</t>
        </is>
      </c>
      <c r="W643" t="inlineStr">
        <is>
          <t>1992-02-24</t>
        </is>
      </c>
      <c r="X643" t="inlineStr">
        <is>
          <t>1992-02-24</t>
        </is>
      </c>
      <c r="Y643" t="n">
        <v>660</v>
      </c>
      <c r="Z643" t="n">
        <v>610</v>
      </c>
      <c r="AA643" t="n">
        <v>831</v>
      </c>
      <c r="AB643" t="n">
        <v>2</v>
      </c>
      <c r="AC643" t="n">
        <v>5</v>
      </c>
      <c r="AD643" t="n">
        <v>31</v>
      </c>
      <c r="AE643" t="n">
        <v>39</v>
      </c>
      <c r="AF643" t="n">
        <v>13</v>
      </c>
      <c r="AG643" t="n">
        <v>18</v>
      </c>
      <c r="AH643" t="n">
        <v>8</v>
      </c>
      <c r="AI643" t="n">
        <v>8</v>
      </c>
      <c r="AJ643" t="n">
        <v>19</v>
      </c>
      <c r="AK643" t="n">
        <v>21</v>
      </c>
      <c r="AL643" t="n">
        <v>1</v>
      </c>
      <c r="AM643" t="n">
        <v>4</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HYPERLINK("https://creighton-primo.hosted.exlibrisgroup.com/primo-explore/search?tab=default_tab&amp;search_scope=EVERYTHING&amp;vid=01CRU&amp;lang=en_US&amp;offset=0&amp;query=any,contains,991004786589702656","Catalog Record")</f>
        <v/>
      </c>
      <c r="AT643">
        <f>HYPERLINK("http://www.worldcat.org/oclc/5147436","WorldCat Record")</f>
        <v/>
      </c>
      <c r="AU643" t="inlineStr">
        <is>
          <t>455078:eng</t>
        </is>
      </c>
      <c r="AV643" t="inlineStr">
        <is>
          <t>5147436</t>
        </is>
      </c>
      <c r="AW643" t="inlineStr">
        <is>
          <t>991004786589702656</t>
        </is>
      </c>
      <c r="AX643" t="inlineStr">
        <is>
          <t>991004786589702656</t>
        </is>
      </c>
      <c r="AY643" t="inlineStr">
        <is>
          <t>2267342370002656</t>
        </is>
      </c>
      <c r="AZ643" t="inlineStr">
        <is>
          <t>BOOK</t>
        </is>
      </c>
      <c r="BB643" t="inlineStr">
        <is>
          <t>9780385141864</t>
        </is>
      </c>
      <c r="BC643" t="inlineStr">
        <is>
          <t>32285000974906</t>
        </is>
      </c>
      <c r="BD643" t="inlineStr">
        <is>
          <t>893325785</t>
        </is>
      </c>
    </row>
    <row r="644">
      <c r="A644" t="inlineStr">
        <is>
          <t>No</t>
        </is>
      </c>
      <c r="B644" t="inlineStr">
        <is>
          <t>HQ1206 .L445 1993</t>
        </is>
      </c>
      <c r="C644" t="inlineStr">
        <is>
          <t>0                      HQ 1206000L  445         1993</t>
        </is>
      </c>
      <c r="D644" t="inlineStr">
        <is>
          <t>The dance of deception : pretending and truth-telling in women's lives / Harriet Goldhor Lerner.</t>
        </is>
      </c>
      <c r="F644" t="inlineStr">
        <is>
          <t>No</t>
        </is>
      </c>
      <c r="G644" t="inlineStr">
        <is>
          <t>1</t>
        </is>
      </c>
      <c r="H644" t="inlineStr">
        <is>
          <t>No</t>
        </is>
      </c>
      <c r="I644" t="inlineStr">
        <is>
          <t>No</t>
        </is>
      </c>
      <c r="J644" t="inlineStr">
        <is>
          <t>0</t>
        </is>
      </c>
      <c r="K644" t="inlineStr">
        <is>
          <t>Lerner, Harriet Goldhor.</t>
        </is>
      </c>
      <c r="L644" t="inlineStr">
        <is>
          <t>New York : HarperCollins Publishers, c1993.</t>
        </is>
      </c>
      <c r="M644" t="inlineStr">
        <is>
          <t>1993</t>
        </is>
      </c>
      <c r="N644" t="inlineStr">
        <is>
          <t>1st ed.</t>
        </is>
      </c>
      <c r="O644" t="inlineStr">
        <is>
          <t>eng</t>
        </is>
      </c>
      <c r="P644" t="inlineStr">
        <is>
          <t>nyu</t>
        </is>
      </c>
      <c r="R644" t="inlineStr">
        <is>
          <t xml:space="preserve">HQ </t>
        </is>
      </c>
      <c r="S644" t="n">
        <v>9</v>
      </c>
      <c r="T644" t="n">
        <v>9</v>
      </c>
      <c r="U644" t="inlineStr">
        <is>
          <t>2005-12-22</t>
        </is>
      </c>
      <c r="V644" t="inlineStr">
        <is>
          <t>2005-12-22</t>
        </is>
      </c>
      <c r="W644" t="inlineStr">
        <is>
          <t>1994-05-17</t>
        </is>
      </c>
      <c r="X644" t="inlineStr">
        <is>
          <t>1994-05-17</t>
        </is>
      </c>
      <c r="Y644" t="n">
        <v>1146</v>
      </c>
      <c r="Z644" t="n">
        <v>1048</v>
      </c>
      <c r="AA644" t="n">
        <v>1300</v>
      </c>
      <c r="AB644" t="n">
        <v>9</v>
      </c>
      <c r="AC644" t="n">
        <v>10</v>
      </c>
      <c r="AD644" t="n">
        <v>19</v>
      </c>
      <c r="AE644" t="n">
        <v>22</v>
      </c>
      <c r="AF644" t="n">
        <v>8</v>
      </c>
      <c r="AG644" t="n">
        <v>9</v>
      </c>
      <c r="AH644" t="n">
        <v>3</v>
      </c>
      <c r="AI644" t="n">
        <v>3</v>
      </c>
      <c r="AJ644" t="n">
        <v>11</v>
      </c>
      <c r="AK644" t="n">
        <v>13</v>
      </c>
      <c r="AL644" t="n">
        <v>2</v>
      </c>
      <c r="AM644" t="n">
        <v>3</v>
      </c>
      <c r="AN644" t="n">
        <v>0</v>
      </c>
      <c r="AO644" t="n">
        <v>0</v>
      </c>
      <c r="AP644" t="inlineStr">
        <is>
          <t>No</t>
        </is>
      </c>
      <c r="AQ644" t="inlineStr">
        <is>
          <t>Yes</t>
        </is>
      </c>
      <c r="AR644">
        <f>HYPERLINK("http://catalog.hathitrust.org/Record/002627928","HathiTrust Record")</f>
        <v/>
      </c>
      <c r="AS644">
        <f>HYPERLINK("https://creighton-primo.hosted.exlibrisgroup.com/primo-explore/search?tab=default_tab&amp;search_scope=EVERYTHING&amp;vid=01CRU&amp;lang=en_US&amp;offset=0&amp;query=any,contains,991002095089702656","Catalog Record")</f>
        <v/>
      </c>
      <c r="AT644">
        <f>HYPERLINK("http://www.worldcat.org/oclc/26857072","WorldCat Record")</f>
        <v/>
      </c>
      <c r="AU644" t="inlineStr">
        <is>
          <t>9483995:eng</t>
        </is>
      </c>
      <c r="AV644" t="inlineStr">
        <is>
          <t>26857072</t>
        </is>
      </c>
      <c r="AW644" t="inlineStr">
        <is>
          <t>991002095089702656</t>
        </is>
      </c>
      <c r="AX644" t="inlineStr">
        <is>
          <t>991002095089702656</t>
        </is>
      </c>
      <c r="AY644" t="inlineStr">
        <is>
          <t>2266640830002656</t>
        </is>
      </c>
      <c r="AZ644" t="inlineStr">
        <is>
          <t>BOOK</t>
        </is>
      </c>
      <c r="BB644" t="inlineStr">
        <is>
          <t>9780060168162</t>
        </is>
      </c>
      <c r="BC644" t="inlineStr">
        <is>
          <t>32285001896793</t>
        </is>
      </c>
      <c r="BD644" t="inlineStr">
        <is>
          <t>893785710</t>
        </is>
      </c>
    </row>
    <row r="645">
      <c r="A645" t="inlineStr">
        <is>
          <t>No</t>
        </is>
      </c>
      <c r="B645" t="inlineStr">
        <is>
          <t>HQ1206 .L446 1989</t>
        </is>
      </c>
      <c r="C645" t="inlineStr">
        <is>
          <t>0                      HQ 1206000L  446         1989</t>
        </is>
      </c>
      <c r="D645" t="inlineStr">
        <is>
          <t>The dance of intimacy : a woman's guide to courageous acts of change in key relationships / Harriet Goldhor Lerner.</t>
        </is>
      </c>
      <c r="F645" t="inlineStr">
        <is>
          <t>No</t>
        </is>
      </c>
      <c r="G645" t="inlineStr">
        <is>
          <t>1</t>
        </is>
      </c>
      <c r="H645" t="inlineStr">
        <is>
          <t>No</t>
        </is>
      </c>
      <c r="I645" t="inlineStr">
        <is>
          <t>No</t>
        </is>
      </c>
      <c r="J645" t="inlineStr">
        <is>
          <t>0</t>
        </is>
      </c>
      <c r="K645" t="inlineStr">
        <is>
          <t>Lerner, Harriet Goldhor.</t>
        </is>
      </c>
      <c r="L645" t="inlineStr">
        <is>
          <t>New York, N.Y. : Harper &amp; Row, c1989.</t>
        </is>
      </c>
      <c r="M645" t="inlineStr">
        <is>
          <t>1989</t>
        </is>
      </c>
      <c r="N645" t="inlineStr">
        <is>
          <t>1st ed.</t>
        </is>
      </c>
      <c r="O645" t="inlineStr">
        <is>
          <t>eng</t>
        </is>
      </c>
      <c r="P645" t="inlineStr">
        <is>
          <t>nyu</t>
        </is>
      </c>
      <c r="R645" t="inlineStr">
        <is>
          <t xml:space="preserve">HQ </t>
        </is>
      </c>
      <c r="S645" t="n">
        <v>30</v>
      </c>
      <c r="T645" t="n">
        <v>30</v>
      </c>
      <c r="U645" t="inlineStr">
        <is>
          <t>2006-02-24</t>
        </is>
      </c>
      <c r="V645" t="inlineStr">
        <is>
          <t>2006-02-24</t>
        </is>
      </c>
      <c r="W645" t="inlineStr">
        <is>
          <t>1990-03-26</t>
        </is>
      </c>
      <c r="X645" t="inlineStr">
        <is>
          <t>1990-03-26</t>
        </is>
      </c>
      <c r="Y645" t="n">
        <v>1434</v>
      </c>
      <c r="Z645" t="n">
        <v>1300</v>
      </c>
      <c r="AA645" t="n">
        <v>1914</v>
      </c>
      <c r="AB645" t="n">
        <v>12</v>
      </c>
      <c r="AC645" t="n">
        <v>18</v>
      </c>
      <c r="AD645" t="n">
        <v>17</v>
      </c>
      <c r="AE645" t="n">
        <v>27</v>
      </c>
      <c r="AF645" t="n">
        <v>5</v>
      </c>
      <c r="AG645" t="n">
        <v>12</v>
      </c>
      <c r="AH645" t="n">
        <v>4</v>
      </c>
      <c r="AI645" t="n">
        <v>7</v>
      </c>
      <c r="AJ645" t="n">
        <v>8</v>
      </c>
      <c r="AK645" t="n">
        <v>12</v>
      </c>
      <c r="AL645" t="n">
        <v>4</v>
      </c>
      <c r="AM645" t="n">
        <v>4</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HYPERLINK("https://creighton-primo.hosted.exlibrisgroup.com/primo-explore/search?tab=default_tab&amp;search_scope=EVERYTHING&amp;vid=01CRU&amp;lang=en_US&amp;offset=0&amp;query=any,contains,991001366899702656","Catalog Record")</f>
        <v/>
      </c>
      <c r="AT645">
        <f>HYPERLINK("http://www.worldcat.org/oclc/18559170","WorldCat Record")</f>
        <v/>
      </c>
      <c r="AU645" t="inlineStr">
        <is>
          <t>10067068:eng</t>
        </is>
      </c>
      <c r="AV645" t="inlineStr">
        <is>
          <t>18559170</t>
        </is>
      </c>
      <c r="AW645" t="inlineStr">
        <is>
          <t>991001366899702656</t>
        </is>
      </c>
      <c r="AX645" t="inlineStr">
        <is>
          <t>991001366899702656</t>
        </is>
      </c>
      <c r="AY645" t="inlineStr">
        <is>
          <t>2260719080002656</t>
        </is>
      </c>
      <c r="AZ645" t="inlineStr">
        <is>
          <t>BOOK</t>
        </is>
      </c>
      <c r="BB645" t="inlineStr">
        <is>
          <t>9780060160678</t>
        </is>
      </c>
      <c r="BC645" t="inlineStr">
        <is>
          <t>32285000021807</t>
        </is>
      </c>
      <c r="BD645" t="inlineStr">
        <is>
          <t>893231943</t>
        </is>
      </c>
    </row>
    <row r="646">
      <c r="A646" t="inlineStr">
        <is>
          <t>No</t>
        </is>
      </c>
      <c r="B646" t="inlineStr">
        <is>
          <t>HQ1206 .M23 1976</t>
        </is>
      </c>
      <c r="C646" t="inlineStr">
        <is>
          <t>0                      HQ 1206000M  23          1976</t>
        </is>
      </c>
      <c r="D646" t="inlineStr">
        <is>
          <t>A married feminist / Angela Barron McBride.</t>
        </is>
      </c>
      <c r="F646" t="inlineStr">
        <is>
          <t>No</t>
        </is>
      </c>
      <c r="G646" t="inlineStr">
        <is>
          <t>1</t>
        </is>
      </c>
      <c r="H646" t="inlineStr">
        <is>
          <t>No</t>
        </is>
      </c>
      <c r="I646" t="inlineStr">
        <is>
          <t>No</t>
        </is>
      </c>
      <c r="J646" t="inlineStr">
        <is>
          <t>0</t>
        </is>
      </c>
      <c r="K646" t="inlineStr">
        <is>
          <t>McBride, Angela Barron.</t>
        </is>
      </c>
      <c r="L646" t="inlineStr">
        <is>
          <t>New York : Harper &amp; Row, c1976.</t>
        </is>
      </c>
      <c r="M646" t="inlineStr">
        <is>
          <t>1976</t>
        </is>
      </c>
      <c r="N646" t="inlineStr">
        <is>
          <t>1st ed.</t>
        </is>
      </c>
      <c r="O646" t="inlineStr">
        <is>
          <t>eng</t>
        </is>
      </c>
      <c r="P646" t="inlineStr">
        <is>
          <t>nyu</t>
        </is>
      </c>
      <c r="R646" t="inlineStr">
        <is>
          <t xml:space="preserve">HQ </t>
        </is>
      </c>
      <c r="S646" t="n">
        <v>6</v>
      </c>
      <c r="T646" t="n">
        <v>6</v>
      </c>
      <c r="U646" t="inlineStr">
        <is>
          <t>2008-11-12</t>
        </is>
      </c>
      <c r="V646" t="inlineStr">
        <is>
          <t>2008-11-12</t>
        </is>
      </c>
      <c r="W646" t="inlineStr">
        <is>
          <t>1992-01-28</t>
        </is>
      </c>
      <c r="X646" t="inlineStr">
        <is>
          <t>1992-01-28</t>
        </is>
      </c>
      <c r="Y646" t="n">
        <v>411</v>
      </c>
      <c r="Z646" t="n">
        <v>370</v>
      </c>
      <c r="AA646" t="n">
        <v>376</v>
      </c>
      <c r="AB646" t="n">
        <v>2</v>
      </c>
      <c r="AC646" t="n">
        <v>2</v>
      </c>
      <c r="AD646" t="n">
        <v>8</v>
      </c>
      <c r="AE646" t="n">
        <v>8</v>
      </c>
      <c r="AF646" t="n">
        <v>2</v>
      </c>
      <c r="AG646" t="n">
        <v>2</v>
      </c>
      <c r="AH646" t="n">
        <v>4</v>
      </c>
      <c r="AI646" t="n">
        <v>4</v>
      </c>
      <c r="AJ646" t="n">
        <v>3</v>
      </c>
      <c r="AK646" t="n">
        <v>3</v>
      </c>
      <c r="AL646" t="n">
        <v>1</v>
      </c>
      <c r="AM646" t="n">
        <v>1</v>
      </c>
      <c r="AN646" t="n">
        <v>0</v>
      </c>
      <c r="AO646" t="n">
        <v>0</v>
      </c>
      <c r="AP646" t="inlineStr">
        <is>
          <t>No</t>
        </is>
      </c>
      <c r="AQ646" t="inlineStr">
        <is>
          <t>Yes</t>
        </is>
      </c>
      <c r="AR646">
        <f>HYPERLINK("http://catalog.hathitrust.org/Record/102067774","HathiTrust Record")</f>
        <v/>
      </c>
      <c r="AS646">
        <f>HYPERLINK("https://creighton-primo.hosted.exlibrisgroup.com/primo-explore/search?tab=default_tab&amp;search_scope=EVERYTHING&amp;vid=01CRU&amp;lang=en_US&amp;offset=0&amp;query=any,contains,991003958729702656","Catalog Record")</f>
        <v/>
      </c>
      <c r="AT646">
        <f>HYPERLINK("http://www.worldcat.org/oclc/1973772","WorldCat Record")</f>
        <v/>
      </c>
      <c r="AU646" t="inlineStr">
        <is>
          <t>2720266:eng</t>
        </is>
      </c>
      <c r="AV646" t="inlineStr">
        <is>
          <t>1973772</t>
        </is>
      </c>
      <c r="AW646" t="inlineStr">
        <is>
          <t>991003958729702656</t>
        </is>
      </c>
      <c r="AX646" t="inlineStr">
        <is>
          <t>991003958729702656</t>
        </is>
      </c>
      <c r="AY646" t="inlineStr">
        <is>
          <t>2265879640002656</t>
        </is>
      </c>
      <c r="AZ646" t="inlineStr">
        <is>
          <t>BOOK</t>
        </is>
      </c>
      <c r="BB646" t="inlineStr">
        <is>
          <t>9780060128814</t>
        </is>
      </c>
      <c r="BC646" t="inlineStr">
        <is>
          <t>32285000899723</t>
        </is>
      </c>
      <c r="BD646" t="inlineStr">
        <is>
          <t>893435710</t>
        </is>
      </c>
    </row>
    <row r="647">
      <c r="A647" t="inlineStr">
        <is>
          <t>No</t>
        </is>
      </c>
      <c r="B647" t="inlineStr">
        <is>
          <t>HQ1206 .M315 2001</t>
        </is>
      </c>
      <c r="C647" t="inlineStr">
        <is>
          <t>0                      HQ 1206000M  315         2001</t>
        </is>
      </c>
      <c r="D647" t="inlineStr">
        <is>
          <t>Creative negativity : four Victorian exemplars of the female quest / Carol Hanbery MacKay.</t>
        </is>
      </c>
      <c r="F647" t="inlineStr">
        <is>
          <t>No</t>
        </is>
      </c>
      <c r="G647" t="inlineStr">
        <is>
          <t>1</t>
        </is>
      </c>
      <c r="H647" t="inlineStr">
        <is>
          <t>No</t>
        </is>
      </c>
      <c r="I647" t="inlineStr">
        <is>
          <t>No</t>
        </is>
      </c>
      <c r="J647" t="inlineStr">
        <is>
          <t>0</t>
        </is>
      </c>
      <c r="K647" t="inlineStr">
        <is>
          <t>MacKay, Carol Hanbery.</t>
        </is>
      </c>
      <c r="L647" t="inlineStr">
        <is>
          <t>Stanford, Calif. : Stanford University Press, 2001.</t>
        </is>
      </c>
      <c r="M647" t="inlineStr">
        <is>
          <t>2001</t>
        </is>
      </c>
      <c r="O647" t="inlineStr">
        <is>
          <t>eng</t>
        </is>
      </c>
      <c r="P647" t="inlineStr">
        <is>
          <t>cau</t>
        </is>
      </c>
      <c r="R647" t="inlineStr">
        <is>
          <t xml:space="preserve">HQ </t>
        </is>
      </c>
      <c r="S647" t="n">
        <v>1</v>
      </c>
      <c r="T647" t="n">
        <v>1</v>
      </c>
      <c r="U647" t="inlineStr">
        <is>
          <t>2003-03-06</t>
        </is>
      </c>
      <c r="V647" t="inlineStr">
        <is>
          <t>2003-03-06</t>
        </is>
      </c>
      <c r="W647" t="inlineStr">
        <is>
          <t>2003-03-06</t>
        </is>
      </c>
      <c r="X647" t="inlineStr">
        <is>
          <t>2003-03-06</t>
        </is>
      </c>
      <c r="Y647" t="n">
        <v>332</v>
      </c>
      <c r="Z647" t="n">
        <v>271</v>
      </c>
      <c r="AA647" t="n">
        <v>292</v>
      </c>
      <c r="AB647" t="n">
        <v>2</v>
      </c>
      <c r="AC647" t="n">
        <v>4</v>
      </c>
      <c r="AD647" t="n">
        <v>18</v>
      </c>
      <c r="AE647" t="n">
        <v>21</v>
      </c>
      <c r="AF647" t="n">
        <v>6</v>
      </c>
      <c r="AG647" t="n">
        <v>7</v>
      </c>
      <c r="AH647" t="n">
        <v>6</v>
      </c>
      <c r="AI647" t="n">
        <v>6</v>
      </c>
      <c r="AJ647" t="n">
        <v>10</v>
      </c>
      <c r="AK647" t="n">
        <v>10</v>
      </c>
      <c r="AL647" t="n">
        <v>1</v>
      </c>
      <c r="AM647" t="n">
        <v>3</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HYPERLINK("https://creighton-primo.hosted.exlibrisgroup.com/primo-explore/search?tab=default_tab&amp;search_scope=EVERYTHING&amp;vid=01CRU&amp;lang=en_US&amp;offset=0&amp;query=any,contains,991003984989702656","Catalog Record")</f>
        <v/>
      </c>
      <c r="AT647">
        <f>HYPERLINK("http://www.worldcat.org/oclc/46394034","WorldCat Record")</f>
        <v/>
      </c>
      <c r="AU647" t="inlineStr">
        <is>
          <t>793904508:eng</t>
        </is>
      </c>
      <c r="AV647" t="inlineStr">
        <is>
          <t>46394034</t>
        </is>
      </c>
      <c r="AW647" t="inlineStr">
        <is>
          <t>991003984989702656</t>
        </is>
      </c>
      <c r="AX647" t="inlineStr">
        <is>
          <t>991003984989702656</t>
        </is>
      </c>
      <c r="AY647" t="inlineStr">
        <is>
          <t>2268831300002656</t>
        </is>
      </c>
      <c r="AZ647" t="inlineStr">
        <is>
          <t>BOOK</t>
        </is>
      </c>
      <c r="BB647" t="inlineStr">
        <is>
          <t>9780804738293</t>
        </is>
      </c>
      <c r="BC647" t="inlineStr">
        <is>
          <t>32285004682927</t>
        </is>
      </c>
      <c r="BD647" t="inlineStr">
        <is>
          <t>893253101</t>
        </is>
      </c>
    </row>
    <row r="648">
      <c r="A648" t="inlineStr">
        <is>
          <t>No</t>
        </is>
      </c>
      <c r="B648" t="inlineStr">
        <is>
          <t>HQ1206 .M33 1974</t>
        </is>
      </c>
      <c r="C648" t="inlineStr">
        <is>
          <t>0                      HQ 1206000M  33          1974</t>
        </is>
      </c>
      <c r="D648" t="inlineStr">
        <is>
          <t>Feminism as therapy / [by] Anica Vesel Mander [and] Anne Kent Rush.</t>
        </is>
      </c>
      <c r="F648" t="inlineStr">
        <is>
          <t>No</t>
        </is>
      </c>
      <c r="G648" t="inlineStr">
        <is>
          <t>1</t>
        </is>
      </c>
      <c r="H648" t="inlineStr">
        <is>
          <t>No</t>
        </is>
      </c>
      <c r="I648" t="inlineStr">
        <is>
          <t>No</t>
        </is>
      </c>
      <c r="J648" t="inlineStr">
        <is>
          <t>0</t>
        </is>
      </c>
      <c r="K648" t="inlineStr">
        <is>
          <t>Mander, Anica Vesel.</t>
        </is>
      </c>
      <c r="L648" t="inlineStr">
        <is>
          <t>[New York : Random House, 1974]</t>
        </is>
      </c>
      <c r="M648" t="inlineStr">
        <is>
          <t>1974</t>
        </is>
      </c>
      <c r="O648" t="inlineStr">
        <is>
          <t>eng</t>
        </is>
      </c>
      <c r="P648" t="inlineStr">
        <is>
          <t>nyu</t>
        </is>
      </c>
      <c r="R648" t="inlineStr">
        <is>
          <t xml:space="preserve">HQ </t>
        </is>
      </c>
      <c r="S648" t="n">
        <v>1</v>
      </c>
      <c r="T648" t="n">
        <v>1</v>
      </c>
      <c r="U648" t="inlineStr">
        <is>
          <t>1992-09-21</t>
        </is>
      </c>
      <c r="V648" t="inlineStr">
        <is>
          <t>1992-09-21</t>
        </is>
      </c>
      <c r="W648" t="inlineStr">
        <is>
          <t>1992-01-28</t>
        </is>
      </c>
      <c r="X648" t="inlineStr">
        <is>
          <t>1992-01-28</t>
        </is>
      </c>
      <c r="Y648" t="n">
        <v>397</v>
      </c>
      <c r="Z648" t="n">
        <v>338</v>
      </c>
      <c r="AA648" t="n">
        <v>346</v>
      </c>
      <c r="AB648" t="n">
        <v>3</v>
      </c>
      <c r="AC648" t="n">
        <v>3</v>
      </c>
      <c r="AD648" t="n">
        <v>10</v>
      </c>
      <c r="AE648" t="n">
        <v>10</v>
      </c>
      <c r="AF648" t="n">
        <v>2</v>
      </c>
      <c r="AG648" t="n">
        <v>2</v>
      </c>
      <c r="AH648" t="n">
        <v>3</v>
      </c>
      <c r="AI648" t="n">
        <v>3</v>
      </c>
      <c r="AJ648" t="n">
        <v>5</v>
      </c>
      <c r="AK648" t="n">
        <v>5</v>
      </c>
      <c r="AL648" t="n">
        <v>2</v>
      </c>
      <c r="AM648" t="n">
        <v>2</v>
      </c>
      <c r="AN648" t="n">
        <v>0</v>
      </c>
      <c r="AO648" t="n">
        <v>0</v>
      </c>
      <c r="AP648" t="inlineStr">
        <is>
          <t>No</t>
        </is>
      </c>
      <c r="AQ648" t="inlineStr">
        <is>
          <t>Yes</t>
        </is>
      </c>
      <c r="AR648">
        <f>HYPERLINK("http://catalog.hathitrust.org/Record/000729241","HathiTrust Record")</f>
        <v/>
      </c>
      <c r="AS648">
        <f>HYPERLINK("https://creighton-primo.hosted.exlibrisgroup.com/primo-explore/search?tab=default_tab&amp;search_scope=EVERYTHING&amp;vid=01CRU&amp;lang=en_US&amp;offset=0&amp;query=any,contains,991004389439702656","Catalog Record")</f>
        <v/>
      </c>
      <c r="AT648">
        <f>HYPERLINK("http://www.worldcat.org/oclc/3255861","WorldCat Record")</f>
        <v/>
      </c>
      <c r="AU648" t="inlineStr">
        <is>
          <t>4495058712:eng</t>
        </is>
      </c>
      <c r="AV648" t="inlineStr">
        <is>
          <t>3255861</t>
        </is>
      </c>
      <c r="AW648" t="inlineStr">
        <is>
          <t>991004389439702656</t>
        </is>
      </c>
      <c r="AX648" t="inlineStr">
        <is>
          <t>991004389439702656</t>
        </is>
      </c>
      <c r="AY648" t="inlineStr">
        <is>
          <t>2272449300002656</t>
        </is>
      </c>
      <c r="AZ648" t="inlineStr">
        <is>
          <t>BOOK</t>
        </is>
      </c>
      <c r="BB648" t="inlineStr">
        <is>
          <t>9780394494524</t>
        </is>
      </c>
      <c r="BC648" t="inlineStr">
        <is>
          <t>32285000919521</t>
        </is>
      </c>
      <c r="BD648" t="inlineStr">
        <is>
          <t>893235431</t>
        </is>
      </c>
    </row>
    <row r="649">
      <c r="A649" t="inlineStr">
        <is>
          <t>No</t>
        </is>
      </c>
      <c r="B649" t="inlineStr">
        <is>
          <t>HQ1206 .M342 1988</t>
        </is>
      </c>
      <c r="C649" t="inlineStr">
        <is>
          <t>0                      HQ 1206000M  342         1988</t>
        </is>
      </c>
      <c r="D649" t="inlineStr">
        <is>
          <t>Mapping the moral domain : a contribution of women's thinking to psychological theory and education / edited by Carol Gilligan ... [et al.].</t>
        </is>
      </c>
      <c r="F649" t="inlineStr">
        <is>
          <t>No</t>
        </is>
      </c>
      <c r="G649" t="inlineStr">
        <is>
          <t>1</t>
        </is>
      </c>
      <c r="H649" t="inlineStr">
        <is>
          <t>No</t>
        </is>
      </c>
      <c r="I649" t="inlineStr">
        <is>
          <t>No</t>
        </is>
      </c>
      <c r="J649" t="inlineStr">
        <is>
          <t>0</t>
        </is>
      </c>
      <c r="L649" t="inlineStr">
        <is>
          <t>Cambridge, Mass. : Center for the Study of Gender, Education, and Human Development, Harvard University Graduate School of Education : Distributed by Harvard University Press, c1988.</t>
        </is>
      </c>
      <c r="M649" t="inlineStr">
        <is>
          <t>1988</t>
        </is>
      </c>
      <c r="O649" t="inlineStr">
        <is>
          <t>eng</t>
        </is>
      </c>
      <c r="P649" t="inlineStr">
        <is>
          <t>mau</t>
        </is>
      </c>
      <c r="R649" t="inlineStr">
        <is>
          <t xml:space="preserve">HQ </t>
        </is>
      </c>
      <c r="S649" t="n">
        <v>34</v>
      </c>
      <c r="T649" t="n">
        <v>34</v>
      </c>
      <c r="U649" t="inlineStr">
        <is>
          <t>2005-11-17</t>
        </is>
      </c>
      <c r="V649" t="inlineStr">
        <is>
          <t>2005-11-17</t>
        </is>
      </c>
      <c r="W649" t="inlineStr">
        <is>
          <t>1990-07-05</t>
        </is>
      </c>
      <c r="X649" t="inlineStr">
        <is>
          <t>1990-07-05</t>
        </is>
      </c>
      <c r="Y649" t="n">
        <v>1108</v>
      </c>
      <c r="Z649" t="n">
        <v>913</v>
      </c>
      <c r="AA649" t="n">
        <v>926</v>
      </c>
      <c r="AB649" t="n">
        <v>9</v>
      </c>
      <c r="AC649" t="n">
        <v>9</v>
      </c>
      <c r="AD649" t="n">
        <v>47</v>
      </c>
      <c r="AE649" t="n">
        <v>47</v>
      </c>
      <c r="AF649" t="n">
        <v>16</v>
      </c>
      <c r="AG649" t="n">
        <v>16</v>
      </c>
      <c r="AH649" t="n">
        <v>11</v>
      </c>
      <c r="AI649" t="n">
        <v>11</v>
      </c>
      <c r="AJ649" t="n">
        <v>22</v>
      </c>
      <c r="AK649" t="n">
        <v>22</v>
      </c>
      <c r="AL649" t="n">
        <v>7</v>
      </c>
      <c r="AM649" t="n">
        <v>7</v>
      </c>
      <c r="AN649" t="n">
        <v>4</v>
      </c>
      <c r="AO649" t="n">
        <v>4</v>
      </c>
      <c r="AP649" t="inlineStr">
        <is>
          <t>No</t>
        </is>
      </c>
      <c r="AQ649" t="inlineStr">
        <is>
          <t>Yes</t>
        </is>
      </c>
      <c r="AR649">
        <f>HYPERLINK("http://catalog.hathitrust.org/Record/001086648","HathiTrust Record")</f>
        <v/>
      </c>
      <c r="AS649">
        <f>HYPERLINK("https://creighton-primo.hosted.exlibrisgroup.com/primo-explore/search?tab=default_tab&amp;search_scope=EVERYTHING&amp;vid=01CRU&amp;lang=en_US&amp;offset=0&amp;query=any,contains,991001161259702656","Catalog Record")</f>
        <v/>
      </c>
      <c r="AT649">
        <f>HYPERLINK("http://www.worldcat.org/oclc/16900428","WorldCat Record")</f>
        <v/>
      </c>
      <c r="AU649" t="inlineStr">
        <is>
          <t>796512044:eng</t>
        </is>
      </c>
      <c r="AV649" t="inlineStr">
        <is>
          <t>16900428</t>
        </is>
      </c>
      <c r="AW649" t="inlineStr">
        <is>
          <t>991001161259702656</t>
        </is>
      </c>
      <c r="AX649" t="inlineStr">
        <is>
          <t>991001161259702656</t>
        </is>
      </c>
      <c r="AY649" t="inlineStr">
        <is>
          <t>2266582230002656</t>
        </is>
      </c>
      <c r="AZ649" t="inlineStr">
        <is>
          <t>BOOK</t>
        </is>
      </c>
      <c r="BB649" t="inlineStr">
        <is>
          <t>9780674548329</t>
        </is>
      </c>
      <c r="BC649" t="inlineStr">
        <is>
          <t>32285000220979</t>
        </is>
      </c>
      <c r="BD649" t="inlineStr">
        <is>
          <t>893866014</t>
        </is>
      </c>
    </row>
    <row r="650">
      <c r="A650" t="inlineStr">
        <is>
          <t>No</t>
        </is>
      </c>
      <c r="B650" t="inlineStr">
        <is>
          <t>HQ1206 .M354 2000</t>
        </is>
      </c>
      <c r="C650" t="inlineStr">
        <is>
          <t>0                      HQ 1206000M  354         2000</t>
        </is>
      </c>
      <c r="D650" t="inlineStr">
        <is>
          <t>The psychology of women / Margaret W. Matlin.</t>
        </is>
      </c>
      <c r="F650" t="inlineStr">
        <is>
          <t>No</t>
        </is>
      </c>
      <c r="G650" t="inlineStr">
        <is>
          <t>1</t>
        </is>
      </c>
      <c r="H650" t="inlineStr">
        <is>
          <t>No</t>
        </is>
      </c>
      <c r="I650" t="inlineStr">
        <is>
          <t>Yes</t>
        </is>
      </c>
      <c r="J650" t="inlineStr">
        <is>
          <t>0</t>
        </is>
      </c>
      <c r="K650" t="inlineStr">
        <is>
          <t>Matlin, Margaret W.</t>
        </is>
      </c>
      <c r="L650" t="inlineStr">
        <is>
          <t>Fort Worth : Harcourt College Publishers, c2000.</t>
        </is>
      </c>
      <c r="M650" t="inlineStr">
        <is>
          <t>2000</t>
        </is>
      </c>
      <c r="N650" t="inlineStr">
        <is>
          <t>4th ed.</t>
        </is>
      </c>
      <c r="O650" t="inlineStr">
        <is>
          <t>eng</t>
        </is>
      </c>
      <c r="P650" t="inlineStr">
        <is>
          <t>txu</t>
        </is>
      </c>
      <c r="R650" t="inlineStr">
        <is>
          <t xml:space="preserve">HQ </t>
        </is>
      </c>
      <c r="S650" t="n">
        <v>2</v>
      </c>
      <c r="T650" t="n">
        <v>2</v>
      </c>
      <c r="U650" t="inlineStr">
        <is>
          <t>2003-08-13</t>
        </is>
      </c>
      <c r="V650" t="inlineStr">
        <is>
          <t>2003-08-13</t>
        </is>
      </c>
      <c r="W650" t="inlineStr">
        <is>
          <t>2002-05-08</t>
        </is>
      </c>
      <c r="X650" t="inlineStr">
        <is>
          <t>2002-05-08</t>
        </is>
      </c>
      <c r="Y650" t="n">
        <v>93</v>
      </c>
      <c r="Z650" t="n">
        <v>44</v>
      </c>
      <c r="AA650" t="n">
        <v>479</v>
      </c>
      <c r="AB650" t="n">
        <v>1</v>
      </c>
      <c r="AC650" t="n">
        <v>2</v>
      </c>
      <c r="AD650" t="n">
        <v>1</v>
      </c>
      <c r="AE650" t="n">
        <v>13</v>
      </c>
      <c r="AF650" t="n">
        <v>1</v>
      </c>
      <c r="AG650" t="n">
        <v>5</v>
      </c>
      <c r="AH650" t="n">
        <v>0</v>
      </c>
      <c r="AI650" t="n">
        <v>4</v>
      </c>
      <c r="AJ650" t="n">
        <v>1</v>
      </c>
      <c r="AK650" t="n">
        <v>7</v>
      </c>
      <c r="AL650" t="n">
        <v>0</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HYPERLINK("https://creighton-primo.hosted.exlibrisgroup.com/primo-explore/search?tab=default_tab&amp;search_scope=EVERYTHING&amp;vid=01CRU&amp;lang=en_US&amp;offset=0&amp;query=any,contains,991003774029702656","Catalog Record")</f>
        <v/>
      </c>
      <c r="AT650">
        <f>HYPERLINK("http://www.worldcat.org/oclc/41620938","WorldCat Record")</f>
        <v/>
      </c>
      <c r="AU650" t="inlineStr">
        <is>
          <t>713718:eng</t>
        </is>
      </c>
      <c r="AV650" t="inlineStr">
        <is>
          <t>41620938</t>
        </is>
      </c>
      <c r="AW650" t="inlineStr">
        <is>
          <t>991003774029702656</t>
        </is>
      </c>
      <c r="AX650" t="inlineStr">
        <is>
          <t>991003774029702656</t>
        </is>
      </c>
      <c r="AY650" t="inlineStr">
        <is>
          <t>2268074610002656</t>
        </is>
      </c>
      <c r="AZ650" t="inlineStr">
        <is>
          <t>BOOK</t>
        </is>
      </c>
      <c r="BB650" t="inlineStr">
        <is>
          <t>9780155078963</t>
        </is>
      </c>
      <c r="BC650" t="inlineStr">
        <is>
          <t>32285004486279</t>
        </is>
      </c>
      <c r="BD650" t="inlineStr">
        <is>
          <t>893617729</t>
        </is>
      </c>
    </row>
    <row r="651">
      <c r="A651" t="inlineStr">
        <is>
          <t>No</t>
        </is>
      </c>
      <c r="B651" t="inlineStr">
        <is>
          <t>HQ1206 .M37 1982</t>
        </is>
      </c>
      <c r="C651" t="inlineStr">
        <is>
          <t>0                      HQ 1206000M  37          1982</t>
        </is>
      </c>
      <c r="D651" t="inlineStr">
        <is>
          <t>Women, reason, and nature : some philosophical problems with feminism / Carol McMillan.</t>
        </is>
      </c>
      <c r="F651" t="inlineStr">
        <is>
          <t>No</t>
        </is>
      </c>
      <c r="G651" t="inlineStr">
        <is>
          <t>1</t>
        </is>
      </c>
      <c r="H651" t="inlineStr">
        <is>
          <t>No</t>
        </is>
      </c>
      <c r="I651" t="inlineStr">
        <is>
          <t>No</t>
        </is>
      </c>
      <c r="J651" t="inlineStr">
        <is>
          <t>0</t>
        </is>
      </c>
      <c r="K651" t="inlineStr">
        <is>
          <t>McMillan, Carol, 1954-</t>
        </is>
      </c>
      <c r="L651" t="inlineStr">
        <is>
          <t>Princeton, N.J. : Princeton University Press, c1982.</t>
        </is>
      </c>
      <c r="M651" t="inlineStr">
        <is>
          <t>1982</t>
        </is>
      </c>
      <c r="O651" t="inlineStr">
        <is>
          <t>eng</t>
        </is>
      </c>
      <c r="P651" t="inlineStr">
        <is>
          <t>nju</t>
        </is>
      </c>
      <c r="R651" t="inlineStr">
        <is>
          <t xml:space="preserve">HQ </t>
        </is>
      </c>
      <c r="S651" t="n">
        <v>3</v>
      </c>
      <c r="T651" t="n">
        <v>3</v>
      </c>
      <c r="U651" t="inlineStr">
        <is>
          <t>1997-02-10</t>
        </is>
      </c>
      <c r="V651" t="inlineStr">
        <is>
          <t>1997-02-10</t>
        </is>
      </c>
      <c r="W651" t="inlineStr">
        <is>
          <t>1990-07-05</t>
        </is>
      </c>
      <c r="X651" t="inlineStr">
        <is>
          <t>1990-07-05</t>
        </is>
      </c>
      <c r="Y651" t="n">
        <v>643</v>
      </c>
      <c r="Z651" t="n">
        <v>579</v>
      </c>
      <c r="AA651" t="n">
        <v>611</v>
      </c>
      <c r="AB651" t="n">
        <v>3</v>
      </c>
      <c r="AC651" t="n">
        <v>3</v>
      </c>
      <c r="AD651" t="n">
        <v>31</v>
      </c>
      <c r="AE651" t="n">
        <v>31</v>
      </c>
      <c r="AF651" t="n">
        <v>11</v>
      </c>
      <c r="AG651" t="n">
        <v>11</v>
      </c>
      <c r="AH651" t="n">
        <v>9</v>
      </c>
      <c r="AI651" t="n">
        <v>9</v>
      </c>
      <c r="AJ651" t="n">
        <v>18</v>
      </c>
      <c r="AK651" t="n">
        <v>18</v>
      </c>
      <c r="AL651" t="n">
        <v>2</v>
      </c>
      <c r="AM651" t="n">
        <v>2</v>
      </c>
      <c r="AN651" t="n">
        <v>1</v>
      </c>
      <c r="AO651" t="n">
        <v>1</v>
      </c>
      <c r="AP651" t="inlineStr">
        <is>
          <t>No</t>
        </is>
      </c>
      <c r="AQ651" t="inlineStr">
        <is>
          <t>No</t>
        </is>
      </c>
      <c r="AS651">
        <f>HYPERLINK("https://creighton-primo.hosted.exlibrisgroup.com/primo-explore/search?tab=default_tab&amp;search_scope=EVERYTHING&amp;vid=01CRU&amp;lang=en_US&amp;offset=0&amp;query=any,contains,991000024509702656","Catalog Record")</f>
        <v/>
      </c>
      <c r="AT651">
        <f>HYPERLINK("http://www.worldcat.org/oclc/8587837","WorldCat Record")</f>
        <v/>
      </c>
      <c r="AU651" t="inlineStr">
        <is>
          <t>836705773:eng</t>
        </is>
      </c>
      <c r="AV651" t="inlineStr">
        <is>
          <t>8587837</t>
        </is>
      </c>
      <c r="AW651" t="inlineStr">
        <is>
          <t>991000024509702656</t>
        </is>
      </c>
      <c r="AX651" t="inlineStr">
        <is>
          <t>991000024509702656</t>
        </is>
      </c>
      <c r="AY651" t="inlineStr">
        <is>
          <t>2259539000002656</t>
        </is>
      </c>
      <c r="AZ651" t="inlineStr">
        <is>
          <t>BOOK</t>
        </is>
      </c>
      <c r="BB651" t="inlineStr">
        <is>
          <t>9780691072746</t>
        </is>
      </c>
      <c r="BC651" t="inlineStr">
        <is>
          <t>32285000220987</t>
        </is>
      </c>
      <c r="BD651" t="inlineStr">
        <is>
          <t>893701768</t>
        </is>
      </c>
    </row>
    <row r="652">
      <c r="A652" t="inlineStr">
        <is>
          <t>No</t>
        </is>
      </c>
      <c r="B652" t="inlineStr">
        <is>
          <t>HQ1206 .M399 1989</t>
        </is>
      </c>
      <c r="C652" t="inlineStr">
        <is>
          <t>0                      HQ 1206000M  399         1989</t>
        </is>
      </c>
      <c r="D652" t="inlineStr">
        <is>
          <t>Transitions in a woman's life : major life events in developmental context / Ramona T. Mercer, Elizabeth G. Nichols, Glen Caspers Doyle.</t>
        </is>
      </c>
      <c r="F652" t="inlineStr">
        <is>
          <t>No</t>
        </is>
      </c>
      <c r="G652" t="inlineStr">
        <is>
          <t>1</t>
        </is>
      </c>
      <c r="H652" t="inlineStr">
        <is>
          <t>No</t>
        </is>
      </c>
      <c r="I652" t="inlineStr">
        <is>
          <t>No</t>
        </is>
      </c>
      <c r="J652" t="inlineStr">
        <is>
          <t>0</t>
        </is>
      </c>
      <c r="K652" t="inlineStr">
        <is>
          <t>Mercer, Ramona Thieme.</t>
        </is>
      </c>
      <c r="L652" t="inlineStr">
        <is>
          <t>New York : Springer Pub. Co., c1989.</t>
        </is>
      </c>
      <c r="M652" t="inlineStr">
        <is>
          <t>1989</t>
        </is>
      </c>
      <c r="O652" t="inlineStr">
        <is>
          <t>eng</t>
        </is>
      </c>
      <c r="P652" t="inlineStr">
        <is>
          <t>nyu</t>
        </is>
      </c>
      <c r="Q652" t="inlineStr">
        <is>
          <t>Springer series, focus on women</t>
        </is>
      </c>
      <c r="R652" t="inlineStr">
        <is>
          <t xml:space="preserve">HQ </t>
        </is>
      </c>
      <c r="S652" t="n">
        <v>4</v>
      </c>
      <c r="T652" t="n">
        <v>4</v>
      </c>
      <c r="U652" t="inlineStr">
        <is>
          <t>1996-09-04</t>
        </is>
      </c>
      <c r="V652" t="inlineStr">
        <is>
          <t>1996-09-04</t>
        </is>
      </c>
      <c r="W652" t="inlineStr">
        <is>
          <t>1989-10-23</t>
        </is>
      </c>
      <c r="X652" t="inlineStr">
        <is>
          <t>1989-10-23</t>
        </is>
      </c>
      <c r="Y652" t="n">
        <v>526</v>
      </c>
      <c r="Z652" t="n">
        <v>448</v>
      </c>
      <c r="AA652" t="n">
        <v>454</v>
      </c>
      <c r="AB652" t="n">
        <v>5</v>
      </c>
      <c r="AC652" t="n">
        <v>5</v>
      </c>
      <c r="AD652" t="n">
        <v>23</v>
      </c>
      <c r="AE652" t="n">
        <v>23</v>
      </c>
      <c r="AF652" t="n">
        <v>8</v>
      </c>
      <c r="AG652" t="n">
        <v>8</v>
      </c>
      <c r="AH652" t="n">
        <v>5</v>
      </c>
      <c r="AI652" t="n">
        <v>5</v>
      </c>
      <c r="AJ652" t="n">
        <v>14</v>
      </c>
      <c r="AK652" t="n">
        <v>14</v>
      </c>
      <c r="AL652" t="n">
        <v>4</v>
      </c>
      <c r="AM652" t="n">
        <v>4</v>
      </c>
      <c r="AN652" t="n">
        <v>0</v>
      </c>
      <c r="AO652" t="n">
        <v>0</v>
      </c>
      <c r="AP652" t="inlineStr">
        <is>
          <t>No</t>
        </is>
      </c>
      <c r="AQ652" t="inlineStr">
        <is>
          <t>Yes</t>
        </is>
      </c>
      <c r="AR652">
        <f>HYPERLINK("http://catalog.hathitrust.org/Record/001825299","HathiTrust Record")</f>
        <v/>
      </c>
      <c r="AS652">
        <f>HYPERLINK("https://creighton-primo.hosted.exlibrisgroup.com/primo-explore/search?tab=default_tab&amp;search_scope=EVERYTHING&amp;vid=01CRU&amp;lang=en_US&amp;offset=0&amp;query=any,contains,991001434979702656","Catalog Record")</f>
        <v/>
      </c>
      <c r="AT652">
        <f>HYPERLINK("http://www.worldcat.org/oclc/19127633","WorldCat Record")</f>
        <v/>
      </c>
      <c r="AU652" t="inlineStr">
        <is>
          <t>967657:eng</t>
        </is>
      </c>
      <c r="AV652" t="inlineStr">
        <is>
          <t>19127633</t>
        </is>
      </c>
      <c r="AW652" t="inlineStr">
        <is>
          <t>991001434979702656</t>
        </is>
      </c>
      <c r="AX652" t="inlineStr">
        <is>
          <t>991001434979702656</t>
        </is>
      </c>
      <c r="AY652" t="inlineStr">
        <is>
          <t>2272478290002656</t>
        </is>
      </c>
      <c r="AZ652" t="inlineStr">
        <is>
          <t>BOOK</t>
        </is>
      </c>
      <c r="BB652" t="inlineStr">
        <is>
          <t>9780826165602</t>
        </is>
      </c>
      <c r="BC652" t="inlineStr">
        <is>
          <t>32285000004639</t>
        </is>
      </c>
      <c r="BD652" t="inlineStr">
        <is>
          <t>893621387</t>
        </is>
      </c>
    </row>
    <row r="653">
      <c r="A653" t="inlineStr">
        <is>
          <t>No</t>
        </is>
      </c>
      <c r="B653" t="inlineStr">
        <is>
          <t>HQ1206 .M56 1975</t>
        </is>
      </c>
      <c r="C653" t="inlineStr">
        <is>
          <t>0                      HQ 1206000M  56          1975</t>
        </is>
      </c>
      <c r="D653" t="inlineStr">
        <is>
          <t>Psychoanalysis and feminism: [Freud, Reich, Laing, and women]</t>
        </is>
      </c>
      <c r="F653" t="inlineStr">
        <is>
          <t>No</t>
        </is>
      </c>
      <c r="G653" t="inlineStr">
        <is>
          <t>1</t>
        </is>
      </c>
      <c r="H653" t="inlineStr">
        <is>
          <t>No</t>
        </is>
      </c>
      <c r="I653" t="inlineStr">
        <is>
          <t>No</t>
        </is>
      </c>
      <c r="J653" t="inlineStr">
        <is>
          <t>0</t>
        </is>
      </c>
      <c r="K653" t="inlineStr">
        <is>
          <t>Mitchell, Juliet, 1940-</t>
        </is>
      </c>
      <c r="L653" t="inlineStr">
        <is>
          <t>New York, Vintage Books [1975, c1974]</t>
        </is>
      </c>
      <c r="M653" t="inlineStr">
        <is>
          <t>1975</t>
        </is>
      </c>
      <c r="O653" t="inlineStr">
        <is>
          <t>eng</t>
        </is>
      </c>
      <c r="P653" t="inlineStr">
        <is>
          <t>nyu</t>
        </is>
      </c>
      <c r="R653" t="inlineStr">
        <is>
          <t xml:space="preserve">HQ </t>
        </is>
      </c>
      <c r="S653" t="n">
        <v>1</v>
      </c>
      <c r="T653" t="n">
        <v>1</v>
      </c>
      <c r="U653" t="inlineStr">
        <is>
          <t>1994-10-12</t>
        </is>
      </c>
      <c r="V653" t="inlineStr">
        <is>
          <t>1994-10-12</t>
        </is>
      </c>
      <c r="W653" t="inlineStr">
        <is>
          <t>1990-07-05</t>
        </is>
      </c>
      <c r="X653" t="inlineStr">
        <is>
          <t>1990-07-05</t>
        </is>
      </c>
      <c r="Y653" t="n">
        <v>426</v>
      </c>
      <c r="Z653" t="n">
        <v>368</v>
      </c>
      <c r="AA653" t="n">
        <v>1041</v>
      </c>
      <c r="AB653" t="n">
        <v>4</v>
      </c>
      <c r="AC653" t="n">
        <v>7</v>
      </c>
      <c r="AD653" t="n">
        <v>17</v>
      </c>
      <c r="AE653" t="n">
        <v>42</v>
      </c>
      <c r="AF653" t="n">
        <v>8</v>
      </c>
      <c r="AG653" t="n">
        <v>19</v>
      </c>
      <c r="AH653" t="n">
        <v>1</v>
      </c>
      <c r="AI653" t="n">
        <v>8</v>
      </c>
      <c r="AJ653" t="n">
        <v>9</v>
      </c>
      <c r="AK653" t="n">
        <v>19</v>
      </c>
      <c r="AL653" t="n">
        <v>3</v>
      </c>
      <c r="AM653" t="n">
        <v>6</v>
      </c>
      <c r="AN653" t="n">
        <v>0</v>
      </c>
      <c r="AO653" t="n">
        <v>0</v>
      </c>
      <c r="AP653" t="inlineStr">
        <is>
          <t>No</t>
        </is>
      </c>
      <c r="AQ653" t="inlineStr">
        <is>
          <t>Yes</t>
        </is>
      </c>
      <c r="AR653">
        <f>HYPERLINK("http://catalog.hathitrust.org/Record/000728352","HathiTrust Record")</f>
        <v/>
      </c>
      <c r="AS653">
        <f>HYPERLINK("https://creighton-primo.hosted.exlibrisgroup.com/primo-explore/search?tab=default_tab&amp;search_scope=EVERYTHING&amp;vid=01CRU&amp;lang=en_US&amp;offset=0&amp;query=any,contains,991003495979702656","Catalog Record")</f>
        <v/>
      </c>
      <c r="AT653">
        <f>HYPERLINK("http://www.worldcat.org/oclc/1046170","WorldCat Record")</f>
        <v/>
      </c>
      <c r="AU653" t="inlineStr">
        <is>
          <t>1733924:eng</t>
        </is>
      </c>
      <c r="AV653" t="inlineStr">
        <is>
          <t>1046170</t>
        </is>
      </c>
      <c r="AW653" t="inlineStr">
        <is>
          <t>991003495979702656</t>
        </is>
      </c>
      <c r="AX653" t="inlineStr">
        <is>
          <t>991003495979702656</t>
        </is>
      </c>
      <c r="AY653" t="inlineStr">
        <is>
          <t>2266719340002656</t>
        </is>
      </c>
      <c r="AZ653" t="inlineStr">
        <is>
          <t>BOOK</t>
        </is>
      </c>
      <c r="BB653" t="inlineStr">
        <is>
          <t>9780394714424</t>
        </is>
      </c>
      <c r="BC653" t="inlineStr">
        <is>
          <t>32285000221001</t>
        </is>
      </c>
      <c r="BD653" t="inlineStr">
        <is>
          <t>893692765</t>
        </is>
      </c>
    </row>
    <row r="654">
      <c r="A654" t="inlineStr">
        <is>
          <t>No</t>
        </is>
      </c>
      <c r="B654" t="inlineStr">
        <is>
          <t>HQ1206 .O24</t>
        </is>
      </c>
      <c r="C654" t="inlineStr">
        <is>
          <t>0                      HQ 1206000O  24</t>
        </is>
      </c>
      <c r="D654" t="inlineStr">
        <is>
          <t>The politics of reproduction / Mary O'Brien.</t>
        </is>
      </c>
      <c r="F654" t="inlineStr">
        <is>
          <t>No</t>
        </is>
      </c>
      <c r="G654" t="inlineStr">
        <is>
          <t>1</t>
        </is>
      </c>
      <c r="H654" t="inlineStr">
        <is>
          <t>No</t>
        </is>
      </c>
      <c r="I654" t="inlineStr">
        <is>
          <t>No</t>
        </is>
      </c>
      <c r="J654" t="inlineStr">
        <is>
          <t>0</t>
        </is>
      </c>
      <c r="K654" t="inlineStr">
        <is>
          <t>O'Brien, Mary.</t>
        </is>
      </c>
      <c r="L654" t="inlineStr">
        <is>
          <t>Boston : Routledge &amp; Kegan Paul, 1981.</t>
        </is>
      </c>
      <c r="M654" t="inlineStr">
        <is>
          <t>1981</t>
        </is>
      </c>
      <c r="O654" t="inlineStr">
        <is>
          <t>eng</t>
        </is>
      </c>
      <c r="P654" t="inlineStr">
        <is>
          <t>mau</t>
        </is>
      </c>
      <c r="R654" t="inlineStr">
        <is>
          <t xml:space="preserve">HQ </t>
        </is>
      </c>
      <c r="S654" t="n">
        <v>3</v>
      </c>
      <c r="T654" t="n">
        <v>3</v>
      </c>
      <c r="U654" t="inlineStr">
        <is>
          <t>1992-11-09</t>
        </is>
      </c>
      <c r="V654" t="inlineStr">
        <is>
          <t>1992-11-09</t>
        </is>
      </c>
      <c r="W654" t="inlineStr">
        <is>
          <t>1990-07-05</t>
        </is>
      </c>
      <c r="X654" t="inlineStr">
        <is>
          <t>1990-07-05</t>
        </is>
      </c>
      <c r="Y654" t="n">
        <v>581</v>
      </c>
      <c r="Z654" t="n">
        <v>387</v>
      </c>
      <c r="AA654" t="n">
        <v>459</v>
      </c>
      <c r="AB654" t="n">
        <v>2</v>
      </c>
      <c r="AC654" t="n">
        <v>2</v>
      </c>
      <c r="AD654" t="n">
        <v>15</v>
      </c>
      <c r="AE654" t="n">
        <v>22</v>
      </c>
      <c r="AF654" t="n">
        <v>7</v>
      </c>
      <c r="AG654" t="n">
        <v>12</v>
      </c>
      <c r="AH654" t="n">
        <v>2</v>
      </c>
      <c r="AI654" t="n">
        <v>5</v>
      </c>
      <c r="AJ654" t="n">
        <v>10</v>
      </c>
      <c r="AK654" t="n">
        <v>13</v>
      </c>
      <c r="AL654" t="n">
        <v>1</v>
      </c>
      <c r="AM654" t="n">
        <v>1</v>
      </c>
      <c r="AN654" t="n">
        <v>0</v>
      </c>
      <c r="AO654" t="n">
        <v>0</v>
      </c>
      <c r="AP654" t="inlineStr">
        <is>
          <t>No</t>
        </is>
      </c>
      <c r="AQ654" t="inlineStr">
        <is>
          <t>Yes</t>
        </is>
      </c>
      <c r="AR654">
        <f>HYPERLINK("http://catalog.hathitrust.org/Record/000580922","HathiTrust Record")</f>
        <v/>
      </c>
      <c r="AS654">
        <f>HYPERLINK("https://creighton-primo.hosted.exlibrisgroup.com/primo-explore/search?tab=default_tab&amp;search_scope=EVERYTHING&amp;vid=01CRU&amp;lang=en_US&amp;offset=0&amp;query=any,contains,991005169969702656","Catalog Record")</f>
        <v/>
      </c>
      <c r="AT654">
        <f>HYPERLINK("http://www.worldcat.org/oclc/7849275","WorldCat Record")</f>
        <v/>
      </c>
      <c r="AU654" t="inlineStr">
        <is>
          <t>3774124:eng</t>
        </is>
      </c>
      <c r="AV654" t="inlineStr">
        <is>
          <t>7849275</t>
        </is>
      </c>
      <c r="AW654" t="inlineStr">
        <is>
          <t>991005169969702656</t>
        </is>
      </c>
      <c r="AX654" t="inlineStr">
        <is>
          <t>991005169969702656</t>
        </is>
      </c>
      <c r="AY654" t="inlineStr">
        <is>
          <t>2257418370002656</t>
        </is>
      </c>
      <c r="AZ654" t="inlineStr">
        <is>
          <t>BOOK</t>
        </is>
      </c>
      <c r="BB654" t="inlineStr">
        <is>
          <t>9780710008107</t>
        </is>
      </c>
      <c r="BC654" t="inlineStr">
        <is>
          <t>32285000221019</t>
        </is>
      </c>
      <c r="BD654" t="inlineStr">
        <is>
          <t>893520566</t>
        </is>
      </c>
    </row>
    <row r="655">
      <c r="A655" t="inlineStr">
        <is>
          <t>No</t>
        </is>
      </c>
      <c r="B655" t="inlineStr">
        <is>
          <t>HQ1206 .O25 1992</t>
        </is>
      </c>
      <c r="C655" t="inlineStr">
        <is>
          <t>0                      HQ 1206000O  25          1992</t>
        </is>
      </c>
      <c r="D655" t="inlineStr">
        <is>
          <t>Friendships between women : a critical review / Pat O'Connor.</t>
        </is>
      </c>
      <c r="F655" t="inlineStr">
        <is>
          <t>No</t>
        </is>
      </c>
      <c r="G655" t="inlineStr">
        <is>
          <t>1</t>
        </is>
      </c>
      <c r="H655" t="inlineStr">
        <is>
          <t>No</t>
        </is>
      </c>
      <c r="I655" t="inlineStr">
        <is>
          <t>No</t>
        </is>
      </c>
      <c r="J655" t="inlineStr">
        <is>
          <t>0</t>
        </is>
      </c>
      <c r="K655" t="inlineStr">
        <is>
          <t>O'Connor, Pat, 1950-</t>
        </is>
      </c>
      <c r="L655" t="inlineStr">
        <is>
          <t>New York : Guilford Press, c1992.</t>
        </is>
      </c>
      <c r="M655" t="inlineStr">
        <is>
          <t>1992</t>
        </is>
      </c>
      <c r="O655" t="inlineStr">
        <is>
          <t>eng</t>
        </is>
      </c>
      <c r="P655" t="inlineStr">
        <is>
          <t>nyu</t>
        </is>
      </c>
      <c r="Q655" t="inlineStr">
        <is>
          <t>The Guilford series on personal relationships</t>
        </is>
      </c>
      <c r="R655" t="inlineStr">
        <is>
          <t xml:space="preserve">HQ </t>
        </is>
      </c>
      <c r="S655" t="n">
        <v>9</v>
      </c>
      <c r="T655" t="n">
        <v>9</v>
      </c>
      <c r="U655" t="inlineStr">
        <is>
          <t>2009-06-11</t>
        </is>
      </c>
      <c r="V655" t="inlineStr">
        <is>
          <t>2009-06-11</t>
        </is>
      </c>
      <c r="W655" t="inlineStr">
        <is>
          <t>1994-12-13</t>
        </is>
      </c>
      <c r="X655" t="inlineStr">
        <is>
          <t>1994-12-13</t>
        </is>
      </c>
      <c r="Y655" t="n">
        <v>544</v>
      </c>
      <c r="Z655" t="n">
        <v>491</v>
      </c>
      <c r="AA655" t="n">
        <v>548</v>
      </c>
      <c r="AB655" t="n">
        <v>6</v>
      </c>
      <c r="AC655" t="n">
        <v>7</v>
      </c>
      <c r="AD655" t="n">
        <v>29</v>
      </c>
      <c r="AE655" t="n">
        <v>31</v>
      </c>
      <c r="AF655" t="n">
        <v>9</v>
      </c>
      <c r="AG655" t="n">
        <v>9</v>
      </c>
      <c r="AH655" t="n">
        <v>6</v>
      </c>
      <c r="AI655" t="n">
        <v>6</v>
      </c>
      <c r="AJ655" t="n">
        <v>15</v>
      </c>
      <c r="AK655" t="n">
        <v>16</v>
      </c>
      <c r="AL655" t="n">
        <v>5</v>
      </c>
      <c r="AM655" t="n">
        <v>6</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HYPERLINK("https://creighton-primo.hosted.exlibrisgroup.com/primo-explore/search?tab=default_tab&amp;search_scope=EVERYTHING&amp;vid=01CRU&amp;lang=en_US&amp;offset=0&amp;query=any,contains,991002025769702656","Catalog Record")</f>
        <v/>
      </c>
      <c r="AT655">
        <f>HYPERLINK("http://www.worldcat.org/oclc/25787106","WorldCat Record")</f>
        <v/>
      </c>
      <c r="AU655" t="inlineStr">
        <is>
          <t>233367819:eng</t>
        </is>
      </c>
      <c r="AV655" t="inlineStr">
        <is>
          <t>25787106</t>
        </is>
      </c>
      <c r="AW655" t="inlineStr">
        <is>
          <t>991002025769702656</t>
        </is>
      </c>
      <c r="AX655" t="inlineStr">
        <is>
          <t>991002025769702656</t>
        </is>
      </c>
      <c r="AY655" t="inlineStr">
        <is>
          <t>2256142410002656</t>
        </is>
      </c>
      <c r="AZ655" t="inlineStr">
        <is>
          <t>BOOK</t>
        </is>
      </c>
      <c r="BB655" t="inlineStr">
        <is>
          <t>9780898629767</t>
        </is>
      </c>
      <c r="BC655" t="inlineStr">
        <is>
          <t>32285001976215</t>
        </is>
      </c>
      <c r="BD655" t="inlineStr">
        <is>
          <t>893244662</t>
        </is>
      </c>
    </row>
    <row r="656">
      <c r="A656" t="inlineStr">
        <is>
          <t>No</t>
        </is>
      </c>
      <c r="B656" t="inlineStr">
        <is>
          <t>HQ1206 .O74</t>
        </is>
      </c>
      <c r="C656" t="inlineStr">
        <is>
          <t>0                      HQ 1206000O  74</t>
        </is>
      </c>
      <c r="D656" t="inlineStr">
        <is>
          <t>Toward understanding women / Virginia E. O'Leary. --</t>
        </is>
      </c>
      <c r="F656" t="inlineStr">
        <is>
          <t>No</t>
        </is>
      </c>
      <c r="G656" t="inlineStr">
        <is>
          <t>1</t>
        </is>
      </c>
      <c r="H656" t="inlineStr">
        <is>
          <t>No</t>
        </is>
      </c>
      <c r="I656" t="inlineStr">
        <is>
          <t>No</t>
        </is>
      </c>
      <c r="J656" t="inlineStr">
        <is>
          <t>0</t>
        </is>
      </c>
      <c r="K656" t="inlineStr">
        <is>
          <t>O'Leary, Virginia E., 1943-</t>
        </is>
      </c>
      <c r="L656" t="inlineStr">
        <is>
          <t>Monterey, Calif. : Brooks/Cole Pub. Co., c1977.</t>
        </is>
      </c>
      <c r="M656" t="inlineStr">
        <is>
          <t>1977</t>
        </is>
      </c>
      <c r="O656" t="inlineStr">
        <is>
          <t>eng</t>
        </is>
      </c>
      <c r="P656" t="inlineStr">
        <is>
          <t>cau</t>
        </is>
      </c>
      <c r="R656" t="inlineStr">
        <is>
          <t xml:space="preserve">HQ </t>
        </is>
      </c>
      <c r="S656" t="n">
        <v>3</v>
      </c>
      <c r="T656" t="n">
        <v>3</v>
      </c>
      <c r="U656" t="inlineStr">
        <is>
          <t>2001-04-18</t>
        </is>
      </c>
      <c r="V656" t="inlineStr">
        <is>
          <t>2001-04-18</t>
        </is>
      </c>
      <c r="W656" t="inlineStr">
        <is>
          <t>1990-07-05</t>
        </is>
      </c>
      <c r="X656" t="inlineStr">
        <is>
          <t>1990-07-05</t>
        </is>
      </c>
      <c r="Y656" t="n">
        <v>594</v>
      </c>
      <c r="Z656" t="n">
        <v>509</v>
      </c>
      <c r="AA656" t="n">
        <v>511</v>
      </c>
      <c r="AB656" t="n">
        <v>3</v>
      </c>
      <c r="AC656" t="n">
        <v>3</v>
      </c>
      <c r="AD656" t="n">
        <v>25</v>
      </c>
      <c r="AE656" t="n">
        <v>25</v>
      </c>
      <c r="AF656" t="n">
        <v>11</v>
      </c>
      <c r="AG656" t="n">
        <v>11</v>
      </c>
      <c r="AH656" t="n">
        <v>4</v>
      </c>
      <c r="AI656" t="n">
        <v>4</v>
      </c>
      <c r="AJ656" t="n">
        <v>13</v>
      </c>
      <c r="AK656" t="n">
        <v>13</v>
      </c>
      <c r="AL656" t="n">
        <v>2</v>
      </c>
      <c r="AM656" t="n">
        <v>2</v>
      </c>
      <c r="AN656" t="n">
        <v>0</v>
      </c>
      <c r="AO656" t="n">
        <v>0</v>
      </c>
      <c r="AP656" t="inlineStr">
        <is>
          <t>No</t>
        </is>
      </c>
      <c r="AQ656" t="inlineStr">
        <is>
          <t>Yes</t>
        </is>
      </c>
      <c r="AR656">
        <f>HYPERLINK("http://catalog.hathitrust.org/Record/000715310","HathiTrust Record")</f>
        <v/>
      </c>
      <c r="AS656">
        <f>HYPERLINK("https://creighton-primo.hosted.exlibrisgroup.com/primo-explore/search?tab=default_tab&amp;search_scope=EVERYTHING&amp;vid=01CRU&amp;lang=en_US&amp;offset=0&amp;query=any,contains,991004268199702656","Catalog Record")</f>
        <v/>
      </c>
      <c r="AT656">
        <f>HYPERLINK("http://www.worldcat.org/oclc/2873581","WorldCat Record")</f>
        <v/>
      </c>
      <c r="AU656" t="inlineStr">
        <is>
          <t>6382975:eng</t>
        </is>
      </c>
      <c r="AV656" t="inlineStr">
        <is>
          <t>2873581</t>
        </is>
      </c>
      <c r="AW656" t="inlineStr">
        <is>
          <t>991004268199702656</t>
        </is>
      </c>
      <c r="AX656" t="inlineStr">
        <is>
          <t>991004268199702656</t>
        </is>
      </c>
      <c r="AY656" t="inlineStr">
        <is>
          <t>2259399020002656</t>
        </is>
      </c>
      <c r="AZ656" t="inlineStr">
        <is>
          <t>BOOK</t>
        </is>
      </c>
      <c r="BB656" t="inlineStr">
        <is>
          <t>9780818502286</t>
        </is>
      </c>
      <c r="BC656" t="inlineStr">
        <is>
          <t>32285000221027</t>
        </is>
      </c>
      <c r="BD656" t="inlineStr">
        <is>
          <t>893411322</t>
        </is>
      </c>
    </row>
    <row r="657">
      <c r="A657" t="inlineStr">
        <is>
          <t>No</t>
        </is>
      </c>
      <c r="B657" t="inlineStr">
        <is>
          <t>HQ1206 .P44</t>
        </is>
      </c>
      <c r="C657" t="inlineStr">
        <is>
          <t>0                      HQ 1206000P  44</t>
        </is>
      </c>
      <c r="D657" t="inlineStr">
        <is>
          <t>The assertive woman / by Stanlee Phelps and Nancy Austin.</t>
        </is>
      </c>
      <c r="F657" t="inlineStr">
        <is>
          <t>No</t>
        </is>
      </c>
      <c r="G657" t="inlineStr">
        <is>
          <t>1</t>
        </is>
      </c>
      <c r="H657" t="inlineStr">
        <is>
          <t>No</t>
        </is>
      </c>
      <c r="I657" t="inlineStr">
        <is>
          <t>No</t>
        </is>
      </c>
      <c r="J657" t="inlineStr">
        <is>
          <t>0</t>
        </is>
      </c>
      <c r="K657" t="inlineStr">
        <is>
          <t>Phelps, Stanlee.</t>
        </is>
      </c>
      <c r="L657" t="inlineStr">
        <is>
          <t>[San Luis Obispo, Ca.] : IMPACT, c1975.</t>
        </is>
      </c>
      <c r="M657" t="inlineStr">
        <is>
          <t>1975</t>
        </is>
      </c>
      <c r="O657" t="inlineStr">
        <is>
          <t>eng</t>
        </is>
      </c>
      <c r="P657" t="inlineStr">
        <is>
          <t>cau</t>
        </is>
      </c>
      <c r="R657" t="inlineStr">
        <is>
          <t xml:space="preserve">HQ </t>
        </is>
      </c>
      <c r="S657" t="n">
        <v>3</v>
      </c>
      <c r="T657" t="n">
        <v>3</v>
      </c>
      <c r="U657" t="inlineStr">
        <is>
          <t>1994-04-26</t>
        </is>
      </c>
      <c r="V657" t="inlineStr">
        <is>
          <t>1994-04-26</t>
        </is>
      </c>
      <c r="W657" t="inlineStr">
        <is>
          <t>1992-01-21</t>
        </is>
      </c>
      <c r="X657" t="inlineStr">
        <is>
          <t>1992-01-21</t>
        </is>
      </c>
      <c r="Y657" t="n">
        <v>774</v>
      </c>
      <c r="Z657" t="n">
        <v>687</v>
      </c>
      <c r="AA657" t="n">
        <v>1205</v>
      </c>
      <c r="AB657" t="n">
        <v>6</v>
      </c>
      <c r="AC657" t="n">
        <v>10</v>
      </c>
      <c r="AD657" t="n">
        <v>19</v>
      </c>
      <c r="AE657" t="n">
        <v>25</v>
      </c>
      <c r="AF657" t="n">
        <v>6</v>
      </c>
      <c r="AG657" t="n">
        <v>10</v>
      </c>
      <c r="AH657" t="n">
        <v>3</v>
      </c>
      <c r="AI657" t="n">
        <v>3</v>
      </c>
      <c r="AJ657" t="n">
        <v>13</v>
      </c>
      <c r="AK657" t="n">
        <v>14</v>
      </c>
      <c r="AL657" t="n">
        <v>3</v>
      </c>
      <c r="AM657" t="n">
        <v>4</v>
      </c>
      <c r="AN657" t="n">
        <v>0</v>
      </c>
      <c r="AO657" t="n">
        <v>0</v>
      </c>
      <c r="AP657" t="inlineStr">
        <is>
          <t>No</t>
        </is>
      </c>
      <c r="AQ657" t="inlineStr">
        <is>
          <t>Yes</t>
        </is>
      </c>
      <c r="AR657">
        <f>HYPERLINK("http://catalog.hathitrust.org/Record/000022441","HathiTrust Record")</f>
        <v/>
      </c>
      <c r="AS657">
        <f>HYPERLINK("https://creighton-primo.hosted.exlibrisgroup.com/primo-explore/search?tab=default_tab&amp;search_scope=EVERYTHING&amp;vid=01CRU&amp;lang=en_US&amp;offset=0&amp;query=any,contains,991003811229702656","Catalog Record")</f>
        <v/>
      </c>
      <c r="AT657">
        <f>HYPERLINK("http://www.worldcat.org/oclc/1538771","WorldCat Record")</f>
        <v/>
      </c>
      <c r="AU657" t="inlineStr">
        <is>
          <t>506479:eng</t>
        </is>
      </c>
      <c r="AV657" t="inlineStr">
        <is>
          <t>1538771</t>
        </is>
      </c>
      <c r="AW657" t="inlineStr">
        <is>
          <t>991003811229702656</t>
        </is>
      </c>
      <c r="AX657" t="inlineStr">
        <is>
          <t>991003811229702656</t>
        </is>
      </c>
      <c r="AY657" t="inlineStr">
        <is>
          <t>2269080650002656</t>
        </is>
      </c>
      <c r="AZ657" t="inlineStr">
        <is>
          <t>BOOK</t>
        </is>
      </c>
      <c r="BB657" t="inlineStr">
        <is>
          <t>9780915166213</t>
        </is>
      </c>
      <c r="BC657" t="inlineStr">
        <is>
          <t>32285000916360</t>
        </is>
      </c>
      <c r="BD657" t="inlineStr">
        <is>
          <t>893693178</t>
        </is>
      </c>
    </row>
    <row r="658">
      <c r="A658" t="inlineStr">
        <is>
          <t>No</t>
        </is>
      </c>
      <c r="B658" t="inlineStr">
        <is>
          <t>HQ1206 .P58 1992</t>
        </is>
      </c>
      <c r="C658" t="inlineStr">
        <is>
          <t>0                      HQ 1206000P  58          1992</t>
        </is>
      </c>
      <c r="D658" t="inlineStr">
        <is>
          <t>Eve's daughters : the forbidden heroism of women / Miriam F. Polster.</t>
        </is>
      </c>
      <c r="F658" t="inlineStr">
        <is>
          <t>No</t>
        </is>
      </c>
      <c r="G658" t="inlineStr">
        <is>
          <t>1</t>
        </is>
      </c>
      <c r="H658" t="inlineStr">
        <is>
          <t>No</t>
        </is>
      </c>
      <c r="I658" t="inlineStr">
        <is>
          <t>No</t>
        </is>
      </c>
      <c r="J658" t="inlineStr">
        <is>
          <t>0</t>
        </is>
      </c>
      <c r="K658" t="inlineStr">
        <is>
          <t>Polster, Miriam.</t>
        </is>
      </c>
      <c r="L658" t="inlineStr">
        <is>
          <t>San Francisco : Jossey-Bass, c1992.</t>
        </is>
      </c>
      <c r="M658" t="inlineStr">
        <is>
          <t>1992</t>
        </is>
      </c>
      <c r="N658" t="inlineStr">
        <is>
          <t>1st ed.</t>
        </is>
      </c>
      <c r="O658" t="inlineStr">
        <is>
          <t>eng</t>
        </is>
      </c>
      <c r="P658" t="inlineStr">
        <is>
          <t>cau</t>
        </is>
      </c>
      <c r="Q658" t="inlineStr">
        <is>
          <t>The Jossey-Bass social science and behavioral science series</t>
        </is>
      </c>
      <c r="R658" t="inlineStr">
        <is>
          <t xml:space="preserve">HQ </t>
        </is>
      </c>
      <c r="S658" t="n">
        <v>3</v>
      </c>
      <c r="T658" t="n">
        <v>3</v>
      </c>
      <c r="U658" t="inlineStr">
        <is>
          <t>1992-12-01</t>
        </is>
      </c>
      <c r="V658" t="inlineStr">
        <is>
          <t>1992-12-01</t>
        </is>
      </c>
      <c r="W658" t="inlineStr">
        <is>
          <t>1992-11-23</t>
        </is>
      </c>
      <c r="X658" t="inlineStr">
        <is>
          <t>1992-11-23</t>
        </is>
      </c>
      <c r="Y658" t="n">
        <v>786</v>
      </c>
      <c r="Z658" t="n">
        <v>697</v>
      </c>
      <c r="AA658" t="n">
        <v>704</v>
      </c>
      <c r="AB658" t="n">
        <v>8</v>
      </c>
      <c r="AC658" t="n">
        <v>8</v>
      </c>
      <c r="AD658" t="n">
        <v>34</v>
      </c>
      <c r="AE658" t="n">
        <v>34</v>
      </c>
      <c r="AF658" t="n">
        <v>13</v>
      </c>
      <c r="AG658" t="n">
        <v>13</v>
      </c>
      <c r="AH658" t="n">
        <v>7</v>
      </c>
      <c r="AI658" t="n">
        <v>7</v>
      </c>
      <c r="AJ658" t="n">
        <v>17</v>
      </c>
      <c r="AK658" t="n">
        <v>17</v>
      </c>
      <c r="AL658" t="n">
        <v>6</v>
      </c>
      <c r="AM658" t="n">
        <v>6</v>
      </c>
      <c r="AN658" t="n">
        <v>0</v>
      </c>
      <c r="AO658" t="n">
        <v>0</v>
      </c>
      <c r="AP658" t="inlineStr">
        <is>
          <t>No</t>
        </is>
      </c>
      <c r="AQ658" t="inlineStr">
        <is>
          <t>Yes</t>
        </is>
      </c>
      <c r="AR658">
        <f>HYPERLINK("http://catalog.hathitrust.org/Record/002570474","HathiTrust Record")</f>
        <v/>
      </c>
      <c r="AS658">
        <f>HYPERLINK("https://creighton-primo.hosted.exlibrisgroup.com/primo-explore/search?tab=default_tab&amp;search_scope=EVERYTHING&amp;vid=01CRU&amp;lang=en_US&amp;offset=0&amp;query=any,contains,991002005119702656","Catalog Record")</f>
        <v/>
      </c>
      <c r="AT658">
        <f>HYPERLINK("http://www.worldcat.org/oclc/25508156","WorldCat Record")</f>
        <v/>
      </c>
      <c r="AU658" t="inlineStr">
        <is>
          <t>796293701:eng</t>
        </is>
      </c>
      <c r="AV658" t="inlineStr">
        <is>
          <t>25508156</t>
        </is>
      </c>
      <c r="AW658" t="inlineStr">
        <is>
          <t>991002005119702656</t>
        </is>
      </c>
      <c r="AX658" t="inlineStr">
        <is>
          <t>991002005119702656</t>
        </is>
      </c>
      <c r="AY658" t="inlineStr">
        <is>
          <t>2272503600002656</t>
        </is>
      </c>
      <c r="AZ658" t="inlineStr">
        <is>
          <t>BOOK</t>
        </is>
      </c>
      <c r="BB658" t="inlineStr">
        <is>
          <t>9781555424640</t>
        </is>
      </c>
      <c r="BC658" t="inlineStr">
        <is>
          <t>32285001424976</t>
        </is>
      </c>
      <c r="BD658" t="inlineStr">
        <is>
          <t>893785609</t>
        </is>
      </c>
    </row>
    <row r="659">
      <c r="A659" t="inlineStr">
        <is>
          <t>No</t>
        </is>
      </c>
      <c r="B659" t="inlineStr">
        <is>
          <t>HQ1206 .P744 1996</t>
        </is>
      </c>
      <c r="C659" t="inlineStr">
        <is>
          <t>0                      HQ 1206000P  744         1996</t>
        </is>
      </c>
      <c r="D659" t="inlineStr">
        <is>
          <t>Outside belongings / Elspeth Probyn.</t>
        </is>
      </c>
      <c r="F659" t="inlineStr">
        <is>
          <t>No</t>
        </is>
      </c>
      <c r="G659" t="inlineStr">
        <is>
          <t>1</t>
        </is>
      </c>
      <c r="H659" t="inlineStr">
        <is>
          <t>No</t>
        </is>
      </c>
      <c r="I659" t="inlineStr">
        <is>
          <t>No</t>
        </is>
      </c>
      <c r="J659" t="inlineStr">
        <is>
          <t>0</t>
        </is>
      </c>
      <c r="K659" t="inlineStr">
        <is>
          <t>Probyn, Elspeth, 1958-</t>
        </is>
      </c>
      <c r="L659" t="inlineStr">
        <is>
          <t>New York : Routledge, 1996.</t>
        </is>
      </c>
      <c r="M659" t="inlineStr">
        <is>
          <t>1996</t>
        </is>
      </c>
      <c r="O659" t="inlineStr">
        <is>
          <t>eng</t>
        </is>
      </c>
      <c r="P659" t="inlineStr">
        <is>
          <t>nyu</t>
        </is>
      </c>
      <c r="R659" t="inlineStr">
        <is>
          <t xml:space="preserve">HQ </t>
        </is>
      </c>
      <c r="S659" t="n">
        <v>4</v>
      </c>
      <c r="T659" t="n">
        <v>4</v>
      </c>
      <c r="U659" t="inlineStr">
        <is>
          <t>2010-09-01</t>
        </is>
      </c>
      <c r="V659" t="inlineStr">
        <is>
          <t>2010-09-01</t>
        </is>
      </c>
      <c r="W659" t="inlineStr">
        <is>
          <t>1996-08-12</t>
        </is>
      </c>
      <c r="X659" t="inlineStr">
        <is>
          <t>1996-08-12</t>
        </is>
      </c>
      <c r="Y659" t="n">
        <v>298</v>
      </c>
      <c r="Z659" t="n">
        <v>183</v>
      </c>
      <c r="AA659" t="n">
        <v>207</v>
      </c>
      <c r="AB659" t="n">
        <v>3</v>
      </c>
      <c r="AC659" t="n">
        <v>3</v>
      </c>
      <c r="AD659" t="n">
        <v>11</v>
      </c>
      <c r="AE659" t="n">
        <v>11</v>
      </c>
      <c r="AF659" t="n">
        <v>1</v>
      </c>
      <c r="AG659" t="n">
        <v>1</v>
      </c>
      <c r="AH659" t="n">
        <v>5</v>
      </c>
      <c r="AI659" t="n">
        <v>5</v>
      </c>
      <c r="AJ659" t="n">
        <v>5</v>
      </c>
      <c r="AK659" t="n">
        <v>5</v>
      </c>
      <c r="AL659" t="n">
        <v>2</v>
      </c>
      <c r="AM659" t="n">
        <v>2</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HYPERLINK("https://creighton-primo.hosted.exlibrisgroup.com/primo-explore/search?tab=default_tab&amp;search_scope=EVERYTHING&amp;vid=01CRU&amp;lang=en_US&amp;offset=0&amp;query=any,contains,991002579729702656","Catalog Record")</f>
        <v/>
      </c>
      <c r="AT659">
        <f>HYPERLINK("http://www.worldcat.org/oclc/33817646","WorldCat Record")</f>
        <v/>
      </c>
      <c r="AU659" t="inlineStr">
        <is>
          <t>639413:eng</t>
        </is>
      </c>
      <c r="AV659" t="inlineStr">
        <is>
          <t>33817646</t>
        </is>
      </c>
      <c r="AW659" t="inlineStr">
        <is>
          <t>991002579729702656</t>
        </is>
      </c>
      <c r="AX659" t="inlineStr">
        <is>
          <t>991002579729702656</t>
        </is>
      </c>
      <c r="AY659" t="inlineStr">
        <is>
          <t>2267526250002656</t>
        </is>
      </c>
      <c r="AZ659" t="inlineStr">
        <is>
          <t>BOOK</t>
        </is>
      </c>
      <c r="BB659" t="inlineStr">
        <is>
          <t>9780415915830</t>
        </is>
      </c>
      <c r="BC659" t="inlineStr">
        <is>
          <t>32285002273901</t>
        </is>
      </c>
      <c r="BD659" t="inlineStr">
        <is>
          <t>893239239</t>
        </is>
      </c>
    </row>
    <row r="660">
      <c r="A660" t="inlineStr">
        <is>
          <t>No</t>
        </is>
      </c>
      <c r="B660" t="inlineStr">
        <is>
          <t>HQ1206 .P747 1993</t>
        </is>
      </c>
      <c r="C660" t="inlineStr">
        <is>
          <t>0                      HQ 1206000P  747         1993</t>
        </is>
      </c>
      <c r="D660" t="inlineStr">
        <is>
          <t>Psychology of women : a handbook of issues and theories / edited by Florence L. Denmark and Michele A. Paludi ; foreword by Leonore Loeb Adler.</t>
        </is>
      </c>
      <c r="F660" t="inlineStr">
        <is>
          <t>No</t>
        </is>
      </c>
      <c r="G660" t="inlineStr">
        <is>
          <t>1</t>
        </is>
      </c>
      <c r="H660" t="inlineStr">
        <is>
          <t>No</t>
        </is>
      </c>
      <c r="I660" t="inlineStr">
        <is>
          <t>No</t>
        </is>
      </c>
      <c r="J660" t="inlineStr">
        <is>
          <t>0</t>
        </is>
      </c>
      <c r="L660" t="inlineStr">
        <is>
          <t>Westport, Conn. : Greenwood Press, 1993.</t>
        </is>
      </c>
      <c r="M660" t="inlineStr">
        <is>
          <t>1993</t>
        </is>
      </c>
      <c r="O660" t="inlineStr">
        <is>
          <t>eng</t>
        </is>
      </c>
      <c r="P660" t="inlineStr">
        <is>
          <t>ctu</t>
        </is>
      </c>
      <c r="R660" t="inlineStr">
        <is>
          <t xml:space="preserve">HQ </t>
        </is>
      </c>
      <c r="S660" t="n">
        <v>8</v>
      </c>
      <c r="T660" t="n">
        <v>8</v>
      </c>
      <c r="U660" t="inlineStr">
        <is>
          <t>2001-10-18</t>
        </is>
      </c>
      <c r="V660" t="inlineStr">
        <is>
          <t>2001-10-18</t>
        </is>
      </c>
      <c r="W660" t="inlineStr">
        <is>
          <t>1994-05-26</t>
        </is>
      </c>
      <c r="X660" t="inlineStr">
        <is>
          <t>1994-05-26</t>
        </is>
      </c>
      <c r="Y660" t="n">
        <v>746</v>
      </c>
      <c r="Z660" t="n">
        <v>636</v>
      </c>
      <c r="AA660" t="n">
        <v>1514</v>
      </c>
      <c r="AB660" t="n">
        <v>5</v>
      </c>
      <c r="AC660" t="n">
        <v>18</v>
      </c>
      <c r="AD660" t="n">
        <v>36</v>
      </c>
      <c r="AE660" t="n">
        <v>54</v>
      </c>
      <c r="AF660" t="n">
        <v>16</v>
      </c>
      <c r="AG660" t="n">
        <v>21</v>
      </c>
      <c r="AH660" t="n">
        <v>7</v>
      </c>
      <c r="AI660" t="n">
        <v>10</v>
      </c>
      <c r="AJ660" t="n">
        <v>18</v>
      </c>
      <c r="AK660" t="n">
        <v>22</v>
      </c>
      <c r="AL660" t="n">
        <v>4</v>
      </c>
      <c r="AM660" t="n">
        <v>13</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HYPERLINK("https://creighton-primo.hosted.exlibrisgroup.com/primo-explore/search?tab=default_tab&amp;search_scope=EVERYTHING&amp;vid=01CRU&amp;lang=en_US&amp;offset=0&amp;query=any,contains,991002018069702656","Catalog Record")</f>
        <v/>
      </c>
      <c r="AT660">
        <f>HYPERLINK("http://www.worldcat.org/oclc/25675214","WorldCat Record")</f>
        <v/>
      </c>
      <c r="AU660" t="inlineStr">
        <is>
          <t>863350294:eng</t>
        </is>
      </c>
      <c r="AV660" t="inlineStr">
        <is>
          <t>25675214</t>
        </is>
      </c>
      <c r="AW660" t="inlineStr">
        <is>
          <t>991002018069702656</t>
        </is>
      </c>
      <c r="AX660" t="inlineStr">
        <is>
          <t>991002018069702656</t>
        </is>
      </c>
      <c r="AY660" t="inlineStr">
        <is>
          <t>2267166840002656</t>
        </is>
      </c>
      <c r="AZ660" t="inlineStr">
        <is>
          <t>BOOK</t>
        </is>
      </c>
      <c r="BB660" t="inlineStr">
        <is>
          <t>9780313262951</t>
        </is>
      </c>
      <c r="BC660" t="inlineStr">
        <is>
          <t>32285001899425</t>
        </is>
      </c>
      <c r="BD660" t="inlineStr">
        <is>
          <t>893510193</t>
        </is>
      </c>
    </row>
    <row r="661">
      <c r="A661" t="inlineStr">
        <is>
          <t>No</t>
        </is>
      </c>
      <c r="B661" t="inlineStr">
        <is>
          <t>HQ1206 .P76 v.3, no.1</t>
        </is>
      </c>
      <c r="C661" t="inlineStr">
        <is>
          <t>0                      HQ 1206000P  76                                                      v.3, no.1</t>
        </is>
      </c>
      <c r="D661" t="inlineStr">
        <is>
          <t>Dual-career couples / edited by Jeff B. Bryson and Rebecca Bryson.</t>
        </is>
      </c>
      <c r="E661" t="inlineStr">
        <is>
          <t>V.3 NO.1</t>
        </is>
      </c>
      <c r="F661" t="inlineStr">
        <is>
          <t>No</t>
        </is>
      </c>
      <c r="G661" t="inlineStr">
        <is>
          <t>1</t>
        </is>
      </c>
      <c r="H661" t="inlineStr">
        <is>
          <t>No</t>
        </is>
      </c>
      <c r="I661" t="inlineStr">
        <is>
          <t>No</t>
        </is>
      </c>
      <c r="J661" t="inlineStr">
        <is>
          <t>0</t>
        </is>
      </c>
      <c r="L661" t="inlineStr">
        <is>
          <t>New York : Human Sciences Press, c1978.</t>
        </is>
      </c>
      <c r="M661" t="inlineStr">
        <is>
          <t>1978</t>
        </is>
      </c>
      <c r="O661" t="inlineStr">
        <is>
          <t>eng</t>
        </is>
      </c>
      <c r="P661" t="inlineStr">
        <is>
          <t>nyu</t>
        </is>
      </c>
      <c r="Q661" t="inlineStr">
        <is>
          <t>Psychology of women quarterly ; v. 3, no. 1</t>
        </is>
      </c>
      <c r="R661" t="inlineStr">
        <is>
          <t xml:space="preserve">HQ </t>
        </is>
      </c>
      <c r="S661" t="n">
        <v>4</v>
      </c>
      <c r="T661" t="n">
        <v>4</v>
      </c>
      <c r="U661" t="inlineStr">
        <is>
          <t>1997-10-25</t>
        </is>
      </c>
      <c r="V661" t="inlineStr">
        <is>
          <t>1997-10-25</t>
        </is>
      </c>
      <c r="W661" t="inlineStr">
        <is>
          <t>1993-05-03</t>
        </is>
      </c>
      <c r="X661" t="inlineStr">
        <is>
          <t>1993-05-03</t>
        </is>
      </c>
      <c r="Y661" t="n">
        <v>363</v>
      </c>
      <c r="Z661" t="n">
        <v>326</v>
      </c>
      <c r="AA661" t="n">
        <v>333</v>
      </c>
      <c r="AB661" t="n">
        <v>5</v>
      </c>
      <c r="AC661" t="n">
        <v>5</v>
      </c>
      <c r="AD661" t="n">
        <v>15</v>
      </c>
      <c r="AE661" t="n">
        <v>15</v>
      </c>
      <c r="AF661" t="n">
        <v>5</v>
      </c>
      <c r="AG661" t="n">
        <v>5</v>
      </c>
      <c r="AH661" t="n">
        <v>3</v>
      </c>
      <c r="AI661" t="n">
        <v>3</v>
      </c>
      <c r="AJ661" t="n">
        <v>8</v>
      </c>
      <c r="AK661" t="n">
        <v>8</v>
      </c>
      <c r="AL661" t="n">
        <v>4</v>
      </c>
      <c r="AM661" t="n">
        <v>4</v>
      </c>
      <c r="AN661" t="n">
        <v>0</v>
      </c>
      <c r="AO661" t="n">
        <v>0</v>
      </c>
      <c r="AP661" t="inlineStr">
        <is>
          <t>No</t>
        </is>
      </c>
      <c r="AQ661" t="inlineStr">
        <is>
          <t>Yes</t>
        </is>
      </c>
      <c r="AR661">
        <f>HYPERLINK("http://catalog.hathitrust.org/Record/007885146","HathiTrust Record")</f>
        <v/>
      </c>
      <c r="AS661">
        <f>HYPERLINK("https://creighton-primo.hosted.exlibrisgroup.com/primo-explore/search?tab=default_tab&amp;search_scope=EVERYTHING&amp;vid=01CRU&amp;lang=en_US&amp;offset=0&amp;query=any,contains,991004754009702656","Catalog Record")</f>
        <v/>
      </c>
      <c r="AT661">
        <f>HYPERLINK("http://www.worldcat.org/oclc/4956538","WorldCat Record")</f>
        <v/>
      </c>
      <c r="AU661" t="inlineStr">
        <is>
          <t>375855952:eng</t>
        </is>
      </c>
      <c r="AV661" t="inlineStr">
        <is>
          <t>4956538</t>
        </is>
      </c>
      <c r="AW661" t="inlineStr">
        <is>
          <t>991004754009702656</t>
        </is>
      </c>
      <c r="AX661" t="inlineStr">
        <is>
          <t>991004754009702656</t>
        </is>
      </c>
      <c r="AY661" t="inlineStr">
        <is>
          <t>2269049390002656</t>
        </is>
      </c>
      <c r="AZ661" t="inlineStr">
        <is>
          <t>BOOK</t>
        </is>
      </c>
      <c r="BB661" t="inlineStr">
        <is>
          <t>9780877053712</t>
        </is>
      </c>
      <c r="BC661" t="inlineStr">
        <is>
          <t>32285001632305</t>
        </is>
      </c>
      <c r="BD661" t="inlineStr">
        <is>
          <t>893895444</t>
        </is>
      </c>
    </row>
    <row r="662">
      <c r="A662" t="inlineStr">
        <is>
          <t>No</t>
        </is>
      </c>
      <c r="B662" t="inlineStr">
        <is>
          <t>HQ1206 .R33 1996</t>
        </is>
      </c>
      <c r="C662" t="inlineStr">
        <is>
          <t>0                      HQ 1206000R  33          1996</t>
        </is>
      </c>
      <c r="D662" t="inlineStr">
        <is>
          <t>Race, class, &amp; gender : common bonds, different voices / editors, Esther Ngan-ling Chow, Doris Wilkinson, Maxine Baca Zinn.</t>
        </is>
      </c>
      <c r="F662" t="inlineStr">
        <is>
          <t>No</t>
        </is>
      </c>
      <c r="G662" t="inlineStr">
        <is>
          <t>1</t>
        </is>
      </c>
      <c r="H662" t="inlineStr">
        <is>
          <t>No</t>
        </is>
      </c>
      <c r="I662" t="inlineStr">
        <is>
          <t>No</t>
        </is>
      </c>
      <c r="J662" t="inlineStr">
        <is>
          <t>0</t>
        </is>
      </c>
      <c r="L662" t="inlineStr">
        <is>
          <t>Thousand Oaks, Calif. : Sage Publications, c1996.</t>
        </is>
      </c>
      <c r="M662" t="inlineStr">
        <is>
          <t>1996</t>
        </is>
      </c>
      <c r="O662" t="inlineStr">
        <is>
          <t>eng</t>
        </is>
      </c>
      <c r="P662" t="inlineStr">
        <is>
          <t>cau</t>
        </is>
      </c>
      <c r="Q662" t="inlineStr">
        <is>
          <t>Gender &amp; society readers</t>
        </is>
      </c>
      <c r="R662" t="inlineStr">
        <is>
          <t xml:space="preserve">HQ </t>
        </is>
      </c>
      <c r="S662" t="n">
        <v>26</v>
      </c>
      <c r="T662" t="n">
        <v>26</v>
      </c>
      <c r="U662" t="inlineStr">
        <is>
          <t>2009-11-30</t>
        </is>
      </c>
      <c r="V662" t="inlineStr">
        <is>
          <t>2009-11-30</t>
        </is>
      </c>
      <c r="W662" t="inlineStr">
        <is>
          <t>1997-06-10</t>
        </is>
      </c>
      <c r="X662" t="inlineStr">
        <is>
          <t>1997-06-10</t>
        </is>
      </c>
      <c r="Y662" t="n">
        <v>519</v>
      </c>
      <c r="Z662" t="n">
        <v>385</v>
      </c>
      <c r="AA662" t="n">
        <v>390</v>
      </c>
      <c r="AB662" t="n">
        <v>3</v>
      </c>
      <c r="AC662" t="n">
        <v>3</v>
      </c>
      <c r="AD662" t="n">
        <v>24</v>
      </c>
      <c r="AE662" t="n">
        <v>24</v>
      </c>
      <c r="AF662" t="n">
        <v>11</v>
      </c>
      <c r="AG662" t="n">
        <v>11</v>
      </c>
      <c r="AH662" t="n">
        <v>6</v>
      </c>
      <c r="AI662" t="n">
        <v>6</v>
      </c>
      <c r="AJ662" t="n">
        <v>12</v>
      </c>
      <c r="AK662" t="n">
        <v>12</v>
      </c>
      <c r="AL662" t="n">
        <v>2</v>
      </c>
      <c r="AM662" t="n">
        <v>2</v>
      </c>
      <c r="AN662" t="n">
        <v>0</v>
      </c>
      <c r="AO662" t="n">
        <v>0</v>
      </c>
      <c r="AP662" t="inlineStr">
        <is>
          <t>No</t>
        </is>
      </c>
      <c r="AQ662" t="inlineStr">
        <is>
          <t>Yes</t>
        </is>
      </c>
      <c r="AR662">
        <f>HYPERLINK("http://catalog.hathitrust.org/Record/003069579","HathiTrust Record")</f>
        <v/>
      </c>
      <c r="AS662">
        <f>HYPERLINK("https://creighton-primo.hosted.exlibrisgroup.com/primo-explore/search?tab=default_tab&amp;search_scope=EVERYTHING&amp;vid=01CRU&amp;lang=en_US&amp;offset=0&amp;query=any,contains,991002600529702656","Catalog Record")</f>
        <v/>
      </c>
      <c r="AT662">
        <f>HYPERLINK("http://www.worldcat.org/oclc/34076935","WorldCat Record")</f>
        <v/>
      </c>
      <c r="AU662" t="inlineStr">
        <is>
          <t>837044917:eng</t>
        </is>
      </c>
      <c r="AV662" t="inlineStr">
        <is>
          <t>34076935</t>
        </is>
      </c>
      <c r="AW662" t="inlineStr">
        <is>
          <t>991002600529702656</t>
        </is>
      </c>
      <c r="AX662" t="inlineStr">
        <is>
          <t>991002600529702656</t>
        </is>
      </c>
      <c r="AY662" t="inlineStr">
        <is>
          <t>2269813510002656</t>
        </is>
      </c>
      <c r="AZ662" t="inlineStr">
        <is>
          <t>BOOK</t>
        </is>
      </c>
      <c r="BB662" t="inlineStr">
        <is>
          <t>9780803970564</t>
        </is>
      </c>
      <c r="BC662" t="inlineStr">
        <is>
          <t>32285002751294</t>
        </is>
      </c>
      <c r="BD662" t="inlineStr">
        <is>
          <t>893251428</t>
        </is>
      </c>
    </row>
    <row r="663">
      <c r="A663" t="inlineStr">
        <is>
          <t>No</t>
        </is>
      </c>
      <c r="B663" t="inlineStr">
        <is>
          <t>HQ1206 .R42 1999</t>
        </is>
      </c>
      <c r="C663" t="inlineStr">
        <is>
          <t>0                      HQ 1206000R  42          1999</t>
        </is>
      </c>
      <c r="D663" t="inlineStr">
        <is>
          <t>Readings in the psychology of women : dimensions of the female experience / [edited by] Carie Forden, Anne E. Hunter, Beverly Birns.</t>
        </is>
      </c>
      <c r="F663" t="inlineStr">
        <is>
          <t>No</t>
        </is>
      </c>
      <c r="G663" t="inlineStr">
        <is>
          <t>1</t>
        </is>
      </c>
      <c r="H663" t="inlineStr">
        <is>
          <t>No</t>
        </is>
      </c>
      <c r="I663" t="inlineStr">
        <is>
          <t>No</t>
        </is>
      </c>
      <c r="J663" t="inlineStr">
        <is>
          <t>0</t>
        </is>
      </c>
      <c r="L663" t="inlineStr">
        <is>
          <t>Boston : Allyn and Bacon, c1999.</t>
        </is>
      </c>
      <c r="M663" t="inlineStr">
        <is>
          <t>1999</t>
        </is>
      </c>
      <c r="O663" t="inlineStr">
        <is>
          <t>eng</t>
        </is>
      </c>
      <c r="P663" t="inlineStr">
        <is>
          <t>mau</t>
        </is>
      </c>
      <c r="R663" t="inlineStr">
        <is>
          <t xml:space="preserve">HQ </t>
        </is>
      </c>
      <c r="S663" t="n">
        <v>2</v>
      </c>
      <c r="T663" t="n">
        <v>2</v>
      </c>
      <c r="U663" t="inlineStr">
        <is>
          <t>2002-04-26</t>
        </is>
      </c>
      <c r="V663" t="inlineStr">
        <is>
          <t>2002-04-26</t>
        </is>
      </c>
      <c r="W663" t="inlineStr">
        <is>
          <t>2002-04-17</t>
        </is>
      </c>
      <c r="X663" t="inlineStr">
        <is>
          <t>2002-04-17</t>
        </is>
      </c>
      <c r="Y663" t="n">
        <v>98</v>
      </c>
      <c r="Z663" t="n">
        <v>78</v>
      </c>
      <c r="AA663" t="n">
        <v>79</v>
      </c>
      <c r="AB663" t="n">
        <v>1</v>
      </c>
      <c r="AC663" t="n">
        <v>1</v>
      </c>
      <c r="AD663" t="n">
        <v>3</v>
      </c>
      <c r="AE663" t="n">
        <v>3</v>
      </c>
      <c r="AF663" t="n">
        <v>2</v>
      </c>
      <c r="AG663" t="n">
        <v>2</v>
      </c>
      <c r="AH663" t="n">
        <v>1</v>
      </c>
      <c r="AI663" t="n">
        <v>1</v>
      </c>
      <c r="AJ663" t="n">
        <v>2</v>
      </c>
      <c r="AK663" t="n">
        <v>2</v>
      </c>
      <c r="AL663" t="n">
        <v>0</v>
      </c>
      <c r="AM663" t="n">
        <v>0</v>
      </c>
      <c r="AN663" t="n">
        <v>0</v>
      </c>
      <c r="AO663" t="n">
        <v>0</v>
      </c>
      <c r="AP663" t="inlineStr">
        <is>
          <t>No</t>
        </is>
      </c>
      <c r="AQ663" t="inlineStr">
        <is>
          <t>Yes</t>
        </is>
      </c>
      <c r="AR663">
        <f>HYPERLINK("http://catalog.hathitrust.org/Record/004355108","HathiTrust Record")</f>
        <v/>
      </c>
      <c r="AS663">
        <f>HYPERLINK("https://creighton-primo.hosted.exlibrisgroup.com/primo-explore/search?tab=default_tab&amp;search_scope=EVERYTHING&amp;vid=01CRU&amp;lang=en_US&amp;offset=0&amp;query=any,contains,991003786349702656","Catalog Record")</f>
        <v/>
      </c>
      <c r="AT663">
        <f>HYPERLINK("http://www.worldcat.org/oclc/39042899","WorldCat Record")</f>
        <v/>
      </c>
      <c r="AU663" t="inlineStr">
        <is>
          <t>981629521:eng</t>
        </is>
      </c>
      <c r="AV663" t="inlineStr">
        <is>
          <t>39042899</t>
        </is>
      </c>
      <c r="AW663" t="inlineStr">
        <is>
          <t>991003786349702656</t>
        </is>
      </c>
      <c r="AX663" t="inlineStr">
        <is>
          <t>991003786349702656</t>
        </is>
      </c>
      <c r="AY663" t="inlineStr">
        <is>
          <t>2267666450002656</t>
        </is>
      </c>
      <c r="AZ663" t="inlineStr">
        <is>
          <t>BOOK</t>
        </is>
      </c>
      <c r="BB663" t="inlineStr">
        <is>
          <t>9780205265107</t>
        </is>
      </c>
      <c r="BC663" t="inlineStr">
        <is>
          <t>32285004480454</t>
        </is>
      </c>
      <c r="BD663" t="inlineStr">
        <is>
          <t>893623904</t>
        </is>
      </c>
    </row>
    <row r="664">
      <c r="A664" t="inlineStr">
        <is>
          <t>No</t>
        </is>
      </c>
      <c r="B664" t="inlineStr">
        <is>
          <t>HQ1206 .R425 2001</t>
        </is>
      </c>
      <c r="C664" t="inlineStr">
        <is>
          <t>0                      HQ 1206000R  425         2001</t>
        </is>
      </c>
      <c r="D664" t="inlineStr">
        <is>
          <t>Women in the academy : dialogues on themes from Plato's Republic / C.D.C. Reeve.</t>
        </is>
      </c>
      <c r="F664" t="inlineStr">
        <is>
          <t>No</t>
        </is>
      </c>
      <c r="G664" t="inlineStr">
        <is>
          <t>1</t>
        </is>
      </c>
      <c r="H664" t="inlineStr">
        <is>
          <t>No</t>
        </is>
      </c>
      <c r="I664" t="inlineStr">
        <is>
          <t>No</t>
        </is>
      </c>
      <c r="J664" t="inlineStr">
        <is>
          <t>0</t>
        </is>
      </c>
      <c r="K664" t="inlineStr">
        <is>
          <t>Reeve, C. D. C., 1948-</t>
        </is>
      </c>
      <c r="L664" t="inlineStr">
        <is>
          <t>Indianapolis : Hackett Pub., c2001.</t>
        </is>
      </c>
      <c r="M664" t="inlineStr">
        <is>
          <t>2001</t>
        </is>
      </c>
      <c r="O664" t="inlineStr">
        <is>
          <t>eng</t>
        </is>
      </c>
      <c r="P664" t="inlineStr">
        <is>
          <t>inu</t>
        </is>
      </c>
      <c r="R664" t="inlineStr">
        <is>
          <t xml:space="preserve">HQ </t>
        </is>
      </c>
      <c r="S664" t="n">
        <v>2</v>
      </c>
      <c r="T664" t="n">
        <v>2</v>
      </c>
      <c r="U664" t="inlineStr">
        <is>
          <t>2002-02-14</t>
        </is>
      </c>
      <c r="V664" t="inlineStr">
        <is>
          <t>2002-02-14</t>
        </is>
      </c>
      <c r="W664" t="inlineStr">
        <is>
          <t>2002-02-14</t>
        </is>
      </c>
      <c r="X664" t="inlineStr">
        <is>
          <t>2002-02-14</t>
        </is>
      </c>
      <c r="Y664" t="n">
        <v>232</v>
      </c>
      <c r="Z664" t="n">
        <v>178</v>
      </c>
      <c r="AA664" t="n">
        <v>178</v>
      </c>
      <c r="AB664" t="n">
        <v>1</v>
      </c>
      <c r="AC664" t="n">
        <v>1</v>
      </c>
      <c r="AD664" t="n">
        <v>14</v>
      </c>
      <c r="AE664" t="n">
        <v>14</v>
      </c>
      <c r="AF664" t="n">
        <v>5</v>
      </c>
      <c r="AG664" t="n">
        <v>5</v>
      </c>
      <c r="AH664" t="n">
        <v>6</v>
      </c>
      <c r="AI664" t="n">
        <v>6</v>
      </c>
      <c r="AJ664" t="n">
        <v>9</v>
      </c>
      <c r="AK664" t="n">
        <v>9</v>
      </c>
      <c r="AL664" t="n">
        <v>0</v>
      </c>
      <c r="AM664" t="n">
        <v>0</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HYPERLINK("https://creighton-primo.hosted.exlibrisgroup.com/primo-explore/search?tab=default_tab&amp;search_scope=EVERYTHING&amp;vid=01CRU&amp;lang=en_US&amp;offset=0&amp;query=any,contains,991003718009702656","Catalog Record")</f>
        <v/>
      </c>
      <c r="AT664">
        <f>HYPERLINK("http://www.worldcat.org/oclc/46952204","WorldCat Record")</f>
        <v/>
      </c>
      <c r="AU664" t="inlineStr">
        <is>
          <t>35812708:eng</t>
        </is>
      </c>
      <c r="AV664" t="inlineStr">
        <is>
          <t>46952204</t>
        </is>
      </c>
      <c r="AW664" t="inlineStr">
        <is>
          <t>991003718009702656</t>
        </is>
      </c>
      <c r="AX664" t="inlineStr">
        <is>
          <t>991003718009702656</t>
        </is>
      </c>
      <c r="AY664" t="inlineStr">
        <is>
          <t>2268463230002656</t>
        </is>
      </c>
      <c r="AZ664" t="inlineStr">
        <is>
          <t>BOOK</t>
        </is>
      </c>
      <c r="BB664" t="inlineStr">
        <is>
          <t>9780872206014</t>
        </is>
      </c>
      <c r="BC664" t="inlineStr">
        <is>
          <t>32285004454517</t>
        </is>
      </c>
      <c r="BD664" t="inlineStr">
        <is>
          <t>893800063</t>
        </is>
      </c>
    </row>
    <row r="665">
      <c r="A665" t="inlineStr">
        <is>
          <t>No</t>
        </is>
      </c>
      <c r="B665" t="inlineStr">
        <is>
          <t>HQ1206 .R69 1988</t>
        </is>
      </c>
      <c r="C665" t="inlineStr">
        <is>
          <t>0                      HQ 1206000R  69          1988</t>
        </is>
      </c>
      <c r="D665" t="inlineStr">
        <is>
          <t>Woman herself : a transdisciplinary perspective on women's identity / Robyn Rowland.</t>
        </is>
      </c>
      <c r="F665" t="inlineStr">
        <is>
          <t>No</t>
        </is>
      </c>
      <c r="G665" t="inlineStr">
        <is>
          <t>1</t>
        </is>
      </c>
      <c r="H665" t="inlineStr">
        <is>
          <t>No</t>
        </is>
      </c>
      <c r="I665" t="inlineStr">
        <is>
          <t>No</t>
        </is>
      </c>
      <c r="J665" t="inlineStr">
        <is>
          <t>0</t>
        </is>
      </c>
      <c r="K665" t="inlineStr">
        <is>
          <t>Rowland, Robyn.</t>
        </is>
      </c>
      <c r="L665" t="inlineStr">
        <is>
          <t>Melbourne ; New York : Oxford University Press, 1988.</t>
        </is>
      </c>
      <c r="M665" t="inlineStr">
        <is>
          <t>1988</t>
        </is>
      </c>
      <c r="O665" t="inlineStr">
        <is>
          <t>eng</t>
        </is>
      </c>
      <c r="P665" t="inlineStr">
        <is>
          <t xml:space="preserve">at </t>
        </is>
      </c>
      <c r="R665" t="inlineStr">
        <is>
          <t xml:space="preserve">HQ </t>
        </is>
      </c>
      <c r="S665" t="n">
        <v>5</v>
      </c>
      <c r="T665" t="n">
        <v>5</v>
      </c>
      <c r="U665" t="inlineStr">
        <is>
          <t>2000-09-12</t>
        </is>
      </c>
      <c r="V665" t="inlineStr">
        <is>
          <t>2000-09-12</t>
        </is>
      </c>
      <c r="W665" t="inlineStr">
        <is>
          <t>1990-12-19</t>
        </is>
      </c>
      <c r="X665" t="inlineStr">
        <is>
          <t>1990-12-19</t>
        </is>
      </c>
      <c r="Y665" t="n">
        <v>296</v>
      </c>
      <c r="Z665" t="n">
        <v>223</v>
      </c>
      <c r="AA665" t="n">
        <v>240</v>
      </c>
      <c r="AB665" t="n">
        <v>3</v>
      </c>
      <c r="AC665" t="n">
        <v>3</v>
      </c>
      <c r="AD665" t="n">
        <v>10</v>
      </c>
      <c r="AE665" t="n">
        <v>11</v>
      </c>
      <c r="AF665" t="n">
        <v>3</v>
      </c>
      <c r="AG665" t="n">
        <v>4</v>
      </c>
      <c r="AH665" t="n">
        <v>1</v>
      </c>
      <c r="AI665" t="n">
        <v>1</v>
      </c>
      <c r="AJ665" t="n">
        <v>6</v>
      </c>
      <c r="AK665" t="n">
        <v>6</v>
      </c>
      <c r="AL665" t="n">
        <v>2</v>
      </c>
      <c r="AM665" t="n">
        <v>2</v>
      </c>
      <c r="AN665" t="n">
        <v>0</v>
      </c>
      <c r="AO665" t="n">
        <v>0</v>
      </c>
      <c r="AP665" t="inlineStr">
        <is>
          <t>No</t>
        </is>
      </c>
      <c r="AQ665" t="inlineStr">
        <is>
          <t>Yes</t>
        </is>
      </c>
      <c r="AR665">
        <f>HYPERLINK("http://catalog.hathitrust.org/Record/001538827","HathiTrust Record")</f>
        <v/>
      </c>
      <c r="AS665">
        <f>HYPERLINK("https://creighton-primo.hosted.exlibrisgroup.com/primo-explore/search?tab=default_tab&amp;search_scope=EVERYTHING&amp;vid=01CRU&amp;lang=en_US&amp;offset=0&amp;query=any,contains,991001733019702656","Catalog Record")</f>
        <v/>
      </c>
      <c r="AT665">
        <f>HYPERLINK("http://www.worldcat.org/oclc/21949380","WorldCat Record")</f>
        <v/>
      </c>
      <c r="AU665" t="inlineStr">
        <is>
          <t>23948520:eng</t>
        </is>
      </c>
      <c r="AV665" t="inlineStr">
        <is>
          <t>21949380</t>
        </is>
      </c>
      <c r="AW665" t="inlineStr">
        <is>
          <t>991001733019702656</t>
        </is>
      </c>
      <c r="AX665" t="inlineStr">
        <is>
          <t>991001733019702656</t>
        </is>
      </c>
      <c r="AY665" t="inlineStr">
        <is>
          <t>2258659710002656</t>
        </is>
      </c>
      <c r="AZ665" t="inlineStr">
        <is>
          <t>BOOK</t>
        </is>
      </c>
      <c r="BB665" t="inlineStr">
        <is>
          <t>9780195544756</t>
        </is>
      </c>
      <c r="BC665" t="inlineStr">
        <is>
          <t>32285000405240</t>
        </is>
      </c>
      <c r="BD665" t="inlineStr">
        <is>
          <t>893797775</t>
        </is>
      </c>
    </row>
    <row r="666">
      <c r="A666" t="inlineStr">
        <is>
          <t>No</t>
        </is>
      </c>
      <c r="B666" t="inlineStr">
        <is>
          <t>HQ1206 .R77 1990</t>
        </is>
      </c>
      <c r="C666" t="inlineStr">
        <is>
          <t>0                      HQ 1206000R  77          1990</t>
        </is>
      </c>
      <c r="D666" t="inlineStr">
        <is>
          <t>Intimate strangers : men and women together / Lillian B. Rubin.</t>
        </is>
      </c>
      <c r="F666" t="inlineStr">
        <is>
          <t>No</t>
        </is>
      </c>
      <c r="G666" t="inlineStr">
        <is>
          <t>1</t>
        </is>
      </c>
      <c r="H666" t="inlineStr">
        <is>
          <t>No</t>
        </is>
      </c>
      <c r="I666" t="inlineStr">
        <is>
          <t>No</t>
        </is>
      </c>
      <c r="J666" t="inlineStr">
        <is>
          <t>0</t>
        </is>
      </c>
      <c r="K666" t="inlineStr">
        <is>
          <t>Rubin, Lillian B.</t>
        </is>
      </c>
      <c r="L666" t="inlineStr">
        <is>
          <t>New York : Perennial Library, 1990.</t>
        </is>
      </c>
      <c r="M666" t="inlineStr">
        <is>
          <t>1990</t>
        </is>
      </c>
      <c r="O666" t="inlineStr">
        <is>
          <t>eng</t>
        </is>
      </c>
      <c r="P666" t="inlineStr">
        <is>
          <t>nyu</t>
        </is>
      </c>
      <c r="R666" t="inlineStr">
        <is>
          <t xml:space="preserve">HQ </t>
        </is>
      </c>
      <c r="S666" t="n">
        <v>4</v>
      </c>
      <c r="T666" t="n">
        <v>4</v>
      </c>
      <c r="U666" t="inlineStr">
        <is>
          <t>2004-04-02</t>
        </is>
      </c>
      <c r="V666" t="inlineStr">
        <is>
          <t>2004-04-02</t>
        </is>
      </c>
      <c r="W666" t="inlineStr">
        <is>
          <t>1997-09-22</t>
        </is>
      </c>
      <c r="X666" t="inlineStr">
        <is>
          <t>1997-09-22</t>
        </is>
      </c>
      <c r="Y666" t="n">
        <v>113</v>
      </c>
      <c r="Z666" t="n">
        <v>106</v>
      </c>
      <c r="AA666" t="n">
        <v>994</v>
      </c>
      <c r="AB666" t="n">
        <v>2</v>
      </c>
      <c r="AC666" t="n">
        <v>5</v>
      </c>
      <c r="AD666" t="n">
        <v>7</v>
      </c>
      <c r="AE666" t="n">
        <v>32</v>
      </c>
      <c r="AF666" t="n">
        <v>1</v>
      </c>
      <c r="AG666" t="n">
        <v>13</v>
      </c>
      <c r="AH666" t="n">
        <v>2</v>
      </c>
      <c r="AI666" t="n">
        <v>5</v>
      </c>
      <c r="AJ666" t="n">
        <v>3</v>
      </c>
      <c r="AK666" t="n">
        <v>18</v>
      </c>
      <c r="AL666" t="n">
        <v>1</v>
      </c>
      <c r="AM666" t="n">
        <v>3</v>
      </c>
      <c r="AN666" t="n">
        <v>0</v>
      </c>
      <c r="AO666" t="n">
        <v>1</v>
      </c>
      <c r="AP666" t="inlineStr">
        <is>
          <t>No</t>
        </is>
      </c>
      <c r="AQ666" t="inlineStr">
        <is>
          <t>No</t>
        </is>
      </c>
      <c r="AS666">
        <f>HYPERLINK("https://creighton-primo.hosted.exlibrisgroup.com/primo-explore/search?tab=default_tab&amp;search_scope=EVERYTHING&amp;vid=01CRU&amp;lang=en_US&amp;offset=0&amp;query=any,contains,991001879269702656","Catalog Record")</f>
        <v/>
      </c>
      <c r="AT666">
        <f>HYPERLINK("http://www.worldcat.org/oclc/23702922","WorldCat Record")</f>
        <v/>
      </c>
      <c r="AU666" t="inlineStr">
        <is>
          <t>3772390199:eng</t>
        </is>
      </c>
      <c r="AV666" t="inlineStr">
        <is>
          <t>23702922</t>
        </is>
      </c>
      <c r="AW666" t="inlineStr">
        <is>
          <t>991001879269702656</t>
        </is>
      </c>
      <c r="AX666" t="inlineStr">
        <is>
          <t>991001879269702656</t>
        </is>
      </c>
      <c r="AY666" t="inlineStr">
        <is>
          <t>2257015020002656</t>
        </is>
      </c>
      <c r="AZ666" t="inlineStr">
        <is>
          <t>BOOK</t>
        </is>
      </c>
      <c r="BB666" t="inlineStr">
        <is>
          <t>9780060911348</t>
        </is>
      </c>
      <c r="BC666" t="inlineStr">
        <is>
          <t>32285003176582</t>
        </is>
      </c>
      <c r="BD666" t="inlineStr">
        <is>
          <t>893244484</t>
        </is>
      </c>
    </row>
    <row r="667">
      <c r="A667" t="inlineStr">
        <is>
          <t>No</t>
        </is>
      </c>
      <c r="B667" t="inlineStr">
        <is>
          <t>HQ1206 .R79</t>
        </is>
      </c>
      <c r="C667" t="inlineStr">
        <is>
          <t>0                      HQ 1206000R  79</t>
        </is>
      </c>
      <c r="D667" t="inlineStr">
        <is>
          <t>Career and conflict : a woman's guide to making life choices / Anne Russell, Patricia Fitzgibbons.</t>
        </is>
      </c>
      <c r="F667" t="inlineStr">
        <is>
          <t>No</t>
        </is>
      </c>
      <c r="G667" t="inlineStr">
        <is>
          <t>1</t>
        </is>
      </c>
      <c r="H667" t="inlineStr">
        <is>
          <t>No</t>
        </is>
      </c>
      <c r="I667" t="inlineStr">
        <is>
          <t>No</t>
        </is>
      </c>
      <c r="J667" t="inlineStr">
        <is>
          <t>0</t>
        </is>
      </c>
      <c r="K667" t="inlineStr">
        <is>
          <t>Russell, Anne (Anne L.)</t>
        </is>
      </c>
      <c r="L667" t="inlineStr">
        <is>
          <t>Englewood Cliffs, N.J. : Prentice-Hall, c1982.</t>
        </is>
      </c>
      <c r="M667" t="inlineStr">
        <is>
          <t>1982</t>
        </is>
      </c>
      <c r="O667" t="inlineStr">
        <is>
          <t>eng</t>
        </is>
      </c>
      <c r="P667" t="inlineStr">
        <is>
          <t>nju</t>
        </is>
      </c>
      <c r="Q667" t="inlineStr">
        <is>
          <t>A Spectrum book</t>
        </is>
      </c>
      <c r="R667" t="inlineStr">
        <is>
          <t xml:space="preserve">HQ </t>
        </is>
      </c>
      <c r="S667" t="n">
        <v>12</v>
      </c>
      <c r="T667" t="n">
        <v>12</v>
      </c>
      <c r="U667" t="inlineStr">
        <is>
          <t>1997-01-18</t>
        </is>
      </c>
      <c r="V667" t="inlineStr">
        <is>
          <t>1997-01-18</t>
        </is>
      </c>
      <c r="W667" t="inlineStr">
        <is>
          <t>1990-06-06</t>
        </is>
      </c>
      <c r="X667" t="inlineStr">
        <is>
          <t>1990-06-06</t>
        </is>
      </c>
      <c r="Y667" t="n">
        <v>203</v>
      </c>
      <c r="Z667" t="n">
        <v>185</v>
      </c>
      <c r="AA667" t="n">
        <v>187</v>
      </c>
      <c r="AB667" t="n">
        <v>3</v>
      </c>
      <c r="AC667" t="n">
        <v>3</v>
      </c>
      <c r="AD667" t="n">
        <v>6</v>
      </c>
      <c r="AE667" t="n">
        <v>6</v>
      </c>
      <c r="AF667" t="n">
        <v>2</v>
      </c>
      <c r="AG667" t="n">
        <v>2</v>
      </c>
      <c r="AH667" t="n">
        <v>0</v>
      </c>
      <c r="AI667" t="n">
        <v>0</v>
      </c>
      <c r="AJ667" t="n">
        <v>2</v>
      </c>
      <c r="AK667" t="n">
        <v>2</v>
      </c>
      <c r="AL667" t="n">
        <v>2</v>
      </c>
      <c r="AM667" t="n">
        <v>2</v>
      </c>
      <c r="AN667" t="n">
        <v>1</v>
      </c>
      <c r="AO667" t="n">
        <v>1</v>
      </c>
      <c r="AP667" t="inlineStr">
        <is>
          <t>No</t>
        </is>
      </c>
      <c r="AQ667" t="inlineStr">
        <is>
          <t>Yes</t>
        </is>
      </c>
      <c r="AR667">
        <f>HYPERLINK("http://catalog.hathitrust.org/Record/007574446","HathiTrust Record")</f>
        <v/>
      </c>
      <c r="AS667">
        <f>HYPERLINK("https://creighton-primo.hosted.exlibrisgroup.com/primo-explore/search?tab=default_tab&amp;search_scope=EVERYTHING&amp;vid=01CRU&amp;lang=en_US&amp;offset=0&amp;query=any,contains,991005150749702656","Catalog Record")</f>
        <v/>
      </c>
      <c r="AT667">
        <f>HYPERLINK("http://www.worldcat.org/oclc/7731828","WorldCat Record")</f>
        <v/>
      </c>
      <c r="AU667" t="inlineStr">
        <is>
          <t>29650576:eng</t>
        </is>
      </c>
      <c r="AV667" t="inlineStr">
        <is>
          <t>7731828</t>
        </is>
      </c>
      <c r="AW667" t="inlineStr">
        <is>
          <t>991005150749702656</t>
        </is>
      </c>
      <c r="AX667" t="inlineStr">
        <is>
          <t>991005150749702656</t>
        </is>
      </c>
      <c r="AY667" t="inlineStr">
        <is>
          <t>2263576770002656</t>
        </is>
      </c>
      <c r="AZ667" t="inlineStr">
        <is>
          <t>BOOK</t>
        </is>
      </c>
      <c r="BB667" t="inlineStr">
        <is>
          <t>9780131145047</t>
        </is>
      </c>
      <c r="BC667" t="inlineStr">
        <is>
          <t>32285000182146</t>
        </is>
      </c>
      <c r="BD667" t="inlineStr">
        <is>
          <t>893783107</t>
        </is>
      </c>
    </row>
    <row r="668">
      <c r="A668" t="inlineStr">
        <is>
          <t>No</t>
        </is>
      </c>
      <c r="B668" t="inlineStr">
        <is>
          <t>HQ1206 .S4415 2003</t>
        </is>
      </c>
      <c r="C668" t="inlineStr">
        <is>
          <t>0                      HQ 1206000S  4415        2003</t>
        </is>
      </c>
      <c r="D668" t="inlineStr">
        <is>
          <t>Discovering feminist philosophy : knowledge, ethics, politics / Robin May Schott.</t>
        </is>
      </c>
      <c r="F668" t="inlineStr">
        <is>
          <t>No</t>
        </is>
      </c>
      <c r="G668" t="inlineStr">
        <is>
          <t>1</t>
        </is>
      </c>
      <c r="H668" t="inlineStr">
        <is>
          <t>No</t>
        </is>
      </c>
      <c r="I668" t="inlineStr">
        <is>
          <t>No</t>
        </is>
      </c>
      <c r="J668" t="inlineStr">
        <is>
          <t>0</t>
        </is>
      </c>
      <c r="K668" t="inlineStr">
        <is>
          <t>Schott, Robin May.</t>
        </is>
      </c>
      <c r="L668" t="inlineStr">
        <is>
          <t>Lanham, Md. : Rowman &amp; Littlefield Publishers, c2003.</t>
        </is>
      </c>
      <c r="M668" t="inlineStr">
        <is>
          <t>2003</t>
        </is>
      </c>
      <c r="O668" t="inlineStr">
        <is>
          <t>eng</t>
        </is>
      </c>
      <c r="P668" t="inlineStr">
        <is>
          <t>mdu</t>
        </is>
      </c>
      <c r="Q668" t="inlineStr">
        <is>
          <t>Feminist constructions</t>
        </is>
      </c>
      <c r="R668" t="inlineStr">
        <is>
          <t xml:space="preserve">HQ </t>
        </is>
      </c>
      <c r="S668" t="n">
        <v>2</v>
      </c>
      <c r="T668" t="n">
        <v>2</v>
      </c>
      <c r="U668" t="inlineStr">
        <is>
          <t>2005-11-15</t>
        </is>
      </c>
      <c r="V668" t="inlineStr">
        <is>
          <t>2005-11-15</t>
        </is>
      </c>
      <c r="W668" t="inlineStr">
        <is>
          <t>2003-11-20</t>
        </is>
      </c>
      <c r="X668" t="inlineStr">
        <is>
          <t>2003-11-20</t>
        </is>
      </c>
      <c r="Y668" t="n">
        <v>324</v>
      </c>
      <c r="Z668" t="n">
        <v>243</v>
      </c>
      <c r="AA668" t="n">
        <v>274</v>
      </c>
      <c r="AB668" t="n">
        <v>2</v>
      </c>
      <c r="AC668" t="n">
        <v>2</v>
      </c>
      <c r="AD668" t="n">
        <v>14</v>
      </c>
      <c r="AE668" t="n">
        <v>15</v>
      </c>
      <c r="AF668" t="n">
        <v>6</v>
      </c>
      <c r="AG668" t="n">
        <v>7</v>
      </c>
      <c r="AH668" t="n">
        <v>2</v>
      </c>
      <c r="AI668" t="n">
        <v>3</v>
      </c>
      <c r="AJ668" t="n">
        <v>10</v>
      </c>
      <c r="AK668" t="n">
        <v>10</v>
      </c>
      <c r="AL668" t="n">
        <v>1</v>
      </c>
      <c r="AM668" t="n">
        <v>1</v>
      </c>
      <c r="AN668" t="n">
        <v>0</v>
      </c>
      <c r="AO668" t="n">
        <v>0</v>
      </c>
      <c r="AP668" t="inlineStr">
        <is>
          <t>No</t>
        </is>
      </c>
      <c r="AQ668" t="inlineStr">
        <is>
          <t>Yes</t>
        </is>
      </c>
      <c r="AR668">
        <f>HYPERLINK("http://catalog.hathitrust.org/Record/004348929","HathiTrust Record")</f>
        <v/>
      </c>
      <c r="AS668">
        <f>HYPERLINK("https://creighton-primo.hosted.exlibrisgroup.com/primo-explore/search?tab=default_tab&amp;search_scope=EVERYTHING&amp;vid=01CRU&amp;lang=en_US&amp;offset=0&amp;query=any,contains,991004163399702656","Catalog Record")</f>
        <v/>
      </c>
      <c r="AT668">
        <f>HYPERLINK("http://www.worldcat.org/oclc/51536522","WorldCat Record")</f>
        <v/>
      </c>
      <c r="AU668" t="inlineStr">
        <is>
          <t>3863872551:eng</t>
        </is>
      </c>
      <c r="AV668" t="inlineStr">
        <is>
          <t>51536522</t>
        </is>
      </c>
      <c r="AW668" t="inlineStr">
        <is>
          <t>991004163399702656</t>
        </is>
      </c>
      <c r="AX668" t="inlineStr">
        <is>
          <t>991004163399702656</t>
        </is>
      </c>
      <c r="AY668" t="inlineStr">
        <is>
          <t>2267646660002656</t>
        </is>
      </c>
      <c r="AZ668" t="inlineStr">
        <is>
          <t>BOOK</t>
        </is>
      </c>
      <c r="BB668" t="inlineStr">
        <is>
          <t>9780742514546</t>
        </is>
      </c>
      <c r="BC668" t="inlineStr">
        <is>
          <t>32285004840764</t>
        </is>
      </c>
      <c r="BD668" t="inlineStr">
        <is>
          <t>893788353</t>
        </is>
      </c>
    </row>
    <row r="669">
      <c r="A669" t="inlineStr">
        <is>
          <t>No</t>
        </is>
      </c>
      <c r="B669" t="inlineStr">
        <is>
          <t>HQ1206 .S4465 1992</t>
        </is>
      </c>
      <c r="C669" t="inlineStr">
        <is>
          <t>0                      HQ 1206000S  4465        1992</t>
        </is>
      </c>
      <c r="D669" t="inlineStr">
        <is>
          <t>Seldom seen, rarely heard : women's place in psychology / edited by Janis S. Bohan.</t>
        </is>
      </c>
      <c r="F669" t="inlineStr">
        <is>
          <t>No</t>
        </is>
      </c>
      <c r="G669" t="inlineStr">
        <is>
          <t>1</t>
        </is>
      </c>
      <c r="H669" t="inlineStr">
        <is>
          <t>No</t>
        </is>
      </c>
      <c r="I669" t="inlineStr">
        <is>
          <t>No</t>
        </is>
      </c>
      <c r="J669" t="inlineStr">
        <is>
          <t>0</t>
        </is>
      </c>
      <c r="L669" t="inlineStr">
        <is>
          <t>Boulder : Westview Press, 1992.</t>
        </is>
      </c>
      <c r="M669" t="inlineStr">
        <is>
          <t>1992</t>
        </is>
      </c>
      <c r="O669" t="inlineStr">
        <is>
          <t>eng</t>
        </is>
      </c>
      <c r="P669" t="inlineStr">
        <is>
          <t>cou</t>
        </is>
      </c>
      <c r="Q669" t="inlineStr">
        <is>
          <t>Psychology, gender, and theory</t>
        </is>
      </c>
      <c r="R669" t="inlineStr">
        <is>
          <t xml:space="preserve">HQ </t>
        </is>
      </c>
      <c r="S669" t="n">
        <v>1</v>
      </c>
      <c r="T669" t="n">
        <v>1</v>
      </c>
      <c r="U669" t="inlineStr">
        <is>
          <t>1995-04-24</t>
        </is>
      </c>
      <c r="V669" t="inlineStr">
        <is>
          <t>1995-04-24</t>
        </is>
      </c>
      <c r="W669" t="inlineStr">
        <is>
          <t>1993-09-02</t>
        </is>
      </c>
      <c r="X669" t="inlineStr">
        <is>
          <t>1993-09-02</t>
        </is>
      </c>
      <c r="Y669" t="n">
        <v>519</v>
      </c>
      <c r="Z669" t="n">
        <v>429</v>
      </c>
      <c r="AA669" t="n">
        <v>433</v>
      </c>
      <c r="AB669" t="n">
        <v>4</v>
      </c>
      <c r="AC669" t="n">
        <v>4</v>
      </c>
      <c r="AD669" t="n">
        <v>28</v>
      </c>
      <c r="AE669" t="n">
        <v>28</v>
      </c>
      <c r="AF669" t="n">
        <v>8</v>
      </c>
      <c r="AG669" t="n">
        <v>8</v>
      </c>
      <c r="AH669" t="n">
        <v>6</v>
      </c>
      <c r="AI669" t="n">
        <v>6</v>
      </c>
      <c r="AJ669" t="n">
        <v>17</v>
      </c>
      <c r="AK669" t="n">
        <v>17</v>
      </c>
      <c r="AL669" t="n">
        <v>3</v>
      </c>
      <c r="AM669" t="n">
        <v>3</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HYPERLINK("https://creighton-primo.hosted.exlibrisgroup.com/primo-explore/search?tab=default_tab&amp;search_scope=EVERYTHING&amp;vid=01CRU&amp;lang=en_US&amp;offset=0&amp;query=any,contains,991002024789702656","Catalog Record")</f>
        <v/>
      </c>
      <c r="AT669">
        <f>HYPERLINK("http://www.worldcat.org/oclc/25748111","WorldCat Record")</f>
        <v/>
      </c>
      <c r="AU669" t="inlineStr">
        <is>
          <t>836897896:eng</t>
        </is>
      </c>
      <c r="AV669" t="inlineStr">
        <is>
          <t>25748111</t>
        </is>
      </c>
      <c r="AW669" t="inlineStr">
        <is>
          <t>991002024789702656</t>
        </is>
      </c>
      <c r="AX669" t="inlineStr">
        <is>
          <t>991002024789702656</t>
        </is>
      </c>
      <c r="AY669" t="inlineStr">
        <is>
          <t>2272060760002656</t>
        </is>
      </c>
      <c r="AZ669" t="inlineStr">
        <is>
          <t>BOOK</t>
        </is>
      </c>
      <c r="BB669" t="inlineStr">
        <is>
          <t>9780813313948</t>
        </is>
      </c>
      <c r="BC669" t="inlineStr">
        <is>
          <t>32285001729572</t>
        </is>
      </c>
      <c r="BD669" t="inlineStr">
        <is>
          <t>893892041</t>
        </is>
      </c>
    </row>
    <row r="670">
      <c r="A670" t="inlineStr">
        <is>
          <t>No</t>
        </is>
      </c>
      <c r="B670" t="inlineStr">
        <is>
          <t>HQ1206 .S47 1999</t>
        </is>
      </c>
      <c r="C670" t="inlineStr">
        <is>
          <t>0                      HQ 1206000S  47          1999</t>
        </is>
      </c>
      <c r="D670" t="inlineStr">
        <is>
          <t>Beauty fades, dumb is forever : the making of a happy woman / Judy Sheindlin.</t>
        </is>
      </c>
      <c r="F670" t="inlineStr">
        <is>
          <t>No</t>
        </is>
      </c>
      <c r="G670" t="inlineStr">
        <is>
          <t>1</t>
        </is>
      </c>
      <c r="H670" t="inlineStr">
        <is>
          <t>No</t>
        </is>
      </c>
      <c r="I670" t="inlineStr">
        <is>
          <t>No</t>
        </is>
      </c>
      <c r="J670" t="inlineStr">
        <is>
          <t>0</t>
        </is>
      </c>
      <c r="K670" t="inlineStr">
        <is>
          <t>Sheindlin, Judy, 1942-</t>
        </is>
      </c>
      <c r="L670" t="inlineStr">
        <is>
          <t>New York, NY : Cliff Street Books, c1999.</t>
        </is>
      </c>
      <c r="M670" t="inlineStr">
        <is>
          <t>1999</t>
        </is>
      </c>
      <c r="N670" t="inlineStr">
        <is>
          <t>1st ed.</t>
        </is>
      </c>
      <c r="O670" t="inlineStr">
        <is>
          <t>eng</t>
        </is>
      </c>
      <c r="P670" t="inlineStr">
        <is>
          <t>nyu</t>
        </is>
      </c>
      <c r="R670" t="inlineStr">
        <is>
          <t xml:space="preserve">HQ </t>
        </is>
      </c>
      <c r="S670" t="n">
        <v>3</v>
      </c>
      <c r="T670" t="n">
        <v>3</v>
      </c>
      <c r="U670" t="inlineStr">
        <is>
          <t>2007-09-12</t>
        </is>
      </c>
      <c r="V670" t="inlineStr">
        <is>
          <t>2007-09-12</t>
        </is>
      </c>
      <c r="W670" t="inlineStr">
        <is>
          <t>1999-06-02</t>
        </is>
      </c>
      <c r="X670" t="inlineStr">
        <is>
          <t>1999-06-02</t>
        </is>
      </c>
      <c r="Y670" t="n">
        <v>1362</v>
      </c>
      <c r="Z670" t="n">
        <v>1330</v>
      </c>
      <c r="AA670" t="n">
        <v>1412</v>
      </c>
      <c r="AB670" t="n">
        <v>21</v>
      </c>
      <c r="AC670" t="n">
        <v>22</v>
      </c>
      <c r="AD670" t="n">
        <v>6</v>
      </c>
      <c r="AE670" t="n">
        <v>6</v>
      </c>
      <c r="AF670" t="n">
        <v>1</v>
      </c>
      <c r="AG670" t="n">
        <v>1</v>
      </c>
      <c r="AH670" t="n">
        <v>1</v>
      </c>
      <c r="AI670" t="n">
        <v>1</v>
      </c>
      <c r="AJ670" t="n">
        <v>3</v>
      </c>
      <c r="AK670" t="n">
        <v>3</v>
      </c>
      <c r="AL670" t="n">
        <v>2</v>
      </c>
      <c r="AM670" t="n">
        <v>2</v>
      </c>
      <c r="AN670" t="n">
        <v>1</v>
      </c>
      <c r="AO670" t="n">
        <v>1</v>
      </c>
      <c r="AP670" t="inlineStr">
        <is>
          <t>No</t>
        </is>
      </c>
      <c r="AQ670" t="inlineStr">
        <is>
          <t>No</t>
        </is>
      </c>
      <c r="AS670">
        <f>HYPERLINK("https://creighton-primo.hosted.exlibrisgroup.com/primo-explore/search?tab=default_tab&amp;search_scope=EVERYTHING&amp;vid=01CRU&amp;lang=en_US&amp;offset=0&amp;query=any,contains,991002991379702656","Catalog Record")</f>
        <v/>
      </c>
      <c r="AT670">
        <f>HYPERLINK("http://www.worldcat.org/oclc/40396331","WorldCat Record")</f>
        <v/>
      </c>
      <c r="AU670" t="inlineStr">
        <is>
          <t>977885:eng</t>
        </is>
      </c>
      <c r="AV670" t="inlineStr">
        <is>
          <t>40396331</t>
        </is>
      </c>
      <c r="AW670" t="inlineStr">
        <is>
          <t>991002991379702656</t>
        </is>
      </c>
      <c r="AX670" t="inlineStr">
        <is>
          <t>991002991379702656</t>
        </is>
      </c>
      <c r="AY670" t="inlineStr">
        <is>
          <t>2269730440002656</t>
        </is>
      </c>
      <c r="AZ670" t="inlineStr">
        <is>
          <t>BOOK</t>
        </is>
      </c>
      <c r="BB670" t="inlineStr">
        <is>
          <t>9780060192709</t>
        </is>
      </c>
      <c r="BC670" t="inlineStr">
        <is>
          <t>32285003572384</t>
        </is>
      </c>
      <c r="BD670" t="inlineStr">
        <is>
          <t>893616864</t>
        </is>
      </c>
    </row>
    <row r="671">
      <c r="A671" t="inlineStr">
        <is>
          <t>No</t>
        </is>
      </c>
      <c r="B671" t="inlineStr">
        <is>
          <t>HQ1206 .S54 1984</t>
        </is>
      </c>
      <c r="C671" t="inlineStr">
        <is>
          <t>0                      HQ 1206000S  54          1984</t>
        </is>
      </c>
      <c r="D671" t="inlineStr">
        <is>
          <t>Georg Simmel, on women, sexuality, and love / translated and with an introduction by Guy Oakes.</t>
        </is>
      </c>
      <c r="F671" t="inlineStr">
        <is>
          <t>No</t>
        </is>
      </c>
      <c r="G671" t="inlineStr">
        <is>
          <t>1</t>
        </is>
      </c>
      <c r="H671" t="inlineStr">
        <is>
          <t>No</t>
        </is>
      </c>
      <c r="I671" t="inlineStr">
        <is>
          <t>No</t>
        </is>
      </c>
      <c r="J671" t="inlineStr">
        <is>
          <t>0</t>
        </is>
      </c>
      <c r="K671" t="inlineStr">
        <is>
          <t>Simmel, Georg, 1858-1918.</t>
        </is>
      </c>
      <c r="L671" t="inlineStr">
        <is>
          <t>New Haven : Yale University Press, c1984.</t>
        </is>
      </c>
      <c r="M671" t="inlineStr">
        <is>
          <t>1984</t>
        </is>
      </c>
      <c r="O671" t="inlineStr">
        <is>
          <t>eng</t>
        </is>
      </c>
      <c r="P671" t="inlineStr">
        <is>
          <t>ctu</t>
        </is>
      </c>
      <c r="R671" t="inlineStr">
        <is>
          <t xml:space="preserve">HQ </t>
        </is>
      </c>
      <c r="S671" t="n">
        <v>2</v>
      </c>
      <c r="T671" t="n">
        <v>2</v>
      </c>
      <c r="U671" t="inlineStr">
        <is>
          <t>2000-09-12</t>
        </is>
      </c>
      <c r="V671" t="inlineStr">
        <is>
          <t>2000-09-12</t>
        </is>
      </c>
      <c r="W671" t="inlineStr">
        <is>
          <t>1992-06-17</t>
        </is>
      </c>
      <c r="X671" t="inlineStr">
        <is>
          <t>1992-06-17</t>
        </is>
      </c>
      <c r="Y671" t="n">
        <v>693</v>
      </c>
      <c r="Z671" t="n">
        <v>564</v>
      </c>
      <c r="AA671" t="n">
        <v>570</v>
      </c>
      <c r="AB671" t="n">
        <v>6</v>
      </c>
      <c r="AC671" t="n">
        <v>6</v>
      </c>
      <c r="AD671" t="n">
        <v>33</v>
      </c>
      <c r="AE671" t="n">
        <v>33</v>
      </c>
      <c r="AF671" t="n">
        <v>10</v>
      </c>
      <c r="AG671" t="n">
        <v>10</v>
      </c>
      <c r="AH671" t="n">
        <v>10</v>
      </c>
      <c r="AI671" t="n">
        <v>10</v>
      </c>
      <c r="AJ671" t="n">
        <v>17</v>
      </c>
      <c r="AK671" t="n">
        <v>17</v>
      </c>
      <c r="AL671" t="n">
        <v>5</v>
      </c>
      <c r="AM671" t="n">
        <v>5</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HYPERLINK("https://creighton-primo.hosted.exlibrisgroup.com/primo-explore/search?tab=default_tab&amp;search_scope=EVERYTHING&amp;vid=01CRU&amp;lang=en_US&amp;offset=0&amp;query=any,contains,991000337159702656","Catalog Record")</f>
        <v/>
      </c>
      <c r="AT671">
        <f>HYPERLINK("http://www.worldcat.org/oclc/10230370","WorldCat Record")</f>
        <v/>
      </c>
      <c r="AU671" t="inlineStr">
        <is>
          <t>3943301995:eng</t>
        </is>
      </c>
      <c r="AV671" t="inlineStr">
        <is>
          <t>10230370</t>
        </is>
      </c>
      <c r="AW671" t="inlineStr">
        <is>
          <t>991000337159702656</t>
        </is>
      </c>
      <c r="AX671" t="inlineStr">
        <is>
          <t>991000337159702656</t>
        </is>
      </c>
      <c r="AY671" t="inlineStr">
        <is>
          <t>2258503730002656</t>
        </is>
      </c>
      <c r="AZ671" t="inlineStr">
        <is>
          <t>BOOK</t>
        </is>
      </c>
      <c r="BB671" t="inlineStr">
        <is>
          <t>9780300031959</t>
        </is>
      </c>
      <c r="BC671" t="inlineStr">
        <is>
          <t>32285001132348</t>
        </is>
      </c>
      <c r="BD671" t="inlineStr">
        <is>
          <t>893871573</t>
        </is>
      </c>
    </row>
    <row r="672">
      <c r="A672" t="inlineStr">
        <is>
          <t>No</t>
        </is>
      </c>
      <c r="B672" t="inlineStr">
        <is>
          <t>HQ1206 .T214 1989</t>
        </is>
      </c>
      <c r="C672" t="inlineStr">
        <is>
          <t>0                      HQ 1206000T  214         1989</t>
        </is>
      </c>
      <c r="D672" t="inlineStr">
        <is>
          <t>Taking our time : feminist perspectives on temporality / edited by Frieda Johles Forman, with Caoran Sowton.</t>
        </is>
      </c>
      <c r="F672" t="inlineStr">
        <is>
          <t>No</t>
        </is>
      </c>
      <c r="G672" t="inlineStr">
        <is>
          <t>1</t>
        </is>
      </c>
      <c r="H672" t="inlineStr">
        <is>
          <t>No</t>
        </is>
      </c>
      <c r="I672" t="inlineStr">
        <is>
          <t>No</t>
        </is>
      </c>
      <c r="J672" t="inlineStr">
        <is>
          <t>0</t>
        </is>
      </c>
      <c r="L672" t="inlineStr">
        <is>
          <t>Oxford, England ; New York : Pergamon Press, 1989.</t>
        </is>
      </c>
      <c r="M672" t="inlineStr">
        <is>
          <t>1989</t>
        </is>
      </c>
      <c r="N672" t="inlineStr">
        <is>
          <t>1st ed.</t>
        </is>
      </c>
      <c r="O672" t="inlineStr">
        <is>
          <t>eng</t>
        </is>
      </c>
      <c r="P672" t="inlineStr">
        <is>
          <t>enk</t>
        </is>
      </c>
      <c r="Q672" t="inlineStr">
        <is>
          <t>The Athene series</t>
        </is>
      </c>
      <c r="R672" t="inlineStr">
        <is>
          <t xml:space="preserve">HQ </t>
        </is>
      </c>
      <c r="S672" t="n">
        <v>2</v>
      </c>
      <c r="T672" t="n">
        <v>2</v>
      </c>
      <c r="U672" t="inlineStr">
        <is>
          <t>1992-09-21</t>
        </is>
      </c>
      <c r="V672" t="inlineStr">
        <is>
          <t>1992-09-21</t>
        </is>
      </c>
      <c r="W672" t="inlineStr">
        <is>
          <t>1990-02-24</t>
        </is>
      </c>
      <c r="X672" t="inlineStr">
        <is>
          <t>1990-02-24</t>
        </is>
      </c>
      <c r="Y672" t="n">
        <v>339</v>
      </c>
      <c r="Z672" t="n">
        <v>238</v>
      </c>
      <c r="AA672" t="n">
        <v>248</v>
      </c>
      <c r="AB672" t="n">
        <v>2</v>
      </c>
      <c r="AC672" t="n">
        <v>2</v>
      </c>
      <c r="AD672" t="n">
        <v>9</v>
      </c>
      <c r="AE672" t="n">
        <v>9</v>
      </c>
      <c r="AF672" t="n">
        <v>1</v>
      </c>
      <c r="AG672" t="n">
        <v>1</v>
      </c>
      <c r="AH672" t="n">
        <v>2</v>
      </c>
      <c r="AI672" t="n">
        <v>2</v>
      </c>
      <c r="AJ672" t="n">
        <v>6</v>
      </c>
      <c r="AK672" t="n">
        <v>6</v>
      </c>
      <c r="AL672" t="n">
        <v>1</v>
      </c>
      <c r="AM672" t="n">
        <v>1</v>
      </c>
      <c r="AN672" t="n">
        <v>0</v>
      </c>
      <c r="AO672" t="n">
        <v>0</v>
      </c>
      <c r="AP672" t="inlineStr">
        <is>
          <t>No</t>
        </is>
      </c>
      <c r="AQ672" t="inlineStr">
        <is>
          <t>Yes</t>
        </is>
      </c>
      <c r="AR672">
        <f>HYPERLINK("http://catalog.hathitrust.org/Record/001104975","HathiTrust Record")</f>
        <v/>
      </c>
      <c r="AS672">
        <f>HYPERLINK("https://creighton-primo.hosted.exlibrisgroup.com/primo-explore/search?tab=default_tab&amp;search_scope=EVERYTHING&amp;vid=01CRU&amp;lang=en_US&amp;offset=0&amp;query=any,contains,991001322769702656","Catalog Record")</f>
        <v/>
      </c>
      <c r="AT672">
        <f>HYPERLINK("http://www.worldcat.org/oclc/18255232","WorldCat Record")</f>
        <v/>
      </c>
      <c r="AU672" t="inlineStr">
        <is>
          <t>889929403:eng</t>
        </is>
      </c>
      <c r="AV672" t="inlineStr">
        <is>
          <t>18255232</t>
        </is>
      </c>
      <c r="AW672" t="inlineStr">
        <is>
          <t>991001322769702656</t>
        </is>
      </c>
      <c r="AX672" t="inlineStr">
        <is>
          <t>991001322769702656</t>
        </is>
      </c>
      <c r="AY672" t="inlineStr">
        <is>
          <t>2259039720002656</t>
        </is>
      </c>
      <c r="AZ672" t="inlineStr">
        <is>
          <t>BOOK</t>
        </is>
      </c>
      <c r="BB672" t="inlineStr">
        <is>
          <t>9780080364773</t>
        </is>
      </c>
      <c r="BC672" t="inlineStr">
        <is>
          <t>32285000039494</t>
        </is>
      </c>
      <c r="BD672" t="inlineStr">
        <is>
          <t>893261807</t>
        </is>
      </c>
    </row>
    <row r="673">
      <c r="A673" t="inlineStr">
        <is>
          <t>No</t>
        </is>
      </c>
      <c r="B673" t="inlineStr">
        <is>
          <t>HQ1206 .T28 1993</t>
        </is>
      </c>
      <c r="C673" t="inlineStr">
        <is>
          <t>0                      HQ 1206000T  28          1993</t>
        </is>
      </c>
      <c r="D673" t="inlineStr">
        <is>
          <t>The mismeasure of woman / Carol Tavris.</t>
        </is>
      </c>
      <c r="F673" t="inlineStr">
        <is>
          <t>No</t>
        </is>
      </c>
      <c r="G673" t="inlineStr">
        <is>
          <t>1</t>
        </is>
      </c>
      <c r="H673" t="inlineStr">
        <is>
          <t>No</t>
        </is>
      </c>
      <c r="I673" t="inlineStr">
        <is>
          <t>No</t>
        </is>
      </c>
      <c r="J673" t="inlineStr">
        <is>
          <t>0</t>
        </is>
      </c>
      <c r="K673" t="inlineStr">
        <is>
          <t>Tavris, Carol.</t>
        </is>
      </c>
      <c r="L673" t="inlineStr">
        <is>
          <t>New York : Simon &amp; Schuster, 1993.</t>
        </is>
      </c>
      <c r="M673" t="inlineStr">
        <is>
          <t>1993</t>
        </is>
      </c>
      <c r="N673" t="inlineStr">
        <is>
          <t>1st Touchstone ed.</t>
        </is>
      </c>
      <c r="O673" t="inlineStr">
        <is>
          <t>eng</t>
        </is>
      </c>
      <c r="P673" t="inlineStr">
        <is>
          <t>nyu</t>
        </is>
      </c>
      <c r="R673" t="inlineStr">
        <is>
          <t xml:space="preserve">HQ </t>
        </is>
      </c>
      <c r="S673" t="n">
        <v>38</v>
      </c>
      <c r="T673" t="n">
        <v>38</v>
      </c>
      <c r="U673" t="inlineStr">
        <is>
          <t>2006-09-07</t>
        </is>
      </c>
      <c r="V673" t="inlineStr">
        <is>
          <t>2006-09-07</t>
        </is>
      </c>
      <c r="W673" t="inlineStr">
        <is>
          <t>1994-06-08</t>
        </is>
      </c>
      <c r="X673" t="inlineStr">
        <is>
          <t>1994-06-08</t>
        </is>
      </c>
      <c r="Y673" t="n">
        <v>310</v>
      </c>
      <c r="Z673" t="n">
        <v>284</v>
      </c>
      <c r="AA673" t="n">
        <v>1406</v>
      </c>
      <c r="AB673" t="n">
        <v>4</v>
      </c>
      <c r="AC673" t="n">
        <v>11</v>
      </c>
      <c r="AD673" t="n">
        <v>10</v>
      </c>
      <c r="AE673" t="n">
        <v>42</v>
      </c>
      <c r="AF673" t="n">
        <v>4</v>
      </c>
      <c r="AG673" t="n">
        <v>17</v>
      </c>
      <c r="AH673" t="n">
        <v>2</v>
      </c>
      <c r="AI673" t="n">
        <v>8</v>
      </c>
      <c r="AJ673" t="n">
        <v>2</v>
      </c>
      <c r="AK673" t="n">
        <v>18</v>
      </c>
      <c r="AL673" t="n">
        <v>3</v>
      </c>
      <c r="AM673" t="n">
        <v>9</v>
      </c>
      <c r="AN673" t="n">
        <v>1</v>
      </c>
      <c r="AO673" t="n">
        <v>1</v>
      </c>
      <c r="AP673" t="inlineStr">
        <is>
          <t>No</t>
        </is>
      </c>
      <c r="AQ673" t="inlineStr">
        <is>
          <t>No</t>
        </is>
      </c>
      <c r="AS673">
        <f>HYPERLINK("https://creighton-primo.hosted.exlibrisgroup.com/primo-explore/search?tab=default_tab&amp;search_scope=EVERYTHING&amp;vid=01CRU&amp;lang=en_US&amp;offset=0&amp;query=any,contains,991002155949702656","Catalog Record")</f>
        <v/>
      </c>
      <c r="AT673">
        <f>HYPERLINK("http://www.worldcat.org/oclc/27772267","WorldCat Record")</f>
        <v/>
      </c>
      <c r="AU673" t="inlineStr">
        <is>
          <t>27396742:eng</t>
        </is>
      </c>
      <c r="AV673" t="inlineStr">
        <is>
          <t>27772267</t>
        </is>
      </c>
      <c r="AW673" t="inlineStr">
        <is>
          <t>991002155949702656</t>
        </is>
      </c>
      <c r="AX673" t="inlineStr">
        <is>
          <t>991002155949702656</t>
        </is>
      </c>
      <c r="AY673" t="inlineStr">
        <is>
          <t>2263371060002656</t>
        </is>
      </c>
      <c r="AZ673" t="inlineStr">
        <is>
          <t>BOOK</t>
        </is>
      </c>
      <c r="BB673" t="inlineStr">
        <is>
          <t>9780671797492</t>
        </is>
      </c>
      <c r="BC673" t="inlineStr">
        <is>
          <t>32285001922417</t>
        </is>
      </c>
      <c r="BD673" t="inlineStr">
        <is>
          <t>893691265</t>
        </is>
      </c>
    </row>
    <row r="674">
      <c r="A674" t="inlineStr">
        <is>
          <t>No</t>
        </is>
      </c>
      <c r="B674" t="inlineStr">
        <is>
          <t>HQ1206 .U47</t>
        </is>
      </c>
      <c r="C674" t="inlineStr">
        <is>
          <t>0                      HQ 1206000U  47</t>
        </is>
      </c>
      <c r="D674" t="inlineStr">
        <is>
          <t>The feminine in Jungian psychology and in Christian theology.</t>
        </is>
      </c>
      <c r="F674" t="inlineStr">
        <is>
          <t>No</t>
        </is>
      </c>
      <c r="G674" t="inlineStr">
        <is>
          <t>1</t>
        </is>
      </c>
      <c r="H674" t="inlineStr">
        <is>
          <t>No</t>
        </is>
      </c>
      <c r="I674" t="inlineStr">
        <is>
          <t>No</t>
        </is>
      </c>
      <c r="J674" t="inlineStr">
        <is>
          <t>0</t>
        </is>
      </c>
      <c r="K674" t="inlineStr">
        <is>
          <t>Ulanov, Ann Belford.</t>
        </is>
      </c>
      <c r="L674" t="inlineStr">
        <is>
          <t>Evanston [Ill.] Northwestern University Press, 1971.</t>
        </is>
      </c>
      <c r="M674" t="inlineStr">
        <is>
          <t>1971</t>
        </is>
      </c>
      <c r="O674" t="inlineStr">
        <is>
          <t>eng</t>
        </is>
      </c>
      <c r="P674" t="inlineStr">
        <is>
          <t>ilu</t>
        </is>
      </c>
      <c r="R674" t="inlineStr">
        <is>
          <t xml:space="preserve">HQ </t>
        </is>
      </c>
      <c r="S674" t="n">
        <v>1</v>
      </c>
      <c r="T674" t="n">
        <v>1</v>
      </c>
      <c r="U674" t="inlineStr">
        <is>
          <t>2003-03-02</t>
        </is>
      </c>
      <c r="V674" t="inlineStr">
        <is>
          <t>2003-03-02</t>
        </is>
      </c>
      <c r="W674" t="inlineStr">
        <is>
          <t>1997-08-14</t>
        </is>
      </c>
      <c r="X674" t="inlineStr">
        <is>
          <t>1997-08-14</t>
        </is>
      </c>
      <c r="Y674" t="n">
        <v>867</v>
      </c>
      <c r="Z674" t="n">
        <v>773</v>
      </c>
      <c r="AA674" t="n">
        <v>781</v>
      </c>
      <c r="AB674" t="n">
        <v>5</v>
      </c>
      <c r="AC674" t="n">
        <v>5</v>
      </c>
      <c r="AD674" t="n">
        <v>33</v>
      </c>
      <c r="AE674" t="n">
        <v>34</v>
      </c>
      <c r="AF674" t="n">
        <v>11</v>
      </c>
      <c r="AG674" t="n">
        <v>12</v>
      </c>
      <c r="AH674" t="n">
        <v>9</v>
      </c>
      <c r="AI674" t="n">
        <v>9</v>
      </c>
      <c r="AJ674" t="n">
        <v>19</v>
      </c>
      <c r="AK674" t="n">
        <v>19</v>
      </c>
      <c r="AL674" t="n">
        <v>3</v>
      </c>
      <c r="AM674" t="n">
        <v>3</v>
      </c>
      <c r="AN674" t="n">
        <v>0</v>
      </c>
      <c r="AO674" t="n">
        <v>0</v>
      </c>
      <c r="AP674" t="inlineStr">
        <is>
          <t>No</t>
        </is>
      </c>
      <c r="AQ674" t="inlineStr">
        <is>
          <t>Yes</t>
        </is>
      </c>
      <c r="AR674">
        <f>HYPERLINK("http://catalog.hathitrust.org/Record/001116957","HathiTrust Record")</f>
        <v/>
      </c>
      <c r="AS674">
        <f>HYPERLINK("https://creighton-primo.hosted.exlibrisgroup.com/primo-explore/search?tab=default_tab&amp;search_scope=EVERYTHING&amp;vid=01CRU&amp;lang=en_US&amp;offset=0&amp;query=any,contains,991001285399702656","Catalog Record")</f>
        <v/>
      </c>
      <c r="AT674">
        <f>HYPERLINK("http://www.worldcat.org/oclc/215628","WorldCat Record")</f>
        <v/>
      </c>
      <c r="AU674" t="inlineStr">
        <is>
          <t>467802:eng</t>
        </is>
      </c>
      <c r="AV674" t="inlineStr">
        <is>
          <t>215628</t>
        </is>
      </c>
      <c r="AW674" t="inlineStr">
        <is>
          <t>991001285399702656</t>
        </is>
      </c>
      <c r="AX674" t="inlineStr">
        <is>
          <t>991001285399702656</t>
        </is>
      </c>
      <c r="AY674" t="inlineStr">
        <is>
          <t>2255744120002656</t>
        </is>
      </c>
      <c r="AZ674" t="inlineStr">
        <is>
          <t>BOOK</t>
        </is>
      </c>
      <c r="BB674" t="inlineStr">
        <is>
          <t>9780810103511</t>
        </is>
      </c>
      <c r="BC674" t="inlineStr">
        <is>
          <t>32285003104097</t>
        </is>
      </c>
      <c r="BD674" t="inlineStr">
        <is>
          <t>893444649</t>
        </is>
      </c>
    </row>
    <row r="675">
      <c r="A675" t="inlineStr">
        <is>
          <t>No</t>
        </is>
      </c>
      <c r="B675" t="inlineStr">
        <is>
          <t>HQ1206 .U48</t>
        </is>
      </c>
      <c r="C675" t="inlineStr">
        <is>
          <t>0                      HQ 1206000U  48</t>
        </is>
      </c>
      <c r="D675" t="inlineStr">
        <is>
          <t>Receiving woman : studies in the psychology and theology of the feminine / by Ann Belford Ulanov.</t>
        </is>
      </c>
      <c r="F675" t="inlineStr">
        <is>
          <t>No</t>
        </is>
      </c>
      <c r="G675" t="inlineStr">
        <is>
          <t>1</t>
        </is>
      </c>
      <c r="H675" t="inlineStr">
        <is>
          <t>No</t>
        </is>
      </c>
      <c r="I675" t="inlineStr">
        <is>
          <t>No</t>
        </is>
      </c>
      <c r="J675" t="inlineStr">
        <is>
          <t>0</t>
        </is>
      </c>
      <c r="K675" t="inlineStr">
        <is>
          <t>Ulanov, Ann Belford.</t>
        </is>
      </c>
      <c r="L675" t="inlineStr">
        <is>
          <t>Philadelphia : Westminster Press, c1981.</t>
        </is>
      </c>
      <c r="M675" t="inlineStr">
        <is>
          <t>1981</t>
        </is>
      </c>
      <c r="N675" t="inlineStr">
        <is>
          <t>1st ed.</t>
        </is>
      </c>
      <c r="O675" t="inlineStr">
        <is>
          <t>eng</t>
        </is>
      </c>
      <c r="P675" t="inlineStr">
        <is>
          <t>pau</t>
        </is>
      </c>
      <c r="R675" t="inlineStr">
        <is>
          <t xml:space="preserve">HQ </t>
        </is>
      </c>
      <c r="S675" t="n">
        <v>3</v>
      </c>
      <c r="T675" t="n">
        <v>3</v>
      </c>
      <c r="U675" t="inlineStr">
        <is>
          <t>1998-02-09</t>
        </is>
      </c>
      <c r="V675" t="inlineStr">
        <is>
          <t>1998-02-09</t>
        </is>
      </c>
      <c r="W675" t="inlineStr">
        <is>
          <t>1991-09-03</t>
        </is>
      </c>
      <c r="X675" t="inlineStr">
        <is>
          <t>1991-09-03</t>
        </is>
      </c>
      <c r="Y675" t="n">
        <v>651</v>
      </c>
      <c r="Z675" t="n">
        <v>566</v>
      </c>
      <c r="AA675" t="n">
        <v>585</v>
      </c>
      <c r="AB675" t="n">
        <v>3</v>
      </c>
      <c r="AC675" t="n">
        <v>4</v>
      </c>
      <c r="AD675" t="n">
        <v>32</v>
      </c>
      <c r="AE675" t="n">
        <v>33</v>
      </c>
      <c r="AF675" t="n">
        <v>15</v>
      </c>
      <c r="AG675" t="n">
        <v>15</v>
      </c>
      <c r="AH675" t="n">
        <v>7</v>
      </c>
      <c r="AI675" t="n">
        <v>7</v>
      </c>
      <c r="AJ675" t="n">
        <v>18</v>
      </c>
      <c r="AK675" t="n">
        <v>18</v>
      </c>
      <c r="AL675" t="n">
        <v>2</v>
      </c>
      <c r="AM675" t="n">
        <v>3</v>
      </c>
      <c r="AN675" t="n">
        <v>0</v>
      </c>
      <c r="AO675" t="n">
        <v>0</v>
      </c>
      <c r="AP675" t="inlineStr">
        <is>
          <t>No</t>
        </is>
      </c>
      <c r="AQ675" t="inlineStr">
        <is>
          <t>Yes</t>
        </is>
      </c>
      <c r="AR675">
        <f>HYPERLINK("http://catalog.hathitrust.org/Record/000223949","HathiTrust Record")</f>
        <v/>
      </c>
      <c r="AS675">
        <f>HYPERLINK("https://creighton-primo.hosted.exlibrisgroup.com/primo-explore/search?tab=default_tab&amp;search_scope=EVERYTHING&amp;vid=01CRU&amp;lang=en_US&amp;offset=0&amp;query=any,contains,991005068409702656","Catalog Record")</f>
        <v/>
      </c>
      <c r="AT675">
        <f>HYPERLINK("http://www.worldcat.org/oclc/6982655","WorldCat Record")</f>
        <v/>
      </c>
      <c r="AU675" t="inlineStr">
        <is>
          <t>513737:eng</t>
        </is>
      </c>
      <c r="AV675" t="inlineStr">
        <is>
          <t>6982655</t>
        </is>
      </c>
      <c r="AW675" t="inlineStr">
        <is>
          <t>991005068409702656</t>
        </is>
      </c>
      <c r="AX675" t="inlineStr">
        <is>
          <t>991005068409702656</t>
        </is>
      </c>
      <c r="AY675" t="inlineStr">
        <is>
          <t>2272542770002656</t>
        </is>
      </c>
      <c r="AZ675" t="inlineStr">
        <is>
          <t>BOOK</t>
        </is>
      </c>
      <c r="BB675" t="inlineStr">
        <is>
          <t>9780664243609</t>
        </is>
      </c>
      <c r="BC675" t="inlineStr">
        <is>
          <t>32285000734466</t>
        </is>
      </c>
      <c r="BD675" t="inlineStr">
        <is>
          <t>893688540</t>
        </is>
      </c>
    </row>
    <row r="676">
      <c r="A676" t="inlineStr">
        <is>
          <t>No</t>
        </is>
      </c>
      <c r="B676" t="inlineStr">
        <is>
          <t>HQ1206 .U49 1992</t>
        </is>
      </c>
      <c r="C676" t="inlineStr">
        <is>
          <t>0                      HQ 1206000U  49          1992</t>
        </is>
      </c>
      <c r="D676" t="inlineStr">
        <is>
          <t>Women and gender : a feminist psychology / Rhoda Unger, Mary Crawford.</t>
        </is>
      </c>
      <c r="F676" t="inlineStr">
        <is>
          <t>No</t>
        </is>
      </c>
      <c r="G676" t="inlineStr">
        <is>
          <t>1</t>
        </is>
      </c>
      <c r="H676" t="inlineStr">
        <is>
          <t>No</t>
        </is>
      </c>
      <c r="I676" t="inlineStr">
        <is>
          <t>No</t>
        </is>
      </c>
      <c r="J676" t="inlineStr">
        <is>
          <t>0</t>
        </is>
      </c>
      <c r="K676" t="inlineStr">
        <is>
          <t>Unger, Rhoda Kesler.</t>
        </is>
      </c>
      <c r="L676" t="inlineStr">
        <is>
          <t>Philadelphia : Temple University Press, 1992.</t>
        </is>
      </c>
      <c r="M676" t="inlineStr">
        <is>
          <t>1992</t>
        </is>
      </c>
      <c r="O676" t="inlineStr">
        <is>
          <t>eng</t>
        </is>
      </c>
      <c r="P676" t="inlineStr">
        <is>
          <t>pau</t>
        </is>
      </c>
      <c r="R676" t="inlineStr">
        <is>
          <t xml:space="preserve">HQ </t>
        </is>
      </c>
      <c r="S676" t="n">
        <v>3</v>
      </c>
      <c r="T676" t="n">
        <v>3</v>
      </c>
      <c r="U676" t="inlineStr">
        <is>
          <t>1993-04-06</t>
        </is>
      </c>
      <c r="V676" t="inlineStr">
        <is>
          <t>1993-04-06</t>
        </is>
      </c>
      <c r="W676" t="inlineStr">
        <is>
          <t>1992-05-21</t>
        </is>
      </c>
      <c r="X676" t="inlineStr">
        <is>
          <t>1992-05-21</t>
        </is>
      </c>
      <c r="Y676" t="n">
        <v>423</v>
      </c>
      <c r="Z676" t="n">
        <v>378</v>
      </c>
      <c r="AA676" t="n">
        <v>692</v>
      </c>
      <c r="AB676" t="n">
        <v>5</v>
      </c>
      <c r="AC676" t="n">
        <v>6</v>
      </c>
      <c r="AD676" t="n">
        <v>25</v>
      </c>
      <c r="AE676" t="n">
        <v>38</v>
      </c>
      <c r="AF676" t="n">
        <v>13</v>
      </c>
      <c r="AG676" t="n">
        <v>15</v>
      </c>
      <c r="AH676" t="n">
        <v>6</v>
      </c>
      <c r="AI676" t="n">
        <v>10</v>
      </c>
      <c r="AJ676" t="n">
        <v>12</v>
      </c>
      <c r="AK676" t="n">
        <v>19</v>
      </c>
      <c r="AL676" t="n">
        <v>4</v>
      </c>
      <c r="AM676" t="n">
        <v>5</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HYPERLINK("https://creighton-primo.hosted.exlibrisgroup.com/primo-explore/search?tab=default_tab&amp;search_scope=EVERYTHING&amp;vid=01CRU&amp;lang=en_US&amp;offset=0&amp;query=any,contains,991001915319702656","Catalog Record")</f>
        <v/>
      </c>
      <c r="AT676">
        <f>HYPERLINK("http://www.worldcat.org/oclc/24174818","WorldCat Record")</f>
        <v/>
      </c>
      <c r="AU676" t="inlineStr">
        <is>
          <t>26477145:eng</t>
        </is>
      </c>
      <c r="AV676" t="inlineStr">
        <is>
          <t>24174818</t>
        </is>
      </c>
      <c r="AW676" t="inlineStr">
        <is>
          <t>991001915319702656</t>
        </is>
      </c>
      <c r="AX676" t="inlineStr">
        <is>
          <t>991001915319702656</t>
        </is>
      </c>
      <c r="AY676" t="inlineStr">
        <is>
          <t>2269602450002656</t>
        </is>
      </c>
      <c r="AZ676" t="inlineStr">
        <is>
          <t>BOOK</t>
        </is>
      </c>
      <c r="BB676" t="inlineStr">
        <is>
          <t>9780877228974</t>
        </is>
      </c>
      <c r="BC676" t="inlineStr">
        <is>
          <t>32285001117281</t>
        </is>
      </c>
      <c r="BD676" t="inlineStr">
        <is>
          <t>893232371</t>
        </is>
      </c>
    </row>
    <row r="677">
      <c r="A677" t="inlineStr">
        <is>
          <t>No</t>
        </is>
      </c>
      <c r="B677" t="inlineStr">
        <is>
          <t>HQ1206 .V58 1983</t>
        </is>
      </c>
      <c r="C677" t="inlineStr">
        <is>
          <t>0                      HQ 1206000V  58          1983</t>
        </is>
      </c>
      <c r="D677" t="inlineStr">
        <is>
          <t>Visions of women : being a fascinating anthology with analysis of philosophers' views of women from ancient to modern times / edited and with an introduction by Linda A. Bell.</t>
        </is>
      </c>
      <c r="F677" t="inlineStr">
        <is>
          <t>No</t>
        </is>
      </c>
      <c r="G677" t="inlineStr">
        <is>
          <t>1</t>
        </is>
      </c>
      <c r="H677" t="inlineStr">
        <is>
          <t>No</t>
        </is>
      </c>
      <c r="I677" t="inlineStr">
        <is>
          <t>No</t>
        </is>
      </c>
      <c r="J677" t="inlineStr">
        <is>
          <t>0</t>
        </is>
      </c>
      <c r="L677" t="inlineStr">
        <is>
          <t>Clifton, N.J. : Humana Press, c1983.</t>
        </is>
      </c>
      <c r="M677" t="inlineStr">
        <is>
          <t>1983</t>
        </is>
      </c>
      <c r="O677" t="inlineStr">
        <is>
          <t>eng</t>
        </is>
      </c>
      <c r="P677" t="inlineStr">
        <is>
          <t>nju</t>
        </is>
      </c>
      <c r="Q677" t="inlineStr">
        <is>
          <t>Contemporary issues in biomedicine, ethics, and society</t>
        </is>
      </c>
      <c r="R677" t="inlineStr">
        <is>
          <t xml:space="preserve">HQ </t>
        </is>
      </c>
      <c r="S677" t="n">
        <v>3</v>
      </c>
      <c r="T677" t="n">
        <v>3</v>
      </c>
      <c r="U677" t="inlineStr">
        <is>
          <t>2008-04-20</t>
        </is>
      </c>
      <c r="V677" t="inlineStr">
        <is>
          <t>2008-04-20</t>
        </is>
      </c>
      <c r="W677" t="inlineStr">
        <is>
          <t>1990-07-05</t>
        </is>
      </c>
      <c r="X677" t="inlineStr">
        <is>
          <t>1990-07-05</t>
        </is>
      </c>
      <c r="Y677" t="n">
        <v>385</v>
      </c>
      <c r="Z677" t="n">
        <v>326</v>
      </c>
      <c r="AA677" t="n">
        <v>348</v>
      </c>
      <c r="AB677" t="n">
        <v>3</v>
      </c>
      <c r="AC677" t="n">
        <v>3</v>
      </c>
      <c r="AD677" t="n">
        <v>14</v>
      </c>
      <c r="AE677" t="n">
        <v>15</v>
      </c>
      <c r="AF677" t="n">
        <v>4</v>
      </c>
      <c r="AG677" t="n">
        <v>5</v>
      </c>
      <c r="AH677" t="n">
        <v>4</v>
      </c>
      <c r="AI677" t="n">
        <v>4</v>
      </c>
      <c r="AJ677" t="n">
        <v>8</v>
      </c>
      <c r="AK677" t="n">
        <v>9</v>
      </c>
      <c r="AL677" t="n">
        <v>2</v>
      </c>
      <c r="AM677" t="n">
        <v>2</v>
      </c>
      <c r="AN677" t="n">
        <v>0</v>
      </c>
      <c r="AO677" t="n">
        <v>0</v>
      </c>
      <c r="AP677" t="inlineStr">
        <is>
          <t>No</t>
        </is>
      </c>
      <c r="AQ677" t="inlineStr">
        <is>
          <t>No</t>
        </is>
      </c>
      <c r="AS677">
        <f>HYPERLINK("https://creighton-primo.hosted.exlibrisgroup.com/primo-explore/search?tab=default_tab&amp;search_scope=EVERYTHING&amp;vid=01CRU&amp;lang=en_US&amp;offset=0&amp;query=any,contains,991000145779702656","Catalog Record")</f>
        <v/>
      </c>
      <c r="AT677">
        <f>HYPERLINK("http://www.worldcat.org/oclc/9194874","WorldCat Record")</f>
        <v/>
      </c>
      <c r="AU677" t="inlineStr">
        <is>
          <t>1027157989:eng</t>
        </is>
      </c>
      <c r="AV677" t="inlineStr">
        <is>
          <t>9194874</t>
        </is>
      </c>
      <c r="AW677" t="inlineStr">
        <is>
          <t>991000145779702656</t>
        </is>
      </c>
      <c r="AX677" t="inlineStr">
        <is>
          <t>991000145779702656</t>
        </is>
      </c>
      <c r="AY677" t="inlineStr">
        <is>
          <t>2265409860002656</t>
        </is>
      </c>
      <c r="AZ677" t="inlineStr">
        <is>
          <t>BOOK</t>
        </is>
      </c>
      <c r="BB677" t="inlineStr">
        <is>
          <t>9780896030442</t>
        </is>
      </c>
      <c r="BC677" t="inlineStr">
        <is>
          <t>32285000221068</t>
        </is>
      </c>
      <c r="BD677" t="inlineStr">
        <is>
          <t>893683193</t>
        </is>
      </c>
    </row>
    <row r="678">
      <c r="A678" t="inlineStr">
        <is>
          <t>No</t>
        </is>
      </c>
      <c r="B678" t="inlineStr">
        <is>
          <t>HQ1206 .W3 1986</t>
        </is>
      </c>
      <c r="C678" t="inlineStr">
        <is>
          <t>0                      HQ 1206000W  3           1986</t>
        </is>
      </c>
      <c r="D678" t="inlineStr">
        <is>
          <t>Unlocking secrets of the feminine : the path beyond sexism / Kathleen Wagner.</t>
        </is>
      </c>
      <c r="F678" t="inlineStr">
        <is>
          <t>No</t>
        </is>
      </c>
      <c r="G678" t="inlineStr">
        <is>
          <t>1</t>
        </is>
      </c>
      <c r="H678" t="inlineStr">
        <is>
          <t>No</t>
        </is>
      </c>
      <c r="I678" t="inlineStr">
        <is>
          <t>No</t>
        </is>
      </c>
      <c r="J678" t="inlineStr">
        <is>
          <t>0</t>
        </is>
      </c>
      <c r="K678" t="inlineStr">
        <is>
          <t>Wagner, K. (Kathleen)</t>
        </is>
      </c>
      <c r="L678" t="inlineStr">
        <is>
          <t>Kansas City, MO : Sheed &amp; Ward, c1986.</t>
        </is>
      </c>
      <c r="M678" t="inlineStr">
        <is>
          <t>1986</t>
        </is>
      </c>
      <c r="O678" t="inlineStr">
        <is>
          <t>eng</t>
        </is>
      </c>
      <c r="P678" t="inlineStr">
        <is>
          <t>mou</t>
        </is>
      </c>
      <c r="R678" t="inlineStr">
        <is>
          <t xml:space="preserve">HQ </t>
        </is>
      </c>
      <c r="S678" t="n">
        <v>1</v>
      </c>
      <c r="T678" t="n">
        <v>1</v>
      </c>
      <c r="U678" t="inlineStr">
        <is>
          <t>1993-03-21</t>
        </is>
      </c>
      <c r="V678" t="inlineStr">
        <is>
          <t>1993-03-21</t>
        </is>
      </c>
      <c r="W678" t="inlineStr">
        <is>
          <t>1990-06-05</t>
        </is>
      </c>
      <c r="X678" t="inlineStr">
        <is>
          <t>1990-06-05</t>
        </is>
      </c>
      <c r="Y678" t="n">
        <v>104</v>
      </c>
      <c r="Z678" t="n">
        <v>100</v>
      </c>
      <c r="AA678" t="n">
        <v>105</v>
      </c>
      <c r="AB678" t="n">
        <v>2</v>
      </c>
      <c r="AC678" t="n">
        <v>2</v>
      </c>
      <c r="AD678" t="n">
        <v>12</v>
      </c>
      <c r="AE678" t="n">
        <v>12</v>
      </c>
      <c r="AF678" t="n">
        <v>3</v>
      </c>
      <c r="AG678" t="n">
        <v>3</v>
      </c>
      <c r="AH678" t="n">
        <v>2</v>
      </c>
      <c r="AI678" t="n">
        <v>2</v>
      </c>
      <c r="AJ678" t="n">
        <v>9</v>
      </c>
      <c r="AK678" t="n">
        <v>9</v>
      </c>
      <c r="AL678" t="n">
        <v>1</v>
      </c>
      <c r="AM678" t="n">
        <v>1</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HYPERLINK("https://creighton-primo.hosted.exlibrisgroup.com/primo-explore/search?tab=default_tab&amp;search_scope=EVERYTHING&amp;vid=01CRU&amp;lang=en_US&amp;offset=0&amp;query=any,contains,991001005149702656","Catalog Record")</f>
        <v/>
      </c>
      <c r="AT678">
        <f>HYPERLINK("http://www.worldcat.org/oclc/15225125","WorldCat Record")</f>
        <v/>
      </c>
      <c r="AU678" t="inlineStr">
        <is>
          <t>5164506890:eng</t>
        </is>
      </c>
      <c r="AV678" t="inlineStr">
        <is>
          <t>15225125</t>
        </is>
      </c>
      <c r="AW678" t="inlineStr">
        <is>
          <t>991001005149702656</t>
        </is>
      </c>
      <c r="AX678" t="inlineStr">
        <is>
          <t>991001005149702656</t>
        </is>
      </c>
      <c r="AY678" t="inlineStr">
        <is>
          <t>2265382310002656</t>
        </is>
      </c>
      <c r="AZ678" t="inlineStr">
        <is>
          <t>BOOK</t>
        </is>
      </c>
      <c r="BB678" t="inlineStr">
        <is>
          <t>9780934134798</t>
        </is>
      </c>
      <c r="BC678" t="inlineStr">
        <is>
          <t>32285000181833</t>
        </is>
      </c>
      <c r="BD678" t="inlineStr">
        <is>
          <t>893608457</t>
        </is>
      </c>
    </row>
    <row r="679">
      <c r="A679" t="inlineStr">
        <is>
          <t>No</t>
        </is>
      </c>
      <c r="B679" t="inlineStr">
        <is>
          <t>HQ1206 .W32 1996</t>
        </is>
      </c>
      <c r="C679" t="inlineStr">
        <is>
          <t>0                      HQ 1206000W  32          1996</t>
        </is>
      </c>
      <c r="D679" t="inlineStr">
        <is>
          <t>Knowledge, difference, and power : essays inspired by Women's ways of knowing / Nancy Rule Goldberger ... [et al.], editors.</t>
        </is>
      </c>
      <c r="F679" t="inlineStr">
        <is>
          <t>No</t>
        </is>
      </c>
      <c r="G679" t="inlineStr">
        <is>
          <t>1</t>
        </is>
      </c>
      <c r="H679" t="inlineStr">
        <is>
          <t>No</t>
        </is>
      </c>
      <c r="I679" t="inlineStr">
        <is>
          <t>No</t>
        </is>
      </c>
      <c r="J679" t="inlineStr">
        <is>
          <t>0</t>
        </is>
      </c>
      <c r="L679" t="inlineStr">
        <is>
          <t>New York, NY : BasicBooks, c1996.</t>
        </is>
      </c>
      <c r="M679" t="inlineStr">
        <is>
          <t>1996</t>
        </is>
      </c>
      <c r="N679" t="inlineStr">
        <is>
          <t>1st ed.</t>
        </is>
      </c>
      <c r="O679" t="inlineStr">
        <is>
          <t>eng</t>
        </is>
      </c>
      <c r="P679" t="inlineStr">
        <is>
          <t>nyu</t>
        </is>
      </c>
      <c r="R679" t="inlineStr">
        <is>
          <t xml:space="preserve">HQ </t>
        </is>
      </c>
      <c r="S679" t="n">
        <v>10</v>
      </c>
      <c r="T679" t="n">
        <v>10</v>
      </c>
      <c r="U679" t="inlineStr">
        <is>
          <t>2006-03-15</t>
        </is>
      </c>
      <c r="V679" t="inlineStr">
        <is>
          <t>2006-03-15</t>
        </is>
      </c>
      <c r="W679" t="inlineStr">
        <is>
          <t>1997-09-23</t>
        </is>
      </c>
      <c r="X679" t="inlineStr">
        <is>
          <t>1997-09-23</t>
        </is>
      </c>
      <c r="Y679" t="n">
        <v>708</v>
      </c>
      <c r="Z679" t="n">
        <v>594</v>
      </c>
      <c r="AA679" t="n">
        <v>600</v>
      </c>
      <c r="AB679" t="n">
        <v>5</v>
      </c>
      <c r="AC679" t="n">
        <v>5</v>
      </c>
      <c r="AD679" t="n">
        <v>29</v>
      </c>
      <c r="AE679" t="n">
        <v>29</v>
      </c>
      <c r="AF679" t="n">
        <v>9</v>
      </c>
      <c r="AG679" t="n">
        <v>9</v>
      </c>
      <c r="AH679" t="n">
        <v>7</v>
      </c>
      <c r="AI679" t="n">
        <v>7</v>
      </c>
      <c r="AJ679" t="n">
        <v>18</v>
      </c>
      <c r="AK679" t="n">
        <v>18</v>
      </c>
      <c r="AL679" t="n">
        <v>4</v>
      </c>
      <c r="AM679" t="n">
        <v>4</v>
      </c>
      <c r="AN679" t="n">
        <v>2</v>
      </c>
      <c r="AO679" t="n">
        <v>2</v>
      </c>
      <c r="AP679" t="inlineStr">
        <is>
          <t>No</t>
        </is>
      </c>
      <c r="AQ679" t="inlineStr">
        <is>
          <t>Yes</t>
        </is>
      </c>
      <c r="AR679">
        <f>HYPERLINK("http://catalog.hathitrust.org/Record/003122624","HathiTrust Record")</f>
        <v/>
      </c>
      <c r="AS679">
        <f>HYPERLINK("https://creighton-primo.hosted.exlibrisgroup.com/primo-explore/search?tab=default_tab&amp;search_scope=EVERYTHING&amp;vid=01CRU&amp;lang=en_US&amp;offset=0&amp;query=any,contains,991002651479702656","Catalog Record")</f>
        <v/>
      </c>
      <c r="AT679">
        <f>HYPERLINK("http://www.worldcat.org/oclc/34675557","WorldCat Record")</f>
        <v/>
      </c>
      <c r="AU679" t="inlineStr">
        <is>
          <t>891644540:eng</t>
        </is>
      </c>
      <c r="AV679" t="inlineStr">
        <is>
          <t>34675557</t>
        </is>
      </c>
      <c r="AW679" t="inlineStr">
        <is>
          <t>991002651479702656</t>
        </is>
      </c>
      <c r="AX679" t="inlineStr">
        <is>
          <t>991002651479702656</t>
        </is>
      </c>
      <c r="AY679" t="inlineStr">
        <is>
          <t>2265180120002656</t>
        </is>
      </c>
      <c r="AZ679" t="inlineStr">
        <is>
          <t>BOOK</t>
        </is>
      </c>
      <c r="BB679" t="inlineStr">
        <is>
          <t>9780465090983</t>
        </is>
      </c>
      <c r="BC679" t="inlineStr">
        <is>
          <t>32285003250346</t>
        </is>
      </c>
      <c r="BD679" t="inlineStr">
        <is>
          <t>893610101</t>
        </is>
      </c>
    </row>
    <row r="680">
      <c r="A680" t="inlineStr">
        <is>
          <t>No</t>
        </is>
      </c>
      <c r="B680" t="inlineStr">
        <is>
          <t>HQ1206 .W66 1991</t>
        </is>
      </c>
      <c r="C680" t="inlineStr">
        <is>
          <t>0                      HQ 1206000W  66          1991</t>
        </is>
      </c>
      <c r="D680" t="inlineStr">
        <is>
          <t>Women in change : the psychological development of American women / Lillian C. Woo.</t>
        </is>
      </c>
      <c r="F680" t="inlineStr">
        <is>
          <t>No</t>
        </is>
      </c>
      <c r="G680" t="inlineStr">
        <is>
          <t>1</t>
        </is>
      </c>
      <c r="H680" t="inlineStr">
        <is>
          <t>No</t>
        </is>
      </c>
      <c r="I680" t="inlineStr">
        <is>
          <t>No</t>
        </is>
      </c>
      <c r="J680" t="inlineStr">
        <is>
          <t>0</t>
        </is>
      </c>
      <c r="K680" t="inlineStr">
        <is>
          <t>Woo, Lillian C.</t>
        </is>
      </c>
      <c r="L680" t="inlineStr">
        <is>
          <t>Durham, N.C. : Carolina Academic Press, c1991.</t>
        </is>
      </c>
      <c r="M680" t="inlineStr">
        <is>
          <t>1991</t>
        </is>
      </c>
      <c r="O680" t="inlineStr">
        <is>
          <t>eng</t>
        </is>
      </c>
      <c r="P680" t="inlineStr">
        <is>
          <t>ncu</t>
        </is>
      </c>
      <c r="R680" t="inlineStr">
        <is>
          <t xml:space="preserve">HQ </t>
        </is>
      </c>
      <c r="S680" t="n">
        <v>7</v>
      </c>
      <c r="T680" t="n">
        <v>7</v>
      </c>
      <c r="U680" t="inlineStr">
        <is>
          <t>1999-02-28</t>
        </is>
      </c>
      <c r="V680" t="inlineStr">
        <is>
          <t>1999-02-28</t>
        </is>
      </c>
      <c r="W680" t="inlineStr">
        <is>
          <t>1992-10-27</t>
        </is>
      </c>
      <c r="X680" t="inlineStr">
        <is>
          <t>1992-10-27</t>
        </is>
      </c>
      <c r="Y680" t="n">
        <v>153</v>
      </c>
      <c r="Z680" t="n">
        <v>129</v>
      </c>
      <c r="AA680" t="n">
        <v>136</v>
      </c>
      <c r="AB680" t="n">
        <v>2</v>
      </c>
      <c r="AC680" t="n">
        <v>2</v>
      </c>
      <c r="AD680" t="n">
        <v>7</v>
      </c>
      <c r="AE680" t="n">
        <v>8</v>
      </c>
      <c r="AF680" t="n">
        <v>3</v>
      </c>
      <c r="AG680" t="n">
        <v>3</v>
      </c>
      <c r="AH680" t="n">
        <v>3</v>
      </c>
      <c r="AI680" t="n">
        <v>3</v>
      </c>
      <c r="AJ680" t="n">
        <v>4</v>
      </c>
      <c r="AK680" t="n">
        <v>5</v>
      </c>
      <c r="AL680" t="n">
        <v>1</v>
      </c>
      <c r="AM680" t="n">
        <v>1</v>
      </c>
      <c r="AN680" t="n">
        <v>0</v>
      </c>
      <c r="AO680" t="n">
        <v>0</v>
      </c>
      <c r="AP680" t="inlineStr">
        <is>
          <t>No</t>
        </is>
      </c>
      <c r="AQ680" t="inlineStr">
        <is>
          <t>Yes</t>
        </is>
      </c>
      <c r="AR680">
        <f>HYPERLINK("http://catalog.hathitrust.org/Record/002590119","HathiTrust Record")</f>
        <v/>
      </c>
      <c r="AS680">
        <f>HYPERLINK("https://creighton-primo.hosted.exlibrisgroup.com/primo-explore/search?tab=default_tab&amp;search_scope=EVERYTHING&amp;vid=01CRU&amp;lang=en_US&amp;offset=0&amp;query=any,contains,991002048109702656","Catalog Record")</f>
        <v/>
      </c>
      <c r="AT680">
        <f>HYPERLINK("http://www.worldcat.org/oclc/26137836","WorldCat Record")</f>
        <v/>
      </c>
      <c r="AU680" t="inlineStr">
        <is>
          <t>28465407:eng</t>
        </is>
      </c>
      <c r="AV680" t="inlineStr">
        <is>
          <t>26137836</t>
        </is>
      </c>
      <c r="AW680" t="inlineStr">
        <is>
          <t>991002048109702656</t>
        </is>
      </c>
      <c r="AX680" t="inlineStr">
        <is>
          <t>991002048109702656</t>
        </is>
      </c>
      <c r="AY680" t="inlineStr">
        <is>
          <t>2259470160002656</t>
        </is>
      </c>
      <c r="AZ680" t="inlineStr">
        <is>
          <t>BOOK</t>
        </is>
      </c>
      <c r="BB680" t="inlineStr">
        <is>
          <t>9780890894774</t>
        </is>
      </c>
      <c r="BC680" t="inlineStr">
        <is>
          <t>32285001319309</t>
        </is>
      </c>
      <c r="BD680" t="inlineStr">
        <is>
          <t>893250750</t>
        </is>
      </c>
    </row>
    <row r="681">
      <c r="A681" t="inlineStr">
        <is>
          <t>No</t>
        </is>
      </c>
      <c r="B681" t="inlineStr">
        <is>
          <t>HQ1206 .W72 1977</t>
        </is>
      </c>
      <c r="C681" t="inlineStr">
        <is>
          <t>0                      HQ 1206000W  72          1977</t>
        </is>
      </c>
      <c r="D681" t="inlineStr">
        <is>
          <t>Psychology of women : behavior in a biosocial context / Juanita H. Williams.</t>
        </is>
      </c>
      <c r="F681" t="inlineStr">
        <is>
          <t>No</t>
        </is>
      </c>
      <c r="G681" t="inlineStr">
        <is>
          <t>1</t>
        </is>
      </c>
      <c r="H681" t="inlineStr">
        <is>
          <t>No</t>
        </is>
      </c>
      <c r="I681" t="inlineStr">
        <is>
          <t>No</t>
        </is>
      </c>
      <c r="J681" t="inlineStr">
        <is>
          <t>0</t>
        </is>
      </c>
      <c r="K681" t="inlineStr">
        <is>
          <t>Williams, Juanita H., 1922-</t>
        </is>
      </c>
      <c r="L681" t="inlineStr">
        <is>
          <t>New York : Norton, c1977.</t>
        </is>
      </c>
      <c r="M681" t="inlineStr">
        <is>
          <t>1977</t>
        </is>
      </c>
      <c r="N681" t="inlineStr">
        <is>
          <t>1st ed.</t>
        </is>
      </c>
      <c r="O681" t="inlineStr">
        <is>
          <t>eng</t>
        </is>
      </c>
      <c r="P681" t="inlineStr">
        <is>
          <t>nyu</t>
        </is>
      </c>
      <c r="R681" t="inlineStr">
        <is>
          <t xml:space="preserve">HQ </t>
        </is>
      </c>
      <c r="S681" t="n">
        <v>3</v>
      </c>
      <c r="T681" t="n">
        <v>3</v>
      </c>
      <c r="U681" t="inlineStr">
        <is>
          <t>1999-09-10</t>
        </is>
      </c>
      <c r="V681" t="inlineStr">
        <is>
          <t>1999-09-10</t>
        </is>
      </c>
      <c r="W681" t="inlineStr">
        <is>
          <t>1993-04-28</t>
        </is>
      </c>
      <c r="X681" t="inlineStr">
        <is>
          <t>1993-04-28</t>
        </is>
      </c>
      <c r="Y681" t="n">
        <v>1010</v>
      </c>
      <c r="Z681" t="n">
        <v>894</v>
      </c>
      <c r="AA681" t="n">
        <v>1221</v>
      </c>
      <c r="AB681" t="n">
        <v>4</v>
      </c>
      <c r="AC681" t="n">
        <v>5</v>
      </c>
      <c r="AD681" t="n">
        <v>30</v>
      </c>
      <c r="AE681" t="n">
        <v>38</v>
      </c>
      <c r="AF681" t="n">
        <v>12</v>
      </c>
      <c r="AG681" t="n">
        <v>17</v>
      </c>
      <c r="AH681" t="n">
        <v>7</v>
      </c>
      <c r="AI681" t="n">
        <v>8</v>
      </c>
      <c r="AJ681" t="n">
        <v>16</v>
      </c>
      <c r="AK681" t="n">
        <v>22</v>
      </c>
      <c r="AL681" t="n">
        <v>3</v>
      </c>
      <c r="AM681" t="n">
        <v>4</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HYPERLINK("https://creighton-primo.hosted.exlibrisgroup.com/primo-explore/search?tab=default_tab&amp;search_scope=EVERYTHING&amp;vid=01CRU&amp;lang=en_US&amp;offset=0&amp;query=any,contains,991004198739702656","Catalog Record")</f>
        <v/>
      </c>
      <c r="AT681">
        <f>HYPERLINK("http://www.worldcat.org/oclc/2646219","WorldCat Record")</f>
        <v/>
      </c>
      <c r="AU681" t="inlineStr">
        <is>
          <t>900708:eng</t>
        </is>
      </c>
      <c r="AV681" t="inlineStr">
        <is>
          <t>2646219</t>
        </is>
      </c>
      <c r="AW681" t="inlineStr">
        <is>
          <t>991004198739702656</t>
        </is>
      </c>
      <c r="AX681" t="inlineStr">
        <is>
          <t>991004198739702656</t>
        </is>
      </c>
      <c r="AY681" t="inlineStr">
        <is>
          <t>2254887500002656</t>
        </is>
      </c>
      <c r="AZ681" t="inlineStr">
        <is>
          <t>BOOK</t>
        </is>
      </c>
      <c r="BB681" t="inlineStr">
        <is>
          <t>9780393011340</t>
        </is>
      </c>
      <c r="BC681" t="inlineStr">
        <is>
          <t>32285001629558</t>
        </is>
      </c>
      <c r="BD681" t="inlineStr">
        <is>
          <t>893882175</t>
        </is>
      </c>
    </row>
    <row r="682">
      <c r="A682" t="inlineStr">
        <is>
          <t>No</t>
        </is>
      </c>
      <c r="B682" t="inlineStr">
        <is>
          <t>HQ1206 .W727 1995</t>
        </is>
      </c>
      <c r="C682" t="inlineStr">
        <is>
          <t>0                      HQ 1206000W  727         1995</t>
        </is>
      </c>
      <c r="D682" t="inlineStr">
        <is>
          <t>Your intelligent heart : notes to women who work / Susan B. Wilson.</t>
        </is>
      </c>
      <c r="F682" t="inlineStr">
        <is>
          <t>No</t>
        </is>
      </c>
      <c r="G682" t="inlineStr">
        <is>
          <t>1</t>
        </is>
      </c>
      <c r="H682" t="inlineStr">
        <is>
          <t>No</t>
        </is>
      </c>
      <c r="I682" t="inlineStr">
        <is>
          <t>No</t>
        </is>
      </c>
      <c r="J682" t="inlineStr">
        <is>
          <t>0</t>
        </is>
      </c>
      <c r="K682" t="inlineStr">
        <is>
          <t>Wilson, Susan B.</t>
        </is>
      </c>
      <c r="L682" t="inlineStr">
        <is>
          <t>New York : American Management Association, 1995.</t>
        </is>
      </c>
      <c r="M682" t="inlineStr">
        <is>
          <t>1995</t>
        </is>
      </c>
      <c r="O682" t="inlineStr">
        <is>
          <t>eng</t>
        </is>
      </c>
      <c r="P682" t="inlineStr">
        <is>
          <t>nyu</t>
        </is>
      </c>
      <c r="R682" t="inlineStr">
        <is>
          <t xml:space="preserve">HQ </t>
        </is>
      </c>
      <c r="S682" t="n">
        <v>1</v>
      </c>
      <c r="T682" t="n">
        <v>1</v>
      </c>
      <c r="U682" t="inlineStr">
        <is>
          <t>1995-12-19</t>
        </is>
      </c>
      <c r="V682" t="inlineStr">
        <is>
          <t>1995-12-19</t>
        </is>
      </c>
      <c r="W682" t="inlineStr">
        <is>
          <t>1995-11-20</t>
        </is>
      </c>
      <c r="X682" t="inlineStr">
        <is>
          <t>1995-11-20</t>
        </is>
      </c>
      <c r="Y682" t="n">
        <v>102</v>
      </c>
      <c r="Z682" t="n">
        <v>96</v>
      </c>
      <c r="AA682" t="n">
        <v>103</v>
      </c>
      <c r="AB682" t="n">
        <v>3</v>
      </c>
      <c r="AC682" t="n">
        <v>3</v>
      </c>
      <c r="AD682" t="n">
        <v>3</v>
      </c>
      <c r="AE682" t="n">
        <v>3</v>
      </c>
      <c r="AF682" t="n">
        <v>1</v>
      </c>
      <c r="AG682" t="n">
        <v>1</v>
      </c>
      <c r="AH682" t="n">
        <v>0</v>
      </c>
      <c r="AI682" t="n">
        <v>0</v>
      </c>
      <c r="AJ682" t="n">
        <v>1</v>
      </c>
      <c r="AK682" t="n">
        <v>1</v>
      </c>
      <c r="AL682" t="n">
        <v>2</v>
      </c>
      <c r="AM682" t="n">
        <v>2</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HYPERLINK("https://creighton-primo.hosted.exlibrisgroup.com/primo-explore/search?tab=default_tab&amp;search_scope=EVERYTHING&amp;vid=01CRU&amp;lang=en_US&amp;offset=0&amp;query=any,contains,991002530689702656","Catalog Record")</f>
        <v/>
      </c>
      <c r="AT682">
        <f>HYPERLINK("http://www.worldcat.org/oclc/32892982","WorldCat Record")</f>
        <v/>
      </c>
      <c r="AU682" t="inlineStr">
        <is>
          <t>1118840825:eng</t>
        </is>
      </c>
      <c r="AV682" t="inlineStr">
        <is>
          <t>32892982</t>
        </is>
      </c>
      <c r="AW682" t="inlineStr">
        <is>
          <t>991002530689702656</t>
        </is>
      </c>
      <c r="AX682" t="inlineStr">
        <is>
          <t>991002530689702656</t>
        </is>
      </c>
      <c r="AY682" t="inlineStr">
        <is>
          <t>2254836080002656</t>
        </is>
      </c>
      <c r="AZ682" t="inlineStr">
        <is>
          <t>BOOK</t>
        </is>
      </c>
      <c r="BB682" t="inlineStr">
        <is>
          <t>9780814402740</t>
        </is>
      </c>
      <c r="BC682" t="inlineStr">
        <is>
          <t>32285002088424</t>
        </is>
      </c>
      <c r="BD682" t="inlineStr">
        <is>
          <t>893347601</t>
        </is>
      </c>
    </row>
    <row r="683">
      <c r="A683" t="inlineStr">
        <is>
          <t>No</t>
        </is>
      </c>
      <c r="B683" t="inlineStr">
        <is>
          <t>HQ1206 .W865 1983</t>
        </is>
      </c>
      <c r="C683" t="inlineStr">
        <is>
          <t>0                      HQ 1206000W  865         1983</t>
        </is>
      </c>
      <c r="D683" t="inlineStr">
        <is>
          <t>Woman's nature : rationalizations of inequality / [edited by] Marian Lowe, Ruth Hubbard.</t>
        </is>
      </c>
      <c r="F683" t="inlineStr">
        <is>
          <t>No</t>
        </is>
      </c>
      <c r="G683" t="inlineStr">
        <is>
          <t>1</t>
        </is>
      </c>
      <c r="H683" t="inlineStr">
        <is>
          <t>No</t>
        </is>
      </c>
      <c r="I683" t="inlineStr">
        <is>
          <t>No</t>
        </is>
      </c>
      <c r="J683" t="inlineStr">
        <is>
          <t>0</t>
        </is>
      </c>
      <c r="L683" t="inlineStr">
        <is>
          <t>New York : Pergamon Press, c1983, 1984 printing.</t>
        </is>
      </c>
      <c r="M683" t="inlineStr">
        <is>
          <t>1983</t>
        </is>
      </c>
      <c r="O683" t="inlineStr">
        <is>
          <t>eng</t>
        </is>
      </c>
      <c r="P683" t="inlineStr">
        <is>
          <t>nyu</t>
        </is>
      </c>
      <c r="Q683" t="inlineStr">
        <is>
          <t>The Athene series</t>
        </is>
      </c>
      <c r="R683" t="inlineStr">
        <is>
          <t xml:space="preserve">HQ </t>
        </is>
      </c>
      <c r="S683" t="n">
        <v>15</v>
      </c>
      <c r="T683" t="n">
        <v>15</v>
      </c>
      <c r="U683" t="inlineStr">
        <is>
          <t>1995-11-01</t>
        </is>
      </c>
      <c r="V683" t="inlineStr">
        <is>
          <t>1995-11-01</t>
        </is>
      </c>
      <c r="W683" t="inlineStr">
        <is>
          <t>1990-07-05</t>
        </is>
      </c>
      <c r="X683" t="inlineStr">
        <is>
          <t>1990-07-05</t>
        </is>
      </c>
      <c r="Y683" t="n">
        <v>794</v>
      </c>
      <c r="Z683" t="n">
        <v>635</v>
      </c>
      <c r="AA683" t="n">
        <v>654</v>
      </c>
      <c r="AB683" t="n">
        <v>3</v>
      </c>
      <c r="AC683" t="n">
        <v>3</v>
      </c>
      <c r="AD683" t="n">
        <v>25</v>
      </c>
      <c r="AE683" t="n">
        <v>26</v>
      </c>
      <c r="AF683" t="n">
        <v>11</v>
      </c>
      <c r="AG683" t="n">
        <v>12</v>
      </c>
      <c r="AH683" t="n">
        <v>6</v>
      </c>
      <c r="AI683" t="n">
        <v>6</v>
      </c>
      <c r="AJ683" t="n">
        <v>13</v>
      </c>
      <c r="AK683" t="n">
        <v>13</v>
      </c>
      <c r="AL683" t="n">
        <v>2</v>
      </c>
      <c r="AM683" t="n">
        <v>2</v>
      </c>
      <c r="AN683" t="n">
        <v>0</v>
      </c>
      <c r="AO683" t="n">
        <v>0</v>
      </c>
      <c r="AP683" t="inlineStr">
        <is>
          <t>No</t>
        </is>
      </c>
      <c r="AQ683" t="inlineStr">
        <is>
          <t>Yes</t>
        </is>
      </c>
      <c r="AR683">
        <f>HYPERLINK("http://catalog.hathitrust.org/Record/000774881","HathiTrust Record")</f>
        <v/>
      </c>
      <c r="AS683">
        <f>HYPERLINK("https://creighton-primo.hosted.exlibrisgroup.com/primo-explore/search?tab=default_tab&amp;search_scope=EVERYTHING&amp;vid=01CRU&amp;lang=en_US&amp;offset=0&amp;query=any,contains,991000173229702656","Catalog Record")</f>
        <v/>
      </c>
      <c r="AT683">
        <f>HYPERLINK("http://www.worldcat.org/oclc/9325134","WorldCat Record")</f>
        <v/>
      </c>
      <c r="AU683" t="inlineStr">
        <is>
          <t>889754446:eng</t>
        </is>
      </c>
      <c r="AV683" t="inlineStr">
        <is>
          <t>9325134</t>
        </is>
      </c>
      <c r="AW683" t="inlineStr">
        <is>
          <t>991000173229702656</t>
        </is>
      </c>
      <c r="AX683" t="inlineStr">
        <is>
          <t>991000173229702656</t>
        </is>
      </c>
      <c r="AY683" t="inlineStr">
        <is>
          <t>2267489280002656</t>
        </is>
      </c>
      <c r="AZ683" t="inlineStr">
        <is>
          <t>BOOK</t>
        </is>
      </c>
      <c r="BB683" t="inlineStr">
        <is>
          <t>9780080301426</t>
        </is>
      </c>
      <c r="BC683" t="inlineStr">
        <is>
          <t>32285000221100</t>
        </is>
      </c>
      <c r="BD683" t="inlineStr">
        <is>
          <t>893521472</t>
        </is>
      </c>
    </row>
    <row r="684">
      <c r="A684" t="inlineStr">
        <is>
          <t>No</t>
        </is>
      </c>
      <c r="B684" t="inlineStr">
        <is>
          <t>HQ1206 .W872 1980</t>
        </is>
      </c>
      <c r="C684" t="inlineStr">
        <is>
          <t>0                      HQ 1206000W  872         1980</t>
        </is>
      </c>
      <c r="D684" t="inlineStr">
        <is>
          <t>Women and language in literature and society / edited by Sally McConnell-Ginet, Ruth Borker, Nelly Furman.</t>
        </is>
      </c>
      <c r="F684" t="inlineStr">
        <is>
          <t>No</t>
        </is>
      </c>
      <c r="G684" t="inlineStr">
        <is>
          <t>1</t>
        </is>
      </c>
      <c r="H684" t="inlineStr">
        <is>
          <t>No</t>
        </is>
      </c>
      <c r="I684" t="inlineStr">
        <is>
          <t>No</t>
        </is>
      </c>
      <c r="J684" t="inlineStr">
        <is>
          <t>0</t>
        </is>
      </c>
      <c r="L684" t="inlineStr">
        <is>
          <t>New York : Praeger, 1980.</t>
        </is>
      </c>
      <c r="M684" t="inlineStr">
        <is>
          <t>1980</t>
        </is>
      </c>
      <c r="O684" t="inlineStr">
        <is>
          <t>eng</t>
        </is>
      </c>
      <c r="P684" t="inlineStr">
        <is>
          <t>nyu</t>
        </is>
      </c>
      <c r="R684" t="inlineStr">
        <is>
          <t xml:space="preserve">HQ </t>
        </is>
      </c>
      <c r="S684" t="n">
        <v>12</v>
      </c>
      <c r="T684" t="n">
        <v>12</v>
      </c>
      <c r="U684" t="inlineStr">
        <is>
          <t>2006-03-30</t>
        </is>
      </c>
      <c r="V684" t="inlineStr">
        <is>
          <t>2006-03-30</t>
        </is>
      </c>
      <c r="W684" t="inlineStr">
        <is>
          <t>1990-07-05</t>
        </is>
      </c>
      <c r="X684" t="inlineStr">
        <is>
          <t>1990-07-05</t>
        </is>
      </c>
      <c r="Y684" t="n">
        <v>829</v>
      </c>
      <c r="Z684" t="n">
        <v>648</v>
      </c>
      <c r="AA684" t="n">
        <v>663</v>
      </c>
      <c r="AB684" t="n">
        <v>4</v>
      </c>
      <c r="AC684" t="n">
        <v>4</v>
      </c>
      <c r="AD684" t="n">
        <v>24</v>
      </c>
      <c r="AE684" t="n">
        <v>25</v>
      </c>
      <c r="AF684" t="n">
        <v>10</v>
      </c>
      <c r="AG684" t="n">
        <v>11</v>
      </c>
      <c r="AH684" t="n">
        <v>6</v>
      </c>
      <c r="AI684" t="n">
        <v>6</v>
      </c>
      <c r="AJ684" t="n">
        <v>10</v>
      </c>
      <c r="AK684" t="n">
        <v>10</v>
      </c>
      <c r="AL684" t="n">
        <v>3</v>
      </c>
      <c r="AM684" t="n">
        <v>3</v>
      </c>
      <c r="AN684" t="n">
        <v>0</v>
      </c>
      <c r="AO684" t="n">
        <v>0</v>
      </c>
      <c r="AP684" t="inlineStr">
        <is>
          <t>No</t>
        </is>
      </c>
      <c r="AQ684" t="inlineStr">
        <is>
          <t>Yes</t>
        </is>
      </c>
      <c r="AR684">
        <f>HYPERLINK("http://catalog.hathitrust.org/Record/000739805","HathiTrust Record")</f>
        <v/>
      </c>
      <c r="AS684">
        <f>HYPERLINK("https://creighton-primo.hosted.exlibrisgroup.com/primo-explore/search?tab=default_tab&amp;search_scope=EVERYTHING&amp;vid=01CRU&amp;lang=en_US&amp;offset=0&amp;query=any,contains,991005384609702656","Catalog Record")</f>
        <v/>
      </c>
      <c r="AT684">
        <f>HYPERLINK("http://www.worldcat.org/oclc/6666555","WorldCat Record")</f>
        <v/>
      </c>
      <c r="AU684" t="inlineStr">
        <is>
          <t>367368969:eng</t>
        </is>
      </c>
      <c r="AV684" t="inlineStr">
        <is>
          <t>6666555</t>
        </is>
      </c>
      <c r="AW684" t="inlineStr">
        <is>
          <t>991005384609702656</t>
        </is>
      </c>
      <c r="AX684" t="inlineStr">
        <is>
          <t>991005384609702656</t>
        </is>
      </c>
      <c r="AY684" t="inlineStr">
        <is>
          <t>2261166940002656</t>
        </is>
      </c>
      <c r="AZ684" t="inlineStr">
        <is>
          <t>BOOK</t>
        </is>
      </c>
      <c r="BB684" t="inlineStr">
        <is>
          <t>9780030578922</t>
        </is>
      </c>
      <c r="BC684" t="inlineStr">
        <is>
          <t>32285000221118</t>
        </is>
      </c>
      <c r="BD684" t="inlineStr">
        <is>
          <t>893796138</t>
        </is>
      </c>
    </row>
    <row r="685">
      <c r="A685" t="inlineStr">
        <is>
          <t>No</t>
        </is>
      </c>
      <c r="B685" t="inlineStr">
        <is>
          <t>HQ1206 .W873 1978</t>
        </is>
      </c>
      <c r="C685" t="inlineStr">
        <is>
          <t>0                      HQ 1206000W  873         1978</t>
        </is>
      </c>
      <c r="D685" t="inlineStr">
        <is>
          <t>Women and sex roles : a social psychological perspective / Irene H. Frieze ... [et al.] ; in collaboration with Esther Sales ... [et al.].</t>
        </is>
      </c>
      <c r="F685" t="inlineStr">
        <is>
          <t>No</t>
        </is>
      </c>
      <c r="G685" t="inlineStr">
        <is>
          <t>1</t>
        </is>
      </c>
      <c r="H685" t="inlineStr">
        <is>
          <t>No</t>
        </is>
      </c>
      <c r="I685" t="inlineStr">
        <is>
          <t>No</t>
        </is>
      </c>
      <c r="J685" t="inlineStr">
        <is>
          <t>0</t>
        </is>
      </c>
      <c r="L685" t="inlineStr">
        <is>
          <t>New York : Norton, c1978.</t>
        </is>
      </c>
      <c r="M685" t="inlineStr">
        <is>
          <t>1978</t>
        </is>
      </c>
      <c r="N685" t="inlineStr">
        <is>
          <t>1st ed.</t>
        </is>
      </c>
      <c r="O685" t="inlineStr">
        <is>
          <t>eng</t>
        </is>
      </c>
      <c r="P685" t="inlineStr">
        <is>
          <t>nyu</t>
        </is>
      </c>
      <c r="R685" t="inlineStr">
        <is>
          <t xml:space="preserve">HQ </t>
        </is>
      </c>
      <c r="S685" t="n">
        <v>6</v>
      </c>
      <c r="T685" t="n">
        <v>6</v>
      </c>
      <c r="U685" t="inlineStr">
        <is>
          <t>2003-04-03</t>
        </is>
      </c>
      <c r="V685" t="inlineStr">
        <is>
          <t>2003-04-03</t>
        </is>
      </c>
      <c r="W685" t="inlineStr">
        <is>
          <t>1990-04-10</t>
        </is>
      </c>
      <c r="X685" t="inlineStr">
        <is>
          <t>1990-04-10</t>
        </is>
      </c>
      <c r="Y685" t="n">
        <v>1095</v>
      </c>
      <c r="Z685" t="n">
        <v>931</v>
      </c>
      <c r="AA685" t="n">
        <v>936</v>
      </c>
      <c r="AB685" t="n">
        <v>8</v>
      </c>
      <c r="AC685" t="n">
        <v>8</v>
      </c>
      <c r="AD685" t="n">
        <v>38</v>
      </c>
      <c r="AE685" t="n">
        <v>38</v>
      </c>
      <c r="AF685" t="n">
        <v>15</v>
      </c>
      <c r="AG685" t="n">
        <v>15</v>
      </c>
      <c r="AH685" t="n">
        <v>9</v>
      </c>
      <c r="AI685" t="n">
        <v>9</v>
      </c>
      <c r="AJ685" t="n">
        <v>20</v>
      </c>
      <c r="AK685" t="n">
        <v>20</v>
      </c>
      <c r="AL685" t="n">
        <v>6</v>
      </c>
      <c r="AM685" t="n">
        <v>6</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HYPERLINK("https://creighton-primo.hosted.exlibrisgroup.com/primo-explore/search?tab=default_tab&amp;search_scope=EVERYTHING&amp;vid=01CRU&amp;lang=en_US&amp;offset=0&amp;query=any,contains,991004579589702656","Catalog Record")</f>
        <v/>
      </c>
      <c r="AT685">
        <f>HYPERLINK("http://www.worldcat.org/oclc/4056357","WorldCat Record")</f>
        <v/>
      </c>
      <c r="AU685" t="inlineStr">
        <is>
          <t>961029575:eng</t>
        </is>
      </c>
      <c r="AV685" t="inlineStr">
        <is>
          <t>4056357</t>
        </is>
      </c>
      <c r="AW685" t="inlineStr">
        <is>
          <t>991004579589702656</t>
        </is>
      </c>
      <c r="AX685" t="inlineStr">
        <is>
          <t>991004579589702656</t>
        </is>
      </c>
      <c r="AY685" t="inlineStr">
        <is>
          <t>2272036830002656</t>
        </is>
      </c>
      <c r="AZ685" t="inlineStr">
        <is>
          <t>BOOK</t>
        </is>
      </c>
      <c r="BB685" t="inlineStr">
        <is>
          <t>9780393011630</t>
        </is>
      </c>
      <c r="BC685" t="inlineStr">
        <is>
          <t>32285000113299</t>
        </is>
      </c>
      <c r="BD685" t="inlineStr">
        <is>
          <t>893411707</t>
        </is>
      </c>
    </row>
    <row r="686">
      <c r="A686" t="inlineStr">
        <is>
          <t>No</t>
        </is>
      </c>
      <c r="B686" t="inlineStr">
        <is>
          <t>HQ1206 .W875 1985</t>
        </is>
      </c>
      <c r="C686" t="inlineStr">
        <is>
          <t>0                      HQ 1206000W  875         1985</t>
        </is>
      </c>
      <c r="D686" t="inlineStr">
        <is>
          <t>Women, gender, and social psychology / edited by Virginia E. O'Leary, Rhoda Kesler Unger, Barbara Strudler Wallston.</t>
        </is>
      </c>
      <c r="F686" t="inlineStr">
        <is>
          <t>No</t>
        </is>
      </c>
      <c r="G686" t="inlineStr">
        <is>
          <t>1</t>
        </is>
      </c>
      <c r="H686" t="inlineStr">
        <is>
          <t>No</t>
        </is>
      </c>
      <c r="I686" t="inlineStr">
        <is>
          <t>No</t>
        </is>
      </c>
      <c r="J686" t="inlineStr">
        <is>
          <t>0</t>
        </is>
      </c>
      <c r="L686" t="inlineStr">
        <is>
          <t>Hillsdale, NJ : L. Erlbaum, 1985.</t>
        </is>
      </c>
      <c r="M686" t="inlineStr">
        <is>
          <t>1985</t>
        </is>
      </c>
      <c r="O686" t="inlineStr">
        <is>
          <t>eng</t>
        </is>
      </c>
      <c r="P686" t="inlineStr">
        <is>
          <t>nju</t>
        </is>
      </c>
      <c r="R686" t="inlineStr">
        <is>
          <t xml:space="preserve">HQ </t>
        </is>
      </c>
      <c r="S686" t="n">
        <v>15</v>
      </c>
      <c r="T686" t="n">
        <v>15</v>
      </c>
      <c r="U686" t="inlineStr">
        <is>
          <t>1997-06-27</t>
        </is>
      </c>
      <c r="V686" t="inlineStr">
        <is>
          <t>1997-06-27</t>
        </is>
      </c>
      <c r="W686" t="inlineStr">
        <is>
          <t>1990-07-05</t>
        </is>
      </c>
      <c r="X686" t="inlineStr">
        <is>
          <t>1990-07-05</t>
        </is>
      </c>
      <c r="Y686" t="n">
        <v>706</v>
      </c>
      <c r="Z686" t="n">
        <v>596</v>
      </c>
      <c r="AA686" t="n">
        <v>612</v>
      </c>
      <c r="AB686" t="n">
        <v>6</v>
      </c>
      <c r="AC686" t="n">
        <v>6</v>
      </c>
      <c r="AD686" t="n">
        <v>33</v>
      </c>
      <c r="AE686" t="n">
        <v>33</v>
      </c>
      <c r="AF686" t="n">
        <v>13</v>
      </c>
      <c r="AG686" t="n">
        <v>13</v>
      </c>
      <c r="AH686" t="n">
        <v>6</v>
      </c>
      <c r="AI686" t="n">
        <v>6</v>
      </c>
      <c r="AJ686" t="n">
        <v>17</v>
      </c>
      <c r="AK686" t="n">
        <v>17</v>
      </c>
      <c r="AL686" t="n">
        <v>5</v>
      </c>
      <c r="AM686" t="n">
        <v>5</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HYPERLINK("https://creighton-primo.hosted.exlibrisgroup.com/primo-explore/search?tab=default_tab&amp;search_scope=EVERYTHING&amp;vid=01CRU&amp;lang=en_US&amp;offset=0&amp;query=any,contains,991000530599702656","Catalog Record")</f>
        <v/>
      </c>
      <c r="AT686">
        <f>HYPERLINK("http://www.worldcat.org/oclc/11398688","WorldCat Record")</f>
        <v/>
      </c>
      <c r="AU686" t="inlineStr">
        <is>
          <t>350163715:eng</t>
        </is>
      </c>
      <c r="AV686" t="inlineStr">
        <is>
          <t>11398688</t>
        </is>
      </c>
      <c r="AW686" t="inlineStr">
        <is>
          <t>991000530599702656</t>
        </is>
      </c>
      <c r="AX686" t="inlineStr">
        <is>
          <t>991000530599702656</t>
        </is>
      </c>
      <c r="AY686" t="inlineStr">
        <is>
          <t>2270392630002656</t>
        </is>
      </c>
      <c r="AZ686" t="inlineStr">
        <is>
          <t>BOOK</t>
        </is>
      </c>
      <c r="BB686" t="inlineStr">
        <is>
          <t>9780898594478</t>
        </is>
      </c>
      <c r="BC686" t="inlineStr">
        <is>
          <t>32285000221126</t>
        </is>
      </c>
      <c r="BD686" t="inlineStr">
        <is>
          <t>893689784</t>
        </is>
      </c>
    </row>
    <row r="687">
      <c r="A687" t="inlineStr">
        <is>
          <t>No</t>
        </is>
      </c>
      <c r="B687" t="inlineStr">
        <is>
          <t>HQ1206 .W88</t>
        </is>
      </c>
      <c r="C687" t="inlineStr">
        <is>
          <t>0                      HQ 1206000W  88</t>
        </is>
      </c>
      <c r="D687" t="inlineStr">
        <is>
          <t>Women's issues and social work practice / Elaine Norman and Arlene Mancuso.</t>
        </is>
      </c>
      <c r="F687" t="inlineStr">
        <is>
          <t>No</t>
        </is>
      </c>
      <c r="G687" t="inlineStr">
        <is>
          <t>1</t>
        </is>
      </c>
      <c r="H687" t="inlineStr">
        <is>
          <t>No</t>
        </is>
      </c>
      <c r="I687" t="inlineStr">
        <is>
          <t>No</t>
        </is>
      </c>
      <c r="J687" t="inlineStr">
        <is>
          <t>0</t>
        </is>
      </c>
      <c r="L687" t="inlineStr">
        <is>
          <t>Itasca, Il. : Peacock, 1980.</t>
        </is>
      </c>
      <c r="M687" t="inlineStr">
        <is>
          <t>1980</t>
        </is>
      </c>
      <c r="O687" t="inlineStr">
        <is>
          <t>eng</t>
        </is>
      </c>
      <c r="P687" t="inlineStr">
        <is>
          <t>ilu</t>
        </is>
      </c>
      <c r="R687" t="inlineStr">
        <is>
          <t xml:space="preserve">HQ </t>
        </is>
      </c>
      <c r="S687" t="n">
        <v>1</v>
      </c>
      <c r="T687" t="n">
        <v>1</v>
      </c>
      <c r="U687" t="inlineStr">
        <is>
          <t>1992-11-17</t>
        </is>
      </c>
      <c r="V687" t="inlineStr">
        <is>
          <t>1992-11-17</t>
        </is>
      </c>
      <c r="W687" t="inlineStr">
        <is>
          <t>1991-10-28</t>
        </is>
      </c>
      <c r="X687" t="inlineStr">
        <is>
          <t>1991-10-28</t>
        </is>
      </c>
      <c r="Y687" t="n">
        <v>399</v>
      </c>
      <c r="Z687" t="n">
        <v>347</v>
      </c>
      <c r="AA687" t="n">
        <v>354</v>
      </c>
      <c r="AB687" t="n">
        <v>4</v>
      </c>
      <c r="AC687" t="n">
        <v>4</v>
      </c>
      <c r="AD687" t="n">
        <v>21</v>
      </c>
      <c r="AE687" t="n">
        <v>21</v>
      </c>
      <c r="AF687" t="n">
        <v>9</v>
      </c>
      <c r="AG687" t="n">
        <v>9</v>
      </c>
      <c r="AH687" t="n">
        <v>4</v>
      </c>
      <c r="AI687" t="n">
        <v>4</v>
      </c>
      <c r="AJ687" t="n">
        <v>8</v>
      </c>
      <c r="AK687" t="n">
        <v>8</v>
      </c>
      <c r="AL687" t="n">
        <v>3</v>
      </c>
      <c r="AM687" t="n">
        <v>3</v>
      </c>
      <c r="AN687" t="n">
        <v>0</v>
      </c>
      <c r="AO687" t="n">
        <v>0</v>
      </c>
      <c r="AP687" t="inlineStr">
        <is>
          <t>No</t>
        </is>
      </c>
      <c r="AQ687" t="inlineStr">
        <is>
          <t>Yes</t>
        </is>
      </c>
      <c r="AR687">
        <f>HYPERLINK("http://catalog.hathitrust.org/Record/000096577","HathiTrust Record")</f>
        <v/>
      </c>
      <c r="AS687">
        <f>HYPERLINK("https://creighton-primo.hosted.exlibrisgroup.com/primo-explore/search?tab=default_tab&amp;search_scope=EVERYTHING&amp;vid=01CRU&amp;lang=en_US&amp;offset=0&amp;query=any,contains,991004939009702656","Catalog Record")</f>
        <v/>
      </c>
      <c r="AT687">
        <f>HYPERLINK("http://www.worldcat.org/oclc/6160450","WorldCat Record")</f>
        <v/>
      </c>
      <c r="AU687" t="inlineStr">
        <is>
          <t>375716545:eng</t>
        </is>
      </c>
      <c r="AV687" t="inlineStr">
        <is>
          <t>6160450</t>
        </is>
      </c>
      <c r="AW687" t="inlineStr">
        <is>
          <t>991004939009702656</t>
        </is>
      </c>
      <c r="AX687" t="inlineStr">
        <is>
          <t>991004939009702656</t>
        </is>
      </c>
      <c r="AY687" t="inlineStr">
        <is>
          <t>2256338020002656</t>
        </is>
      </c>
      <c r="AZ687" t="inlineStr">
        <is>
          <t>BOOK</t>
        </is>
      </c>
      <c r="BB687" t="inlineStr">
        <is>
          <t>9780875812496</t>
        </is>
      </c>
      <c r="BC687" t="inlineStr">
        <is>
          <t>32285000802370</t>
        </is>
      </c>
      <c r="BD687" t="inlineStr">
        <is>
          <t>893230025</t>
        </is>
      </c>
    </row>
    <row r="688">
      <c r="A688" t="inlineStr">
        <is>
          <t>No</t>
        </is>
      </c>
      <c r="B688" t="inlineStr">
        <is>
          <t>HQ1206 .W88 1997</t>
        </is>
      </c>
      <c r="C688" t="inlineStr">
        <is>
          <t>0                      HQ 1206000W  88          1997</t>
        </is>
      </c>
      <c r="D688" t="inlineStr">
        <is>
          <t>Women's ways of knowing : the development of self, voice, and mind / Mary Field Belenky ... [et al. ; with a new preface by the authors].</t>
        </is>
      </c>
      <c r="F688" t="inlineStr">
        <is>
          <t>No</t>
        </is>
      </c>
      <c r="G688" t="inlineStr">
        <is>
          <t>1</t>
        </is>
      </c>
      <c r="H688" t="inlineStr">
        <is>
          <t>Yes</t>
        </is>
      </c>
      <c r="I688" t="inlineStr">
        <is>
          <t>No</t>
        </is>
      </c>
      <c r="J688" t="inlineStr">
        <is>
          <t>0</t>
        </is>
      </c>
      <c r="L688" t="inlineStr">
        <is>
          <t>New York : BasicBooks, 1997.</t>
        </is>
      </c>
      <c r="M688" t="inlineStr">
        <is>
          <t>1997</t>
        </is>
      </c>
      <c r="N688" t="inlineStr">
        <is>
          <t>10th anniversary ed.</t>
        </is>
      </c>
      <c r="O688" t="inlineStr">
        <is>
          <t>eng</t>
        </is>
      </c>
      <c r="P688" t="inlineStr">
        <is>
          <t>nyu</t>
        </is>
      </c>
      <c r="R688" t="inlineStr">
        <is>
          <t xml:space="preserve">HQ </t>
        </is>
      </c>
      <c r="S688" t="n">
        <v>13</v>
      </c>
      <c r="T688" t="n">
        <v>14</v>
      </c>
      <c r="U688" t="inlineStr">
        <is>
          <t>2010-02-21</t>
        </is>
      </c>
      <c r="V688" t="inlineStr">
        <is>
          <t>2010-02-21</t>
        </is>
      </c>
      <c r="W688" t="inlineStr">
        <is>
          <t>1997-09-23</t>
        </is>
      </c>
      <c r="X688" t="inlineStr">
        <is>
          <t>1997-12-23</t>
        </is>
      </c>
      <c r="Y688" t="n">
        <v>600</v>
      </c>
      <c r="Z688" t="n">
        <v>479</v>
      </c>
      <c r="AA688" t="n">
        <v>1816</v>
      </c>
      <c r="AB688" t="n">
        <v>3</v>
      </c>
      <c r="AC688" t="n">
        <v>17</v>
      </c>
      <c r="AD688" t="n">
        <v>15</v>
      </c>
      <c r="AE688" t="n">
        <v>63</v>
      </c>
      <c r="AF688" t="n">
        <v>9</v>
      </c>
      <c r="AG688" t="n">
        <v>28</v>
      </c>
      <c r="AH688" t="n">
        <v>3</v>
      </c>
      <c r="AI688" t="n">
        <v>10</v>
      </c>
      <c r="AJ688" t="n">
        <v>4</v>
      </c>
      <c r="AK688" t="n">
        <v>25</v>
      </c>
      <c r="AL688" t="n">
        <v>1</v>
      </c>
      <c r="AM688" t="n">
        <v>11</v>
      </c>
      <c r="AN688" t="n">
        <v>1</v>
      </c>
      <c r="AO688" t="n">
        <v>3</v>
      </c>
      <c r="AP688" t="inlineStr">
        <is>
          <t>No</t>
        </is>
      </c>
      <c r="AQ688" t="inlineStr">
        <is>
          <t>No</t>
        </is>
      </c>
      <c r="AS688">
        <f>HYPERLINK("https://creighton-primo.hosted.exlibrisgroup.com/primo-explore/search?tab=default_tab&amp;search_scope=EVERYTHING&amp;vid=01CRU&amp;lang=en_US&amp;offset=0&amp;query=any,contains,991001790909702656","Catalog Record")</f>
        <v/>
      </c>
      <c r="AT688">
        <f>HYPERLINK("http://www.worldcat.org/oclc/37179869","WorldCat Record")</f>
        <v/>
      </c>
      <c r="AU688" t="inlineStr">
        <is>
          <t>796284009:eng</t>
        </is>
      </c>
      <c r="AV688" t="inlineStr">
        <is>
          <t>37179869</t>
        </is>
      </c>
      <c r="AW688" t="inlineStr">
        <is>
          <t>991001790909702656</t>
        </is>
      </c>
      <c r="AX688" t="inlineStr">
        <is>
          <t>991001790909702656</t>
        </is>
      </c>
      <c r="AY688" t="inlineStr">
        <is>
          <t>2256537050002656</t>
        </is>
      </c>
      <c r="AZ688" t="inlineStr">
        <is>
          <t>BOOK</t>
        </is>
      </c>
      <c r="BB688" t="inlineStr">
        <is>
          <t>9780465090990</t>
        </is>
      </c>
      <c r="BC688" t="inlineStr">
        <is>
          <t>32285003250163</t>
        </is>
      </c>
      <c r="BD688" t="inlineStr">
        <is>
          <t>893346784</t>
        </is>
      </c>
    </row>
    <row r="689">
      <c r="A689" t="inlineStr">
        <is>
          <t>No</t>
        </is>
      </c>
      <c r="B689" t="inlineStr">
        <is>
          <t>HQ1206 .Y35 2001</t>
        </is>
      </c>
      <c r="C689" t="inlineStr">
        <is>
          <t>0                      HQ 1206000Y  35          2001</t>
        </is>
      </c>
      <c r="D689" t="inlineStr">
        <is>
          <t>A history of the wife / Marilyn Yalom.</t>
        </is>
      </c>
      <c r="F689" t="inlineStr">
        <is>
          <t>No</t>
        </is>
      </c>
      <c r="G689" t="inlineStr">
        <is>
          <t>1</t>
        </is>
      </c>
      <c r="H689" t="inlineStr">
        <is>
          <t>No</t>
        </is>
      </c>
      <c r="I689" t="inlineStr">
        <is>
          <t>No</t>
        </is>
      </c>
      <c r="J689" t="inlineStr">
        <is>
          <t>0</t>
        </is>
      </c>
      <c r="K689" t="inlineStr">
        <is>
          <t>Yalom, Marilyn.</t>
        </is>
      </c>
      <c r="L689" t="inlineStr">
        <is>
          <t>New York : HarperCollins, c2001.</t>
        </is>
      </c>
      <c r="M689" t="inlineStr">
        <is>
          <t>2001</t>
        </is>
      </c>
      <c r="N689" t="inlineStr">
        <is>
          <t>1st ed.</t>
        </is>
      </c>
      <c r="O689" t="inlineStr">
        <is>
          <t>eng</t>
        </is>
      </c>
      <c r="P689" t="inlineStr">
        <is>
          <t>nyu</t>
        </is>
      </c>
      <c r="R689" t="inlineStr">
        <is>
          <t xml:space="preserve">HQ </t>
        </is>
      </c>
      <c r="S689" t="n">
        <v>9</v>
      </c>
      <c r="T689" t="n">
        <v>9</v>
      </c>
      <c r="U689" t="inlineStr">
        <is>
          <t>2010-05-25</t>
        </is>
      </c>
      <c r="V689" t="inlineStr">
        <is>
          <t>2010-05-25</t>
        </is>
      </c>
      <c r="W689" t="inlineStr">
        <is>
          <t>2001-02-14</t>
        </is>
      </c>
      <c r="X689" t="inlineStr">
        <is>
          <t>2001-02-14</t>
        </is>
      </c>
      <c r="Y689" t="n">
        <v>1418</v>
      </c>
      <c r="Z689" t="n">
        <v>1300</v>
      </c>
      <c r="AA689" t="n">
        <v>1528</v>
      </c>
      <c r="AB689" t="n">
        <v>12</v>
      </c>
      <c r="AC689" t="n">
        <v>14</v>
      </c>
      <c r="AD689" t="n">
        <v>41</v>
      </c>
      <c r="AE689" t="n">
        <v>48</v>
      </c>
      <c r="AF689" t="n">
        <v>14</v>
      </c>
      <c r="AG689" t="n">
        <v>17</v>
      </c>
      <c r="AH689" t="n">
        <v>8</v>
      </c>
      <c r="AI689" t="n">
        <v>9</v>
      </c>
      <c r="AJ689" t="n">
        <v>19</v>
      </c>
      <c r="AK689" t="n">
        <v>19</v>
      </c>
      <c r="AL689" t="n">
        <v>7</v>
      </c>
      <c r="AM689" t="n">
        <v>9</v>
      </c>
      <c r="AN689" t="n">
        <v>3</v>
      </c>
      <c r="AO689" t="n">
        <v>5</v>
      </c>
      <c r="AP689" t="inlineStr">
        <is>
          <t>No</t>
        </is>
      </c>
      <c r="AQ689" t="inlineStr">
        <is>
          <t>No</t>
        </is>
      </c>
      <c r="AS689">
        <f>HYPERLINK("https://creighton-primo.hosted.exlibrisgroup.com/primo-explore/search?tab=default_tab&amp;search_scope=EVERYTHING&amp;vid=01CRU&amp;lang=en_US&amp;offset=0&amp;query=any,contains,991003473599702656","Catalog Record")</f>
        <v/>
      </c>
      <c r="AT689">
        <f>HYPERLINK("http://www.worldcat.org/oclc/44549030","WorldCat Record")</f>
        <v/>
      </c>
      <c r="AU689" t="inlineStr">
        <is>
          <t>351480592:eng</t>
        </is>
      </c>
      <c r="AV689" t="inlineStr">
        <is>
          <t>44549030</t>
        </is>
      </c>
      <c r="AW689" t="inlineStr">
        <is>
          <t>991003473599702656</t>
        </is>
      </c>
      <c r="AX689" t="inlineStr">
        <is>
          <t>991003473599702656</t>
        </is>
      </c>
      <c r="AY689" t="inlineStr">
        <is>
          <t>2261180060002656</t>
        </is>
      </c>
      <c r="AZ689" t="inlineStr">
        <is>
          <t>BOOK</t>
        </is>
      </c>
      <c r="BB689" t="inlineStr">
        <is>
          <t>9780060193386</t>
        </is>
      </c>
      <c r="BC689" t="inlineStr">
        <is>
          <t>32285004295019</t>
        </is>
      </c>
      <c r="BD689" t="inlineStr">
        <is>
          <t>893246377</t>
        </is>
      </c>
    </row>
    <row r="690">
      <c r="A690" t="inlineStr">
        <is>
          <t>No</t>
        </is>
      </c>
      <c r="B690" t="inlineStr">
        <is>
          <t>HQ1208 .L43 1991</t>
        </is>
      </c>
      <c r="C690" t="inlineStr">
        <is>
          <t>0                      HQ 1208000L  43          1991</t>
        </is>
      </c>
      <c r="D690" t="inlineStr">
        <is>
          <t>Hipparchia's choice : an essay concerning women, philosophy, etc. / Michèle Le Doeuff ; translated by Trista Selous.</t>
        </is>
      </c>
      <c r="F690" t="inlineStr">
        <is>
          <t>No</t>
        </is>
      </c>
      <c r="G690" t="inlineStr">
        <is>
          <t>1</t>
        </is>
      </c>
      <c r="H690" t="inlineStr">
        <is>
          <t>No</t>
        </is>
      </c>
      <c r="I690" t="inlineStr">
        <is>
          <t>No</t>
        </is>
      </c>
      <c r="J690" t="inlineStr">
        <is>
          <t>0</t>
        </is>
      </c>
      <c r="K690" t="inlineStr">
        <is>
          <t>Le Dœuff, Michèle.</t>
        </is>
      </c>
      <c r="L690" t="inlineStr">
        <is>
          <t>Oxford, UK ; Cambridge, MA : Blackwell, 1991.</t>
        </is>
      </c>
      <c r="M690" t="inlineStr">
        <is>
          <t>1991</t>
        </is>
      </c>
      <c r="O690" t="inlineStr">
        <is>
          <t>eng</t>
        </is>
      </c>
      <c r="P690" t="inlineStr">
        <is>
          <t>enk</t>
        </is>
      </c>
      <c r="R690" t="inlineStr">
        <is>
          <t xml:space="preserve">HQ </t>
        </is>
      </c>
      <c r="S690" t="n">
        <v>6</v>
      </c>
      <c r="T690" t="n">
        <v>6</v>
      </c>
      <c r="U690" t="inlineStr">
        <is>
          <t>2005-04-17</t>
        </is>
      </c>
      <c r="V690" t="inlineStr">
        <is>
          <t>2005-04-17</t>
        </is>
      </c>
      <c r="W690" t="inlineStr">
        <is>
          <t>1992-03-06</t>
        </is>
      </c>
      <c r="X690" t="inlineStr">
        <is>
          <t>1992-03-06</t>
        </is>
      </c>
      <c r="Y690" t="n">
        <v>447</v>
      </c>
      <c r="Z690" t="n">
        <v>327</v>
      </c>
      <c r="AA690" t="n">
        <v>335</v>
      </c>
      <c r="AB690" t="n">
        <v>1</v>
      </c>
      <c r="AC690" t="n">
        <v>1</v>
      </c>
      <c r="AD690" t="n">
        <v>20</v>
      </c>
      <c r="AE690" t="n">
        <v>20</v>
      </c>
      <c r="AF690" t="n">
        <v>9</v>
      </c>
      <c r="AG690" t="n">
        <v>9</v>
      </c>
      <c r="AH690" t="n">
        <v>6</v>
      </c>
      <c r="AI690" t="n">
        <v>6</v>
      </c>
      <c r="AJ690" t="n">
        <v>11</v>
      </c>
      <c r="AK690" t="n">
        <v>11</v>
      </c>
      <c r="AL690" t="n">
        <v>0</v>
      </c>
      <c r="AM690" t="n">
        <v>0</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HYPERLINK("https://creighton-primo.hosted.exlibrisgroup.com/primo-explore/search?tab=default_tab&amp;search_scope=EVERYTHING&amp;vid=01CRU&amp;lang=en_US&amp;offset=0&amp;query=any,contains,991001854959702656","Catalog Record")</f>
        <v/>
      </c>
      <c r="AT690">
        <f>HYPERLINK("http://www.worldcat.org/oclc/23286215","WorldCat Record")</f>
        <v/>
      </c>
      <c r="AU690" t="inlineStr">
        <is>
          <t>10278896589:eng</t>
        </is>
      </c>
      <c r="AV690" t="inlineStr">
        <is>
          <t>23286215</t>
        </is>
      </c>
      <c r="AW690" t="inlineStr">
        <is>
          <t>991001854959702656</t>
        </is>
      </c>
      <c r="AX690" t="inlineStr">
        <is>
          <t>991001854959702656</t>
        </is>
      </c>
      <c r="AY690" t="inlineStr">
        <is>
          <t>2269864560002656</t>
        </is>
      </c>
      <c r="AZ690" t="inlineStr">
        <is>
          <t>BOOK</t>
        </is>
      </c>
      <c r="BB690" t="inlineStr">
        <is>
          <t>9780631176411</t>
        </is>
      </c>
      <c r="BC690" t="inlineStr">
        <is>
          <t>32285000939065</t>
        </is>
      </c>
      <c r="BD690" t="inlineStr">
        <is>
          <t>893322310</t>
        </is>
      </c>
    </row>
    <row r="691">
      <c r="A691" t="inlineStr">
        <is>
          <t>No</t>
        </is>
      </c>
      <c r="B691" t="inlineStr">
        <is>
          <t>HQ1214 .B47 1995</t>
        </is>
      </c>
      <c r="C691" t="inlineStr">
        <is>
          <t>0                      HQ 1214000B  47          1995</t>
        </is>
      </c>
      <c r="D691" t="inlineStr">
        <is>
          <t>Autoestima para mujeres : utopía y verdad en la nueva era / Doris Bersing.</t>
        </is>
      </c>
      <c r="F691" t="inlineStr">
        <is>
          <t>No</t>
        </is>
      </c>
      <c r="G691" t="inlineStr">
        <is>
          <t>1</t>
        </is>
      </c>
      <c r="H691" t="inlineStr">
        <is>
          <t>No</t>
        </is>
      </c>
      <c r="I691" t="inlineStr">
        <is>
          <t>No</t>
        </is>
      </c>
      <c r="J691" t="inlineStr">
        <is>
          <t>0</t>
        </is>
      </c>
      <c r="K691" t="inlineStr">
        <is>
          <t>Bersing, Doris.</t>
        </is>
      </c>
      <c r="L691" t="inlineStr">
        <is>
          <t>Caracas, Venezuela : Alfadil Ediciones, 1995.</t>
        </is>
      </c>
      <c r="M691" t="inlineStr">
        <is>
          <t>1995</t>
        </is>
      </c>
      <c r="O691" t="inlineStr">
        <is>
          <t>spa</t>
        </is>
      </c>
      <c r="P691" t="inlineStr">
        <is>
          <t xml:space="preserve">uy </t>
        </is>
      </c>
      <c r="Q691" t="inlineStr">
        <is>
          <t>Colección Vida alternativa ; 5</t>
        </is>
      </c>
      <c r="R691" t="inlineStr">
        <is>
          <t xml:space="preserve">HQ </t>
        </is>
      </c>
      <c r="S691" t="n">
        <v>1</v>
      </c>
      <c r="T691" t="n">
        <v>1</v>
      </c>
      <c r="U691" t="inlineStr">
        <is>
          <t>2002-07-29</t>
        </is>
      </c>
      <c r="V691" t="inlineStr">
        <is>
          <t>2002-07-29</t>
        </is>
      </c>
      <c r="W691" t="inlineStr">
        <is>
          <t>2002-07-29</t>
        </is>
      </c>
      <c r="X691" t="inlineStr">
        <is>
          <t>2002-07-29</t>
        </is>
      </c>
      <c r="Y691" t="n">
        <v>12</v>
      </c>
      <c r="Z691" t="n">
        <v>10</v>
      </c>
      <c r="AA691" t="n">
        <v>10</v>
      </c>
      <c r="AB691" t="n">
        <v>1</v>
      </c>
      <c r="AC691" t="n">
        <v>1</v>
      </c>
      <c r="AD691" t="n">
        <v>0</v>
      </c>
      <c r="AE691" t="n">
        <v>0</v>
      </c>
      <c r="AF691" t="n">
        <v>0</v>
      </c>
      <c r="AG691" t="n">
        <v>0</v>
      </c>
      <c r="AH691" t="n">
        <v>0</v>
      </c>
      <c r="AI691" t="n">
        <v>0</v>
      </c>
      <c r="AJ691" t="n">
        <v>0</v>
      </c>
      <c r="AK691" t="n">
        <v>0</v>
      </c>
      <c r="AL691" t="n">
        <v>0</v>
      </c>
      <c r="AM691" t="n">
        <v>0</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HYPERLINK("https://creighton-primo.hosted.exlibrisgroup.com/primo-explore/search?tab=default_tab&amp;search_scope=EVERYTHING&amp;vid=01CRU&amp;lang=en_US&amp;offset=0&amp;query=any,contains,991003847559702656","Catalog Record")</f>
        <v/>
      </c>
      <c r="AT691">
        <f>HYPERLINK("http://www.worldcat.org/oclc/35336203","WorldCat Record")</f>
        <v/>
      </c>
      <c r="AU691" t="inlineStr">
        <is>
          <t>476913826:spa</t>
        </is>
      </c>
      <c r="AV691" t="inlineStr">
        <is>
          <t>35336203</t>
        </is>
      </c>
      <c r="AW691" t="inlineStr">
        <is>
          <t>991003847559702656</t>
        </is>
      </c>
      <c r="AX691" t="inlineStr">
        <is>
          <t>991003847559702656</t>
        </is>
      </c>
      <c r="AY691" t="inlineStr">
        <is>
          <t>2260715210002656</t>
        </is>
      </c>
      <c r="AZ691" t="inlineStr">
        <is>
          <t>BOOK</t>
        </is>
      </c>
      <c r="BC691" t="inlineStr">
        <is>
          <t>32285004640487</t>
        </is>
      </c>
      <c r="BD691" t="inlineStr">
        <is>
          <t>893705694</t>
        </is>
      </c>
    </row>
    <row r="692">
      <c r="A692" t="inlineStr">
        <is>
          <t>No</t>
        </is>
      </c>
      <c r="B692" t="inlineStr">
        <is>
          <t>HQ1214 .L43 1984</t>
        </is>
      </c>
      <c r="C692" t="inlineStr">
        <is>
          <t>0                      HQ 1214000L  43          1984</t>
        </is>
      </c>
      <c r="D692" t="inlineStr">
        <is>
          <t>Crónicas ginecológicas / Elisa Lerner.</t>
        </is>
      </c>
      <c r="F692" t="inlineStr">
        <is>
          <t>No</t>
        </is>
      </c>
      <c r="G692" t="inlineStr">
        <is>
          <t>1</t>
        </is>
      </c>
      <c r="H692" t="inlineStr">
        <is>
          <t>No</t>
        </is>
      </c>
      <c r="I692" t="inlineStr">
        <is>
          <t>No</t>
        </is>
      </c>
      <c r="J692" t="inlineStr">
        <is>
          <t>0</t>
        </is>
      </c>
      <c r="K692" t="inlineStr">
        <is>
          <t>Lerner, Elisa.</t>
        </is>
      </c>
      <c r="L692" t="inlineStr">
        <is>
          <t>Caracas : Línea Editores, c1984.</t>
        </is>
      </c>
      <c r="M692" t="inlineStr">
        <is>
          <t>1984</t>
        </is>
      </c>
      <c r="O692" t="inlineStr">
        <is>
          <t>spa</t>
        </is>
      </c>
      <c r="P692" t="inlineStr">
        <is>
          <t xml:space="preserve">ve </t>
        </is>
      </c>
      <c r="Q692" t="inlineStr">
        <is>
          <t>Colección Costumbres</t>
        </is>
      </c>
      <c r="R692" t="inlineStr">
        <is>
          <t xml:space="preserve">HQ </t>
        </is>
      </c>
      <c r="S692" t="n">
        <v>1</v>
      </c>
      <c r="T692" t="n">
        <v>1</v>
      </c>
      <c r="U692" t="inlineStr">
        <is>
          <t>2002-05-16</t>
        </is>
      </c>
      <c r="V692" t="inlineStr">
        <is>
          <t>2002-05-16</t>
        </is>
      </c>
      <c r="W692" t="inlineStr">
        <is>
          <t>2002-05-08</t>
        </is>
      </c>
      <c r="X692" t="inlineStr">
        <is>
          <t>2002-05-08</t>
        </is>
      </c>
      <c r="Y692" t="n">
        <v>19</v>
      </c>
      <c r="Z692" t="n">
        <v>19</v>
      </c>
      <c r="AA692" t="n">
        <v>20</v>
      </c>
      <c r="AB692" t="n">
        <v>1</v>
      </c>
      <c r="AC692" t="n">
        <v>1</v>
      </c>
      <c r="AD692" t="n">
        <v>1</v>
      </c>
      <c r="AE692" t="n">
        <v>1</v>
      </c>
      <c r="AF692" t="n">
        <v>0</v>
      </c>
      <c r="AG692" t="n">
        <v>0</v>
      </c>
      <c r="AH692" t="n">
        <v>1</v>
      </c>
      <c r="AI692" t="n">
        <v>1</v>
      </c>
      <c r="AJ692" t="n">
        <v>1</v>
      </c>
      <c r="AK692" t="n">
        <v>1</v>
      </c>
      <c r="AL692" t="n">
        <v>0</v>
      </c>
      <c r="AM692" t="n">
        <v>0</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HYPERLINK("https://creighton-primo.hosted.exlibrisgroup.com/primo-explore/search?tab=default_tab&amp;search_scope=EVERYTHING&amp;vid=01CRU&amp;lang=en_US&amp;offset=0&amp;query=any,contains,991003806669702656","Catalog Record")</f>
        <v/>
      </c>
      <c r="AT692">
        <f>HYPERLINK("http://www.worldcat.org/oclc/12553367","WorldCat Record")</f>
        <v/>
      </c>
      <c r="AU692" t="inlineStr">
        <is>
          <t>4879358:spa</t>
        </is>
      </c>
      <c r="AV692" t="inlineStr">
        <is>
          <t>12553367</t>
        </is>
      </c>
      <c r="AW692" t="inlineStr">
        <is>
          <t>991003806669702656</t>
        </is>
      </c>
      <c r="AX692" t="inlineStr">
        <is>
          <t>991003806669702656</t>
        </is>
      </c>
      <c r="AY692" t="inlineStr">
        <is>
          <t>2259073890002656</t>
        </is>
      </c>
      <c r="AZ692" t="inlineStr">
        <is>
          <t>BOOK</t>
        </is>
      </c>
      <c r="BC692" t="inlineStr">
        <is>
          <t>32285004486899</t>
        </is>
      </c>
      <c r="BD692" t="inlineStr">
        <is>
          <t>893324506</t>
        </is>
      </c>
    </row>
    <row r="693">
      <c r="A693" t="inlineStr">
        <is>
          <t>No</t>
        </is>
      </c>
      <c r="B693" t="inlineStr">
        <is>
          <t>HQ1214 .M47 1977</t>
        </is>
      </c>
      <c r="C693" t="inlineStr">
        <is>
          <t>0                      HQ 1214000M  47          1977</t>
        </is>
      </c>
      <c r="D693" t="inlineStr">
        <is>
          <t>La condición femenina / Alberto L. Merani.</t>
        </is>
      </c>
      <c r="F693" t="inlineStr">
        <is>
          <t>No</t>
        </is>
      </c>
      <c r="G693" t="inlineStr">
        <is>
          <t>1</t>
        </is>
      </c>
      <c r="H693" t="inlineStr">
        <is>
          <t>No</t>
        </is>
      </c>
      <c r="I693" t="inlineStr">
        <is>
          <t>No</t>
        </is>
      </c>
      <c r="J693" t="inlineStr">
        <is>
          <t>0</t>
        </is>
      </c>
      <c r="K693" t="inlineStr">
        <is>
          <t>Merani, Alberto L.</t>
        </is>
      </c>
      <c r="L693" t="inlineStr">
        <is>
          <t>México, D.F. : Editorial Grijalbo, 1977.</t>
        </is>
      </c>
      <c r="M693" t="inlineStr">
        <is>
          <t>1977</t>
        </is>
      </c>
      <c r="N693" t="inlineStr">
        <is>
          <t>1. ed.</t>
        </is>
      </c>
      <c r="O693" t="inlineStr">
        <is>
          <t>spa</t>
        </is>
      </c>
      <c r="P693" t="inlineStr">
        <is>
          <t xml:space="preserve">mx </t>
        </is>
      </c>
      <c r="Q693" t="inlineStr">
        <is>
          <t>Colección 70 [i.e. Setenta] ; 3. ser., 147</t>
        </is>
      </c>
      <c r="R693" t="inlineStr">
        <is>
          <t xml:space="preserve">HQ </t>
        </is>
      </c>
      <c r="S693" t="n">
        <v>1</v>
      </c>
      <c r="T693" t="n">
        <v>1</v>
      </c>
      <c r="U693" t="inlineStr">
        <is>
          <t>2002-05-08</t>
        </is>
      </c>
      <c r="V693" t="inlineStr">
        <is>
          <t>2002-05-08</t>
        </is>
      </c>
      <c r="W693" t="inlineStr">
        <is>
          <t>2002-04-30</t>
        </is>
      </c>
      <c r="X693" t="inlineStr">
        <is>
          <t>2002-04-30</t>
        </is>
      </c>
      <c r="Y693" t="n">
        <v>20</v>
      </c>
      <c r="Z693" t="n">
        <v>16</v>
      </c>
      <c r="AA693" t="n">
        <v>16</v>
      </c>
      <c r="AB693" t="n">
        <v>1</v>
      </c>
      <c r="AC693" t="n">
        <v>1</v>
      </c>
      <c r="AD693" t="n">
        <v>0</v>
      </c>
      <c r="AE693" t="n">
        <v>0</v>
      </c>
      <c r="AF693" t="n">
        <v>0</v>
      </c>
      <c r="AG693" t="n">
        <v>0</v>
      </c>
      <c r="AH693" t="n">
        <v>0</v>
      </c>
      <c r="AI693" t="n">
        <v>0</v>
      </c>
      <c r="AJ693" t="n">
        <v>0</v>
      </c>
      <c r="AK693" t="n">
        <v>0</v>
      </c>
      <c r="AL693" t="n">
        <v>0</v>
      </c>
      <c r="AM693" t="n">
        <v>0</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HYPERLINK("https://creighton-primo.hosted.exlibrisgroup.com/primo-explore/search?tab=default_tab&amp;search_scope=EVERYTHING&amp;vid=01CRU&amp;lang=en_US&amp;offset=0&amp;query=any,contains,991003801479702656","Catalog Record")</f>
        <v/>
      </c>
      <c r="AT693">
        <f>HYPERLINK("http://www.worldcat.org/oclc/6419113","WorldCat Record")</f>
        <v/>
      </c>
      <c r="AU693" t="inlineStr">
        <is>
          <t>22166673:spa</t>
        </is>
      </c>
      <c r="AV693" t="inlineStr">
        <is>
          <t>6419113</t>
        </is>
      </c>
      <c r="AW693" t="inlineStr">
        <is>
          <t>991003801479702656</t>
        </is>
      </c>
      <c r="AX693" t="inlineStr">
        <is>
          <t>991003801479702656</t>
        </is>
      </c>
      <c r="AY693" t="inlineStr">
        <is>
          <t>2265287910002656</t>
        </is>
      </c>
      <c r="AZ693" t="inlineStr">
        <is>
          <t>BOOK</t>
        </is>
      </c>
      <c r="BC693" t="inlineStr">
        <is>
          <t>32285004484456</t>
        </is>
      </c>
      <c r="BD693" t="inlineStr">
        <is>
          <t>893234607</t>
        </is>
      </c>
    </row>
    <row r="694">
      <c r="A694" t="inlineStr">
        <is>
          <t>No</t>
        </is>
      </c>
      <c r="B694" t="inlineStr">
        <is>
          <t>HQ1219 .B348 2000</t>
        </is>
      </c>
      <c r="C694" t="inlineStr">
        <is>
          <t>0                      HQ 1219000B  348         2000</t>
        </is>
      </c>
      <c r="D694" t="inlineStr">
        <is>
          <t>Beauty matters / edited by Peg Zeglin Brand.</t>
        </is>
      </c>
      <c r="F694" t="inlineStr">
        <is>
          <t>No</t>
        </is>
      </c>
      <c r="G694" t="inlineStr">
        <is>
          <t>1</t>
        </is>
      </c>
      <c r="H694" t="inlineStr">
        <is>
          <t>No</t>
        </is>
      </c>
      <c r="I694" t="inlineStr">
        <is>
          <t>No</t>
        </is>
      </c>
      <c r="J694" t="inlineStr">
        <is>
          <t>0</t>
        </is>
      </c>
      <c r="L694" t="inlineStr">
        <is>
          <t>Bloomington : Indiana University Press, c2000.</t>
        </is>
      </c>
      <c r="M694" t="inlineStr">
        <is>
          <t>2000</t>
        </is>
      </c>
      <c r="O694" t="inlineStr">
        <is>
          <t>eng</t>
        </is>
      </c>
      <c r="P694" t="inlineStr">
        <is>
          <t>inu</t>
        </is>
      </c>
      <c r="R694" t="inlineStr">
        <is>
          <t xml:space="preserve">HQ </t>
        </is>
      </c>
      <c r="S694" t="n">
        <v>9</v>
      </c>
      <c r="T694" t="n">
        <v>9</v>
      </c>
      <c r="U694" t="inlineStr">
        <is>
          <t>2010-03-02</t>
        </is>
      </c>
      <c r="V694" t="inlineStr">
        <is>
          <t>2010-03-02</t>
        </is>
      </c>
      <c r="W694" t="inlineStr">
        <is>
          <t>2000-12-04</t>
        </is>
      </c>
      <c r="X694" t="inlineStr">
        <is>
          <t>2000-12-04</t>
        </is>
      </c>
      <c r="Y694" t="n">
        <v>542</v>
      </c>
      <c r="Z694" t="n">
        <v>428</v>
      </c>
      <c r="AA694" t="n">
        <v>435</v>
      </c>
      <c r="AB694" t="n">
        <v>4</v>
      </c>
      <c r="AC694" t="n">
        <v>4</v>
      </c>
      <c r="AD694" t="n">
        <v>28</v>
      </c>
      <c r="AE694" t="n">
        <v>28</v>
      </c>
      <c r="AF694" t="n">
        <v>11</v>
      </c>
      <c r="AG694" t="n">
        <v>11</v>
      </c>
      <c r="AH694" t="n">
        <v>7</v>
      </c>
      <c r="AI694" t="n">
        <v>7</v>
      </c>
      <c r="AJ694" t="n">
        <v>14</v>
      </c>
      <c r="AK694" t="n">
        <v>14</v>
      </c>
      <c r="AL694" t="n">
        <v>3</v>
      </c>
      <c r="AM694" t="n">
        <v>3</v>
      </c>
      <c r="AN694" t="n">
        <v>0</v>
      </c>
      <c r="AO694" t="n">
        <v>0</v>
      </c>
      <c r="AP694" t="inlineStr">
        <is>
          <t>No</t>
        </is>
      </c>
      <c r="AQ694" t="inlineStr">
        <is>
          <t>Yes</t>
        </is>
      </c>
      <c r="AR694">
        <f>HYPERLINK("http://catalog.hathitrust.org/Record/004071825","HathiTrust Record")</f>
        <v/>
      </c>
      <c r="AS694">
        <f>HYPERLINK("https://creighton-primo.hosted.exlibrisgroup.com/primo-explore/search?tab=default_tab&amp;search_scope=EVERYTHING&amp;vid=01CRU&amp;lang=en_US&amp;offset=0&amp;query=any,contains,991003313309702656","Catalog Record")</f>
        <v/>
      </c>
      <c r="AT694">
        <f>HYPERLINK("http://www.worldcat.org/oclc/42780744","WorldCat Record")</f>
        <v/>
      </c>
      <c r="AU694" t="inlineStr">
        <is>
          <t>1064701:eng</t>
        </is>
      </c>
      <c r="AV694" t="inlineStr">
        <is>
          <t>42780744</t>
        </is>
      </c>
      <c r="AW694" t="inlineStr">
        <is>
          <t>991003313309702656</t>
        </is>
      </c>
      <c r="AX694" t="inlineStr">
        <is>
          <t>991003313309702656</t>
        </is>
      </c>
      <c r="AY694" t="inlineStr">
        <is>
          <t>2256363660002656</t>
        </is>
      </c>
      <c r="AZ694" t="inlineStr">
        <is>
          <t>BOOK</t>
        </is>
      </c>
      <c r="BB694" t="inlineStr">
        <is>
          <t>9780253213754</t>
        </is>
      </c>
      <c r="BC694" t="inlineStr">
        <is>
          <t>32285004268842</t>
        </is>
      </c>
      <c r="BD694" t="inlineStr">
        <is>
          <t>893499176</t>
        </is>
      </c>
    </row>
    <row r="695">
      <c r="A695" t="inlineStr">
        <is>
          <t>No</t>
        </is>
      </c>
      <c r="B695" t="inlineStr">
        <is>
          <t>HQ1219 .C47 1986</t>
        </is>
      </c>
      <c r="C695" t="inlineStr">
        <is>
          <t>0                      HQ 1219000C  47          1986</t>
        </is>
      </c>
      <c r="D695" t="inlineStr">
        <is>
          <t>Beauty secrets : women and the politics of appearance / Wendy Chapkis ; photos, Gon Buurman.</t>
        </is>
      </c>
      <c r="F695" t="inlineStr">
        <is>
          <t>No</t>
        </is>
      </c>
      <c r="G695" t="inlineStr">
        <is>
          <t>1</t>
        </is>
      </c>
      <c r="H695" t="inlineStr">
        <is>
          <t>No</t>
        </is>
      </c>
      <c r="I695" t="inlineStr">
        <is>
          <t>No</t>
        </is>
      </c>
      <c r="J695" t="inlineStr">
        <is>
          <t>0</t>
        </is>
      </c>
      <c r="K695" t="inlineStr">
        <is>
          <t>Chapkis, W. (Wendy)</t>
        </is>
      </c>
      <c r="L695" t="inlineStr">
        <is>
          <t>Boston, MA : South End Press, c1986.</t>
        </is>
      </c>
      <c r="M695" t="inlineStr">
        <is>
          <t>1986</t>
        </is>
      </c>
      <c r="O695" t="inlineStr">
        <is>
          <t>eng</t>
        </is>
      </c>
      <c r="P695" t="inlineStr">
        <is>
          <t>mau</t>
        </is>
      </c>
      <c r="R695" t="inlineStr">
        <is>
          <t xml:space="preserve">HQ </t>
        </is>
      </c>
      <c r="S695" t="n">
        <v>11</v>
      </c>
      <c r="T695" t="n">
        <v>11</v>
      </c>
      <c r="U695" t="inlineStr">
        <is>
          <t>2004-03-02</t>
        </is>
      </c>
      <c r="V695" t="inlineStr">
        <is>
          <t>2004-03-02</t>
        </is>
      </c>
      <c r="W695" t="inlineStr">
        <is>
          <t>1990-07-05</t>
        </is>
      </c>
      <c r="X695" t="inlineStr">
        <is>
          <t>1990-07-05</t>
        </is>
      </c>
      <c r="Y695" t="n">
        <v>571</v>
      </c>
      <c r="Z695" t="n">
        <v>506</v>
      </c>
      <c r="AA695" t="n">
        <v>518</v>
      </c>
      <c r="AB695" t="n">
        <v>5</v>
      </c>
      <c r="AC695" t="n">
        <v>5</v>
      </c>
      <c r="AD695" t="n">
        <v>25</v>
      </c>
      <c r="AE695" t="n">
        <v>25</v>
      </c>
      <c r="AF695" t="n">
        <v>10</v>
      </c>
      <c r="AG695" t="n">
        <v>10</v>
      </c>
      <c r="AH695" t="n">
        <v>5</v>
      </c>
      <c r="AI695" t="n">
        <v>5</v>
      </c>
      <c r="AJ695" t="n">
        <v>11</v>
      </c>
      <c r="AK695" t="n">
        <v>11</v>
      </c>
      <c r="AL695" t="n">
        <v>4</v>
      </c>
      <c r="AM695" t="n">
        <v>4</v>
      </c>
      <c r="AN695" t="n">
        <v>1</v>
      </c>
      <c r="AO695" t="n">
        <v>1</v>
      </c>
      <c r="AP695" t="inlineStr">
        <is>
          <t>No</t>
        </is>
      </c>
      <c r="AQ695" t="inlineStr">
        <is>
          <t>Yes</t>
        </is>
      </c>
      <c r="AR695">
        <f>HYPERLINK("http://catalog.hathitrust.org/Record/000847364","HathiTrust Record")</f>
        <v/>
      </c>
      <c r="AS695">
        <f>HYPERLINK("https://creighton-primo.hosted.exlibrisgroup.com/primo-explore/search?tab=default_tab&amp;search_scope=EVERYTHING&amp;vid=01CRU&amp;lang=en_US&amp;offset=0&amp;query=any,contains,991000914629702656","Catalog Record")</f>
        <v/>
      </c>
      <c r="AT695">
        <f>HYPERLINK("http://www.worldcat.org/oclc/14166624","WorldCat Record")</f>
        <v/>
      </c>
      <c r="AU695" t="inlineStr">
        <is>
          <t>60963600:eng</t>
        </is>
      </c>
      <c r="AV695" t="inlineStr">
        <is>
          <t>14166624</t>
        </is>
      </c>
      <c r="AW695" t="inlineStr">
        <is>
          <t>991000914629702656</t>
        </is>
      </c>
      <c r="AX695" t="inlineStr">
        <is>
          <t>991000914629702656</t>
        </is>
      </c>
      <c r="AY695" t="inlineStr">
        <is>
          <t>2267378650002656</t>
        </is>
      </c>
      <c r="AZ695" t="inlineStr">
        <is>
          <t>BOOK</t>
        </is>
      </c>
      <c r="BB695" t="inlineStr">
        <is>
          <t>9780896082793</t>
        </is>
      </c>
      <c r="BC695" t="inlineStr">
        <is>
          <t>32285000221134</t>
        </is>
      </c>
      <c r="BD695" t="inlineStr">
        <is>
          <t>893589861</t>
        </is>
      </c>
    </row>
    <row r="696">
      <c r="A696" t="inlineStr">
        <is>
          <t>No</t>
        </is>
      </c>
      <c r="B696" t="inlineStr">
        <is>
          <t>HQ1219 .T73 1995</t>
        </is>
      </c>
      <c r="C696" t="inlineStr">
        <is>
          <t>0                      HQ 1219000T  73          1995</t>
        </is>
      </c>
      <c r="D696" t="inlineStr">
        <is>
          <t>The masque of femininity : the presentation of woman in everyday life / Efrat Tseëlon.</t>
        </is>
      </c>
      <c r="F696" t="inlineStr">
        <is>
          <t>No</t>
        </is>
      </c>
      <c r="G696" t="inlineStr">
        <is>
          <t>1</t>
        </is>
      </c>
      <c r="H696" t="inlineStr">
        <is>
          <t>No</t>
        </is>
      </c>
      <c r="I696" t="inlineStr">
        <is>
          <t>No</t>
        </is>
      </c>
      <c r="J696" t="inlineStr">
        <is>
          <t>0</t>
        </is>
      </c>
      <c r="K696" t="inlineStr">
        <is>
          <t>Tseëlon, Efrat.</t>
        </is>
      </c>
      <c r="L696" t="inlineStr">
        <is>
          <t>London : SAGE, 1995.</t>
        </is>
      </c>
      <c r="M696" t="inlineStr">
        <is>
          <t>1995</t>
        </is>
      </c>
      <c r="O696" t="inlineStr">
        <is>
          <t>eng</t>
        </is>
      </c>
      <c r="P696" t="inlineStr">
        <is>
          <t>enk</t>
        </is>
      </c>
      <c r="Q696" t="inlineStr">
        <is>
          <t>Theory, culture and society</t>
        </is>
      </c>
      <c r="R696" t="inlineStr">
        <is>
          <t xml:space="preserve">HQ </t>
        </is>
      </c>
      <c r="S696" t="n">
        <v>10</v>
      </c>
      <c r="T696" t="n">
        <v>10</v>
      </c>
      <c r="U696" t="inlineStr">
        <is>
          <t>2009-02-12</t>
        </is>
      </c>
      <c r="V696" t="inlineStr">
        <is>
          <t>2009-02-12</t>
        </is>
      </c>
      <c r="W696" t="inlineStr">
        <is>
          <t>1996-06-26</t>
        </is>
      </c>
      <c r="X696" t="inlineStr">
        <is>
          <t>1996-06-26</t>
        </is>
      </c>
      <c r="Y696" t="n">
        <v>569</v>
      </c>
      <c r="Z696" t="n">
        <v>366</v>
      </c>
      <c r="AA696" t="n">
        <v>712</v>
      </c>
      <c r="AB696" t="n">
        <v>3</v>
      </c>
      <c r="AC696" t="n">
        <v>4</v>
      </c>
      <c r="AD696" t="n">
        <v>24</v>
      </c>
      <c r="AE696" t="n">
        <v>28</v>
      </c>
      <c r="AF696" t="n">
        <v>13</v>
      </c>
      <c r="AG696" t="n">
        <v>15</v>
      </c>
      <c r="AH696" t="n">
        <v>3</v>
      </c>
      <c r="AI696" t="n">
        <v>4</v>
      </c>
      <c r="AJ696" t="n">
        <v>12</v>
      </c>
      <c r="AK696" t="n">
        <v>14</v>
      </c>
      <c r="AL696" t="n">
        <v>2</v>
      </c>
      <c r="AM696" t="n">
        <v>3</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HYPERLINK("https://creighton-primo.hosted.exlibrisgroup.com/primo-explore/search?tab=default_tab&amp;search_scope=EVERYTHING&amp;vid=01CRU&amp;lang=en_US&amp;offset=0&amp;query=any,contains,991002610559702656","Catalog Record")</f>
        <v/>
      </c>
      <c r="AT696">
        <f>HYPERLINK("http://www.worldcat.org/oclc/34192600","WorldCat Record")</f>
        <v/>
      </c>
      <c r="AU696" t="inlineStr">
        <is>
          <t>837059646:eng</t>
        </is>
      </c>
      <c r="AV696" t="inlineStr">
        <is>
          <t>34192600</t>
        </is>
      </c>
      <c r="AW696" t="inlineStr">
        <is>
          <t>991002610559702656</t>
        </is>
      </c>
      <c r="AX696" t="inlineStr">
        <is>
          <t>991002610559702656</t>
        </is>
      </c>
      <c r="AY696" t="inlineStr">
        <is>
          <t>2260036580002656</t>
        </is>
      </c>
      <c r="AZ696" t="inlineStr">
        <is>
          <t>BOOK</t>
        </is>
      </c>
      <c r="BB696" t="inlineStr">
        <is>
          <t>9780803988064</t>
        </is>
      </c>
      <c r="BC696" t="inlineStr">
        <is>
          <t>32285002173465</t>
        </is>
      </c>
      <c r="BD696" t="inlineStr">
        <is>
          <t>893329311</t>
        </is>
      </c>
    </row>
    <row r="697">
      <c r="A697" t="inlineStr">
        <is>
          <t>No</t>
        </is>
      </c>
      <c r="B697" t="inlineStr">
        <is>
          <t>HQ1221 .M286</t>
        </is>
      </c>
      <c r="C697" t="inlineStr">
        <is>
          <t>0                      HQ 1221000M  286</t>
        </is>
      </c>
      <c r="D697" t="inlineStr">
        <is>
          <t>Time in, time out, time enough : a time management guide for women / Pat Roessle Materka.</t>
        </is>
      </c>
      <c r="F697" t="inlineStr">
        <is>
          <t>No</t>
        </is>
      </c>
      <c r="G697" t="inlineStr">
        <is>
          <t>1</t>
        </is>
      </c>
      <c r="H697" t="inlineStr">
        <is>
          <t>No</t>
        </is>
      </c>
      <c r="I697" t="inlineStr">
        <is>
          <t>No</t>
        </is>
      </c>
      <c r="J697" t="inlineStr">
        <is>
          <t>0</t>
        </is>
      </c>
      <c r="K697" t="inlineStr">
        <is>
          <t>Materka, Pat Roessle.</t>
        </is>
      </c>
      <c r="L697" t="inlineStr">
        <is>
          <t>Englewood Cliffs, N.J. : Prentice-Hall, c1982.</t>
        </is>
      </c>
      <c r="M697" t="inlineStr">
        <is>
          <t>1982</t>
        </is>
      </c>
      <c r="O697" t="inlineStr">
        <is>
          <t>eng</t>
        </is>
      </c>
      <c r="P697" t="inlineStr">
        <is>
          <t>nju</t>
        </is>
      </c>
      <c r="R697" t="inlineStr">
        <is>
          <t xml:space="preserve">HQ </t>
        </is>
      </c>
      <c r="S697" t="n">
        <v>3</v>
      </c>
      <c r="T697" t="n">
        <v>3</v>
      </c>
      <c r="U697" t="inlineStr">
        <is>
          <t>1996-11-18</t>
        </is>
      </c>
      <c r="V697" t="inlineStr">
        <is>
          <t>1996-11-18</t>
        </is>
      </c>
      <c r="W697" t="inlineStr">
        <is>
          <t>1990-02-06</t>
        </is>
      </c>
      <c r="X697" t="inlineStr">
        <is>
          <t>1990-02-06</t>
        </is>
      </c>
      <c r="Y697" t="n">
        <v>165</v>
      </c>
      <c r="Z697" t="n">
        <v>143</v>
      </c>
      <c r="AA697" t="n">
        <v>161</v>
      </c>
      <c r="AB697" t="n">
        <v>2</v>
      </c>
      <c r="AC697" t="n">
        <v>2</v>
      </c>
      <c r="AD697" t="n">
        <v>2</v>
      </c>
      <c r="AE697" t="n">
        <v>3</v>
      </c>
      <c r="AF697" t="n">
        <v>1</v>
      </c>
      <c r="AG697" t="n">
        <v>2</v>
      </c>
      <c r="AH697" t="n">
        <v>0</v>
      </c>
      <c r="AI697" t="n">
        <v>0</v>
      </c>
      <c r="AJ697" t="n">
        <v>0</v>
      </c>
      <c r="AK697" t="n">
        <v>0</v>
      </c>
      <c r="AL697" t="n">
        <v>1</v>
      </c>
      <c r="AM697" t="n">
        <v>1</v>
      </c>
      <c r="AN697" t="n">
        <v>0</v>
      </c>
      <c r="AO697" t="n">
        <v>0</v>
      </c>
      <c r="AP697" t="inlineStr">
        <is>
          <t>No</t>
        </is>
      </c>
      <c r="AQ697" t="inlineStr">
        <is>
          <t>Yes</t>
        </is>
      </c>
      <c r="AR697">
        <f>HYPERLINK("http://catalog.hathitrust.org/Record/000157097","HathiTrust Record")</f>
        <v/>
      </c>
      <c r="AS697">
        <f>HYPERLINK("https://creighton-primo.hosted.exlibrisgroup.com/primo-explore/search?tab=default_tab&amp;search_scope=EVERYTHING&amp;vid=01CRU&amp;lang=en_US&amp;offset=0&amp;query=any,contains,991005147579702656","Catalog Record")</f>
        <v/>
      </c>
      <c r="AT697">
        <f>HYPERLINK("http://www.worldcat.org/oclc/7672383","WorldCat Record")</f>
        <v/>
      </c>
      <c r="AU697" t="inlineStr">
        <is>
          <t>385711:eng</t>
        </is>
      </c>
      <c r="AV697" t="inlineStr">
        <is>
          <t>7672383</t>
        </is>
      </c>
      <c r="AW697" t="inlineStr">
        <is>
          <t>991005147579702656</t>
        </is>
      </c>
      <c r="AX697" t="inlineStr">
        <is>
          <t>991005147579702656</t>
        </is>
      </c>
      <c r="AY697" t="inlineStr">
        <is>
          <t>2271456320002656</t>
        </is>
      </c>
      <c r="AZ697" t="inlineStr">
        <is>
          <t>BOOK</t>
        </is>
      </c>
      <c r="BB697" t="inlineStr">
        <is>
          <t>9780139217180</t>
        </is>
      </c>
      <c r="BC697" t="inlineStr">
        <is>
          <t>32285000033067</t>
        </is>
      </c>
      <c r="BD697" t="inlineStr">
        <is>
          <t>893326242</t>
        </is>
      </c>
    </row>
    <row r="698">
      <c r="A698" t="inlineStr">
        <is>
          <t>No</t>
        </is>
      </c>
      <c r="B698" t="inlineStr">
        <is>
          <t>HQ1221 .M5 1963</t>
        </is>
      </c>
      <c r="C698" t="inlineStr">
        <is>
          <t>0                      HQ 1221000M  5           1963</t>
        </is>
      </c>
      <c r="D698" t="inlineStr">
        <is>
          <t>In defense of women / H. L. Mencken.</t>
        </is>
      </c>
      <c r="F698" t="inlineStr">
        <is>
          <t>No</t>
        </is>
      </c>
      <c r="G698" t="inlineStr">
        <is>
          <t>1</t>
        </is>
      </c>
      <c r="H698" t="inlineStr">
        <is>
          <t>No</t>
        </is>
      </c>
      <c r="I698" t="inlineStr">
        <is>
          <t>No</t>
        </is>
      </c>
      <c r="J698" t="inlineStr">
        <is>
          <t>0</t>
        </is>
      </c>
      <c r="K698" t="inlineStr">
        <is>
          <t>Mencken, H. L. (Henry Louis), 1880-1956.</t>
        </is>
      </c>
      <c r="L698" t="inlineStr">
        <is>
          <t>New York : Time Inc., [1963]</t>
        </is>
      </c>
      <c r="M698" t="inlineStr">
        <is>
          <t>1963</t>
        </is>
      </c>
      <c r="O698" t="inlineStr">
        <is>
          <t>eng</t>
        </is>
      </c>
      <c r="P698" t="inlineStr">
        <is>
          <t>nyu</t>
        </is>
      </c>
      <c r="R698" t="inlineStr">
        <is>
          <t xml:space="preserve">HQ </t>
        </is>
      </c>
      <c r="S698" t="n">
        <v>4</v>
      </c>
      <c r="T698" t="n">
        <v>4</v>
      </c>
      <c r="U698" t="inlineStr">
        <is>
          <t>2010-08-25</t>
        </is>
      </c>
      <c r="V698" t="inlineStr">
        <is>
          <t>2010-08-25</t>
        </is>
      </c>
      <c r="W698" t="inlineStr">
        <is>
          <t>1990-09-10</t>
        </is>
      </c>
      <c r="X698" t="inlineStr">
        <is>
          <t>1990-09-10</t>
        </is>
      </c>
      <c r="Y698" t="n">
        <v>337</v>
      </c>
      <c r="Z698" t="n">
        <v>330</v>
      </c>
      <c r="AA698" t="n">
        <v>2280</v>
      </c>
      <c r="AB698" t="n">
        <v>6</v>
      </c>
      <c r="AC698" t="n">
        <v>24</v>
      </c>
      <c r="AD698" t="n">
        <v>13</v>
      </c>
      <c r="AE698" t="n">
        <v>66</v>
      </c>
      <c r="AF698" t="n">
        <v>6</v>
      </c>
      <c r="AG698" t="n">
        <v>26</v>
      </c>
      <c r="AH698" t="n">
        <v>1</v>
      </c>
      <c r="AI698" t="n">
        <v>10</v>
      </c>
      <c r="AJ698" t="n">
        <v>5</v>
      </c>
      <c r="AK698" t="n">
        <v>24</v>
      </c>
      <c r="AL698" t="n">
        <v>3</v>
      </c>
      <c r="AM698" t="n">
        <v>15</v>
      </c>
      <c r="AN698" t="n">
        <v>0</v>
      </c>
      <c r="AO698" t="n">
        <v>4</v>
      </c>
      <c r="AP698" t="inlineStr">
        <is>
          <t>No</t>
        </is>
      </c>
      <c r="AQ698" t="inlineStr">
        <is>
          <t>Yes</t>
        </is>
      </c>
      <c r="AR698">
        <f>HYPERLINK("http://catalog.hathitrust.org/Record/009910907","HathiTrust Record")</f>
        <v/>
      </c>
      <c r="AS698">
        <f>HYPERLINK("https://creighton-primo.hosted.exlibrisgroup.com/primo-explore/search?tab=default_tab&amp;search_scope=EVERYTHING&amp;vid=01CRU&amp;lang=en_US&amp;offset=0&amp;query=any,contains,991004898809702656","Catalog Record")</f>
        <v/>
      </c>
      <c r="AT698">
        <f>HYPERLINK("http://www.worldcat.org/oclc/265118","WorldCat Record")</f>
        <v/>
      </c>
      <c r="AU698" t="inlineStr">
        <is>
          <t>4924549521:eng</t>
        </is>
      </c>
      <c r="AV698" t="inlineStr">
        <is>
          <t>265118</t>
        </is>
      </c>
      <c r="AW698" t="inlineStr">
        <is>
          <t>991004898809702656</t>
        </is>
      </c>
      <c r="AX698" t="inlineStr">
        <is>
          <t>991004898809702656</t>
        </is>
      </c>
      <c r="AY698" t="inlineStr">
        <is>
          <t>2258047800002656</t>
        </is>
      </c>
      <c r="AZ698" t="inlineStr">
        <is>
          <t>BOOK</t>
        </is>
      </c>
      <c r="BC698" t="inlineStr">
        <is>
          <t>32285000295195</t>
        </is>
      </c>
      <c r="BD698" t="inlineStr">
        <is>
          <t>893520154</t>
        </is>
      </c>
    </row>
    <row r="699">
      <c r="A699" t="inlineStr">
        <is>
          <t>No</t>
        </is>
      </c>
      <c r="B699" t="inlineStr">
        <is>
          <t>HQ1221 .W89 1986</t>
        </is>
      </c>
      <c r="C699" t="inlineStr">
        <is>
          <t>0                      HQ 1221000W  89          1986</t>
        </is>
      </c>
      <c r="D699" t="inlineStr">
        <is>
          <t>Women and values : readings in recent feminist philosophy / [edited by] Marilyn Pearsall.</t>
        </is>
      </c>
      <c r="F699" t="inlineStr">
        <is>
          <t>No</t>
        </is>
      </c>
      <c r="G699" t="inlineStr">
        <is>
          <t>1</t>
        </is>
      </c>
      <c r="H699" t="inlineStr">
        <is>
          <t>No</t>
        </is>
      </c>
      <c r="I699" t="inlineStr">
        <is>
          <t>No</t>
        </is>
      </c>
      <c r="J699" t="inlineStr">
        <is>
          <t>0</t>
        </is>
      </c>
      <c r="L699" t="inlineStr">
        <is>
          <t>Belmont, Calif. : Wadsworth Pub. Co., c1986.</t>
        </is>
      </c>
      <c r="M699" t="inlineStr">
        <is>
          <t>1986</t>
        </is>
      </c>
      <c r="O699" t="inlineStr">
        <is>
          <t>eng</t>
        </is>
      </c>
      <c r="P699" t="inlineStr">
        <is>
          <t>cau</t>
        </is>
      </c>
      <c r="R699" t="inlineStr">
        <is>
          <t xml:space="preserve">HQ </t>
        </is>
      </c>
      <c r="S699" t="n">
        <v>15</v>
      </c>
      <c r="T699" t="n">
        <v>15</v>
      </c>
      <c r="U699" t="inlineStr">
        <is>
          <t>2002-04-28</t>
        </is>
      </c>
      <c r="V699" t="inlineStr">
        <is>
          <t>2002-04-28</t>
        </is>
      </c>
      <c r="W699" t="inlineStr">
        <is>
          <t>1990-07-05</t>
        </is>
      </c>
      <c r="X699" t="inlineStr">
        <is>
          <t>1990-07-05</t>
        </is>
      </c>
      <c r="Y699" t="n">
        <v>335</v>
      </c>
      <c r="Z699" t="n">
        <v>284</v>
      </c>
      <c r="AA699" t="n">
        <v>456</v>
      </c>
      <c r="AB699" t="n">
        <v>2</v>
      </c>
      <c r="AC699" t="n">
        <v>4</v>
      </c>
      <c r="AD699" t="n">
        <v>12</v>
      </c>
      <c r="AE699" t="n">
        <v>24</v>
      </c>
      <c r="AF699" t="n">
        <v>3</v>
      </c>
      <c r="AG699" t="n">
        <v>6</v>
      </c>
      <c r="AH699" t="n">
        <v>5</v>
      </c>
      <c r="AI699" t="n">
        <v>7</v>
      </c>
      <c r="AJ699" t="n">
        <v>7</v>
      </c>
      <c r="AK699" t="n">
        <v>15</v>
      </c>
      <c r="AL699" t="n">
        <v>1</v>
      </c>
      <c r="AM699" t="n">
        <v>3</v>
      </c>
      <c r="AN699" t="n">
        <v>0</v>
      </c>
      <c r="AO699" t="n">
        <v>0</v>
      </c>
      <c r="AP699" t="inlineStr">
        <is>
          <t>No</t>
        </is>
      </c>
      <c r="AQ699" t="inlineStr">
        <is>
          <t>Yes</t>
        </is>
      </c>
      <c r="AR699">
        <f>HYPERLINK("http://catalog.hathitrust.org/Record/002647122","HathiTrust Record")</f>
        <v/>
      </c>
      <c r="AS699">
        <f>HYPERLINK("https://creighton-primo.hosted.exlibrisgroup.com/primo-explore/search?tab=default_tab&amp;search_scope=EVERYTHING&amp;vid=01CRU&amp;lang=en_US&amp;offset=0&amp;query=any,contains,991000663639702656","Catalog Record")</f>
        <v/>
      </c>
      <c r="AT699">
        <f>HYPERLINK("http://www.worldcat.org/oclc/12262581","WorldCat Record")</f>
        <v/>
      </c>
      <c r="AU699" t="inlineStr">
        <is>
          <t>836914566:eng</t>
        </is>
      </c>
      <c r="AV699" t="inlineStr">
        <is>
          <t>12262581</t>
        </is>
      </c>
      <c r="AW699" t="inlineStr">
        <is>
          <t>991000663639702656</t>
        </is>
      </c>
      <c r="AX699" t="inlineStr">
        <is>
          <t>991000663639702656</t>
        </is>
      </c>
      <c r="AY699" t="inlineStr">
        <is>
          <t>2270616990002656</t>
        </is>
      </c>
      <c r="AZ699" t="inlineStr">
        <is>
          <t>BOOK</t>
        </is>
      </c>
      <c r="BB699" t="inlineStr">
        <is>
          <t>9780534054724</t>
        </is>
      </c>
      <c r="BC699" t="inlineStr">
        <is>
          <t>32285000221167</t>
        </is>
      </c>
      <c r="BD699" t="inlineStr">
        <is>
          <t>893225191</t>
        </is>
      </c>
    </row>
    <row r="700">
      <c r="A700" t="inlineStr">
        <is>
          <t>No</t>
        </is>
      </c>
      <c r="B700" t="inlineStr">
        <is>
          <t>HQ1221 .W893 1987</t>
        </is>
      </c>
      <c r="C700" t="inlineStr">
        <is>
          <t>0                      HQ 1221000W  893         1987</t>
        </is>
      </c>
      <c r="D700" t="inlineStr">
        <is>
          <t>Women's consciousness, women's conscience : a reader in feminist ethics / edited by Barbara Hilkert Andolsen, Christine E. Gudorf, Mary D. Pellauer.</t>
        </is>
      </c>
      <c r="F700" t="inlineStr">
        <is>
          <t>No</t>
        </is>
      </c>
      <c r="G700" t="inlineStr">
        <is>
          <t>1</t>
        </is>
      </c>
      <c r="H700" t="inlineStr">
        <is>
          <t>No</t>
        </is>
      </c>
      <c r="I700" t="inlineStr">
        <is>
          <t>No</t>
        </is>
      </c>
      <c r="J700" t="inlineStr">
        <is>
          <t>0</t>
        </is>
      </c>
      <c r="L700" t="inlineStr">
        <is>
          <t>San Francisco : Harper &amp; Row, 1987, c1985.</t>
        </is>
      </c>
      <c r="M700" t="inlineStr">
        <is>
          <t>1987</t>
        </is>
      </c>
      <c r="N700" t="inlineStr">
        <is>
          <t>1st Harper &amp; Row ed.</t>
        </is>
      </c>
      <c r="O700" t="inlineStr">
        <is>
          <t>eng</t>
        </is>
      </c>
      <c r="P700" t="inlineStr">
        <is>
          <t>cau</t>
        </is>
      </c>
      <c r="R700" t="inlineStr">
        <is>
          <t xml:space="preserve">HQ </t>
        </is>
      </c>
      <c r="S700" t="n">
        <v>10</v>
      </c>
      <c r="T700" t="n">
        <v>10</v>
      </c>
      <c r="U700" t="inlineStr">
        <is>
          <t>2001-11-29</t>
        </is>
      </c>
      <c r="V700" t="inlineStr">
        <is>
          <t>2001-11-29</t>
        </is>
      </c>
      <c r="W700" t="inlineStr">
        <is>
          <t>1990-07-05</t>
        </is>
      </c>
      <c r="X700" t="inlineStr">
        <is>
          <t>1990-07-05</t>
        </is>
      </c>
      <c r="Y700" t="n">
        <v>230</v>
      </c>
      <c r="Z700" t="n">
        <v>210</v>
      </c>
      <c r="AA700" t="n">
        <v>579</v>
      </c>
      <c r="AB700" t="n">
        <v>4</v>
      </c>
      <c r="AC700" t="n">
        <v>4</v>
      </c>
      <c r="AD700" t="n">
        <v>10</v>
      </c>
      <c r="AE700" t="n">
        <v>31</v>
      </c>
      <c r="AF700" t="n">
        <v>4</v>
      </c>
      <c r="AG700" t="n">
        <v>10</v>
      </c>
      <c r="AH700" t="n">
        <v>1</v>
      </c>
      <c r="AI700" t="n">
        <v>8</v>
      </c>
      <c r="AJ700" t="n">
        <v>5</v>
      </c>
      <c r="AK700" t="n">
        <v>20</v>
      </c>
      <c r="AL700" t="n">
        <v>3</v>
      </c>
      <c r="AM700" t="n">
        <v>3</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HYPERLINK("https://creighton-primo.hosted.exlibrisgroup.com/primo-explore/search?tab=default_tab&amp;search_scope=EVERYTHING&amp;vid=01CRU&amp;lang=en_US&amp;offset=0&amp;query=any,contains,991000996739702656","Catalog Record")</f>
        <v/>
      </c>
      <c r="AT700">
        <f>HYPERLINK("http://www.worldcat.org/oclc/15162444","WorldCat Record")</f>
        <v/>
      </c>
      <c r="AU700" t="inlineStr">
        <is>
          <t>836724589:eng</t>
        </is>
      </c>
      <c r="AV700" t="inlineStr">
        <is>
          <t>15162444</t>
        </is>
      </c>
      <c r="AW700" t="inlineStr">
        <is>
          <t>991000996739702656</t>
        </is>
      </c>
      <c r="AX700" t="inlineStr">
        <is>
          <t>991000996739702656</t>
        </is>
      </c>
      <c r="AY700" t="inlineStr">
        <is>
          <t>2264030550002656</t>
        </is>
      </c>
      <c r="AZ700" t="inlineStr">
        <is>
          <t>BOOK</t>
        </is>
      </c>
      <c r="BB700" t="inlineStr">
        <is>
          <t>9780062541024</t>
        </is>
      </c>
      <c r="BC700" t="inlineStr">
        <is>
          <t>32285000221175</t>
        </is>
      </c>
      <c r="BD700" t="inlineStr">
        <is>
          <t>893340078</t>
        </is>
      </c>
    </row>
    <row r="701">
      <c r="A701" t="inlineStr">
        <is>
          <t>No</t>
        </is>
      </c>
      <c r="B701" t="inlineStr">
        <is>
          <t>HQ1229 .I395 2008</t>
        </is>
      </c>
      <c r="C701" t="inlineStr">
        <is>
          <t>0                      HQ 1229000I  395         2008</t>
        </is>
      </c>
      <c r="D701" t="inlineStr">
        <is>
          <t>If I'd known then : women in their 20s and 30s write letters to their younger selves / edited by Ellyn Spragins.</t>
        </is>
      </c>
      <c r="F701" t="inlineStr">
        <is>
          <t>No</t>
        </is>
      </c>
      <c r="G701" t="inlineStr">
        <is>
          <t>1</t>
        </is>
      </c>
      <c r="H701" t="inlineStr">
        <is>
          <t>No</t>
        </is>
      </c>
      <c r="I701" t="inlineStr">
        <is>
          <t>No</t>
        </is>
      </c>
      <c r="J701" t="inlineStr">
        <is>
          <t>0</t>
        </is>
      </c>
      <c r="L701" t="inlineStr">
        <is>
          <t>[Cambridge, Mass.?] : Da Capo Lifelong ; London : Perseus Running [distributor], c2008.</t>
        </is>
      </c>
      <c r="M701" t="inlineStr">
        <is>
          <t>2008</t>
        </is>
      </c>
      <c r="O701" t="inlineStr">
        <is>
          <t>eng</t>
        </is>
      </c>
      <c r="P701" t="inlineStr">
        <is>
          <t>mau</t>
        </is>
      </c>
      <c r="Q701" t="inlineStr">
        <is>
          <t>What I know now</t>
        </is>
      </c>
      <c r="R701" t="inlineStr">
        <is>
          <t xml:space="preserve">HQ </t>
        </is>
      </c>
      <c r="S701" t="n">
        <v>4</v>
      </c>
      <c r="T701" t="n">
        <v>4</v>
      </c>
      <c r="U701" t="inlineStr">
        <is>
          <t>2008-11-05</t>
        </is>
      </c>
      <c r="V701" t="inlineStr">
        <is>
          <t>2008-11-05</t>
        </is>
      </c>
      <c r="W701" t="inlineStr">
        <is>
          <t>2008-05-08</t>
        </is>
      </c>
      <c r="X701" t="inlineStr">
        <is>
          <t>2008-05-08</t>
        </is>
      </c>
      <c r="Y701" t="n">
        <v>290</v>
      </c>
      <c r="Z701" t="n">
        <v>271</v>
      </c>
      <c r="AA701" t="n">
        <v>676</v>
      </c>
      <c r="AB701" t="n">
        <v>1</v>
      </c>
      <c r="AC701" t="n">
        <v>5</v>
      </c>
      <c r="AD701" t="n">
        <v>3</v>
      </c>
      <c r="AE701" t="n">
        <v>21</v>
      </c>
      <c r="AF701" t="n">
        <v>1</v>
      </c>
      <c r="AG701" t="n">
        <v>7</v>
      </c>
      <c r="AH701" t="n">
        <v>1</v>
      </c>
      <c r="AI701" t="n">
        <v>5</v>
      </c>
      <c r="AJ701" t="n">
        <v>1</v>
      </c>
      <c r="AK701" t="n">
        <v>6</v>
      </c>
      <c r="AL701" t="n">
        <v>0</v>
      </c>
      <c r="AM701" t="n">
        <v>4</v>
      </c>
      <c r="AN701" t="n">
        <v>0</v>
      </c>
      <c r="AO701" t="n">
        <v>1</v>
      </c>
      <c r="AP701" t="inlineStr">
        <is>
          <t>No</t>
        </is>
      </c>
      <c r="AQ701" t="inlineStr">
        <is>
          <t>No</t>
        </is>
      </c>
      <c r="AS701">
        <f>HYPERLINK("https://creighton-primo.hosted.exlibrisgroup.com/primo-explore/search?tab=default_tab&amp;search_scope=EVERYTHING&amp;vid=01CRU&amp;lang=en_US&amp;offset=0&amp;query=any,contains,991005207889702656","Catalog Record")</f>
        <v/>
      </c>
      <c r="AT701">
        <f>HYPERLINK("http://www.worldcat.org/oclc/176895011","WorldCat Record")</f>
        <v/>
      </c>
      <c r="AU701" t="inlineStr">
        <is>
          <t>866681619:eng</t>
        </is>
      </c>
      <c r="AV701" t="inlineStr">
        <is>
          <t>176895011</t>
        </is>
      </c>
      <c r="AW701" t="inlineStr">
        <is>
          <t>991005207889702656</t>
        </is>
      </c>
      <c r="AX701" t="inlineStr">
        <is>
          <t>991005207889702656</t>
        </is>
      </c>
      <c r="AY701" t="inlineStr">
        <is>
          <t>2259444610002656</t>
        </is>
      </c>
      <c r="AZ701" t="inlineStr">
        <is>
          <t>BOOK</t>
        </is>
      </c>
      <c r="BB701" t="inlineStr">
        <is>
          <t>9780738211206</t>
        </is>
      </c>
      <c r="BC701" t="inlineStr">
        <is>
          <t>32285005406367</t>
        </is>
      </c>
      <c r="BD701" t="inlineStr">
        <is>
          <t>893520639</t>
        </is>
      </c>
    </row>
    <row r="702">
      <c r="A702" t="inlineStr">
        <is>
          <t>No</t>
        </is>
      </c>
      <c r="B702" t="inlineStr">
        <is>
          <t>HQ1229 .M73</t>
        </is>
      </c>
      <c r="C702" t="inlineStr">
        <is>
          <t>0                      HQ 1229000M  73</t>
        </is>
      </c>
      <c r="D702" t="inlineStr">
        <is>
          <t>Women, work, and family : dimensions of change in American society / Frank L. Mott, with Steven H. Sandell ... [et al.].</t>
        </is>
      </c>
      <c r="F702" t="inlineStr">
        <is>
          <t>No</t>
        </is>
      </c>
      <c r="G702" t="inlineStr">
        <is>
          <t>1</t>
        </is>
      </c>
      <c r="H702" t="inlineStr">
        <is>
          <t>No</t>
        </is>
      </c>
      <c r="I702" t="inlineStr">
        <is>
          <t>No</t>
        </is>
      </c>
      <c r="J702" t="inlineStr">
        <is>
          <t>0</t>
        </is>
      </c>
      <c r="K702" t="inlineStr">
        <is>
          <t>Mott, Frank.</t>
        </is>
      </c>
      <c r="L702" t="inlineStr">
        <is>
          <t>Lexington, Mass. : Lexington Books, c1978.</t>
        </is>
      </c>
      <c r="M702" t="inlineStr">
        <is>
          <t>1978</t>
        </is>
      </c>
      <c r="O702" t="inlineStr">
        <is>
          <t>eng</t>
        </is>
      </c>
      <c r="P702" t="inlineStr">
        <is>
          <t>mau</t>
        </is>
      </c>
      <c r="R702" t="inlineStr">
        <is>
          <t xml:space="preserve">HQ </t>
        </is>
      </c>
      <c r="S702" t="n">
        <v>3</v>
      </c>
      <c r="T702" t="n">
        <v>3</v>
      </c>
      <c r="U702" t="inlineStr">
        <is>
          <t>1994-03-28</t>
        </is>
      </c>
      <c r="V702" t="inlineStr">
        <is>
          <t>1994-03-28</t>
        </is>
      </c>
      <c r="W702" t="inlineStr">
        <is>
          <t>1990-07-05</t>
        </is>
      </c>
      <c r="X702" t="inlineStr">
        <is>
          <t>1990-07-05</t>
        </is>
      </c>
      <c r="Y702" t="n">
        <v>626</v>
      </c>
      <c r="Z702" t="n">
        <v>532</v>
      </c>
      <c r="AA702" t="n">
        <v>535</v>
      </c>
      <c r="AB702" t="n">
        <v>5</v>
      </c>
      <c r="AC702" t="n">
        <v>5</v>
      </c>
      <c r="AD702" t="n">
        <v>24</v>
      </c>
      <c r="AE702" t="n">
        <v>24</v>
      </c>
      <c r="AF702" t="n">
        <v>8</v>
      </c>
      <c r="AG702" t="n">
        <v>8</v>
      </c>
      <c r="AH702" t="n">
        <v>6</v>
      </c>
      <c r="AI702" t="n">
        <v>6</v>
      </c>
      <c r="AJ702" t="n">
        <v>14</v>
      </c>
      <c r="AK702" t="n">
        <v>14</v>
      </c>
      <c r="AL702" t="n">
        <v>3</v>
      </c>
      <c r="AM702" t="n">
        <v>3</v>
      </c>
      <c r="AN702" t="n">
        <v>0</v>
      </c>
      <c r="AO702" t="n">
        <v>0</v>
      </c>
      <c r="AP702" t="inlineStr">
        <is>
          <t>No</t>
        </is>
      </c>
      <c r="AQ702" t="inlineStr">
        <is>
          <t>Yes</t>
        </is>
      </c>
      <c r="AR702">
        <f>HYPERLINK("http://catalog.hathitrust.org/Record/000175499","HathiTrust Record")</f>
        <v/>
      </c>
      <c r="AS702">
        <f>HYPERLINK("https://creighton-primo.hosted.exlibrisgroup.com/primo-explore/search?tab=default_tab&amp;search_scope=EVERYTHING&amp;vid=01CRU&amp;lang=en_US&amp;offset=0&amp;query=any,contains,991004556119702656","Catalog Record")</f>
        <v/>
      </c>
      <c r="AT702">
        <f>HYPERLINK("http://www.worldcat.org/oclc/3966409","WorldCat Record")</f>
        <v/>
      </c>
      <c r="AU702" t="inlineStr">
        <is>
          <t>836632485:eng</t>
        </is>
      </c>
      <c r="AV702" t="inlineStr">
        <is>
          <t>3966409</t>
        </is>
      </c>
      <c r="AW702" t="inlineStr">
        <is>
          <t>991004556119702656</t>
        </is>
      </c>
      <c r="AX702" t="inlineStr">
        <is>
          <t>991004556119702656</t>
        </is>
      </c>
      <c r="AY702" t="inlineStr">
        <is>
          <t>2263843760002656</t>
        </is>
      </c>
      <c r="AZ702" t="inlineStr">
        <is>
          <t>BOOK</t>
        </is>
      </c>
      <c r="BB702" t="inlineStr">
        <is>
          <t>9780669020922</t>
        </is>
      </c>
      <c r="BC702" t="inlineStr">
        <is>
          <t>32285000221183</t>
        </is>
      </c>
      <c r="BD702" t="inlineStr">
        <is>
          <t>893411689</t>
        </is>
      </c>
    </row>
    <row r="703">
      <c r="A703" t="inlineStr">
        <is>
          <t>No</t>
        </is>
      </c>
      <c r="B703" t="inlineStr">
        <is>
          <t>HQ1233 .B76 1996</t>
        </is>
      </c>
      <c r="C703" t="inlineStr">
        <is>
          <t>0                      HQ 1233000B  76          1996</t>
        </is>
      </c>
      <c r="D703" t="inlineStr">
        <is>
          <t>A woman's book of life : the biology, psychology, and spirituality of the feminine life cycle / Joan Borysenko.</t>
        </is>
      </c>
      <c r="F703" t="inlineStr">
        <is>
          <t>No</t>
        </is>
      </c>
      <c r="G703" t="inlineStr">
        <is>
          <t>1</t>
        </is>
      </c>
      <c r="H703" t="inlineStr">
        <is>
          <t>No</t>
        </is>
      </c>
      <c r="I703" t="inlineStr">
        <is>
          <t>No</t>
        </is>
      </c>
      <c r="J703" t="inlineStr">
        <is>
          <t>0</t>
        </is>
      </c>
      <c r="K703" t="inlineStr">
        <is>
          <t>Borysenko, Joan.</t>
        </is>
      </c>
      <c r="L703" t="inlineStr">
        <is>
          <t>New York : Riverhead Books, 1996.</t>
        </is>
      </c>
      <c r="M703" t="inlineStr">
        <is>
          <t>1996</t>
        </is>
      </c>
      <c r="O703" t="inlineStr">
        <is>
          <t>eng</t>
        </is>
      </c>
      <c r="P703" t="inlineStr">
        <is>
          <t>nyu</t>
        </is>
      </c>
      <c r="R703" t="inlineStr">
        <is>
          <t xml:space="preserve">HQ </t>
        </is>
      </c>
      <c r="S703" t="n">
        <v>2</v>
      </c>
      <c r="T703" t="n">
        <v>2</v>
      </c>
      <c r="U703" t="inlineStr">
        <is>
          <t>2000-06-19</t>
        </is>
      </c>
      <c r="V703" t="inlineStr">
        <is>
          <t>2000-06-19</t>
        </is>
      </c>
      <c r="W703" t="inlineStr">
        <is>
          <t>1997-03-20</t>
        </is>
      </c>
      <c r="X703" t="inlineStr">
        <is>
          <t>1997-03-20</t>
        </is>
      </c>
      <c r="Y703" t="n">
        <v>894</v>
      </c>
      <c r="Z703" t="n">
        <v>850</v>
      </c>
      <c r="AA703" t="n">
        <v>945</v>
      </c>
      <c r="AB703" t="n">
        <v>4</v>
      </c>
      <c r="AC703" t="n">
        <v>4</v>
      </c>
      <c r="AD703" t="n">
        <v>16</v>
      </c>
      <c r="AE703" t="n">
        <v>17</v>
      </c>
      <c r="AF703" t="n">
        <v>6</v>
      </c>
      <c r="AG703" t="n">
        <v>7</v>
      </c>
      <c r="AH703" t="n">
        <v>3</v>
      </c>
      <c r="AI703" t="n">
        <v>3</v>
      </c>
      <c r="AJ703" t="n">
        <v>9</v>
      </c>
      <c r="AK703" t="n">
        <v>9</v>
      </c>
      <c r="AL703" t="n">
        <v>2</v>
      </c>
      <c r="AM703" t="n">
        <v>2</v>
      </c>
      <c r="AN703" t="n">
        <v>0</v>
      </c>
      <c r="AO703" t="n">
        <v>0</v>
      </c>
      <c r="AP703" t="inlineStr">
        <is>
          <t>No</t>
        </is>
      </c>
      <c r="AQ703" t="inlineStr">
        <is>
          <t>Yes</t>
        </is>
      </c>
      <c r="AR703">
        <f>HYPERLINK("http://catalog.hathitrust.org/Record/007133129","HathiTrust Record")</f>
        <v/>
      </c>
      <c r="AS703">
        <f>HYPERLINK("https://creighton-primo.hosted.exlibrisgroup.com/primo-explore/search?tab=default_tab&amp;search_scope=EVERYTHING&amp;vid=01CRU&amp;lang=en_US&amp;offset=0&amp;query=any,contains,991002707069702656","Catalog Record")</f>
        <v/>
      </c>
      <c r="AT703">
        <f>HYPERLINK("http://www.worldcat.org/oclc/35360650","WorldCat Record")</f>
        <v/>
      </c>
      <c r="AU703" t="inlineStr">
        <is>
          <t>685602:eng</t>
        </is>
      </c>
      <c r="AV703" t="inlineStr">
        <is>
          <t>35360650</t>
        </is>
      </c>
      <c r="AW703" t="inlineStr">
        <is>
          <t>991002707069702656</t>
        </is>
      </c>
      <c r="AX703" t="inlineStr">
        <is>
          <t>991002707069702656</t>
        </is>
      </c>
      <c r="AY703" t="inlineStr">
        <is>
          <t>2266747130002656</t>
        </is>
      </c>
      <c r="AZ703" t="inlineStr">
        <is>
          <t>BOOK</t>
        </is>
      </c>
      <c r="BB703" t="inlineStr">
        <is>
          <t>9781573220439</t>
        </is>
      </c>
      <c r="BC703" t="inlineStr">
        <is>
          <t>32285002475043</t>
        </is>
      </c>
      <c r="BD703" t="inlineStr">
        <is>
          <t>893610180</t>
        </is>
      </c>
    </row>
    <row r="704">
      <c r="A704" t="inlineStr">
        <is>
          <t>No</t>
        </is>
      </c>
      <c r="B704" t="inlineStr">
        <is>
          <t>HQ1233 .E25 1993</t>
        </is>
      </c>
      <c r="C704" t="inlineStr">
        <is>
          <t>0                      HQ 1233000E  25          1993</t>
        </is>
      </c>
      <c r="D704" t="inlineStr">
        <is>
          <t>Ecofeminism and the sacred / edited by Carol J. Adams.</t>
        </is>
      </c>
      <c r="F704" t="inlineStr">
        <is>
          <t>No</t>
        </is>
      </c>
      <c r="G704" t="inlineStr">
        <is>
          <t>1</t>
        </is>
      </c>
      <c r="H704" t="inlineStr">
        <is>
          <t>No</t>
        </is>
      </c>
      <c r="I704" t="inlineStr">
        <is>
          <t>No</t>
        </is>
      </c>
      <c r="J704" t="inlineStr">
        <is>
          <t>0</t>
        </is>
      </c>
      <c r="L704" t="inlineStr">
        <is>
          <t>New York : Continuum, 1993.</t>
        </is>
      </c>
      <c r="M704" t="inlineStr">
        <is>
          <t>1993</t>
        </is>
      </c>
      <c r="O704" t="inlineStr">
        <is>
          <t>eng</t>
        </is>
      </c>
      <c r="P704" t="inlineStr">
        <is>
          <t>nyu</t>
        </is>
      </c>
      <c r="R704" t="inlineStr">
        <is>
          <t xml:space="preserve">HQ </t>
        </is>
      </c>
      <c r="S704" t="n">
        <v>30</v>
      </c>
      <c r="T704" t="n">
        <v>30</v>
      </c>
      <c r="U704" t="inlineStr">
        <is>
          <t>2010-09-20</t>
        </is>
      </c>
      <c r="V704" t="inlineStr">
        <is>
          <t>2010-09-20</t>
        </is>
      </c>
      <c r="W704" t="inlineStr">
        <is>
          <t>1994-11-13</t>
        </is>
      </c>
      <c r="X704" t="inlineStr">
        <is>
          <t>1994-11-13</t>
        </is>
      </c>
      <c r="Y704" t="n">
        <v>696</v>
      </c>
      <c r="Z704" t="n">
        <v>586</v>
      </c>
      <c r="AA704" t="n">
        <v>596</v>
      </c>
      <c r="AB704" t="n">
        <v>3</v>
      </c>
      <c r="AC704" t="n">
        <v>3</v>
      </c>
      <c r="AD704" t="n">
        <v>32</v>
      </c>
      <c r="AE704" t="n">
        <v>33</v>
      </c>
      <c r="AF704" t="n">
        <v>13</v>
      </c>
      <c r="AG704" t="n">
        <v>14</v>
      </c>
      <c r="AH704" t="n">
        <v>9</v>
      </c>
      <c r="AI704" t="n">
        <v>9</v>
      </c>
      <c r="AJ704" t="n">
        <v>18</v>
      </c>
      <c r="AK704" t="n">
        <v>19</v>
      </c>
      <c r="AL704" t="n">
        <v>2</v>
      </c>
      <c r="AM704" t="n">
        <v>2</v>
      </c>
      <c r="AN704" t="n">
        <v>0</v>
      </c>
      <c r="AO704" t="n">
        <v>0</v>
      </c>
      <c r="AP704" t="inlineStr">
        <is>
          <t>No</t>
        </is>
      </c>
      <c r="AQ704" t="inlineStr">
        <is>
          <t>Yes</t>
        </is>
      </c>
      <c r="AR704">
        <f>HYPERLINK("http://catalog.hathitrust.org/Record/007111069","HathiTrust Record")</f>
        <v/>
      </c>
      <c r="AS704">
        <f>HYPERLINK("https://creighton-primo.hosted.exlibrisgroup.com/primo-explore/search?tab=default_tab&amp;search_scope=EVERYTHING&amp;vid=01CRU&amp;lang=en_US&amp;offset=0&amp;query=any,contains,991002087889702656","Catalog Record")</f>
        <v/>
      </c>
      <c r="AT704">
        <f>HYPERLINK("http://www.worldcat.org/oclc/26800102","WorldCat Record")</f>
        <v/>
      </c>
      <c r="AU704" t="inlineStr">
        <is>
          <t>55633611:eng</t>
        </is>
      </c>
      <c r="AV704" t="inlineStr">
        <is>
          <t>26800102</t>
        </is>
      </c>
      <c r="AW704" t="inlineStr">
        <is>
          <t>991002087889702656</t>
        </is>
      </c>
      <c r="AX704" t="inlineStr">
        <is>
          <t>991002087889702656</t>
        </is>
      </c>
      <c r="AY704" t="inlineStr">
        <is>
          <t>2260018180002656</t>
        </is>
      </c>
      <c r="AZ704" t="inlineStr">
        <is>
          <t>BOOK</t>
        </is>
      </c>
      <c r="BB704" t="inlineStr">
        <is>
          <t>9780824512323</t>
        </is>
      </c>
      <c r="BC704" t="inlineStr">
        <is>
          <t>32285001957207</t>
        </is>
      </c>
      <c r="BD704" t="inlineStr">
        <is>
          <t>893238625</t>
        </is>
      </c>
    </row>
    <row r="705">
      <c r="A705" t="inlineStr">
        <is>
          <t>No</t>
        </is>
      </c>
      <c r="B705" t="inlineStr">
        <is>
          <t>HQ1233 .F48 1996</t>
        </is>
      </c>
      <c r="C705" t="inlineStr">
        <is>
          <t>0                      HQ 1233000F  48          1996</t>
        </is>
      </c>
      <c r="D705" t="inlineStr">
        <is>
          <t>Feminist political ecology : global issues and local experiences / edited by Dianne Rocheleau, Barbara Thomas-Slayter, and Esther Wangari.</t>
        </is>
      </c>
      <c r="F705" t="inlineStr">
        <is>
          <t>No</t>
        </is>
      </c>
      <c r="G705" t="inlineStr">
        <is>
          <t>1</t>
        </is>
      </c>
      <c r="H705" t="inlineStr">
        <is>
          <t>No</t>
        </is>
      </c>
      <c r="I705" t="inlineStr">
        <is>
          <t>No</t>
        </is>
      </c>
      <c r="J705" t="inlineStr">
        <is>
          <t>0</t>
        </is>
      </c>
      <c r="L705" t="inlineStr">
        <is>
          <t>London ; New York : Routledge, 1996.</t>
        </is>
      </c>
      <c r="M705" t="inlineStr">
        <is>
          <t>1996</t>
        </is>
      </c>
      <c r="O705" t="inlineStr">
        <is>
          <t>eng</t>
        </is>
      </c>
      <c r="P705" t="inlineStr">
        <is>
          <t>enk</t>
        </is>
      </c>
      <c r="Q705" t="inlineStr">
        <is>
          <t>International studies of women and place</t>
        </is>
      </c>
      <c r="R705" t="inlineStr">
        <is>
          <t xml:space="preserve">HQ </t>
        </is>
      </c>
      <c r="S705" t="n">
        <v>11</v>
      </c>
      <c r="T705" t="n">
        <v>11</v>
      </c>
      <c r="U705" t="inlineStr">
        <is>
          <t>2003-12-19</t>
        </is>
      </c>
      <c r="V705" t="inlineStr">
        <is>
          <t>2003-12-19</t>
        </is>
      </c>
      <c r="W705" t="inlineStr">
        <is>
          <t>1999-11-16</t>
        </is>
      </c>
      <c r="X705" t="inlineStr">
        <is>
          <t>1999-11-16</t>
        </is>
      </c>
      <c r="Y705" t="n">
        <v>428</v>
      </c>
      <c r="Z705" t="n">
        <v>282</v>
      </c>
      <c r="AA705" t="n">
        <v>304</v>
      </c>
      <c r="AB705" t="n">
        <v>3</v>
      </c>
      <c r="AC705" t="n">
        <v>3</v>
      </c>
      <c r="AD705" t="n">
        <v>16</v>
      </c>
      <c r="AE705" t="n">
        <v>16</v>
      </c>
      <c r="AF705" t="n">
        <v>5</v>
      </c>
      <c r="AG705" t="n">
        <v>5</v>
      </c>
      <c r="AH705" t="n">
        <v>5</v>
      </c>
      <c r="AI705" t="n">
        <v>5</v>
      </c>
      <c r="AJ705" t="n">
        <v>7</v>
      </c>
      <c r="AK705" t="n">
        <v>7</v>
      </c>
      <c r="AL705" t="n">
        <v>2</v>
      </c>
      <c r="AM705" t="n">
        <v>2</v>
      </c>
      <c r="AN705" t="n">
        <v>1</v>
      </c>
      <c r="AO705" t="n">
        <v>1</v>
      </c>
      <c r="AP705" t="inlineStr">
        <is>
          <t>No</t>
        </is>
      </c>
      <c r="AQ705" t="inlineStr">
        <is>
          <t>No</t>
        </is>
      </c>
      <c r="AS705">
        <f>HYPERLINK("https://creighton-primo.hosted.exlibrisgroup.com/primo-explore/search?tab=default_tab&amp;search_scope=EVERYTHING&amp;vid=01CRU&amp;lang=en_US&amp;offset=0&amp;query=any,contains,991002600899702656","Catalog Record")</f>
        <v/>
      </c>
      <c r="AT705">
        <f>HYPERLINK("http://www.worldcat.org/oclc/34077205","WorldCat Record")</f>
        <v/>
      </c>
      <c r="AU705" t="inlineStr">
        <is>
          <t>793081932:eng</t>
        </is>
      </c>
      <c r="AV705" t="inlineStr">
        <is>
          <t>34077205</t>
        </is>
      </c>
      <c r="AW705" t="inlineStr">
        <is>
          <t>991002600899702656</t>
        </is>
      </c>
      <c r="AX705" t="inlineStr">
        <is>
          <t>991002600899702656</t>
        </is>
      </c>
      <c r="AY705" t="inlineStr">
        <is>
          <t>2271953590002656</t>
        </is>
      </c>
      <c r="AZ705" t="inlineStr">
        <is>
          <t>BOOK</t>
        </is>
      </c>
      <c r="BB705" t="inlineStr">
        <is>
          <t>9780415120265</t>
        </is>
      </c>
      <c r="BC705" t="inlineStr">
        <is>
          <t>32285003623369</t>
        </is>
      </c>
      <c r="BD705" t="inlineStr">
        <is>
          <t>893867440</t>
        </is>
      </c>
    </row>
    <row r="706">
      <c r="A706" t="inlineStr">
        <is>
          <t>No</t>
        </is>
      </c>
      <c r="B706" t="inlineStr">
        <is>
          <t>HQ1233 .G453 1997</t>
        </is>
      </c>
      <c r="C706" t="inlineStr">
        <is>
          <t>0                      HQ 1233000G  453         1997</t>
        </is>
      </c>
      <c r="D706" t="inlineStr">
        <is>
          <t>Gender and catastrophe / edited by Ronit Lentin.</t>
        </is>
      </c>
      <c r="F706" t="inlineStr">
        <is>
          <t>No</t>
        </is>
      </c>
      <c r="G706" t="inlineStr">
        <is>
          <t>1</t>
        </is>
      </c>
      <c r="H706" t="inlineStr">
        <is>
          <t>No</t>
        </is>
      </c>
      <c r="I706" t="inlineStr">
        <is>
          <t>No</t>
        </is>
      </c>
      <c r="J706" t="inlineStr">
        <is>
          <t>0</t>
        </is>
      </c>
      <c r="L706" t="inlineStr">
        <is>
          <t>London ; New York : Zed Books, 1997.</t>
        </is>
      </c>
      <c r="M706" t="inlineStr">
        <is>
          <t>1997</t>
        </is>
      </c>
      <c r="O706" t="inlineStr">
        <is>
          <t>eng</t>
        </is>
      </c>
      <c r="P706" t="inlineStr">
        <is>
          <t>enk</t>
        </is>
      </c>
      <c r="R706" t="inlineStr">
        <is>
          <t xml:space="preserve">HQ </t>
        </is>
      </c>
      <c r="S706" t="n">
        <v>4</v>
      </c>
      <c r="T706" t="n">
        <v>4</v>
      </c>
      <c r="U706" t="inlineStr">
        <is>
          <t>2003-03-29</t>
        </is>
      </c>
      <c r="V706" t="inlineStr">
        <is>
          <t>2003-03-29</t>
        </is>
      </c>
      <c r="W706" t="inlineStr">
        <is>
          <t>1998-03-26</t>
        </is>
      </c>
      <c r="X706" t="inlineStr">
        <is>
          <t>1998-03-26</t>
        </is>
      </c>
      <c r="Y706" t="n">
        <v>330</v>
      </c>
      <c r="Z706" t="n">
        <v>211</v>
      </c>
      <c r="AA706" t="n">
        <v>218</v>
      </c>
      <c r="AB706" t="n">
        <v>2</v>
      </c>
      <c r="AC706" t="n">
        <v>2</v>
      </c>
      <c r="AD706" t="n">
        <v>13</v>
      </c>
      <c r="AE706" t="n">
        <v>13</v>
      </c>
      <c r="AF706" t="n">
        <v>1</v>
      </c>
      <c r="AG706" t="n">
        <v>1</v>
      </c>
      <c r="AH706" t="n">
        <v>6</v>
      </c>
      <c r="AI706" t="n">
        <v>6</v>
      </c>
      <c r="AJ706" t="n">
        <v>7</v>
      </c>
      <c r="AK706" t="n">
        <v>7</v>
      </c>
      <c r="AL706" t="n">
        <v>1</v>
      </c>
      <c r="AM706" t="n">
        <v>1</v>
      </c>
      <c r="AN706" t="n">
        <v>1</v>
      </c>
      <c r="AO706" t="n">
        <v>1</v>
      </c>
      <c r="AP706" t="inlineStr">
        <is>
          <t>No</t>
        </is>
      </c>
      <c r="AQ706" t="inlineStr">
        <is>
          <t>Yes</t>
        </is>
      </c>
      <c r="AR706">
        <f>HYPERLINK("http://catalog.hathitrust.org/Record/003242491","HathiTrust Record")</f>
        <v/>
      </c>
      <c r="AS706">
        <f>HYPERLINK("https://creighton-primo.hosted.exlibrisgroup.com/primo-explore/search?tab=default_tab&amp;search_scope=EVERYTHING&amp;vid=01CRU&amp;lang=en_US&amp;offset=0&amp;query=any,contains,991002902829702656","Catalog Record")</f>
        <v/>
      </c>
      <c r="AT706">
        <f>HYPERLINK("http://www.worldcat.org/oclc/38284413","WorldCat Record")</f>
        <v/>
      </c>
      <c r="AU706" t="inlineStr">
        <is>
          <t>693737:eng</t>
        </is>
      </c>
      <c r="AV706" t="inlineStr">
        <is>
          <t>38284413</t>
        </is>
      </c>
      <c r="AW706" t="inlineStr">
        <is>
          <t>991002902829702656</t>
        </is>
      </c>
      <c r="AX706" t="inlineStr">
        <is>
          <t>991002902829702656</t>
        </is>
      </c>
      <c r="AY706" t="inlineStr">
        <is>
          <t>2256671160002656</t>
        </is>
      </c>
      <c r="AZ706" t="inlineStr">
        <is>
          <t>BOOK</t>
        </is>
      </c>
      <c r="BB706" t="inlineStr">
        <is>
          <t>9781856494458</t>
        </is>
      </c>
      <c r="BC706" t="inlineStr">
        <is>
          <t>32285003381075</t>
        </is>
      </c>
      <c r="BD706" t="inlineStr">
        <is>
          <t>893511333</t>
        </is>
      </c>
    </row>
    <row r="707">
      <c r="A707" t="inlineStr">
        <is>
          <t>No</t>
        </is>
      </c>
      <c r="B707" t="inlineStr">
        <is>
          <t>HQ1233 .M46 1996</t>
        </is>
      </c>
      <c r="C707" t="inlineStr">
        <is>
          <t>0                      HQ 1233000M  46          1996</t>
        </is>
      </c>
      <c r="D707" t="inlineStr">
        <is>
          <t>Earthcare : women and the environment / Carolyn Merchant.</t>
        </is>
      </c>
      <c r="F707" t="inlineStr">
        <is>
          <t>No</t>
        </is>
      </c>
      <c r="G707" t="inlineStr">
        <is>
          <t>1</t>
        </is>
      </c>
      <c r="H707" t="inlineStr">
        <is>
          <t>No</t>
        </is>
      </c>
      <c r="I707" t="inlineStr">
        <is>
          <t>No</t>
        </is>
      </c>
      <c r="J707" t="inlineStr">
        <is>
          <t>0</t>
        </is>
      </c>
      <c r="K707" t="inlineStr">
        <is>
          <t>Merchant, Carolyn.</t>
        </is>
      </c>
      <c r="L707" t="inlineStr">
        <is>
          <t>New York : Routledge, 1996.</t>
        </is>
      </c>
      <c r="M707" t="inlineStr">
        <is>
          <t>1996</t>
        </is>
      </c>
      <c r="O707" t="inlineStr">
        <is>
          <t>eng</t>
        </is>
      </c>
      <c r="P707" t="inlineStr">
        <is>
          <t>nyu</t>
        </is>
      </c>
      <c r="R707" t="inlineStr">
        <is>
          <t xml:space="preserve">HQ </t>
        </is>
      </c>
      <c r="S707" t="n">
        <v>19</v>
      </c>
      <c r="T707" t="n">
        <v>19</v>
      </c>
      <c r="U707" t="inlineStr">
        <is>
          <t>2010-04-14</t>
        </is>
      </c>
      <c r="V707" t="inlineStr">
        <is>
          <t>2010-04-14</t>
        </is>
      </c>
      <c r="W707" t="inlineStr">
        <is>
          <t>1999-03-23</t>
        </is>
      </c>
      <c r="X707" t="inlineStr">
        <is>
          <t>1999-03-23</t>
        </is>
      </c>
      <c r="Y707" t="n">
        <v>615</v>
      </c>
      <c r="Z707" t="n">
        <v>475</v>
      </c>
      <c r="AA707" t="n">
        <v>507</v>
      </c>
      <c r="AB707" t="n">
        <v>4</v>
      </c>
      <c r="AC707" t="n">
        <v>4</v>
      </c>
      <c r="AD707" t="n">
        <v>32</v>
      </c>
      <c r="AE707" t="n">
        <v>32</v>
      </c>
      <c r="AF707" t="n">
        <v>16</v>
      </c>
      <c r="AG707" t="n">
        <v>16</v>
      </c>
      <c r="AH707" t="n">
        <v>8</v>
      </c>
      <c r="AI707" t="n">
        <v>8</v>
      </c>
      <c r="AJ707" t="n">
        <v>13</v>
      </c>
      <c r="AK707" t="n">
        <v>13</v>
      </c>
      <c r="AL707" t="n">
        <v>3</v>
      </c>
      <c r="AM707" t="n">
        <v>3</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HYPERLINK("https://creighton-primo.hosted.exlibrisgroup.com/primo-explore/search?tab=default_tab&amp;search_scope=EVERYTHING&amp;vid=01CRU&amp;lang=en_US&amp;offset=0&amp;query=any,contains,991002484139702656","Catalog Record")</f>
        <v/>
      </c>
      <c r="AT707">
        <f>HYPERLINK("http://www.worldcat.org/oclc/32346688","WorldCat Record")</f>
        <v/>
      </c>
      <c r="AU707" t="inlineStr">
        <is>
          <t>37071202:eng</t>
        </is>
      </c>
      <c r="AV707" t="inlineStr">
        <is>
          <t>32346688</t>
        </is>
      </c>
      <c r="AW707" t="inlineStr">
        <is>
          <t>991002484139702656</t>
        </is>
      </c>
      <c r="AX707" t="inlineStr">
        <is>
          <t>991002484139702656</t>
        </is>
      </c>
      <c r="AY707" t="inlineStr">
        <is>
          <t>2260554490002656</t>
        </is>
      </c>
      <c r="AZ707" t="inlineStr">
        <is>
          <t>BOOK</t>
        </is>
      </c>
      <c r="BB707" t="inlineStr">
        <is>
          <t>9780415908870</t>
        </is>
      </c>
      <c r="BC707" t="inlineStr">
        <is>
          <t>32285003534764</t>
        </is>
      </c>
      <c r="BD707" t="inlineStr">
        <is>
          <t>893427641</t>
        </is>
      </c>
    </row>
    <row r="708">
      <c r="A708" t="inlineStr">
        <is>
          <t>No</t>
        </is>
      </c>
      <c r="B708" t="inlineStr">
        <is>
          <t>HQ1233 .M54 1986</t>
        </is>
      </c>
      <c r="C708" t="inlineStr">
        <is>
          <t>0                      HQ 1233000M  54          1986</t>
        </is>
      </c>
      <c r="D708" t="inlineStr">
        <is>
          <t>Women and power / Rosalind Miles.</t>
        </is>
      </c>
      <c r="F708" t="inlineStr">
        <is>
          <t>No</t>
        </is>
      </c>
      <c r="G708" t="inlineStr">
        <is>
          <t>1</t>
        </is>
      </c>
      <c r="H708" t="inlineStr">
        <is>
          <t>No</t>
        </is>
      </c>
      <c r="I708" t="inlineStr">
        <is>
          <t>No</t>
        </is>
      </c>
      <c r="J708" t="inlineStr">
        <is>
          <t>0</t>
        </is>
      </c>
      <c r="K708" t="inlineStr">
        <is>
          <t>Miles, Rosalind.</t>
        </is>
      </c>
      <c r="L708" t="inlineStr">
        <is>
          <t>London : Futura, 1986, c1985.</t>
        </is>
      </c>
      <c r="M708" t="inlineStr">
        <is>
          <t>1986</t>
        </is>
      </c>
      <c r="O708" t="inlineStr">
        <is>
          <t>eng</t>
        </is>
      </c>
      <c r="P708" t="inlineStr">
        <is>
          <t>enk</t>
        </is>
      </c>
      <c r="R708" t="inlineStr">
        <is>
          <t xml:space="preserve">HQ </t>
        </is>
      </c>
      <c r="S708" t="n">
        <v>7</v>
      </c>
      <c r="T708" t="n">
        <v>7</v>
      </c>
      <c r="U708" t="inlineStr">
        <is>
          <t>2002-02-20</t>
        </is>
      </c>
      <c r="V708" t="inlineStr">
        <is>
          <t>2002-02-20</t>
        </is>
      </c>
      <c r="W708" t="inlineStr">
        <is>
          <t>1990-04-26</t>
        </is>
      </c>
      <c r="X708" t="inlineStr">
        <is>
          <t>1990-04-26</t>
        </is>
      </c>
      <c r="Y708" t="n">
        <v>26</v>
      </c>
      <c r="Z708" t="n">
        <v>6</v>
      </c>
      <c r="AA708" t="n">
        <v>159</v>
      </c>
      <c r="AB708" t="n">
        <v>1</v>
      </c>
      <c r="AC708" t="n">
        <v>2</v>
      </c>
      <c r="AD708" t="n">
        <v>0</v>
      </c>
      <c r="AE708" t="n">
        <v>1</v>
      </c>
      <c r="AF708" t="n">
        <v>0</v>
      </c>
      <c r="AG708" t="n">
        <v>0</v>
      </c>
      <c r="AH708" t="n">
        <v>0</v>
      </c>
      <c r="AI708" t="n">
        <v>0</v>
      </c>
      <c r="AJ708" t="n">
        <v>0</v>
      </c>
      <c r="AK708" t="n">
        <v>0</v>
      </c>
      <c r="AL708" t="n">
        <v>0</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HYPERLINK("https://creighton-primo.hosted.exlibrisgroup.com/primo-explore/search?tab=default_tab&amp;search_scope=EVERYTHING&amp;vid=01CRU&amp;lang=en_US&amp;offset=0&amp;query=any,contains,991000966169702656","Catalog Record")</f>
        <v/>
      </c>
      <c r="AT708">
        <f>HYPERLINK("http://www.worldcat.org/oclc/14910789","WorldCat Record")</f>
        <v/>
      </c>
      <c r="AU708" t="inlineStr">
        <is>
          <t>4852796:eng</t>
        </is>
      </c>
      <c r="AV708" t="inlineStr">
        <is>
          <t>14910789</t>
        </is>
      </c>
      <c r="AW708" t="inlineStr">
        <is>
          <t>991000966169702656</t>
        </is>
      </c>
      <c r="AX708" t="inlineStr">
        <is>
          <t>991000966169702656</t>
        </is>
      </c>
      <c r="AY708" t="inlineStr">
        <is>
          <t>2262375330002656</t>
        </is>
      </c>
      <c r="AZ708" t="inlineStr">
        <is>
          <t>BOOK</t>
        </is>
      </c>
      <c r="BB708" t="inlineStr">
        <is>
          <t>9780708830376</t>
        </is>
      </c>
      <c r="BC708" t="inlineStr">
        <is>
          <t>32285000126440</t>
        </is>
      </c>
      <c r="BD708" t="inlineStr">
        <is>
          <t>893426212</t>
        </is>
      </c>
    </row>
    <row r="709">
      <c r="A709" t="inlineStr">
        <is>
          <t>No</t>
        </is>
      </c>
      <c r="B709" t="inlineStr">
        <is>
          <t>HQ1233 .P74 1991</t>
        </is>
      </c>
      <c r="C709" t="inlineStr">
        <is>
          <t>0                      HQ 1233000P  74          1991</t>
        </is>
      </c>
      <c r="D709" t="inlineStr">
        <is>
          <t>Women watching television : gender, class, and generation in the American television experience / Andrea L. Press.</t>
        </is>
      </c>
      <c r="F709" t="inlineStr">
        <is>
          <t>No</t>
        </is>
      </c>
      <c r="G709" t="inlineStr">
        <is>
          <t>1</t>
        </is>
      </c>
      <c r="H709" t="inlineStr">
        <is>
          <t>No</t>
        </is>
      </c>
      <c r="I709" t="inlineStr">
        <is>
          <t>No</t>
        </is>
      </c>
      <c r="J709" t="inlineStr">
        <is>
          <t>0</t>
        </is>
      </c>
      <c r="K709" t="inlineStr">
        <is>
          <t>Press, Andrea Lee.</t>
        </is>
      </c>
      <c r="L709" t="inlineStr">
        <is>
          <t>Philadelphia : University of Pennsylvania Press, c1991.</t>
        </is>
      </c>
      <c r="M709" t="inlineStr">
        <is>
          <t>1991</t>
        </is>
      </c>
      <c r="O709" t="inlineStr">
        <is>
          <t>eng</t>
        </is>
      </c>
      <c r="P709" t="inlineStr">
        <is>
          <t>pau</t>
        </is>
      </c>
      <c r="R709" t="inlineStr">
        <is>
          <t xml:space="preserve">HQ </t>
        </is>
      </c>
      <c r="S709" t="n">
        <v>14</v>
      </c>
      <c r="T709" t="n">
        <v>14</v>
      </c>
      <c r="U709" t="inlineStr">
        <is>
          <t>2005-04-21</t>
        </is>
      </c>
      <c r="V709" t="inlineStr">
        <is>
          <t>2005-04-21</t>
        </is>
      </c>
      <c r="W709" t="inlineStr">
        <is>
          <t>1991-11-07</t>
        </is>
      </c>
      <c r="X709" t="inlineStr">
        <is>
          <t>1991-11-07</t>
        </is>
      </c>
      <c r="Y709" t="n">
        <v>847</v>
      </c>
      <c r="Z709" t="n">
        <v>694</v>
      </c>
      <c r="AA709" t="n">
        <v>811</v>
      </c>
      <c r="AB709" t="n">
        <v>6</v>
      </c>
      <c r="AC709" t="n">
        <v>6</v>
      </c>
      <c r="AD709" t="n">
        <v>39</v>
      </c>
      <c r="AE709" t="n">
        <v>42</v>
      </c>
      <c r="AF709" t="n">
        <v>16</v>
      </c>
      <c r="AG709" t="n">
        <v>18</v>
      </c>
      <c r="AH709" t="n">
        <v>9</v>
      </c>
      <c r="AI709" t="n">
        <v>10</v>
      </c>
      <c r="AJ709" t="n">
        <v>19</v>
      </c>
      <c r="AK709" t="n">
        <v>21</v>
      </c>
      <c r="AL709" t="n">
        <v>5</v>
      </c>
      <c r="AM709" t="n">
        <v>5</v>
      </c>
      <c r="AN709" t="n">
        <v>0</v>
      </c>
      <c r="AO709" t="n">
        <v>0</v>
      </c>
      <c r="AP709" t="inlineStr">
        <is>
          <t>No</t>
        </is>
      </c>
      <c r="AQ709" t="inlineStr">
        <is>
          <t>Yes</t>
        </is>
      </c>
      <c r="AR709">
        <f>HYPERLINK("http://catalog.hathitrust.org/Record/002455187","HathiTrust Record")</f>
        <v/>
      </c>
      <c r="AS709">
        <f>HYPERLINK("https://creighton-primo.hosted.exlibrisgroup.com/primo-explore/search?tab=default_tab&amp;search_scope=EVERYTHING&amp;vid=01CRU&amp;lang=en_US&amp;offset=0&amp;query=any,contains,991001798169702656","Catalog Record")</f>
        <v/>
      </c>
      <c r="AT709">
        <f>HYPERLINK("http://www.worldcat.org/oclc/22625227","WorldCat Record")</f>
        <v/>
      </c>
      <c r="AU709" t="inlineStr">
        <is>
          <t>1010292:eng</t>
        </is>
      </c>
      <c r="AV709" t="inlineStr">
        <is>
          <t>22625227</t>
        </is>
      </c>
      <c r="AW709" t="inlineStr">
        <is>
          <t>991001798169702656</t>
        </is>
      </c>
      <c r="AX709" t="inlineStr">
        <is>
          <t>991001798169702656</t>
        </is>
      </c>
      <c r="AY709" t="inlineStr">
        <is>
          <t>2272682310002656</t>
        </is>
      </c>
      <c r="AZ709" t="inlineStr">
        <is>
          <t>BOOK</t>
        </is>
      </c>
      <c r="BB709" t="inlineStr">
        <is>
          <t>9780812281699</t>
        </is>
      </c>
      <c r="BC709" t="inlineStr">
        <is>
          <t>32285000815091</t>
        </is>
      </c>
      <c r="BD709" t="inlineStr">
        <is>
          <t>893503708</t>
        </is>
      </c>
    </row>
    <row r="710">
      <c r="A710" t="inlineStr">
        <is>
          <t>No</t>
        </is>
      </c>
      <c r="B710" t="inlineStr">
        <is>
          <t>HQ1233 .P75 1991</t>
        </is>
      </c>
      <c r="C710" t="inlineStr">
        <is>
          <t>0                      HQ 1233000P  75          1991</t>
        </is>
      </c>
      <c r="D710" t="inlineStr">
        <is>
          <t>From apocalypse to Genesis : ecology, feminism, and Christianity / Anne Primavesi.</t>
        </is>
      </c>
      <c r="F710" t="inlineStr">
        <is>
          <t>No</t>
        </is>
      </c>
      <c r="G710" t="inlineStr">
        <is>
          <t>1</t>
        </is>
      </c>
      <c r="H710" t="inlineStr">
        <is>
          <t>No</t>
        </is>
      </c>
      <c r="I710" t="inlineStr">
        <is>
          <t>No</t>
        </is>
      </c>
      <c r="J710" t="inlineStr">
        <is>
          <t>0</t>
        </is>
      </c>
      <c r="K710" t="inlineStr">
        <is>
          <t>Primavesi, Anne, 1934-</t>
        </is>
      </c>
      <c r="L710" t="inlineStr">
        <is>
          <t>Minneapolis : Fortress Press, 1991.</t>
        </is>
      </c>
      <c r="M710" t="inlineStr">
        <is>
          <t>1991</t>
        </is>
      </c>
      <c r="O710" t="inlineStr">
        <is>
          <t>eng</t>
        </is>
      </c>
      <c r="P710" t="inlineStr">
        <is>
          <t>mnu</t>
        </is>
      </c>
      <c r="R710" t="inlineStr">
        <is>
          <t xml:space="preserve">HQ </t>
        </is>
      </c>
      <c r="S710" t="n">
        <v>26</v>
      </c>
      <c r="T710" t="n">
        <v>26</v>
      </c>
      <c r="U710" t="inlineStr">
        <is>
          <t>2006-09-13</t>
        </is>
      </c>
      <c r="V710" t="inlineStr">
        <is>
          <t>2006-09-13</t>
        </is>
      </c>
      <c r="W710" t="inlineStr">
        <is>
          <t>1992-01-21</t>
        </is>
      </c>
      <c r="X710" t="inlineStr">
        <is>
          <t>1992-01-21</t>
        </is>
      </c>
      <c r="Y710" t="n">
        <v>310</v>
      </c>
      <c r="Z710" t="n">
        <v>249</v>
      </c>
      <c r="AA710" t="n">
        <v>260</v>
      </c>
      <c r="AB710" t="n">
        <v>3</v>
      </c>
      <c r="AC710" t="n">
        <v>3</v>
      </c>
      <c r="AD710" t="n">
        <v>19</v>
      </c>
      <c r="AE710" t="n">
        <v>20</v>
      </c>
      <c r="AF710" t="n">
        <v>8</v>
      </c>
      <c r="AG710" t="n">
        <v>8</v>
      </c>
      <c r="AH710" t="n">
        <v>3</v>
      </c>
      <c r="AI710" t="n">
        <v>4</v>
      </c>
      <c r="AJ710" t="n">
        <v>12</v>
      </c>
      <c r="AK710" t="n">
        <v>13</v>
      </c>
      <c r="AL710" t="n">
        <v>2</v>
      </c>
      <c r="AM710" t="n">
        <v>2</v>
      </c>
      <c r="AN710" t="n">
        <v>0</v>
      </c>
      <c r="AO710" t="n">
        <v>0</v>
      </c>
      <c r="AP710" t="inlineStr">
        <is>
          <t>No</t>
        </is>
      </c>
      <c r="AQ710" t="inlineStr">
        <is>
          <t>Yes</t>
        </is>
      </c>
      <c r="AR710">
        <f>HYPERLINK("http://catalog.hathitrust.org/Record/101931668","HathiTrust Record")</f>
        <v/>
      </c>
      <c r="AS710">
        <f>HYPERLINK("https://creighton-primo.hosted.exlibrisgroup.com/primo-explore/search?tab=default_tab&amp;search_scope=EVERYTHING&amp;vid=01CRU&amp;lang=en_US&amp;offset=0&amp;query=any,contains,991001866419702656","Catalog Record")</f>
        <v/>
      </c>
      <c r="AT710">
        <f>HYPERLINK("http://www.worldcat.org/oclc/23463497","WorldCat Record")</f>
        <v/>
      </c>
      <c r="AU710" t="inlineStr">
        <is>
          <t>836830412:eng</t>
        </is>
      </c>
      <c r="AV710" t="inlineStr">
        <is>
          <t>23463497</t>
        </is>
      </c>
      <c r="AW710" t="inlineStr">
        <is>
          <t>991001866419702656</t>
        </is>
      </c>
      <c r="AX710" t="inlineStr">
        <is>
          <t>991001866419702656</t>
        </is>
      </c>
      <c r="AY710" t="inlineStr">
        <is>
          <t>2256134230002656</t>
        </is>
      </c>
      <c r="AZ710" t="inlineStr">
        <is>
          <t>BOOK</t>
        </is>
      </c>
      <c r="BB710" t="inlineStr">
        <is>
          <t>9780800625221</t>
        </is>
      </c>
      <c r="BC710" t="inlineStr">
        <is>
          <t>32285000865401</t>
        </is>
      </c>
      <c r="BD710" t="inlineStr">
        <is>
          <t>893891897</t>
        </is>
      </c>
    </row>
    <row r="711">
      <c r="A711" t="inlineStr">
        <is>
          <t>No</t>
        </is>
      </c>
      <c r="B711" t="inlineStr">
        <is>
          <t>HQ1233 .S49 1990</t>
        </is>
      </c>
      <c r="C711" t="inlineStr">
        <is>
          <t>0                      HQ 1233000S  49          1990</t>
        </is>
      </c>
      <c r="D711" t="inlineStr">
        <is>
          <t>Sexual politics and popular culture / edited by Diane Raymond.</t>
        </is>
      </c>
      <c r="F711" t="inlineStr">
        <is>
          <t>No</t>
        </is>
      </c>
      <c r="G711" t="inlineStr">
        <is>
          <t>1</t>
        </is>
      </c>
      <c r="H711" t="inlineStr">
        <is>
          <t>No</t>
        </is>
      </c>
      <c r="I711" t="inlineStr">
        <is>
          <t>No</t>
        </is>
      </c>
      <c r="J711" t="inlineStr">
        <is>
          <t>0</t>
        </is>
      </c>
      <c r="L711" t="inlineStr">
        <is>
          <t>Bowling Green, Ohio : Bowling Green State University Popular Press, c1990.</t>
        </is>
      </c>
      <c r="M711" t="inlineStr">
        <is>
          <t>1990</t>
        </is>
      </c>
      <c r="O711" t="inlineStr">
        <is>
          <t>eng</t>
        </is>
      </c>
      <c r="P711" t="inlineStr">
        <is>
          <t>ohu</t>
        </is>
      </c>
      <c r="R711" t="inlineStr">
        <is>
          <t xml:space="preserve">HQ </t>
        </is>
      </c>
      <c r="S711" t="n">
        <v>17</v>
      </c>
      <c r="T711" t="n">
        <v>17</v>
      </c>
      <c r="U711" t="inlineStr">
        <is>
          <t>2003-08-06</t>
        </is>
      </c>
      <c r="V711" t="inlineStr">
        <is>
          <t>2003-08-06</t>
        </is>
      </c>
      <c r="W711" t="inlineStr">
        <is>
          <t>1991-03-21</t>
        </is>
      </c>
      <c r="X711" t="inlineStr">
        <is>
          <t>1991-03-21</t>
        </is>
      </c>
      <c r="Y711" t="n">
        <v>302</v>
      </c>
      <c r="Z711" t="n">
        <v>241</v>
      </c>
      <c r="AA711" t="n">
        <v>242</v>
      </c>
      <c r="AB711" t="n">
        <v>1</v>
      </c>
      <c r="AC711" t="n">
        <v>1</v>
      </c>
      <c r="AD711" t="n">
        <v>12</v>
      </c>
      <c r="AE711" t="n">
        <v>12</v>
      </c>
      <c r="AF711" t="n">
        <v>5</v>
      </c>
      <c r="AG711" t="n">
        <v>5</v>
      </c>
      <c r="AH711" t="n">
        <v>6</v>
      </c>
      <c r="AI711" t="n">
        <v>6</v>
      </c>
      <c r="AJ711" t="n">
        <v>5</v>
      </c>
      <c r="AK711" t="n">
        <v>5</v>
      </c>
      <c r="AL711" t="n">
        <v>0</v>
      </c>
      <c r="AM711" t="n">
        <v>0</v>
      </c>
      <c r="AN711" t="n">
        <v>0</v>
      </c>
      <c r="AO711" t="n">
        <v>0</v>
      </c>
      <c r="AP711" t="inlineStr">
        <is>
          <t>No</t>
        </is>
      </c>
      <c r="AQ711" t="inlineStr">
        <is>
          <t>Yes</t>
        </is>
      </c>
      <c r="AR711">
        <f>HYPERLINK("http://catalog.hathitrust.org/Record/002220735","HathiTrust Record")</f>
        <v/>
      </c>
      <c r="AS711">
        <f>HYPERLINK("https://creighton-primo.hosted.exlibrisgroup.com/primo-explore/search?tab=default_tab&amp;search_scope=EVERYTHING&amp;vid=01CRU&amp;lang=en_US&amp;offset=0&amp;query=any,contains,991001797139702656","Catalog Record")</f>
        <v/>
      </c>
      <c r="AT711">
        <f>HYPERLINK("http://www.worldcat.org/oclc/22622271","WorldCat Record")</f>
        <v/>
      </c>
      <c r="AU711" t="inlineStr">
        <is>
          <t>24244180:eng</t>
        </is>
      </c>
      <c r="AV711" t="inlineStr">
        <is>
          <t>22622271</t>
        </is>
      </c>
      <c r="AW711" t="inlineStr">
        <is>
          <t>991001797139702656</t>
        </is>
      </c>
      <c r="AX711" t="inlineStr">
        <is>
          <t>991001797139702656</t>
        </is>
      </c>
      <c r="AY711" t="inlineStr">
        <is>
          <t>2272251500002656</t>
        </is>
      </c>
      <c r="AZ711" t="inlineStr">
        <is>
          <t>BOOK</t>
        </is>
      </c>
      <c r="BB711" t="inlineStr">
        <is>
          <t>9780879725020</t>
        </is>
      </c>
      <c r="BC711" t="inlineStr">
        <is>
          <t>32285000512748</t>
        </is>
      </c>
      <c r="BD711" t="inlineStr">
        <is>
          <t>893522864</t>
        </is>
      </c>
    </row>
    <row r="712">
      <c r="A712" t="inlineStr">
        <is>
          <t>No</t>
        </is>
      </c>
      <c r="B712" t="inlineStr">
        <is>
          <t>HQ1233 .S78 1997</t>
        </is>
      </c>
      <c r="C712" t="inlineStr">
        <is>
          <t>0                      HQ 1233000S  78          1997</t>
        </is>
      </c>
      <c r="D712" t="inlineStr">
        <is>
          <t>Ecofeminist natures : race, gender, feminist theory, and political action / Noël Sturgeon.</t>
        </is>
      </c>
      <c r="F712" t="inlineStr">
        <is>
          <t>No</t>
        </is>
      </c>
      <c r="G712" t="inlineStr">
        <is>
          <t>1</t>
        </is>
      </c>
      <c r="H712" t="inlineStr">
        <is>
          <t>No</t>
        </is>
      </c>
      <c r="I712" t="inlineStr">
        <is>
          <t>No</t>
        </is>
      </c>
      <c r="J712" t="inlineStr">
        <is>
          <t>0</t>
        </is>
      </c>
      <c r="K712" t="inlineStr">
        <is>
          <t>Sturgeon, Noël, 1956-</t>
        </is>
      </c>
      <c r="L712" t="inlineStr">
        <is>
          <t>New York : Routledge, 1997.</t>
        </is>
      </c>
      <c r="M712" t="inlineStr">
        <is>
          <t>1997</t>
        </is>
      </c>
      <c r="O712" t="inlineStr">
        <is>
          <t>eng</t>
        </is>
      </c>
      <c r="P712" t="inlineStr">
        <is>
          <t>nyu</t>
        </is>
      </c>
      <c r="R712" t="inlineStr">
        <is>
          <t xml:space="preserve">HQ </t>
        </is>
      </c>
      <c r="S712" t="n">
        <v>14</v>
      </c>
      <c r="T712" t="n">
        <v>14</v>
      </c>
      <c r="U712" t="inlineStr">
        <is>
          <t>2008-11-22</t>
        </is>
      </c>
      <c r="V712" t="inlineStr">
        <is>
          <t>2008-11-22</t>
        </is>
      </c>
      <c r="W712" t="inlineStr">
        <is>
          <t>1999-03-15</t>
        </is>
      </c>
      <c r="X712" t="inlineStr">
        <is>
          <t>1999-03-15</t>
        </is>
      </c>
      <c r="Y712" t="n">
        <v>475</v>
      </c>
      <c r="Z712" t="n">
        <v>352</v>
      </c>
      <c r="AA712" t="n">
        <v>376</v>
      </c>
      <c r="AB712" t="n">
        <v>3</v>
      </c>
      <c r="AC712" t="n">
        <v>3</v>
      </c>
      <c r="AD712" t="n">
        <v>22</v>
      </c>
      <c r="AE712" t="n">
        <v>23</v>
      </c>
      <c r="AF712" t="n">
        <v>9</v>
      </c>
      <c r="AG712" t="n">
        <v>10</v>
      </c>
      <c r="AH712" t="n">
        <v>4</v>
      </c>
      <c r="AI712" t="n">
        <v>5</v>
      </c>
      <c r="AJ712" t="n">
        <v>11</v>
      </c>
      <c r="AK712" t="n">
        <v>11</v>
      </c>
      <c r="AL712" t="n">
        <v>2</v>
      </c>
      <c r="AM712" t="n">
        <v>2</v>
      </c>
      <c r="AN712" t="n">
        <v>1</v>
      </c>
      <c r="AO712" t="n">
        <v>1</v>
      </c>
      <c r="AP712" t="inlineStr">
        <is>
          <t>No</t>
        </is>
      </c>
      <c r="AQ712" t="inlineStr">
        <is>
          <t>No</t>
        </is>
      </c>
      <c r="AS712">
        <f>HYPERLINK("https://creighton-primo.hosted.exlibrisgroup.com/primo-explore/search?tab=default_tab&amp;search_scope=EVERYTHING&amp;vid=01CRU&amp;lang=en_US&amp;offset=0&amp;query=any,contains,991002706449702656","Catalog Record")</f>
        <v/>
      </c>
      <c r="AT712">
        <f>HYPERLINK("http://www.worldcat.org/oclc/35331332","WorldCat Record")</f>
        <v/>
      </c>
      <c r="AU712" t="inlineStr">
        <is>
          <t>837010858:eng</t>
        </is>
      </c>
      <c r="AV712" t="inlineStr">
        <is>
          <t>35331332</t>
        </is>
      </c>
      <c r="AW712" t="inlineStr">
        <is>
          <t>991002706449702656</t>
        </is>
      </c>
      <c r="AX712" t="inlineStr">
        <is>
          <t>991002706449702656</t>
        </is>
      </c>
      <c r="AY712" t="inlineStr">
        <is>
          <t>2262644220002656</t>
        </is>
      </c>
      <c r="AZ712" t="inlineStr">
        <is>
          <t>BOOK</t>
        </is>
      </c>
      <c r="BB712" t="inlineStr">
        <is>
          <t>9780415912495</t>
        </is>
      </c>
      <c r="BC712" t="inlineStr">
        <is>
          <t>32285003531893</t>
        </is>
      </c>
      <c r="BD712" t="inlineStr">
        <is>
          <t>893251542</t>
        </is>
      </c>
    </row>
    <row r="713">
      <c r="A713" t="inlineStr">
        <is>
          <t>No</t>
        </is>
      </c>
      <c r="B713" t="inlineStr">
        <is>
          <t>HQ1233 .W59</t>
        </is>
      </c>
      <c r="C713" t="inlineStr">
        <is>
          <t>0                      HQ 1233000W  59</t>
        </is>
      </c>
      <c r="D713" t="inlineStr">
        <is>
          <t>Women, communication, and careers / edited by Marianne Grewe-Partsch, Gertrude J. Robinson.</t>
        </is>
      </c>
      <c r="F713" t="inlineStr">
        <is>
          <t>No</t>
        </is>
      </c>
      <c r="G713" t="inlineStr">
        <is>
          <t>1</t>
        </is>
      </c>
      <c r="H713" t="inlineStr">
        <is>
          <t>No</t>
        </is>
      </c>
      <c r="I713" t="inlineStr">
        <is>
          <t>No</t>
        </is>
      </c>
      <c r="J713" t="inlineStr">
        <is>
          <t>0</t>
        </is>
      </c>
      <c r="L713" t="inlineStr">
        <is>
          <t>München ; New York : K.G. Saur, 1980.</t>
        </is>
      </c>
      <c r="M713" t="inlineStr">
        <is>
          <t>1980</t>
        </is>
      </c>
      <c r="O713" t="inlineStr">
        <is>
          <t>eng</t>
        </is>
      </c>
      <c r="P713" t="inlineStr">
        <is>
          <t xml:space="preserve">gw </t>
        </is>
      </c>
      <c r="Q713" t="inlineStr">
        <is>
          <t>Communication research and broadcasting ; no. 3</t>
        </is>
      </c>
      <c r="R713" t="inlineStr">
        <is>
          <t xml:space="preserve">HQ </t>
        </is>
      </c>
      <c r="S713" t="n">
        <v>8</v>
      </c>
      <c r="T713" t="n">
        <v>8</v>
      </c>
      <c r="U713" t="inlineStr">
        <is>
          <t>2001-04-17</t>
        </is>
      </c>
      <c r="V713" t="inlineStr">
        <is>
          <t>2001-04-17</t>
        </is>
      </c>
      <c r="W713" t="inlineStr">
        <is>
          <t>1990-04-25</t>
        </is>
      </c>
      <c r="X713" t="inlineStr">
        <is>
          <t>1990-04-25</t>
        </is>
      </c>
      <c r="Y713" t="n">
        <v>261</v>
      </c>
      <c r="Z713" t="n">
        <v>211</v>
      </c>
      <c r="AA713" t="n">
        <v>213</v>
      </c>
      <c r="AB713" t="n">
        <v>2</v>
      </c>
      <c r="AC713" t="n">
        <v>2</v>
      </c>
      <c r="AD713" t="n">
        <v>10</v>
      </c>
      <c r="AE713" t="n">
        <v>10</v>
      </c>
      <c r="AF713" t="n">
        <v>4</v>
      </c>
      <c r="AG713" t="n">
        <v>4</v>
      </c>
      <c r="AH713" t="n">
        <v>4</v>
      </c>
      <c r="AI713" t="n">
        <v>4</v>
      </c>
      <c r="AJ713" t="n">
        <v>4</v>
      </c>
      <c r="AK713" t="n">
        <v>4</v>
      </c>
      <c r="AL713" t="n">
        <v>1</v>
      </c>
      <c r="AM713" t="n">
        <v>1</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HYPERLINK("https://creighton-primo.hosted.exlibrisgroup.com/primo-explore/search?tab=default_tab&amp;search_scope=EVERYTHING&amp;vid=01CRU&amp;lang=en_US&amp;offset=0&amp;query=any,contains,991005169479702656","Catalog Record")</f>
        <v/>
      </c>
      <c r="AT713">
        <f>HYPERLINK("http://www.worldcat.org/oclc/7839047","WorldCat Record")</f>
        <v/>
      </c>
      <c r="AU713" t="inlineStr">
        <is>
          <t>9381134681:eng</t>
        </is>
      </c>
      <c r="AV713" t="inlineStr">
        <is>
          <t>7839047</t>
        </is>
      </c>
      <c r="AW713" t="inlineStr">
        <is>
          <t>991005169479702656</t>
        </is>
      </c>
      <c r="AX713" t="inlineStr">
        <is>
          <t>991005169479702656</t>
        </is>
      </c>
      <c r="AY713" t="inlineStr">
        <is>
          <t>2255773560002656</t>
        </is>
      </c>
      <c r="AZ713" t="inlineStr">
        <is>
          <t>BOOK</t>
        </is>
      </c>
      <c r="BB713" t="inlineStr">
        <is>
          <t>9780896641723</t>
        </is>
      </c>
      <c r="BC713" t="inlineStr">
        <is>
          <t>32285000133081</t>
        </is>
      </c>
      <c r="BD713" t="inlineStr">
        <is>
          <t>893895989</t>
        </is>
      </c>
    </row>
    <row r="714">
      <c r="A714" t="inlineStr">
        <is>
          <t>No</t>
        </is>
      </c>
      <c r="B714" t="inlineStr">
        <is>
          <t>HQ1236 .C64 1988</t>
        </is>
      </c>
      <c r="C714" t="inlineStr">
        <is>
          <t>0                      HQ 1236000C  64          1988</t>
        </is>
      </c>
      <c r="D714" t="inlineStr">
        <is>
          <t>Women in political theory : from ancient misogyny to contemporary feminism / by Diana H. Coole.</t>
        </is>
      </c>
      <c r="F714" t="inlineStr">
        <is>
          <t>No</t>
        </is>
      </c>
      <c r="G714" t="inlineStr">
        <is>
          <t>1</t>
        </is>
      </c>
      <c r="H714" t="inlineStr">
        <is>
          <t>No</t>
        </is>
      </c>
      <c r="I714" t="inlineStr">
        <is>
          <t>Yes</t>
        </is>
      </c>
      <c r="J714" t="inlineStr">
        <is>
          <t>0</t>
        </is>
      </c>
      <c r="K714" t="inlineStr">
        <is>
          <t>Coole, Diana H.</t>
        </is>
      </c>
      <c r="L714" t="inlineStr">
        <is>
          <t>Sussex : Wheatsheaf Books : Boulder, Colo. : L. Rienner Publishers, 1988.</t>
        </is>
      </c>
      <c r="M714" t="inlineStr">
        <is>
          <t>1988</t>
        </is>
      </c>
      <c r="O714" t="inlineStr">
        <is>
          <t>eng</t>
        </is>
      </c>
      <c r="P714" t="inlineStr">
        <is>
          <t>enk</t>
        </is>
      </c>
      <c r="R714" t="inlineStr">
        <is>
          <t xml:space="preserve">HQ </t>
        </is>
      </c>
      <c r="S714" t="n">
        <v>9</v>
      </c>
      <c r="T714" t="n">
        <v>9</v>
      </c>
      <c r="U714" t="inlineStr">
        <is>
          <t>2004-04-13</t>
        </is>
      </c>
      <c r="V714" t="inlineStr">
        <is>
          <t>2004-04-13</t>
        </is>
      </c>
      <c r="W714" t="inlineStr">
        <is>
          <t>1991-05-13</t>
        </is>
      </c>
      <c r="X714" t="inlineStr">
        <is>
          <t>1991-05-13</t>
        </is>
      </c>
      <c r="Y714" t="n">
        <v>618</v>
      </c>
      <c r="Z714" t="n">
        <v>458</v>
      </c>
      <c r="AA714" t="n">
        <v>601</v>
      </c>
      <c r="AB714" t="n">
        <v>4</v>
      </c>
      <c r="AC714" t="n">
        <v>5</v>
      </c>
      <c r="AD714" t="n">
        <v>26</v>
      </c>
      <c r="AE714" t="n">
        <v>41</v>
      </c>
      <c r="AF714" t="n">
        <v>11</v>
      </c>
      <c r="AG714" t="n">
        <v>15</v>
      </c>
      <c r="AH714" t="n">
        <v>5</v>
      </c>
      <c r="AI714" t="n">
        <v>8</v>
      </c>
      <c r="AJ714" t="n">
        <v>10</v>
      </c>
      <c r="AK714" t="n">
        <v>17</v>
      </c>
      <c r="AL714" t="n">
        <v>3</v>
      </c>
      <c r="AM714" t="n">
        <v>4</v>
      </c>
      <c r="AN714" t="n">
        <v>3</v>
      </c>
      <c r="AO714" t="n">
        <v>6</v>
      </c>
      <c r="AP714" t="inlineStr">
        <is>
          <t>No</t>
        </is>
      </c>
      <c r="AQ714" t="inlineStr">
        <is>
          <t>No</t>
        </is>
      </c>
      <c r="AS714">
        <f>HYPERLINK("https://creighton-primo.hosted.exlibrisgroup.com/primo-explore/search?tab=default_tab&amp;search_scope=EVERYTHING&amp;vid=01CRU&amp;lang=en_US&amp;offset=0&amp;query=any,contains,991001114239702656","Catalog Record")</f>
        <v/>
      </c>
      <c r="AT714">
        <f>HYPERLINK("http://www.worldcat.org/oclc/16523618","WorldCat Record")</f>
        <v/>
      </c>
      <c r="AU714" t="inlineStr">
        <is>
          <t>836647400:eng</t>
        </is>
      </c>
      <c r="AV714" t="inlineStr">
        <is>
          <t>16523618</t>
        </is>
      </c>
      <c r="AW714" t="inlineStr">
        <is>
          <t>991001114239702656</t>
        </is>
      </c>
      <c r="AX714" t="inlineStr">
        <is>
          <t>991001114239702656</t>
        </is>
      </c>
      <c r="AY714" t="inlineStr">
        <is>
          <t>2272179330002656</t>
        </is>
      </c>
      <c r="AZ714" t="inlineStr">
        <is>
          <t>BOOK</t>
        </is>
      </c>
      <c r="BB714" t="inlineStr">
        <is>
          <t>9781555870768</t>
        </is>
      </c>
      <c r="BC714" t="inlineStr">
        <is>
          <t>32285000572734</t>
        </is>
      </c>
      <c r="BD714" t="inlineStr">
        <is>
          <t>893614793</t>
        </is>
      </c>
    </row>
    <row r="715">
      <c r="A715" t="inlineStr">
        <is>
          <t>No</t>
        </is>
      </c>
      <c r="B715" t="inlineStr">
        <is>
          <t>HQ1236 .C64 1993</t>
        </is>
      </c>
      <c r="C715" t="inlineStr">
        <is>
          <t>0                      HQ 1236000C  64          1993</t>
        </is>
      </c>
      <c r="D715" t="inlineStr">
        <is>
          <t>Women in political theory : from ancient misogyny to contemporary feminism / Diana H. Coole.</t>
        </is>
      </c>
      <c r="F715" t="inlineStr">
        <is>
          <t>No</t>
        </is>
      </c>
      <c r="G715" t="inlineStr">
        <is>
          <t>1</t>
        </is>
      </c>
      <c r="H715" t="inlineStr">
        <is>
          <t>No</t>
        </is>
      </c>
      <c r="I715" t="inlineStr">
        <is>
          <t>Yes</t>
        </is>
      </c>
      <c r="J715" t="inlineStr">
        <is>
          <t>0</t>
        </is>
      </c>
      <c r="K715" t="inlineStr">
        <is>
          <t>Coole, Diana H.</t>
        </is>
      </c>
      <c r="L715" t="inlineStr">
        <is>
          <t>Boulder, Colo. : L. Rienner, c1993.</t>
        </is>
      </c>
      <c r="M715" t="inlineStr">
        <is>
          <t>1993</t>
        </is>
      </c>
      <c r="N715" t="inlineStr">
        <is>
          <t>2nd ed.</t>
        </is>
      </c>
      <c r="O715" t="inlineStr">
        <is>
          <t>eng</t>
        </is>
      </c>
      <c r="P715" t="inlineStr">
        <is>
          <t>cou</t>
        </is>
      </c>
      <c r="R715" t="inlineStr">
        <is>
          <t xml:space="preserve">HQ </t>
        </is>
      </c>
      <c r="S715" t="n">
        <v>9</v>
      </c>
      <c r="T715" t="n">
        <v>9</v>
      </c>
      <c r="U715" t="inlineStr">
        <is>
          <t>2010-12-01</t>
        </is>
      </c>
      <c r="V715" t="inlineStr">
        <is>
          <t>2010-12-01</t>
        </is>
      </c>
      <c r="W715" t="inlineStr">
        <is>
          <t>1994-12-13</t>
        </is>
      </c>
      <c r="X715" t="inlineStr">
        <is>
          <t>1994-12-13</t>
        </is>
      </c>
      <c r="Y715" t="n">
        <v>288</v>
      </c>
      <c r="Z715" t="n">
        <v>232</v>
      </c>
      <c r="AA715" t="n">
        <v>601</v>
      </c>
      <c r="AB715" t="n">
        <v>2</v>
      </c>
      <c r="AC715" t="n">
        <v>5</v>
      </c>
      <c r="AD715" t="n">
        <v>19</v>
      </c>
      <c r="AE715" t="n">
        <v>41</v>
      </c>
      <c r="AF715" t="n">
        <v>6</v>
      </c>
      <c r="AG715" t="n">
        <v>15</v>
      </c>
      <c r="AH715" t="n">
        <v>3</v>
      </c>
      <c r="AI715" t="n">
        <v>8</v>
      </c>
      <c r="AJ715" t="n">
        <v>8</v>
      </c>
      <c r="AK715" t="n">
        <v>17</v>
      </c>
      <c r="AL715" t="n">
        <v>1</v>
      </c>
      <c r="AM715" t="n">
        <v>4</v>
      </c>
      <c r="AN715" t="n">
        <v>4</v>
      </c>
      <c r="AO715" t="n">
        <v>6</v>
      </c>
      <c r="AP715" t="inlineStr">
        <is>
          <t>No</t>
        </is>
      </c>
      <c r="AQ715" t="inlineStr">
        <is>
          <t>No</t>
        </is>
      </c>
      <c r="AS715">
        <f>HYPERLINK("https://creighton-primo.hosted.exlibrisgroup.com/primo-explore/search?tab=default_tab&amp;search_scope=EVERYTHING&amp;vid=01CRU&amp;lang=en_US&amp;offset=0&amp;query=any,contains,991002185289702656","Catalog Record")</f>
        <v/>
      </c>
      <c r="AT715">
        <f>HYPERLINK("http://www.worldcat.org/oclc/28147728","WorldCat Record")</f>
        <v/>
      </c>
      <c r="AU715" t="inlineStr">
        <is>
          <t>836647400:eng</t>
        </is>
      </c>
      <c r="AV715" t="inlineStr">
        <is>
          <t>28147728</t>
        </is>
      </c>
      <c r="AW715" t="inlineStr">
        <is>
          <t>991002185289702656</t>
        </is>
      </c>
      <c r="AX715" t="inlineStr">
        <is>
          <t>991002185289702656</t>
        </is>
      </c>
      <c r="AY715" t="inlineStr">
        <is>
          <t>2254713970002656</t>
        </is>
      </c>
      <c r="AZ715" t="inlineStr">
        <is>
          <t>BOOK</t>
        </is>
      </c>
      <c r="BB715" t="inlineStr">
        <is>
          <t>9781555874575</t>
        </is>
      </c>
      <c r="BC715" t="inlineStr">
        <is>
          <t>32285001976777</t>
        </is>
      </c>
      <c r="BD715" t="inlineStr">
        <is>
          <t>893510403</t>
        </is>
      </c>
    </row>
    <row r="716">
      <c r="A716" t="inlineStr">
        <is>
          <t>No</t>
        </is>
      </c>
      <c r="B716" t="inlineStr">
        <is>
          <t>HQ1236 .F443 1997</t>
        </is>
      </c>
      <c r="C716" t="inlineStr">
        <is>
          <t>0                      HQ 1236000F  443         1997</t>
        </is>
      </c>
      <c r="D716" t="inlineStr">
        <is>
          <t>Feminism and the new democracy : re-siting the political / edited by Jodi Dean.</t>
        </is>
      </c>
      <c r="F716" t="inlineStr">
        <is>
          <t>No</t>
        </is>
      </c>
      <c r="G716" t="inlineStr">
        <is>
          <t>1</t>
        </is>
      </c>
      <c r="H716" t="inlineStr">
        <is>
          <t>No</t>
        </is>
      </c>
      <c r="I716" t="inlineStr">
        <is>
          <t>No</t>
        </is>
      </c>
      <c r="J716" t="inlineStr">
        <is>
          <t>0</t>
        </is>
      </c>
      <c r="L716" t="inlineStr">
        <is>
          <t>London ; Thousand Oaks, Calif. : Sage, 1997.</t>
        </is>
      </c>
      <c r="M716" t="inlineStr">
        <is>
          <t>1997</t>
        </is>
      </c>
      <c r="O716" t="inlineStr">
        <is>
          <t>eng</t>
        </is>
      </c>
      <c r="P716" t="inlineStr">
        <is>
          <t>enk</t>
        </is>
      </c>
      <c r="Q716" t="inlineStr">
        <is>
          <t>Philosophy &amp; social criticism</t>
        </is>
      </c>
      <c r="R716" t="inlineStr">
        <is>
          <t xml:space="preserve">HQ </t>
        </is>
      </c>
      <c r="S716" t="n">
        <v>3</v>
      </c>
      <c r="T716" t="n">
        <v>3</v>
      </c>
      <c r="U716" t="inlineStr">
        <is>
          <t>2002-02-24</t>
        </is>
      </c>
      <c r="V716" t="inlineStr">
        <is>
          <t>2002-02-24</t>
        </is>
      </c>
      <c r="W716" t="inlineStr">
        <is>
          <t>1998-05-18</t>
        </is>
      </c>
      <c r="X716" t="inlineStr">
        <is>
          <t>1998-05-18</t>
        </is>
      </c>
      <c r="Y716" t="n">
        <v>368</v>
      </c>
      <c r="Z716" t="n">
        <v>259</v>
      </c>
      <c r="AA716" t="n">
        <v>577</v>
      </c>
      <c r="AB716" t="n">
        <v>3</v>
      </c>
      <c r="AC716" t="n">
        <v>5</v>
      </c>
      <c r="AD716" t="n">
        <v>18</v>
      </c>
      <c r="AE716" t="n">
        <v>21</v>
      </c>
      <c r="AF716" t="n">
        <v>6</v>
      </c>
      <c r="AG716" t="n">
        <v>7</v>
      </c>
      <c r="AH716" t="n">
        <v>5</v>
      </c>
      <c r="AI716" t="n">
        <v>5</v>
      </c>
      <c r="AJ716" t="n">
        <v>11</v>
      </c>
      <c r="AK716" t="n">
        <v>11</v>
      </c>
      <c r="AL716" t="n">
        <v>2</v>
      </c>
      <c r="AM716" t="n">
        <v>4</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HYPERLINK("https://creighton-primo.hosted.exlibrisgroup.com/primo-explore/search?tab=default_tab&amp;search_scope=EVERYTHING&amp;vid=01CRU&amp;lang=en_US&amp;offset=0&amp;query=any,contains,991002821089702656","Catalog Record")</f>
        <v/>
      </c>
      <c r="AT716">
        <f>HYPERLINK("http://www.worldcat.org/oclc/37111860","WorldCat Record")</f>
        <v/>
      </c>
      <c r="AU716" t="inlineStr">
        <is>
          <t>871450623:eng</t>
        </is>
      </c>
      <c r="AV716" t="inlineStr">
        <is>
          <t>37111860</t>
        </is>
      </c>
      <c r="AW716" t="inlineStr">
        <is>
          <t>991002821089702656</t>
        </is>
      </c>
      <c r="AX716" t="inlineStr">
        <is>
          <t>991002821089702656</t>
        </is>
      </c>
      <c r="AY716" t="inlineStr">
        <is>
          <t>2264068580002656</t>
        </is>
      </c>
      <c r="AZ716" t="inlineStr">
        <is>
          <t>BOOK</t>
        </is>
      </c>
      <c r="BB716" t="inlineStr">
        <is>
          <t>9780803976177</t>
        </is>
      </c>
      <c r="BC716" t="inlineStr">
        <is>
          <t>32285003409561</t>
        </is>
      </c>
      <c r="BD716" t="inlineStr">
        <is>
          <t>893616622</t>
        </is>
      </c>
    </row>
    <row r="717">
      <c r="A717" t="inlineStr">
        <is>
          <t>No</t>
        </is>
      </c>
      <c r="B717" t="inlineStr">
        <is>
          <t>HQ1236 .G36 1996</t>
        </is>
      </c>
      <c r="C717" t="inlineStr">
        <is>
          <t>0                      HQ 1236000G  36          1996</t>
        </is>
      </c>
      <c r="D717" t="inlineStr">
        <is>
          <t>Derechos políticos y ciudadania de las mujeres : una vía genero sensitiva y paritaria al poder y al liderazgo / Evangelina García Prince.</t>
        </is>
      </c>
      <c r="F717" t="inlineStr">
        <is>
          <t>No</t>
        </is>
      </c>
      <c r="G717" t="inlineStr">
        <is>
          <t>1</t>
        </is>
      </c>
      <c r="H717" t="inlineStr">
        <is>
          <t>No</t>
        </is>
      </c>
      <c r="I717" t="inlineStr">
        <is>
          <t>No</t>
        </is>
      </c>
      <c r="J717" t="inlineStr">
        <is>
          <t>0</t>
        </is>
      </c>
      <c r="K717" t="inlineStr">
        <is>
          <t>García Prince, E. (Evangelina)</t>
        </is>
      </c>
      <c r="L717" t="inlineStr">
        <is>
          <t>Caracas, Venezuela : GENDHU, c1996.</t>
        </is>
      </c>
      <c r="M717" t="inlineStr">
        <is>
          <t>1996</t>
        </is>
      </c>
      <c r="O717" t="inlineStr">
        <is>
          <t>spa</t>
        </is>
      </c>
      <c r="P717" t="inlineStr">
        <is>
          <t xml:space="preserve">ve </t>
        </is>
      </c>
      <c r="R717" t="inlineStr">
        <is>
          <t xml:space="preserve">HQ </t>
        </is>
      </c>
      <c r="S717" t="n">
        <v>1</v>
      </c>
      <c r="T717" t="n">
        <v>1</v>
      </c>
      <c r="U717" t="inlineStr">
        <is>
          <t>2002-04-03</t>
        </is>
      </c>
      <c r="V717" t="inlineStr">
        <is>
          <t>2002-04-03</t>
        </is>
      </c>
      <c r="W717" t="inlineStr">
        <is>
          <t>2002-03-13</t>
        </is>
      </c>
      <c r="X717" t="inlineStr">
        <is>
          <t>2002-03-13</t>
        </is>
      </c>
      <c r="Y717" t="n">
        <v>26</v>
      </c>
      <c r="Z717" t="n">
        <v>24</v>
      </c>
      <c r="AA717" t="n">
        <v>37</v>
      </c>
      <c r="AB717" t="n">
        <v>1</v>
      </c>
      <c r="AC717" t="n">
        <v>1</v>
      </c>
      <c r="AD717" t="n">
        <v>0</v>
      </c>
      <c r="AE717" t="n">
        <v>1</v>
      </c>
      <c r="AF717" t="n">
        <v>0</v>
      </c>
      <c r="AG717" t="n">
        <v>0</v>
      </c>
      <c r="AH717" t="n">
        <v>0</v>
      </c>
      <c r="AI717" t="n">
        <v>1</v>
      </c>
      <c r="AJ717" t="n">
        <v>0</v>
      </c>
      <c r="AK717" t="n">
        <v>1</v>
      </c>
      <c r="AL717" t="n">
        <v>0</v>
      </c>
      <c r="AM717" t="n">
        <v>0</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HYPERLINK("https://creighton-primo.hosted.exlibrisgroup.com/primo-explore/search?tab=default_tab&amp;search_scope=EVERYTHING&amp;vid=01CRU&amp;lang=en_US&amp;offset=0&amp;query=any,contains,991003762239702656","Catalog Record")</f>
        <v/>
      </c>
      <c r="AT717">
        <f>HYPERLINK("http://www.worldcat.org/oclc/37688562","WorldCat Record")</f>
        <v/>
      </c>
      <c r="AU717" t="inlineStr">
        <is>
          <t>41720794:spa</t>
        </is>
      </c>
      <c r="AV717" t="inlineStr">
        <is>
          <t>37688562</t>
        </is>
      </c>
      <c r="AW717" t="inlineStr">
        <is>
          <t>991003762239702656</t>
        </is>
      </c>
      <c r="AX717" t="inlineStr">
        <is>
          <t>991003762239702656</t>
        </is>
      </c>
      <c r="AY717" t="inlineStr">
        <is>
          <t>2268946010002656</t>
        </is>
      </c>
      <c r="AZ717" t="inlineStr">
        <is>
          <t>BOOK</t>
        </is>
      </c>
      <c r="BB717" t="inlineStr">
        <is>
          <t>9789800734261</t>
        </is>
      </c>
      <c r="BC717" t="inlineStr">
        <is>
          <t>32285004460654</t>
        </is>
      </c>
      <c r="BD717" t="inlineStr">
        <is>
          <t>893868819</t>
        </is>
      </c>
    </row>
    <row r="718">
      <c r="A718" t="inlineStr">
        <is>
          <t>No</t>
        </is>
      </c>
      <c r="B718" t="inlineStr">
        <is>
          <t>HQ1236 .G4617 1999</t>
        </is>
      </c>
      <c r="C718" t="inlineStr">
        <is>
          <t>0                      HQ 1236000G  4617        1999</t>
        </is>
      </c>
      <c r="D718" t="inlineStr">
        <is>
          <t>Gender politics in global governance / edited by Mary K. Meyer and Elisabeth Prügl.</t>
        </is>
      </c>
      <c r="F718" t="inlineStr">
        <is>
          <t>No</t>
        </is>
      </c>
      <c r="G718" t="inlineStr">
        <is>
          <t>1</t>
        </is>
      </c>
      <c r="H718" t="inlineStr">
        <is>
          <t>No</t>
        </is>
      </c>
      <c r="I718" t="inlineStr">
        <is>
          <t>No</t>
        </is>
      </c>
      <c r="J718" t="inlineStr">
        <is>
          <t>0</t>
        </is>
      </c>
      <c r="L718" t="inlineStr">
        <is>
          <t>Lanham, Md. : Rowman &amp; Littlefield Publishers, c1999.</t>
        </is>
      </c>
      <c r="M718" t="inlineStr">
        <is>
          <t>1999</t>
        </is>
      </c>
      <c r="O718" t="inlineStr">
        <is>
          <t>eng</t>
        </is>
      </c>
      <c r="P718" t="inlineStr">
        <is>
          <t>mdu</t>
        </is>
      </c>
      <c r="R718" t="inlineStr">
        <is>
          <t xml:space="preserve">HQ </t>
        </is>
      </c>
      <c r="S718" t="n">
        <v>2</v>
      </c>
      <c r="T718" t="n">
        <v>2</v>
      </c>
      <c r="U718" t="inlineStr">
        <is>
          <t>2007-01-19</t>
        </is>
      </c>
      <c r="V718" t="inlineStr">
        <is>
          <t>2007-01-19</t>
        </is>
      </c>
      <c r="W718" t="inlineStr">
        <is>
          <t>2002-04-04</t>
        </is>
      </c>
      <c r="X718" t="inlineStr">
        <is>
          <t>2002-04-04</t>
        </is>
      </c>
      <c r="Y718" t="n">
        <v>504</v>
      </c>
      <c r="Z718" t="n">
        <v>382</v>
      </c>
      <c r="AA718" t="n">
        <v>397</v>
      </c>
      <c r="AB718" t="n">
        <v>4</v>
      </c>
      <c r="AC718" t="n">
        <v>4</v>
      </c>
      <c r="AD718" t="n">
        <v>27</v>
      </c>
      <c r="AE718" t="n">
        <v>27</v>
      </c>
      <c r="AF718" t="n">
        <v>13</v>
      </c>
      <c r="AG718" t="n">
        <v>13</v>
      </c>
      <c r="AH718" t="n">
        <v>7</v>
      </c>
      <c r="AI718" t="n">
        <v>7</v>
      </c>
      <c r="AJ718" t="n">
        <v>11</v>
      </c>
      <c r="AK718" t="n">
        <v>11</v>
      </c>
      <c r="AL718" t="n">
        <v>3</v>
      </c>
      <c r="AM718" t="n">
        <v>3</v>
      </c>
      <c r="AN718" t="n">
        <v>1</v>
      </c>
      <c r="AO718" t="n">
        <v>1</v>
      </c>
      <c r="AP718" t="inlineStr">
        <is>
          <t>No</t>
        </is>
      </c>
      <c r="AQ718" t="inlineStr">
        <is>
          <t>Yes</t>
        </is>
      </c>
      <c r="AR718">
        <f>HYPERLINK("http://catalog.hathitrust.org/Record/004018844","HathiTrust Record")</f>
        <v/>
      </c>
      <c r="AS718">
        <f>HYPERLINK("https://creighton-primo.hosted.exlibrisgroup.com/primo-explore/search?tab=default_tab&amp;search_scope=EVERYTHING&amp;vid=01CRU&amp;lang=en_US&amp;offset=0&amp;query=any,contains,991003776399702656","Catalog Record")</f>
        <v/>
      </c>
      <c r="AT718">
        <f>HYPERLINK("http://www.worldcat.org/oclc/39655152","WorldCat Record")</f>
        <v/>
      </c>
      <c r="AU718" t="inlineStr">
        <is>
          <t>354517772:eng</t>
        </is>
      </c>
      <c r="AV718" t="inlineStr">
        <is>
          <t>39655152</t>
        </is>
      </c>
      <c r="AW718" t="inlineStr">
        <is>
          <t>991003776399702656</t>
        </is>
      </c>
      <c r="AX718" t="inlineStr">
        <is>
          <t>991003776399702656</t>
        </is>
      </c>
      <c r="AY718" t="inlineStr">
        <is>
          <t>2265382100002656</t>
        </is>
      </c>
      <c r="AZ718" t="inlineStr">
        <is>
          <t>BOOK</t>
        </is>
      </c>
      <c r="BB718" t="inlineStr">
        <is>
          <t>9780847691609</t>
        </is>
      </c>
      <c r="BC718" t="inlineStr">
        <is>
          <t>32285004476940</t>
        </is>
      </c>
      <c r="BD718" t="inlineStr">
        <is>
          <t>893623890</t>
        </is>
      </c>
    </row>
    <row r="719">
      <c r="A719" t="inlineStr">
        <is>
          <t>No</t>
        </is>
      </c>
      <c r="B719" t="inlineStr">
        <is>
          <t>HQ1236 .H27 1992</t>
        </is>
      </c>
      <c r="C719" t="inlineStr">
        <is>
          <t>0                      HQ 1236000H  27          1992</t>
        </is>
      </c>
      <c r="D719" t="inlineStr">
        <is>
          <t>Women and empowerment : strategies for increasing autonomy / C. Margaret Hall.</t>
        </is>
      </c>
      <c r="F719" t="inlineStr">
        <is>
          <t>No</t>
        </is>
      </c>
      <c r="G719" t="inlineStr">
        <is>
          <t>1</t>
        </is>
      </c>
      <c r="H719" t="inlineStr">
        <is>
          <t>No</t>
        </is>
      </c>
      <c r="I719" t="inlineStr">
        <is>
          <t>No</t>
        </is>
      </c>
      <c r="J719" t="inlineStr">
        <is>
          <t>0</t>
        </is>
      </c>
      <c r="K719" t="inlineStr">
        <is>
          <t>Hall, C. Margaret (Constance Margaret)</t>
        </is>
      </c>
      <c r="L719" t="inlineStr">
        <is>
          <t>Washington : Hemisphere, c1992.</t>
        </is>
      </c>
      <c r="M719" t="inlineStr">
        <is>
          <t>1992</t>
        </is>
      </c>
      <c r="O719" t="inlineStr">
        <is>
          <t>eng</t>
        </is>
      </c>
      <c r="P719" t="inlineStr">
        <is>
          <t>dcu</t>
        </is>
      </c>
      <c r="R719" t="inlineStr">
        <is>
          <t xml:space="preserve">HQ </t>
        </is>
      </c>
      <c r="S719" t="n">
        <v>5</v>
      </c>
      <c r="T719" t="n">
        <v>5</v>
      </c>
      <c r="U719" t="inlineStr">
        <is>
          <t>2006-04-26</t>
        </is>
      </c>
      <c r="V719" t="inlineStr">
        <is>
          <t>2006-04-26</t>
        </is>
      </c>
      <c r="W719" t="inlineStr">
        <is>
          <t>1992-11-02</t>
        </is>
      </c>
      <c r="X719" t="inlineStr">
        <is>
          <t>1992-11-02</t>
        </is>
      </c>
      <c r="Y719" t="n">
        <v>379</v>
      </c>
      <c r="Z719" t="n">
        <v>261</v>
      </c>
      <c r="AA719" t="n">
        <v>280</v>
      </c>
      <c r="AB719" t="n">
        <v>6</v>
      </c>
      <c r="AC719" t="n">
        <v>6</v>
      </c>
      <c r="AD719" t="n">
        <v>15</v>
      </c>
      <c r="AE719" t="n">
        <v>15</v>
      </c>
      <c r="AF719" t="n">
        <v>3</v>
      </c>
      <c r="AG719" t="n">
        <v>3</v>
      </c>
      <c r="AH719" t="n">
        <v>2</v>
      </c>
      <c r="AI719" t="n">
        <v>2</v>
      </c>
      <c r="AJ719" t="n">
        <v>9</v>
      </c>
      <c r="AK719" t="n">
        <v>9</v>
      </c>
      <c r="AL719" t="n">
        <v>5</v>
      </c>
      <c r="AM719" t="n">
        <v>5</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HYPERLINK("https://creighton-primo.hosted.exlibrisgroup.com/primo-explore/search?tab=default_tab&amp;search_scope=EVERYTHING&amp;vid=01CRU&amp;lang=en_US&amp;offset=0&amp;query=any,contains,991001948469702656","Catalog Record")</f>
        <v/>
      </c>
      <c r="AT719">
        <f>HYPERLINK("http://www.worldcat.org/oclc/24628586","WorldCat Record")</f>
        <v/>
      </c>
      <c r="AU719" t="inlineStr">
        <is>
          <t>836918972:eng</t>
        </is>
      </c>
      <c r="AV719" t="inlineStr">
        <is>
          <t>24628586</t>
        </is>
      </c>
      <c r="AW719" t="inlineStr">
        <is>
          <t>991001948469702656</t>
        </is>
      </c>
      <c r="AX719" t="inlineStr">
        <is>
          <t>991001948469702656</t>
        </is>
      </c>
      <c r="AY719" t="inlineStr">
        <is>
          <t>2261418900002656</t>
        </is>
      </c>
      <c r="AZ719" t="inlineStr">
        <is>
          <t>BOOK</t>
        </is>
      </c>
      <c r="BB719" t="inlineStr">
        <is>
          <t>9781560322665</t>
        </is>
      </c>
      <c r="BC719" t="inlineStr">
        <is>
          <t>32285001360485</t>
        </is>
      </c>
      <c r="BD719" t="inlineStr">
        <is>
          <t>893621748</t>
        </is>
      </c>
    </row>
    <row r="720">
      <c r="A720" t="inlineStr">
        <is>
          <t>No</t>
        </is>
      </c>
      <c r="B720" t="inlineStr">
        <is>
          <t>HQ1236 .H67 2009</t>
        </is>
      </c>
      <c r="C720" t="inlineStr">
        <is>
          <t>0                      HQ 1236000H  67          2009</t>
        </is>
      </c>
      <c r="D720" t="inlineStr">
        <is>
          <t>Created equal : voices on women's rights / Anna Horsbrugh-Porter.</t>
        </is>
      </c>
      <c r="F720" t="inlineStr">
        <is>
          <t>No</t>
        </is>
      </c>
      <c r="G720" t="inlineStr">
        <is>
          <t>1</t>
        </is>
      </c>
      <c r="H720" t="inlineStr">
        <is>
          <t>No</t>
        </is>
      </c>
      <c r="I720" t="inlineStr">
        <is>
          <t>No</t>
        </is>
      </c>
      <c r="J720" t="inlineStr">
        <is>
          <t>0</t>
        </is>
      </c>
      <c r="K720" t="inlineStr">
        <is>
          <t>Horsbrugh Porter, Anna, 1965-</t>
        </is>
      </c>
      <c r="L720" t="inlineStr">
        <is>
          <t>New York : Palgrave Macmillian ; London : In association with Amnesty International, 2009.</t>
        </is>
      </c>
      <c r="M720" t="inlineStr">
        <is>
          <t>2009</t>
        </is>
      </c>
      <c r="N720" t="inlineStr">
        <is>
          <t>1st ed.</t>
        </is>
      </c>
      <c r="O720" t="inlineStr">
        <is>
          <t>eng</t>
        </is>
      </c>
      <c r="P720" t="inlineStr">
        <is>
          <t>nyu</t>
        </is>
      </c>
      <c r="R720" t="inlineStr">
        <is>
          <t xml:space="preserve">HQ </t>
        </is>
      </c>
      <c r="S720" t="n">
        <v>1</v>
      </c>
      <c r="T720" t="n">
        <v>1</v>
      </c>
      <c r="U720" t="inlineStr">
        <is>
          <t>2010-09-27</t>
        </is>
      </c>
      <c r="V720" t="inlineStr">
        <is>
          <t>2010-09-27</t>
        </is>
      </c>
      <c r="W720" t="inlineStr">
        <is>
          <t>2010-09-27</t>
        </is>
      </c>
      <c r="X720" t="inlineStr">
        <is>
          <t>2010-09-27</t>
        </is>
      </c>
      <c r="Y720" t="n">
        <v>391</v>
      </c>
      <c r="Z720" t="n">
        <v>285</v>
      </c>
      <c r="AA720" t="n">
        <v>311</v>
      </c>
      <c r="AB720" t="n">
        <v>2</v>
      </c>
      <c r="AC720" t="n">
        <v>2</v>
      </c>
      <c r="AD720" t="n">
        <v>12</v>
      </c>
      <c r="AE720" t="n">
        <v>12</v>
      </c>
      <c r="AF720" t="n">
        <v>3</v>
      </c>
      <c r="AG720" t="n">
        <v>3</v>
      </c>
      <c r="AH720" t="n">
        <v>4</v>
      </c>
      <c r="AI720" t="n">
        <v>4</v>
      </c>
      <c r="AJ720" t="n">
        <v>8</v>
      </c>
      <c r="AK720" t="n">
        <v>8</v>
      </c>
      <c r="AL720" t="n">
        <v>1</v>
      </c>
      <c r="AM720" t="n">
        <v>1</v>
      </c>
      <c r="AN720" t="n">
        <v>1</v>
      </c>
      <c r="AO720" t="n">
        <v>1</v>
      </c>
      <c r="AP720" t="inlineStr">
        <is>
          <t>No</t>
        </is>
      </c>
      <c r="AQ720" t="inlineStr">
        <is>
          <t>No</t>
        </is>
      </c>
      <c r="AS720">
        <f>HYPERLINK("https://creighton-primo.hosted.exlibrisgroup.com/primo-explore/search?tab=default_tab&amp;search_scope=EVERYTHING&amp;vid=01CRU&amp;lang=en_US&amp;offset=0&amp;query=any,contains,991000142369702656","Catalog Record")</f>
        <v/>
      </c>
      <c r="AT720">
        <f>HYPERLINK("http://www.worldcat.org/oclc/313645498","WorldCat Record")</f>
        <v/>
      </c>
      <c r="AU720" t="inlineStr">
        <is>
          <t>797298181:eng</t>
        </is>
      </c>
      <c r="AV720" t="inlineStr">
        <is>
          <t>313645498</t>
        </is>
      </c>
      <c r="AW720" t="inlineStr">
        <is>
          <t>991000142369702656</t>
        </is>
      </c>
      <c r="AX720" t="inlineStr">
        <is>
          <t>991000142369702656</t>
        </is>
      </c>
      <c r="AY720" t="inlineStr">
        <is>
          <t>2255679020002656</t>
        </is>
      </c>
      <c r="AZ720" t="inlineStr">
        <is>
          <t>BOOK</t>
        </is>
      </c>
      <c r="BB720" t="inlineStr">
        <is>
          <t>9780230617339</t>
        </is>
      </c>
      <c r="BC720" t="inlineStr">
        <is>
          <t>32285005596738</t>
        </is>
      </c>
      <c r="BD720" t="inlineStr">
        <is>
          <t>893495958</t>
        </is>
      </c>
    </row>
    <row r="721">
      <c r="A721" t="inlineStr">
        <is>
          <t>No</t>
        </is>
      </c>
      <c r="B721" t="inlineStr">
        <is>
          <t>HQ1236 .H87 1995</t>
        </is>
      </c>
      <c r="C721" t="inlineStr">
        <is>
          <t>0                      HQ 1236000H  87          1995</t>
        </is>
      </c>
      <c r="D721" t="inlineStr">
        <is>
          <t>The Human Rights Watch global report on women's human rights / Human Rights Watch, Womens's Rights Project.</t>
        </is>
      </c>
      <c r="F721" t="inlineStr">
        <is>
          <t>No</t>
        </is>
      </c>
      <c r="G721" t="inlineStr">
        <is>
          <t>1</t>
        </is>
      </c>
      <c r="H721" t="inlineStr">
        <is>
          <t>No</t>
        </is>
      </c>
      <c r="I721" t="inlineStr">
        <is>
          <t>No</t>
        </is>
      </c>
      <c r="J721" t="inlineStr">
        <is>
          <t>0</t>
        </is>
      </c>
      <c r="L721" t="inlineStr">
        <is>
          <t>New York : Human Rights Watch, c1995.</t>
        </is>
      </c>
      <c r="M721" t="inlineStr">
        <is>
          <t>1995</t>
        </is>
      </c>
      <c r="O721" t="inlineStr">
        <is>
          <t>eng</t>
        </is>
      </c>
      <c r="P721" t="inlineStr">
        <is>
          <t>nyu</t>
        </is>
      </c>
      <c r="R721" t="inlineStr">
        <is>
          <t xml:space="preserve">HQ </t>
        </is>
      </c>
      <c r="S721" t="n">
        <v>4</v>
      </c>
      <c r="T721" t="n">
        <v>4</v>
      </c>
      <c r="U721" t="inlineStr">
        <is>
          <t>2006-09-20</t>
        </is>
      </c>
      <c r="V721" t="inlineStr">
        <is>
          <t>2006-09-20</t>
        </is>
      </c>
      <c r="W721" t="inlineStr">
        <is>
          <t>2001-06-11</t>
        </is>
      </c>
      <c r="X721" t="inlineStr">
        <is>
          <t>2001-06-11</t>
        </is>
      </c>
      <c r="Y721" t="n">
        <v>838</v>
      </c>
      <c r="Z721" t="n">
        <v>684</v>
      </c>
      <c r="AA721" t="n">
        <v>703</v>
      </c>
      <c r="AB721" t="n">
        <v>5</v>
      </c>
      <c r="AC721" t="n">
        <v>5</v>
      </c>
      <c r="AD721" t="n">
        <v>40</v>
      </c>
      <c r="AE721" t="n">
        <v>40</v>
      </c>
      <c r="AF721" t="n">
        <v>11</v>
      </c>
      <c r="AG721" t="n">
        <v>11</v>
      </c>
      <c r="AH721" t="n">
        <v>6</v>
      </c>
      <c r="AI721" t="n">
        <v>6</v>
      </c>
      <c r="AJ721" t="n">
        <v>17</v>
      </c>
      <c r="AK721" t="n">
        <v>17</v>
      </c>
      <c r="AL721" t="n">
        <v>4</v>
      </c>
      <c r="AM721" t="n">
        <v>4</v>
      </c>
      <c r="AN721" t="n">
        <v>11</v>
      </c>
      <c r="AO721" t="n">
        <v>11</v>
      </c>
      <c r="AP721" t="inlineStr">
        <is>
          <t>No</t>
        </is>
      </c>
      <c r="AQ721" t="inlineStr">
        <is>
          <t>No</t>
        </is>
      </c>
      <c r="AS721">
        <f>HYPERLINK("https://creighton-primo.hosted.exlibrisgroup.com/primo-explore/search?tab=default_tab&amp;search_scope=EVERYTHING&amp;vid=01CRU&amp;lang=en_US&amp;offset=0&amp;query=any,contains,991002543959702656","Catalog Record")</f>
        <v/>
      </c>
      <c r="AT721">
        <f>HYPERLINK("http://www.worldcat.org/oclc/33055329","WorldCat Record")</f>
        <v/>
      </c>
      <c r="AU721" t="inlineStr">
        <is>
          <t>55725250:eng</t>
        </is>
      </c>
      <c r="AV721" t="inlineStr">
        <is>
          <t>33055329</t>
        </is>
      </c>
      <c r="AW721" t="inlineStr">
        <is>
          <t>991002543959702656</t>
        </is>
      </c>
      <c r="AX721" t="inlineStr">
        <is>
          <t>991002543959702656</t>
        </is>
      </c>
      <c r="AY721" t="inlineStr">
        <is>
          <t>2272201040002656</t>
        </is>
      </c>
      <c r="AZ721" t="inlineStr">
        <is>
          <t>BOOK</t>
        </is>
      </c>
      <c r="BB721" t="inlineStr">
        <is>
          <t>9780300065466</t>
        </is>
      </c>
      <c r="BC721" t="inlineStr">
        <is>
          <t>32285002169471</t>
        </is>
      </c>
      <c r="BD721" t="inlineStr">
        <is>
          <t>893886430</t>
        </is>
      </c>
    </row>
    <row r="722">
      <c r="A722" t="inlineStr">
        <is>
          <t>No</t>
        </is>
      </c>
      <c r="B722" t="inlineStr">
        <is>
          <t>HQ1236 .J33 1998</t>
        </is>
      </c>
      <c r="C722" t="inlineStr">
        <is>
          <t>0                      HQ 1236000J  33          1998</t>
        </is>
      </c>
      <c r="D722" t="inlineStr">
        <is>
          <t>Destined for equality : the inevitable rise of women's status / Robert Max Jackson.</t>
        </is>
      </c>
      <c r="F722" t="inlineStr">
        <is>
          <t>No</t>
        </is>
      </c>
      <c r="G722" t="inlineStr">
        <is>
          <t>1</t>
        </is>
      </c>
      <c r="H722" t="inlineStr">
        <is>
          <t>No</t>
        </is>
      </c>
      <c r="I722" t="inlineStr">
        <is>
          <t>No</t>
        </is>
      </c>
      <c r="J722" t="inlineStr">
        <is>
          <t>0</t>
        </is>
      </c>
      <c r="K722" t="inlineStr">
        <is>
          <t>Jackson, Robert Max.</t>
        </is>
      </c>
      <c r="L722" t="inlineStr">
        <is>
          <t>Cambridge, Mass. : Harvard University Press, 1998.</t>
        </is>
      </c>
      <c r="M722" t="inlineStr">
        <is>
          <t>1998</t>
        </is>
      </c>
      <c r="O722" t="inlineStr">
        <is>
          <t>eng</t>
        </is>
      </c>
      <c r="P722" t="inlineStr">
        <is>
          <t>mau</t>
        </is>
      </c>
      <c r="R722" t="inlineStr">
        <is>
          <t xml:space="preserve">HQ </t>
        </is>
      </c>
      <c r="S722" t="n">
        <v>4</v>
      </c>
      <c r="T722" t="n">
        <v>4</v>
      </c>
      <c r="U722" t="inlineStr">
        <is>
          <t>2004-04-05</t>
        </is>
      </c>
      <c r="V722" t="inlineStr">
        <is>
          <t>2004-04-05</t>
        </is>
      </c>
      <c r="W722" t="inlineStr">
        <is>
          <t>1999-08-31</t>
        </is>
      </c>
      <c r="X722" t="inlineStr">
        <is>
          <t>1999-08-31</t>
        </is>
      </c>
      <c r="Y722" t="n">
        <v>673</v>
      </c>
      <c r="Z722" t="n">
        <v>587</v>
      </c>
      <c r="AA722" t="n">
        <v>615</v>
      </c>
      <c r="AB722" t="n">
        <v>2</v>
      </c>
      <c r="AC722" t="n">
        <v>3</v>
      </c>
      <c r="AD722" t="n">
        <v>33</v>
      </c>
      <c r="AE722" t="n">
        <v>35</v>
      </c>
      <c r="AF722" t="n">
        <v>12</v>
      </c>
      <c r="AG722" t="n">
        <v>12</v>
      </c>
      <c r="AH722" t="n">
        <v>10</v>
      </c>
      <c r="AI722" t="n">
        <v>10</v>
      </c>
      <c r="AJ722" t="n">
        <v>14</v>
      </c>
      <c r="AK722" t="n">
        <v>15</v>
      </c>
      <c r="AL722" t="n">
        <v>1</v>
      </c>
      <c r="AM722" t="n">
        <v>2</v>
      </c>
      <c r="AN722" t="n">
        <v>5</v>
      </c>
      <c r="AO722" t="n">
        <v>5</v>
      </c>
      <c r="AP722" t="inlineStr">
        <is>
          <t>No</t>
        </is>
      </c>
      <c r="AQ722" t="inlineStr">
        <is>
          <t>Yes</t>
        </is>
      </c>
      <c r="AR722">
        <f>HYPERLINK("http://catalog.hathitrust.org/Record/003985618","HathiTrust Record")</f>
        <v/>
      </c>
      <c r="AS722">
        <f>HYPERLINK("https://creighton-primo.hosted.exlibrisgroup.com/primo-explore/search?tab=default_tab&amp;search_scope=EVERYTHING&amp;vid=01CRU&amp;lang=en_US&amp;offset=0&amp;query=any,contains,991002896779702656","Catalog Record")</f>
        <v/>
      </c>
      <c r="AT722">
        <f>HYPERLINK("http://www.worldcat.org/oclc/38168304","WorldCat Record")</f>
        <v/>
      </c>
      <c r="AU722" t="inlineStr">
        <is>
          <t>198306424:eng</t>
        </is>
      </c>
      <c r="AV722" t="inlineStr">
        <is>
          <t>38168304</t>
        </is>
      </c>
      <c r="AW722" t="inlineStr">
        <is>
          <t>991002896779702656</t>
        </is>
      </c>
      <c r="AX722" t="inlineStr">
        <is>
          <t>991002896779702656</t>
        </is>
      </c>
      <c r="AY722" t="inlineStr">
        <is>
          <t>2268572470002656</t>
        </is>
      </c>
      <c r="AZ722" t="inlineStr">
        <is>
          <t>BOOK</t>
        </is>
      </c>
      <c r="BB722" t="inlineStr">
        <is>
          <t>9780674055117</t>
        </is>
      </c>
      <c r="BC722" t="inlineStr">
        <is>
          <t>32285003585113</t>
        </is>
      </c>
      <c r="BD722" t="inlineStr">
        <is>
          <t>893317406</t>
        </is>
      </c>
    </row>
    <row r="723">
      <c r="A723" t="inlineStr">
        <is>
          <t>No</t>
        </is>
      </c>
      <c r="B723" t="inlineStr">
        <is>
          <t>HQ1236 .J66 1993</t>
        </is>
      </c>
      <c r="C723" t="inlineStr">
        <is>
          <t>0                      HQ 1236000J  66          1993</t>
        </is>
      </c>
      <c r="D723" t="inlineStr">
        <is>
          <t>Compassionate authority : democracy and the representation of women / Kathleen B. Jones.</t>
        </is>
      </c>
      <c r="F723" t="inlineStr">
        <is>
          <t>No</t>
        </is>
      </c>
      <c r="G723" t="inlineStr">
        <is>
          <t>1</t>
        </is>
      </c>
      <c r="H723" t="inlineStr">
        <is>
          <t>No</t>
        </is>
      </c>
      <c r="I723" t="inlineStr">
        <is>
          <t>No</t>
        </is>
      </c>
      <c r="J723" t="inlineStr">
        <is>
          <t>0</t>
        </is>
      </c>
      <c r="K723" t="inlineStr">
        <is>
          <t>Jones, Kathleen B., 1949-</t>
        </is>
      </c>
      <c r="L723" t="inlineStr">
        <is>
          <t>New York : Routledge, 1993.</t>
        </is>
      </c>
      <c r="M723" t="inlineStr">
        <is>
          <t>1993</t>
        </is>
      </c>
      <c r="O723" t="inlineStr">
        <is>
          <t>eng</t>
        </is>
      </c>
      <c r="P723" t="inlineStr">
        <is>
          <t>nyu</t>
        </is>
      </c>
      <c r="R723" t="inlineStr">
        <is>
          <t xml:space="preserve">HQ </t>
        </is>
      </c>
      <c r="S723" t="n">
        <v>6</v>
      </c>
      <c r="T723" t="n">
        <v>6</v>
      </c>
      <c r="U723" t="inlineStr">
        <is>
          <t>1999-09-13</t>
        </is>
      </c>
      <c r="V723" t="inlineStr">
        <is>
          <t>1999-09-13</t>
        </is>
      </c>
      <c r="W723" t="inlineStr">
        <is>
          <t>1993-10-21</t>
        </is>
      </c>
      <c r="X723" t="inlineStr">
        <is>
          <t>1993-10-21</t>
        </is>
      </c>
      <c r="Y723" t="n">
        <v>420</v>
      </c>
      <c r="Z723" t="n">
        <v>287</v>
      </c>
      <c r="AA723" t="n">
        <v>293</v>
      </c>
      <c r="AB723" t="n">
        <v>5</v>
      </c>
      <c r="AC723" t="n">
        <v>5</v>
      </c>
      <c r="AD723" t="n">
        <v>20</v>
      </c>
      <c r="AE723" t="n">
        <v>20</v>
      </c>
      <c r="AF723" t="n">
        <v>6</v>
      </c>
      <c r="AG723" t="n">
        <v>6</v>
      </c>
      <c r="AH723" t="n">
        <v>7</v>
      </c>
      <c r="AI723" t="n">
        <v>7</v>
      </c>
      <c r="AJ723" t="n">
        <v>10</v>
      </c>
      <c r="AK723" t="n">
        <v>10</v>
      </c>
      <c r="AL723" t="n">
        <v>4</v>
      </c>
      <c r="AM723" t="n">
        <v>4</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HYPERLINK("https://creighton-primo.hosted.exlibrisgroup.com/primo-explore/search?tab=default_tab&amp;search_scope=EVERYTHING&amp;vid=01CRU&amp;lang=en_US&amp;offset=0&amp;query=any,contains,991002055099702656","Catalog Record")</f>
        <v/>
      </c>
      <c r="AT723">
        <f>HYPERLINK("http://www.worldcat.org/oclc/26258372","WorldCat Record")</f>
        <v/>
      </c>
      <c r="AU723" t="inlineStr">
        <is>
          <t>836926190:eng</t>
        </is>
      </c>
      <c r="AV723" t="inlineStr">
        <is>
          <t>26258372</t>
        </is>
      </c>
      <c r="AW723" t="inlineStr">
        <is>
          <t>991002055099702656</t>
        </is>
      </c>
      <c r="AX723" t="inlineStr">
        <is>
          <t>991002055099702656</t>
        </is>
      </c>
      <c r="AY723" t="inlineStr">
        <is>
          <t>2271738890002656</t>
        </is>
      </c>
      <c r="AZ723" t="inlineStr">
        <is>
          <t>BOOK</t>
        </is>
      </c>
      <c r="BB723" t="inlineStr">
        <is>
          <t>9780415906432</t>
        </is>
      </c>
      <c r="BC723" t="inlineStr">
        <is>
          <t>32285001787729</t>
        </is>
      </c>
      <c r="BD723" t="inlineStr">
        <is>
          <t>893238589</t>
        </is>
      </c>
    </row>
    <row r="724">
      <c r="A724" t="inlineStr">
        <is>
          <t>No</t>
        </is>
      </c>
      <c r="B724" t="inlineStr">
        <is>
          <t>HQ1236 .K47 1984</t>
        </is>
      </c>
      <c r="C724" t="inlineStr">
        <is>
          <t>0                      HQ 1236000K  47          1984</t>
        </is>
      </c>
      <c r="D724" t="inlineStr">
        <is>
          <t>Political equality in a democratic society : women in the United States / Mary Lou Kendrigan.</t>
        </is>
      </c>
      <c r="F724" t="inlineStr">
        <is>
          <t>No</t>
        </is>
      </c>
      <c r="G724" t="inlineStr">
        <is>
          <t>1</t>
        </is>
      </c>
      <c r="H724" t="inlineStr">
        <is>
          <t>No</t>
        </is>
      </c>
      <c r="I724" t="inlineStr">
        <is>
          <t>No</t>
        </is>
      </c>
      <c r="J724" t="inlineStr">
        <is>
          <t>0</t>
        </is>
      </c>
      <c r="K724" t="inlineStr">
        <is>
          <t>Kendrigan, Mary Lou.</t>
        </is>
      </c>
      <c r="L724" t="inlineStr">
        <is>
          <t>Westport, Conn. : Greenwood Press, 1984.</t>
        </is>
      </c>
      <c r="M724" t="inlineStr">
        <is>
          <t>1984</t>
        </is>
      </c>
      <c r="O724" t="inlineStr">
        <is>
          <t>eng</t>
        </is>
      </c>
      <c r="P724" t="inlineStr">
        <is>
          <t>ctu</t>
        </is>
      </c>
      <c r="Q724" t="inlineStr">
        <is>
          <t>Contributions in women's studies, 0147-104X ; no. 45</t>
        </is>
      </c>
      <c r="R724" t="inlineStr">
        <is>
          <t xml:space="preserve">HQ </t>
        </is>
      </c>
      <c r="S724" t="n">
        <v>13</v>
      </c>
      <c r="T724" t="n">
        <v>13</v>
      </c>
      <c r="U724" t="inlineStr">
        <is>
          <t>2003-10-16</t>
        </is>
      </c>
      <c r="V724" t="inlineStr">
        <is>
          <t>2003-10-16</t>
        </is>
      </c>
      <c r="W724" t="inlineStr">
        <is>
          <t>1990-07-05</t>
        </is>
      </c>
      <c r="X724" t="inlineStr">
        <is>
          <t>1990-07-05</t>
        </is>
      </c>
      <c r="Y724" t="n">
        <v>616</v>
      </c>
      <c r="Z724" t="n">
        <v>533</v>
      </c>
      <c r="AA724" t="n">
        <v>540</v>
      </c>
      <c r="AB724" t="n">
        <v>4</v>
      </c>
      <c r="AC724" t="n">
        <v>4</v>
      </c>
      <c r="AD724" t="n">
        <v>23</v>
      </c>
      <c r="AE724" t="n">
        <v>23</v>
      </c>
      <c r="AF724" t="n">
        <v>10</v>
      </c>
      <c r="AG724" t="n">
        <v>10</v>
      </c>
      <c r="AH724" t="n">
        <v>5</v>
      </c>
      <c r="AI724" t="n">
        <v>5</v>
      </c>
      <c r="AJ724" t="n">
        <v>10</v>
      </c>
      <c r="AK724" t="n">
        <v>10</v>
      </c>
      <c r="AL724" t="n">
        <v>3</v>
      </c>
      <c r="AM724" t="n">
        <v>3</v>
      </c>
      <c r="AN724" t="n">
        <v>0</v>
      </c>
      <c r="AO724" t="n">
        <v>0</v>
      </c>
      <c r="AP724" t="inlineStr">
        <is>
          <t>No</t>
        </is>
      </c>
      <c r="AQ724" t="inlineStr">
        <is>
          <t>Yes</t>
        </is>
      </c>
      <c r="AR724">
        <f>HYPERLINK("http://catalog.hathitrust.org/Record/000557013","HathiTrust Record")</f>
        <v/>
      </c>
      <c r="AS724">
        <f>HYPERLINK("https://creighton-primo.hosted.exlibrisgroup.com/primo-explore/search?tab=default_tab&amp;search_scope=EVERYTHING&amp;vid=01CRU&amp;lang=en_US&amp;offset=0&amp;query=any,contains,991000242299702656","Catalog Record")</f>
        <v/>
      </c>
      <c r="AT724">
        <f>HYPERLINK("http://www.worldcat.org/oclc/9685427","WorldCat Record")</f>
        <v/>
      </c>
      <c r="AU724" t="inlineStr">
        <is>
          <t>2604654:eng</t>
        </is>
      </c>
      <c r="AV724" t="inlineStr">
        <is>
          <t>9685427</t>
        </is>
      </c>
      <c r="AW724" t="inlineStr">
        <is>
          <t>991000242299702656</t>
        </is>
      </c>
      <c r="AX724" t="inlineStr">
        <is>
          <t>991000242299702656</t>
        </is>
      </c>
      <c r="AY724" t="inlineStr">
        <is>
          <t>2263219690002656</t>
        </is>
      </c>
      <c r="AZ724" t="inlineStr">
        <is>
          <t>BOOK</t>
        </is>
      </c>
      <c r="BB724" t="inlineStr">
        <is>
          <t>9780313237751</t>
        </is>
      </c>
      <c r="BC724" t="inlineStr">
        <is>
          <t>32285000221209</t>
        </is>
      </c>
      <c r="BD724" t="inlineStr">
        <is>
          <t>893527922</t>
        </is>
      </c>
    </row>
    <row r="725">
      <c r="A725" t="inlineStr">
        <is>
          <t>No</t>
        </is>
      </c>
      <c r="B725" t="inlineStr">
        <is>
          <t>HQ1236 .N48</t>
        </is>
      </c>
      <c r="C725" t="inlineStr">
        <is>
          <t>0                      HQ 1236000N  48</t>
        </is>
      </c>
      <c r="D725" t="inlineStr">
        <is>
          <t>Women in politics : a global review / Kathleen Newland.</t>
        </is>
      </c>
      <c r="F725" t="inlineStr">
        <is>
          <t>No</t>
        </is>
      </c>
      <c r="G725" t="inlineStr">
        <is>
          <t>1</t>
        </is>
      </c>
      <c r="H725" t="inlineStr">
        <is>
          <t>No</t>
        </is>
      </c>
      <c r="I725" t="inlineStr">
        <is>
          <t>No</t>
        </is>
      </c>
      <c r="J725" t="inlineStr">
        <is>
          <t>0</t>
        </is>
      </c>
      <c r="K725" t="inlineStr">
        <is>
          <t>Newland, Kathleen.</t>
        </is>
      </c>
      <c r="L725" t="inlineStr">
        <is>
          <t>[Washington] : Worldwatch Institute, 1975.</t>
        </is>
      </c>
      <c r="M725" t="inlineStr">
        <is>
          <t>1975</t>
        </is>
      </c>
      <c r="O725" t="inlineStr">
        <is>
          <t>eng</t>
        </is>
      </c>
      <c r="P725" t="inlineStr">
        <is>
          <t>dcu</t>
        </is>
      </c>
      <c r="Q725" t="inlineStr">
        <is>
          <t>Worldwatch paper ; 3</t>
        </is>
      </c>
      <c r="R725" t="inlineStr">
        <is>
          <t xml:space="preserve">HQ </t>
        </is>
      </c>
      <c r="S725" t="n">
        <v>4</v>
      </c>
      <c r="T725" t="n">
        <v>4</v>
      </c>
      <c r="U725" t="inlineStr">
        <is>
          <t>2007-02-28</t>
        </is>
      </c>
      <c r="V725" t="inlineStr">
        <is>
          <t>2007-02-28</t>
        </is>
      </c>
      <c r="W725" t="inlineStr">
        <is>
          <t>1993-04-28</t>
        </is>
      </c>
      <c r="X725" t="inlineStr">
        <is>
          <t>1993-04-28</t>
        </is>
      </c>
      <c r="Y725" t="n">
        <v>390</v>
      </c>
      <c r="Z725" t="n">
        <v>310</v>
      </c>
      <c r="AA725" t="n">
        <v>313</v>
      </c>
      <c r="AB725" t="n">
        <v>3</v>
      </c>
      <c r="AC725" t="n">
        <v>3</v>
      </c>
      <c r="AD725" t="n">
        <v>13</v>
      </c>
      <c r="AE725" t="n">
        <v>13</v>
      </c>
      <c r="AF725" t="n">
        <v>5</v>
      </c>
      <c r="AG725" t="n">
        <v>5</v>
      </c>
      <c r="AH725" t="n">
        <v>4</v>
      </c>
      <c r="AI725" t="n">
        <v>4</v>
      </c>
      <c r="AJ725" t="n">
        <v>7</v>
      </c>
      <c r="AK725" t="n">
        <v>7</v>
      </c>
      <c r="AL725" t="n">
        <v>2</v>
      </c>
      <c r="AM725" t="n">
        <v>2</v>
      </c>
      <c r="AN725" t="n">
        <v>0</v>
      </c>
      <c r="AO725" t="n">
        <v>0</v>
      </c>
      <c r="AP725" t="inlineStr">
        <is>
          <t>No</t>
        </is>
      </c>
      <c r="AQ725" t="inlineStr">
        <is>
          <t>Yes</t>
        </is>
      </c>
      <c r="AR725">
        <f>HYPERLINK("http://catalog.hathitrust.org/Record/009515050","HathiTrust Record")</f>
        <v/>
      </c>
      <c r="AS725">
        <f>HYPERLINK("https://creighton-primo.hosted.exlibrisgroup.com/primo-explore/search?tab=default_tab&amp;search_scope=EVERYTHING&amp;vid=01CRU&amp;lang=en_US&amp;offset=0&amp;query=any,contains,991004042879702656","Catalog Record")</f>
        <v/>
      </c>
      <c r="AT725">
        <f>HYPERLINK("http://www.worldcat.org/oclc/2189557","WorldCat Record")</f>
        <v/>
      </c>
      <c r="AU725" t="inlineStr">
        <is>
          <t>196736463:eng</t>
        </is>
      </c>
      <c r="AV725" t="inlineStr">
        <is>
          <t>2189557</t>
        </is>
      </c>
      <c r="AW725" t="inlineStr">
        <is>
          <t>991004042879702656</t>
        </is>
      </c>
      <c r="AX725" t="inlineStr">
        <is>
          <t>991004042879702656</t>
        </is>
      </c>
      <c r="AY725" t="inlineStr">
        <is>
          <t>2265419410002656</t>
        </is>
      </c>
      <c r="AZ725" t="inlineStr">
        <is>
          <t>BOOK</t>
        </is>
      </c>
      <c r="BB725" t="inlineStr">
        <is>
          <t>9780916468026</t>
        </is>
      </c>
      <c r="BC725" t="inlineStr">
        <is>
          <t>32285001629574</t>
        </is>
      </c>
      <c r="BD725" t="inlineStr">
        <is>
          <t>893435826</t>
        </is>
      </c>
    </row>
    <row r="726">
      <c r="A726" t="inlineStr">
        <is>
          <t>No</t>
        </is>
      </c>
      <c r="B726" t="inlineStr">
        <is>
          <t>HQ1236 .N67 1987</t>
        </is>
      </c>
      <c r="C726" t="inlineStr">
        <is>
          <t>0                      HQ 1236000N  67          1987</t>
        </is>
      </c>
      <c r="D726" t="inlineStr">
        <is>
          <t>Politics and sexual equality : the comparative position of women in Western democracies / Pippa Norris.</t>
        </is>
      </c>
      <c r="F726" t="inlineStr">
        <is>
          <t>No</t>
        </is>
      </c>
      <c r="G726" t="inlineStr">
        <is>
          <t>1</t>
        </is>
      </c>
      <c r="H726" t="inlineStr">
        <is>
          <t>No</t>
        </is>
      </c>
      <c r="I726" t="inlineStr">
        <is>
          <t>No</t>
        </is>
      </c>
      <c r="J726" t="inlineStr">
        <is>
          <t>0</t>
        </is>
      </c>
      <c r="K726" t="inlineStr">
        <is>
          <t>Norris, Pippa.</t>
        </is>
      </c>
      <c r="L726" t="inlineStr">
        <is>
          <t>Boulder : Rienner ; Brighton, Sussex : Wheatsheaf Books, 1987.</t>
        </is>
      </c>
      <c r="M726" t="inlineStr">
        <is>
          <t>1987</t>
        </is>
      </c>
      <c r="O726" t="inlineStr">
        <is>
          <t>eng</t>
        </is>
      </c>
      <c r="P726" t="inlineStr">
        <is>
          <t>cou</t>
        </is>
      </c>
      <c r="R726" t="inlineStr">
        <is>
          <t xml:space="preserve">HQ </t>
        </is>
      </c>
      <c r="S726" t="n">
        <v>11</v>
      </c>
      <c r="T726" t="n">
        <v>11</v>
      </c>
      <c r="U726" t="inlineStr">
        <is>
          <t>2006-03-22</t>
        </is>
      </c>
      <c r="V726" t="inlineStr">
        <is>
          <t>2006-03-22</t>
        </is>
      </c>
      <c r="W726" t="inlineStr">
        <is>
          <t>1990-07-05</t>
        </is>
      </c>
      <c r="X726" t="inlineStr">
        <is>
          <t>1990-07-05</t>
        </is>
      </c>
      <c r="Y726" t="n">
        <v>550</v>
      </c>
      <c r="Z726" t="n">
        <v>424</v>
      </c>
      <c r="AA726" t="n">
        <v>439</v>
      </c>
      <c r="AB726" t="n">
        <v>4</v>
      </c>
      <c r="AC726" t="n">
        <v>4</v>
      </c>
      <c r="AD726" t="n">
        <v>22</v>
      </c>
      <c r="AE726" t="n">
        <v>22</v>
      </c>
      <c r="AF726" t="n">
        <v>8</v>
      </c>
      <c r="AG726" t="n">
        <v>8</v>
      </c>
      <c r="AH726" t="n">
        <v>6</v>
      </c>
      <c r="AI726" t="n">
        <v>6</v>
      </c>
      <c r="AJ726" t="n">
        <v>9</v>
      </c>
      <c r="AK726" t="n">
        <v>9</v>
      </c>
      <c r="AL726" t="n">
        <v>3</v>
      </c>
      <c r="AM726" t="n">
        <v>3</v>
      </c>
      <c r="AN726" t="n">
        <v>1</v>
      </c>
      <c r="AO726" t="n">
        <v>1</v>
      </c>
      <c r="AP726" t="inlineStr">
        <is>
          <t>No</t>
        </is>
      </c>
      <c r="AQ726" t="inlineStr">
        <is>
          <t>No</t>
        </is>
      </c>
      <c r="AS726">
        <f>HYPERLINK("https://creighton-primo.hosted.exlibrisgroup.com/primo-explore/search?tab=default_tab&amp;search_scope=EVERYTHING&amp;vid=01CRU&amp;lang=en_US&amp;offset=0&amp;query=any,contains,991001029899702656","Catalog Record")</f>
        <v/>
      </c>
      <c r="AT726">
        <f>HYPERLINK("http://www.worldcat.org/oclc/15489921","WorldCat Record")</f>
        <v/>
      </c>
      <c r="AU726" t="inlineStr">
        <is>
          <t>44362497:eng</t>
        </is>
      </c>
      <c r="AV726" t="inlineStr">
        <is>
          <t>15489921</t>
        </is>
      </c>
      <c r="AW726" t="inlineStr">
        <is>
          <t>991001029899702656</t>
        </is>
      </c>
      <c r="AX726" t="inlineStr">
        <is>
          <t>991001029899702656</t>
        </is>
      </c>
      <c r="AY726" t="inlineStr">
        <is>
          <t>2272599250002656</t>
        </is>
      </c>
      <c r="AZ726" t="inlineStr">
        <is>
          <t>BOOK</t>
        </is>
      </c>
      <c r="BB726" t="inlineStr">
        <is>
          <t>9781555870720</t>
        </is>
      </c>
      <c r="BC726" t="inlineStr">
        <is>
          <t>32285000221217</t>
        </is>
      </c>
      <c r="BD726" t="inlineStr">
        <is>
          <t>893608484</t>
        </is>
      </c>
    </row>
    <row r="727">
      <c r="A727" t="inlineStr">
        <is>
          <t>No</t>
        </is>
      </c>
      <c r="B727" t="inlineStr">
        <is>
          <t>HQ1236 .P45 1999</t>
        </is>
      </c>
      <c r="C727" t="inlineStr">
        <is>
          <t>0                      HQ 1236000P  45          1999</t>
        </is>
      </c>
      <c r="D727" t="inlineStr">
        <is>
          <t>Global gender issues / V. Spike Peterson and Anne Sisson Runyan.</t>
        </is>
      </c>
      <c r="F727" t="inlineStr">
        <is>
          <t>No</t>
        </is>
      </c>
      <c r="G727" t="inlineStr">
        <is>
          <t>1</t>
        </is>
      </c>
      <c r="H727" t="inlineStr">
        <is>
          <t>No</t>
        </is>
      </c>
      <c r="I727" t="inlineStr">
        <is>
          <t>No</t>
        </is>
      </c>
      <c r="J727" t="inlineStr">
        <is>
          <t>0</t>
        </is>
      </c>
      <c r="K727" t="inlineStr">
        <is>
          <t>Peterson, V. Spike.</t>
        </is>
      </c>
      <c r="L727" t="inlineStr">
        <is>
          <t>Boulder, CO : Westview Press, c1999.</t>
        </is>
      </c>
      <c r="M727" t="inlineStr">
        <is>
          <t>1999</t>
        </is>
      </c>
      <c r="N727" t="inlineStr">
        <is>
          <t>2nd ed.</t>
        </is>
      </c>
      <c r="O727" t="inlineStr">
        <is>
          <t>eng</t>
        </is>
      </c>
      <c r="P727" t="inlineStr">
        <is>
          <t>cou</t>
        </is>
      </c>
      <c r="Q727" t="inlineStr">
        <is>
          <t>Dilemmas in world politics</t>
        </is>
      </c>
      <c r="R727" t="inlineStr">
        <is>
          <t xml:space="preserve">HQ </t>
        </is>
      </c>
      <c r="S727" t="n">
        <v>5</v>
      </c>
      <c r="T727" t="n">
        <v>5</v>
      </c>
      <c r="U727" t="inlineStr">
        <is>
          <t>2006-09-20</t>
        </is>
      </c>
      <c r="V727" t="inlineStr">
        <is>
          <t>2006-09-20</t>
        </is>
      </c>
      <c r="W727" t="inlineStr">
        <is>
          <t>2003-09-26</t>
        </is>
      </c>
      <c r="X727" t="inlineStr">
        <is>
          <t>2003-09-26</t>
        </is>
      </c>
      <c r="Y727" t="n">
        <v>353</v>
      </c>
      <c r="Z727" t="n">
        <v>235</v>
      </c>
      <c r="AA727" t="n">
        <v>441</v>
      </c>
      <c r="AB727" t="n">
        <v>2</v>
      </c>
      <c r="AC727" t="n">
        <v>3</v>
      </c>
      <c r="AD727" t="n">
        <v>12</v>
      </c>
      <c r="AE727" t="n">
        <v>27</v>
      </c>
      <c r="AF727" t="n">
        <v>5</v>
      </c>
      <c r="AG727" t="n">
        <v>10</v>
      </c>
      <c r="AH727" t="n">
        <v>4</v>
      </c>
      <c r="AI727" t="n">
        <v>8</v>
      </c>
      <c r="AJ727" t="n">
        <v>9</v>
      </c>
      <c r="AK727" t="n">
        <v>16</v>
      </c>
      <c r="AL727" t="n">
        <v>1</v>
      </c>
      <c r="AM727" t="n">
        <v>2</v>
      </c>
      <c r="AN727" t="n">
        <v>0</v>
      </c>
      <c r="AO727" t="n">
        <v>1</v>
      </c>
      <c r="AP727" t="inlineStr">
        <is>
          <t>No</t>
        </is>
      </c>
      <c r="AQ727" t="inlineStr">
        <is>
          <t>No</t>
        </is>
      </c>
      <c r="AS727">
        <f>HYPERLINK("https://creighton-primo.hosted.exlibrisgroup.com/primo-explore/search?tab=default_tab&amp;search_scope=EVERYTHING&amp;vid=01CRU&amp;lang=en_US&amp;offset=0&amp;query=any,contains,991004137339702656","Catalog Record")</f>
        <v/>
      </c>
      <c r="AT727">
        <f>HYPERLINK("http://www.worldcat.org/oclc/39733756","WorldCat Record")</f>
        <v/>
      </c>
      <c r="AU727" t="inlineStr">
        <is>
          <t>1378495304:eng</t>
        </is>
      </c>
      <c r="AV727" t="inlineStr">
        <is>
          <t>39733756</t>
        </is>
      </c>
      <c r="AW727" t="inlineStr">
        <is>
          <t>991004137339702656</t>
        </is>
      </c>
      <c r="AX727" t="inlineStr">
        <is>
          <t>991004137339702656</t>
        </is>
      </c>
      <c r="AY727" t="inlineStr">
        <is>
          <t>2257187770002656</t>
        </is>
      </c>
      <c r="AZ727" t="inlineStr">
        <is>
          <t>BOOK</t>
        </is>
      </c>
      <c r="BB727" t="inlineStr">
        <is>
          <t>9780813368528</t>
        </is>
      </c>
      <c r="BC727" t="inlineStr">
        <is>
          <t>32285004791777</t>
        </is>
      </c>
      <c r="BD727" t="inlineStr">
        <is>
          <t>893869335</t>
        </is>
      </c>
    </row>
    <row r="728">
      <c r="A728" t="inlineStr">
        <is>
          <t>No</t>
        </is>
      </c>
      <c r="B728" t="inlineStr">
        <is>
          <t>HQ1236 .P46</t>
        </is>
      </c>
      <c r="C728" t="inlineStr">
        <is>
          <t>0                      HQ 1236000P  46</t>
        </is>
      </c>
      <c r="D728" t="inlineStr">
        <is>
          <t>Political women in Japan : the search for a place in political life / Susan J. Pharr.</t>
        </is>
      </c>
      <c r="F728" t="inlineStr">
        <is>
          <t>No</t>
        </is>
      </c>
      <c r="G728" t="inlineStr">
        <is>
          <t>1</t>
        </is>
      </c>
      <c r="H728" t="inlineStr">
        <is>
          <t>No</t>
        </is>
      </c>
      <c r="I728" t="inlineStr">
        <is>
          <t>No</t>
        </is>
      </c>
      <c r="J728" t="inlineStr">
        <is>
          <t>0</t>
        </is>
      </c>
      <c r="K728" t="inlineStr">
        <is>
          <t>Pharr, Susan J.</t>
        </is>
      </c>
      <c r="L728" t="inlineStr">
        <is>
          <t>Berkeley ; London : University of California Press, c1981.</t>
        </is>
      </c>
      <c r="M728" t="inlineStr">
        <is>
          <t>1981</t>
        </is>
      </c>
      <c r="O728" t="inlineStr">
        <is>
          <t>eng</t>
        </is>
      </c>
      <c r="P728" t="inlineStr">
        <is>
          <t>cau</t>
        </is>
      </c>
      <c r="R728" t="inlineStr">
        <is>
          <t xml:space="preserve">HQ </t>
        </is>
      </c>
      <c r="S728" t="n">
        <v>6</v>
      </c>
      <c r="T728" t="n">
        <v>6</v>
      </c>
      <c r="U728" t="inlineStr">
        <is>
          <t>2005-11-29</t>
        </is>
      </c>
      <c r="V728" t="inlineStr">
        <is>
          <t>2005-11-29</t>
        </is>
      </c>
      <c r="W728" t="inlineStr">
        <is>
          <t>1993-04-28</t>
        </is>
      </c>
      <c r="X728" t="inlineStr">
        <is>
          <t>1993-04-28</t>
        </is>
      </c>
      <c r="Y728" t="n">
        <v>623</v>
      </c>
      <c r="Z728" t="n">
        <v>498</v>
      </c>
      <c r="AA728" t="n">
        <v>524</v>
      </c>
      <c r="AB728" t="n">
        <v>3</v>
      </c>
      <c r="AC728" t="n">
        <v>3</v>
      </c>
      <c r="AD728" t="n">
        <v>23</v>
      </c>
      <c r="AE728" t="n">
        <v>24</v>
      </c>
      <c r="AF728" t="n">
        <v>9</v>
      </c>
      <c r="AG728" t="n">
        <v>10</v>
      </c>
      <c r="AH728" t="n">
        <v>5</v>
      </c>
      <c r="AI728" t="n">
        <v>5</v>
      </c>
      <c r="AJ728" t="n">
        <v>12</v>
      </c>
      <c r="AK728" t="n">
        <v>13</v>
      </c>
      <c r="AL728" t="n">
        <v>2</v>
      </c>
      <c r="AM728" t="n">
        <v>2</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HYPERLINK("https://creighton-primo.hosted.exlibrisgroup.com/primo-explore/search?tab=default_tab&amp;search_scope=EVERYTHING&amp;vid=01CRU&amp;lang=en_US&amp;offset=0&amp;query=any,contains,991004937759702656","Catalog Record")</f>
        <v/>
      </c>
      <c r="AT728">
        <f>HYPERLINK("http://www.worldcat.org/oclc/6144326","WorldCat Record")</f>
        <v/>
      </c>
      <c r="AU728" t="inlineStr">
        <is>
          <t>810906381:eng</t>
        </is>
      </c>
      <c r="AV728" t="inlineStr">
        <is>
          <t>6144326</t>
        </is>
      </c>
      <c r="AW728" t="inlineStr">
        <is>
          <t>991004937759702656</t>
        </is>
      </c>
      <c r="AX728" t="inlineStr">
        <is>
          <t>991004937759702656</t>
        </is>
      </c>
      <c r="AY728" t="inlineStr">
        <is>
          <t>2260463630002656</t>
        </is>
      </c>
      <c r="AZ728" t="inlineStr">
        <is>
          <t>BOOK</t>
        </is>
      </c>
      <c r="BB728" t="inlineStr">
        <is>
          <t>9780520040717</t>
        </is>
      </c>
      <c r="BC728" t="inlineStr">
        <is>
          <t>32285001629582</t>
        </is>
      </c>
      <c r="BD728" t="inlineStr">
        <is>
          <t>893801521</t>
        </is>
      </c>
    </row>
    <row r="729">
      <c r="A729" t="inlineStr">
        <is>
          <t>No</t>
        </is>
      </c>
      <c r="B729" t="inlineStr">
        <is>
          <t>HQ1236 .P63 1997</t>
        </is>
      </c>
      <c r="C729" t="inlineStr">
        <is>
          <t>0                      HQ 1236000P  63          1997</t>
        </is>
      </c>
      <c r="D729" t="inlineStr">
        <is>
          <t>The politics of motherhood : activist voices from left to right / edited by Alexis Jetter, Annelise Orleck, and Diana Taylor.</t>
        </is>
      </c>
      <c r="F729" t="inlineStr">
        <is>
          <t>No</t>
        </is>
      </c>
      <c r="G729" t="inlineStr">
        <is>
          <t>1</t>
        </is>
      </c>
      <c r="H729" t="inlineStr">
        <is>
          <t>No</t>
        </is>
      </c>
      <c r="I729" t="inlineStr">
        <is>
          <t>No</t>
        </is>
      </c>
      <c r="J729" t="inlineStr">
        <is>
          <t>0</t>
        </is>
      </c>
      <c r="L729" t="inlineStr">
        <is>
          <t>Hanover : Dartmouth College : University Press of New England, c1997.</t>
        </is>
      </c>
      <c r="M729" t="inlineStr">
        <is>
          <t>1997</t>
        </is>
      </c>
      <c r="O729" t="inlineStr">
        <is>
          <t>eng</t>
        </is>
      </c>
      <c r="P729" t="inlineStr">
        <is>
          <t>nhu</t>
        </is>
      </c>
      <c r="R729" t="inlineStr">
        <is>
          <t xml:space="preserve">HQ </t>
        </is>
      </c>
      <c r="S729" t="n">
        <v>1</v>
      </c>
      <c r="T729" t="n">
        <v>1</v>
      </c>
      <c r="U729" t="inlineStr">
        <is>
          <t>2010-03-24</t>
        </is>
      </c>
      <c r="V729" t="inlineStr">
        <is>
          <t>2010-03-24</t>
        </is>
      </c>
      <c r="W729" t="inlineStr">
        <is>
          <t>2007-01-03</t>
        </is>
      </c>
      <c r="X729" t="inlineStr">
        <is>
          <t>2007-01-03</t>
        </is>
      </c>
      <c r="Y729" t="n">
        <v>386</v>
      </c>
      <c r="Z729" t="n">
        <v>321</v>
      </c>
      <c r="AA729" t="n">
        <v>935</v>
      </c>
      <c r="AB729" t="n">
        <v>4</v>
      </c>
      <c r="AC729" t="n">
        <v>5</v>
      </c>
      <c r="AD729" t="n">
        <v>21</v>
      </c>
      <c r="AE729" t="n">
        <v>26</v>
      </c>
      <c r="AF729" t="n">
        <v>4</v>
      </c>
      <c r="AG729" t="n">
        <v>8</v>
      </c>
      <c r="AH729" t="n">
        <v>7</v>
      </c>
      <c r="AI729" t="n">
        <v>7</v>
      </c>
      <c r="AJ729" t="n">
        <v>11</v>
      </c>
      <c r="AK729" t="n">
        <v>11</v>
      </c>
      <c r="AL729" t="n">
        <v>3</v>
      </c>
      <c r="AM729" t="n">
        <v>4</v>
      </c>
      <c r="AN729" t="n">
        <v>1</v>
      </c>
      <c r="AO729" t="n">
        <v>1</v>
      </c>
      <c r="AP729" t="inlineStr">
        <is>
          <t>No</t>
        </is>
      </c>
      <c r="AQ729" t="inlineStr">
        <is>
          <t>Yes</t>
        </is>
      </c>
      <c r="AR729">
        <f>HYPERLINK("http://catalog.hathitrust.org/Record/003135545","HathiTrust Record")</f>
        <v/>
      </c>
      <c r="AS729">
        <f>HYPERLINK("https://creighton-primo.hosted.exlibrisgroup.com/primo-explore/search?tab=default_tab&amp;search_scope=EVERYTHING&amp;vid=01CRU&amp;lang=en_US&amp;offset=0&amp;query=any,contains,991004994619702656","Catalog Record")</f>
        <v/>
      </c>
      <c r="AT729">
        <f>HYPERLINK("http://www.worldcat.org/oclc/34965677","WorldCat Record")</f>
        <v/>
      </c>
      <c r="AU729" t="inlineStr">
        <is>
          <t>799790751:eng</t>
        </is>
      </c>
      <c r="AV729" t="inlineStr">
        <is>
          <t>34965677</t>
        </is>
      </c>
      <c r="AW729" t="inlineStr">
        <is>
          <t>991004994619702656</t>
        </is>
      </c>
      <c r="AX729" t="inlineStr">
        <is>
          <t>991004994619702656</t>
        </is>
      </c>
      <c r="AY729" t="inlineStr">
        <is>
          <t>2261459450002656</t>
        </is>
      </c>
      <c r="AZ729" t="inlineStr">
        <is>
          <t>BOOK</t>
        </is>
      </c>
      <c r="BB729" t="inlineStr">
        <is>
          <t>9780874517798</t>
        </is>
      </c>
      <c r="BC729" t="inlineStr">
        <is>
          <t>32285005268197</t>
        </is>
      </c>
      <c r="BD729" t="inlineStr">
        <is>
          <t>893694592</t>
        </is>
      </c>
    </row>
    <row r="730">
      <c r="A730" t="inlineStr">
        <is>
          <t>No</t>
        </is>
      </c>
      <c r="B730" t="inlineStr">
        <is>
          <t>HQ1236 .R26 1982b</t>
        </is>
      </c>
      <c r="C730" t="inlineStr">
        <is>
          <t>0                      HQ 1236000R  26          1982b</t>
        </is>
      </c>
      <c r="D730" t="inlineStr">
        <is>
          <t>Women and politics / Vicky Randall.</t>
        </is>
      </c>
      <c r="F730" t="inlineStr">
        <is>
          <t>No</t>
        </is>
      </c>
      <c r="G730" t="inlineStr">
        <is>
          <t>1</t>
        </is>
      </c>
      <c r="H730" t="inlineStr">
        <is>
          <t>No</t>
        </is>
      </c>
      <c r="I730" t="inlineStr">
        <is>
          <t>Yes</t>
        </is>
      </c>
      <c r="J730" t="inlineStr">
        <is>
          <t>0</t>
        </is>
      </c>
      <c r="K730" t="inlineStr">
        <is>
          <t>Randall, Vicky.</t>
        </is>
      </c>
      <c r="L730" t="inlineStr">
        <is>
          <t>London : Macmillan Press, 1982.</t>
        </is>
      </c>
      <c r="M730" t="inlineStr">
        <is>
          <t>1982</t>
        </is>
      </c>
      <c r="O730" t="inlineStr">
        <is>
          <t>eng</t>
        </is>
      </c>
      <c r="P730" t="inlineStr">
        <is>
          <t>enk</t>
        </is>
      </c>
      <c r="R730" t="inlineStr">
        <is>
          <t xml:space="preserve">HQ </t>
        </is>
      </c>
      <c r="S730" t="n">
        <v>9</v>
      </c>
      <c r="T730" t="n">
        <v>9</v>
      </c>
      <c r="U730" t="inlineStr">
        <is>
          <t>2003-10-16</t>
        </is>
      </c>
      <c r="V730" t="inlineStr">
        <is>
          <t>2003-10-16</t>
        </is>
      </c>
      <c r="W730" t="inlineStr">
        <is>
          <t>1990-07-05</t>
        </is>
      </c>
      <c r="X730" t="inlineStr">
        <is>
          <t>1990-07-05</t>
        </is>
      </c>
      <c r="Y730" t="n">
        <v>223</v>
      </c>
      <c r="Z730" t="n">
        <v>101</v>
      </c>
      <c r="AA730" t="n">
        <v>648</v>
      </c>
      <c r="AB730" t="n">
        <v>1</v>
      </c>
      <c r="AC730" t="n">
        <v>5</v>
      </c>
      <c r="AD730" t="n">
        <v>0</v>
      </c>
      <c r="AE730" t="n">
        <v>30</v>
      </c>
      <c r="AF730" t="n">
        <v>0</v>
      </c>
      <c r="AG730" t="n">
        <v>13</v>
      </c>
      <c r="AH730" t="n">
        <v>0</v>
      </c>
      <c r="AI730" t="n">
        <v>7</v>
      </c>
      <c r="AJ730" t="n">
        <v>0</v>
      </c>
      <c r="AK730" t="n">
        <v>14</v>
      </c>
      <c r="AL730" t="n">
        <v>0</v>
      </c>
      <c r="AM730" t="n">
        <v>4</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HYPERLINK("https://creighton-primo.hosted.exlibrisgroup.com/primo-explore/search?tab=default_tab&amp;search_scope=EVERYTHING&amp;vid=01CRU&amp;lang=en_US&amp;offset=0&amp;query=any,contains,991000114239702656","Catalog Record")</f>
        <v/>
      </c>
      <c r="AT730">
        <f>HYPERLINK("http://www.worldcat.org/oclc/9023124","WorldCat Record")</f>
        <v/>
      </c>
      <c r="AU730" t="inlineStr">
        <is>
          <t>12812459:eng</t>
        </is>
      </c>
      <c r="AV730" t="inlineStr">
        <is>
          <t>9023124</t>
        </is>
      </c>
      <c r="AW730" t="inlineStr">
        <is>
          <t>991000114239702656</t>
        </is>
      </c>
      <c r="AX730" t="inlineStr">
        <is>
          <t>991000114239702656</t>
        </is>
      </c>
      <c r="AY730" t="inlineStr">
        <is>
          <t>2261521370002656</t>
        </is>
      </c>
      <c r="AZ730" t="inlineStr">
        <is>
          <t>BOOK</t>
        </is>
      </c>
      <c r="BB730" t="inlineStr">
        <is>
          <t>9780333307144</t>
        </is>
      </c>
      <c r="BC730" t="inlineStr">
        <is>
          <t>32285000221225</t>
        </is>
      </c>
      <c r="BD730" t="inlineStr">
        <is>
          <t>893689438</t>
        </is>
      </c>
    </row>
    <row r="731">
      <c r="A731" t="inlineStr">
        <is>
          <t>No</t>
        </is>
      </c>
      <c r="B731" t="inlineStr">
        <is>
          <t>HQ1236 .R26 1987</t>
        </is>
      </c>
      <c r="C731" t="inlineStr">
        <is>
          <t>0                      HQ 1236000R  26          1987</t>
        </is>
      </c>
      <c r="D731" t="inlineStr">
        <is>
          <t>Women and politics : an international perspective / Vicky Randall.</t>
        </is>
      </c>
      <c r="F731" t="inlineStr">
        <is>
          <t>No</t>
        </is>
      </c>
      <c r="G731" t="inlineStr">
        <is>
          <t>1</t>
        </is>
      </c>
      <c r="H731" t="inlineStr">
        <is>
          <t>No</t>
        </is>
      </c>
      <c r="I731" t="inlineStr">
        <is>
          <t>Yes</t>
        </is>
      </c>
      <c r="J731" t="inlineStr">
        <is>
          <t>0</t>
        </is>
      </c>
      <c r="K731" t="inlineStr">
        <is>
          <t>Randall, Vicky.</t>
        </is>
      </c>
      <c r="L731" t="inlineStr">
        <is>
          <t>Chicago : University of Chicago Press, 1987.</t>
        </is>
      </c>
      <c r="M731" t="inlineStr">
        <is>
          <t>1987</t>
        </is>
      </c>
      <c r="N731" t="inlineStr">
        <is>
          <t>2nd ed.</t>
        </is>
      </c>
      <c r="O731" t="inlineStr">
        <is>
          <t>eng</t>
        </is>
      </c>
      <c r="P731" t="inlineStr">
        <is>
          <t>ilu</t>
        </is>
      </c>
      <c r="R731" t="inlineStr">
        <is>
          <t xml:space="preserve">HQ </t>
        </is>
      </c>
      <c r="S731" t="n">
        <v>17</v>
      </c>
      <c r="T731" t="n">
        <v>17</v>
      </c>
      <c r="U731" t="inlineStr">
        <is>
          <t>2006-03-22</t>
        </is>
      </c>
      <c r="V731" t="inlineStr">
        <is>
          <t>2006-03-22</t>
        </is>
      </c>
      <c r="W731" t="inlineStr">
        <is>
          <t>1990-05-24</t>
        </is>
      </c>
      <c r="X731" t="inlineStr">
        <is>
          <t>1990-05-24</t>
        </is>
      </c>
      <c r="Y731" t="n">
        <v>381</v>
      </c>
      <c r="Z731" t="n">
        <v>321</v>
      </c>
      <c r="AA731" t="n">
        <v>648</v>
      </c>
      <c r="AB731" t="n">
        <v>2</v>
      </c>
      <c r="AC731" t="n">
        <v>5</v>
      </c>
      <c r="AD731" t="n">
        <v>12</v>
      </c>
      <c r="AE731" t="n">
        <v>30</v>
      </c>
      <c r="AF731" t="n">
        <v>4</v>
      </c>
      <c r="AG731" t="n">
        <v>13</v>
      </c>
      <c r="AH731" t="n">
        <v>3</v>
      </c>
      <c r="AI731" t="n">
        <v>7</v>
      </c>
      <c r="AJ731" t="n">
        <v>7</v>
      </c>
      <c r="AK731" t="n">
        <v>14</v>
      </c>
      <c r="AL731" t="n">
        <v>1</v>
      </c>
      <c r="AM731" t="n">
        <v>4</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HYPERLINK("https://creighton-primo.hosted.exlibrisgroup.com/primo-explore/search?tab=default_tab&amp;search_scope=EVERYTHING&amp;vid=01CRU&amp;lang=en_US&amp;offset=0&amp;query=any,contains,991001077499702656","Catalog Record")</f>
        <v/>
      </c>
      <c r="AT731">
        <f>HYPERLINK("http://www.worldcat.org/oclc/16078569","WorldCat Record")</f>
        <v/>
      </c>
      <c r="AU731" t="inlineStr">
        <is>
          <t>12812459:eng</t>
        </is>
      </c>
      <c r="AV731" t="inlineStr">
        <is>
          <t>16078569</t>
        </is>
      </c>
      <c r="AW731" t="inlineStr">
        <is>
          <t>991001077499702656</t>
        </is>
      </c>
      <c r="AX731" t="inlineStr">
        <is>
          <t>991001077499702656</t>
        </is>
      </c>
      <c r="AY731" t="inlineStr">
        <is>
          <t>2272147070002656</t>
        </is>
      </c>
      <c r="AZ731" t="inlineStr">
        <is>
          <t>BOOK</t>
        </is>
      </c>
      <c r="BB731" t="inlineStr">
        <is>
          <t>9780226703916</t>
        </is>
      </c>
      <c r="BC731" t="inlineStr">
        <is>
          <t>32285000165422</t>
        </is>
      </c>
      <c r="BD731" t="inlineStr">
        <is>
          <t>893225591</t>
        </is>
      </c>
    </row>
    <row r="732">
      <c r="A732" t="inlineStr">
        <is>
          <t>No</t>
        </is>
      </c>
      <c r="B732" t="inlineStr">
        <is>
          <t>HQ1236 .S63 1984</t>
        </is>
      </c>
      <c r="C732" t="inlineStr">
        <is>
          <t>0                      HQ 1236000S  63          1984</t>
        </is>
      </c>
      <c r="D732" t="inlineStr">
        <is>
          <t>Why and how women will elect the next president / Eleanor Smeal.</t>
        </is>
      </c>
      <c r="F732" t="inlineStr">
        <is>
          <t>No</t>
        </is>
      </c>
      <c r="G732" t="inlineStr">
        <is>
          <t>1</t>
        </is>
      </c>
      <c r="H732" t="inlineStr">
        <is>
          <t>No</t>
        </is>
      </c>
      <c r="I732" t="inlineStr">
        <is>
          <t>No</t>
        </is>
      </c>
      <c r="J732" t="inlineStr">
        <is>
          <t>0</t>
        </is>
      </c>
      <c r="K732" t="inlineStr">
        <is>
          <t>Smeal, Eleanor.</t>
        </is>
      </c>
      <c r="L732" t="inlineStr">
        <is>
          <t>New York : Harper &amp; Row, c1984.</t>
        </is>
      </c>
      <c r="M732" t="inlineStr">
        <is>
          <t>1984</t>
        </is>
      </c>
      <c r="N732" t="inlineStr">
        <is>
          <t>1st ed.</t>
        </is>
      </c>
      <c r="O732" t="inlineStr">
        <is>
          <t>eng</t>
        </is>
      </c>
      <c r="P732" t="inlineStr">
        <is>
          <t>nyu</t>
        </is>
      </c>
      <c r="Q732" t="inlineStr">
        <is>
          <t>Harper colophon books</t>
        </is>
      </c>
      <c r="R732" t="inlineStr">
        <is>
          <t xml:space="preserve">HQ </t>
        </is>
      </c>
      <c r="S732" t="n">
        <v>4</v>
      </c>
      <c r="T732" t="n">
        <v>4</v>
      </c>
      <c r="U732" t="inlineStr">
        <is>
          <t>1996-11-18</t>
        </is>
      </c>
      <c r="V732" t="inlineStr">
        <is>
          <t>1996-11-18</t>
        </is>
      </c>
      <c r="W732" t="inlineStr">
        <is>
          <t>1990-07-05</t>
        </is>
      </c>
      <c r="X732" t="inlineStr">
        <is>
          <t>1990-07-05</t>
        </is>
      </c>
      <c r="Y732" t="n">
        <v>454</v>
      </c>
      <c r="Z732" t="n">
        <v>436</v>
      </c>
      <c r="AA732" t="n">
        <v>443</v>
      </c>
      <c r="AB732" t="n">
        <v>5</v>
      </c>
      <c r="AC732" t="n">
        <v>5</v>
      </c>
      <c r="AD732" t="n">
        <v>16</v>
      </c>
      <c r="AE732" t="n">
        <v>16</v>
      </c>
      <c r="AF732" t="n">
        <v>6</v>
      </c>
      <c r="AG732" t="n">
        <v>6</v>
      </c>
      <c r="AH732" t="n">
        <v>5</v>
      </c>
      <c r="AI732" t="n">
        <v>5</v>
      </c>
      <c r="AJ732" t="n">
        <v>6</v>
      </c>
      <c r="AK732" t="n">
        <v>6</v>
      </c>
      <c r="AL732" t="n">
        <v>1</v>
      </c>
      <c r="AM732" t="n">
        <v>1</v>
      </c>
      <c r="AN732" t="n">
        <v>1</v>
      </c>
      <c r="AO732" t="n">
        <v>1</v>
      </c>
      <c r="AP732" t="inlineStr">
        <is>
          <t>No</t>
        </is>
      </c>
      <c r="AQ732" t="inlineStr">
        <is>
          <t>Yes</t>
        </is>
      </c>
      <c r="AR732">
        <f>HYPERLINK("http://catalog.hathitrust.org/Record/000785062","HathiTrust Record")</f>
        <v/>
      </c>
      <c r="AS732">
        <f>HYPERLINK("https://creighton-primo.hosted.exlibrisgroup.com/primo-explore/search?tab=default_tab&amp;search_scope=EVERYTHING&amp;vid=01CRU&amp;lang=en_US&amp;offset=0&amp;query=any,contains,991000316579702656","Catalog Record")</f>
        <v/>
      </c>
      <c r="AT732">
        <f>HYPERLINK("http://www.worldcat.org/oclc/10122476","WorldCat Record")</f>
        <v/>
      </c>
      <c r="AU732" t="inlineStr">
        <is>
          <t>3236003:eng</t>
        </is>
      </c>
      <c r="AV732" t="inlineStr">
        <is>
          <t>10122476</t>
        </is>
      </c>
      <c r="AW732" t="inlineStr">
        <is>
          <t>991000316579702656</t>
        </is>
      </c>
      <c r="AX732" t="inlineStr">
        <is>
          <t>991000316579702656</t>
        </is>
      </c>
      <c r="AY732" t="inlineStr">
        <is>
          <t>2269944870002656</t>
        </is>
      </c>
      <c r="AZ732" t="inlineStr">
        <is>
          <t>BOOK</t>
        </is>
      </c>
      <c r="BB732" t="inlineStr">
        <is>
          <t>9780060911096</t>
        </is>
      </c>
      <c r="BC732" t="inlineStr">
        <is>
          <t>32285000221241</t>
        </is>
      </c>
      <c r="BD732" t="inlineStr">
        <is>
          <t>893871566</t>
        </is>
      </c>
    </row>
    <row r="733">
      <c r="A733" t="inlineStr">
        <is>
          <t>No</t>
        </is>
      </c>
      <c r="B733" t="inlineStr">
        <is>
          <t>HQ1236 .W37 1981</t>
        </is>
      </c>
      <c r="C733" t="inlineStr">
        <is>
          <t>0                      HQ 1236000W  37          1981</t>
        </is>
      </c>
      <c r="D733" t="inlineStr">
        <is>
          <t>Beyond suffrage, women in the New Deal / Susan Ware.</t>
        </is>
      </c>
      <c r="F733" t="inlineStr">
        <is>
          <t>No</t>
        </is>
      </c>
      <c r="G733" t="inlineStr">
        <is>
          <t>1</t>
        </is>
      </c>
      <c r="H733" t="inlineStr">
        <is>
          <t>No</t>
        </is>
      </c>
      <c r="I733" t="inlineStr">
        <is>
          <t>No</t>
        </is>
      </c>
      <c r="J733" t="inlineStr">
        <is>
          <t>0</t>
        </is>
      </c>
      <c r="K733" t="inlineStr">
        <is>
          <t>Ware, Susan, 1950-</t>
        </is>
      </c>
      <c r="L733" t="inlineStr">
        <is>
          <t>Cambridge, Mass. : Harvard University Press, 1981.</t>
        </is>
      </c>
      <c r="M733" t="inlineStr">
        <is>
          <t>1981</t>
        </is>
      </c>
      <c r="O733" t="inlineStr">
        <is>
          <t>eng</t>
        </is>
      </c>
      <c r="P733" t="inlineStr">
        <is>
          <t>mau</t>
        </is>
      </c>
      <c r="R733" t="inlineStr">
        <is>
          <t xml:space="preserve">HQ </t>
        </is>
      </c>
      <c r="S733" t="n">
        <v>10</v>
      </c>
      <c r="T733" t="n">
        <v>10</v>
      </c>
      <c r="U733" t="inlineStr">
        <is>
          <t>1995-10-23</t>
        </is>
      </c>
      <c r="V733" t="inlineStr">
        <is>
          <t>1995-10-23</t>
        </is>
      </c>
      <c r="W733" t="inlineStr">
        <is>
          <t>1990-07-05</t>
        </is>
      </c>
      <c r="X733" t="inlineStr">
        <is>
          <t>1990-07-05</t>
        </is>
      </c>
      <c r="Y733" t="n">
        <v>963</v>
      </c>
      <c r="Z733" t="n">
        <v>829</v>
      </c>
      <c r="AA733" t="n">
        <v>832</v>
      </c>
      <c r="AB733" t="n">
        <v>6</v>
      </c>
      <c r="AC733" t="n">
        <v>6</v>
      </c>
      <c r="AD733" t="n">
        <v>40</v>
      </c>
      <c r="AE733" t="n">
        <v>40</v>
      </c>
      <c r="AF733" t="n">
        <v>18</v>
      </c>
      <c r="AG733" t="n">
        <v>18</v>
      </c>
      <c r="AH733" t="n">
        <v>9</v>
      </c>
      <c r="AI733" t="n">
        <v>9</v>
      </c>
      <c r="AJ733" t="n">
        <v>21</v>
      </c>
      <c r="AK733" t="n">
        <v>21</v>
      </c>
      <c r="AL733" t="n">
        <v>5</v>
      </c>
      <c r="AM733" t="n">
        <v>5</v>
      </c>
      <c r="AN733" t="n">
        <v>0</v>
      </c>
      <c r="AO733" t="n">
        <v>0</v>
      </c>
      <c r="AP733" t="inlineStr">
        <is>
          <t>No</t>
        </is>
      </c>
      <c r="AQ733" t="inlineStr">
        <is>
          <t>Yes</t>
        </is>
      </c>
      <c r="AR733">
        <f>HYPERLINK("http://catalog.hathitrust.org/Record/000100278","HathiTrust Record")</f>
        <v/>
      </c>
      <c r="AS733">
        <f>HYPERLINK("https://creighton-primo.hosted.exlibrisgroup.com/primo-explore/search?tab=default_tab&amp;search_scope=EVERYTHING&amp;vid=01CRU&amp;lang=en_US&amp;offset=0&amp;query=any,contains,991005053539702656","Catalog Record")</f>
        <v/>
      </c>
      <c r="AT733">
        <f>HYPERLINK("http://www.worldcat.org/oclc/6889496","WorldCat Record")</f>
        <v/>
      </c>
      <c r="AU733" t="inlineStr">
        <is>
          <t>520799:eng</t>
        </is>
      </c>
      <c r="AV733" t="inlineStr">
        <is>
          <t>6889496</t>
        </is>
      </c>
      <c r="AW733" t="inlineStr">
        <is>
          <t>991005053539702656</t>
        </is>
      </c>
      <c r="AX733" t="inlineStr">
        <is>
          <t>991005053539702656</t>
        </is>
      </c>
      <c r="AY733" t="inlineStr">
        <is>
          <t>2269502910002656</t>
        </is>
      </c>
      <c r="AZ733" t="inlineStr">
        <is>
          <t>BOOK</t>
        </is>
      </c>
      <c r="BB733" t="inlineStr">
        <is>
          <t>9780674069213</t>
        </is>
      </c>
      <c r="BC733" t="inlineStr">
        <is>
          <t>32285000221258</t>
        </is>
      </c>
      <c r="BD733" t="inlineStr">
        <is>
          <t>893694676</t>
        </is>
      </c>
    </row>
    <row r="734">
      <c r="A734" t="inlineStr">
        <is>
          <t>No</t>
        </is>
      </c>
      <c r="B734" t="inlineStr">
        <is>
          <t>HQ1236 .W45</t>
        </is>
      </c>
      <c r="C734" t="inlineStr">
        <is>
          <t>0                      HQ 1236000W  45</t>
        </is>
      </c>
      <c r="D734" t="inlineStr">
        <is>
          <t>Woman into citizen / by Arnold Whittick ; introd. by Helvi Sipilä.</t>
        </is>
      </c>
      <c r="F734" t="inlineStr">
        <is>
          <t>No</t>
        </is>
      </c>
      <c r="G734" t="inlineStr">
        <is>
          <t>1</t>
        </is>
      </c>
      <c r="H734" t="inlineStr">
        <is>
          <t>No</t>
        </is>
      </c>
      <c r="I734" t="inlineStr">
        <is>
          <t>No</t>
        </is>
      </c>
      <c r="J734" t="inlineStr">
        <is>
          <t>0</t>
        </is>
      </c>
      <c r="K734" t="inlineStr">
        <is>
          <t>Whittick, Arnold, 1898-1986.</t>
        </is>
      </c>
      <c r="L734" t="inlineStr">
        <is>
          <t>Santa Barbara, Calif. : ABC-Clio, c1979.</t>
        </is>
      </c>
      <c r="M734" t="inlineStr">
        <is>
          <t>1979</t>
        </is>
      </c>
      <c r="O734" t="inlineStr">
        <is>
          <t>eng</t>
        </is>
      </c>
      <c r="P734" t="inlineStr">
        <is>
          <t>cau</t>
        </is>
      </c>
      <c r="R734" t="inlineStr">
        <is>
          <t xml:space="preserve">HQ </t>
        </is>
      </c>
      <c r="S734" t="n">
        <v>5</v>
      </c>
      <c r="T734" t="n">
        <v>5</v>
      </c>
      <c r="U734" t="inlineStr">
        <is>
          <t>1993-11-30</t>
        </is>
      </c>
      <c r="V734" t="inlineStr">
        <is>
          <t>1993-11-30</t>
        </is>
      </c>
      <c r="W734" t="inlineStr">
        <is>
          <t>1990-07-05</t>
        </is>
      </c>
      <c r="X734" t="inlineStr">
        <is>
          <t>1990-07-05</t>
        </is>
      </c>
      <c r="Y734" t="n">
        <v>349</v>
      </c>
      <c r="Z734" t="n">
        <v>324</v>
      </c>
      <c r="AA734" t="n">
        <v>335</v>
      </c>
      <c r="AB734" t="n">
        <v>4</v>
      </c>
      <c r="AC734" t="n">
        <v>4</v>
      </c>
      <c r="AD734" t="n">
        <v>13</v>
      </c>
      <c r="AE734" t="n">
        <v>13</v>
      </c>
      <c r="AF734" t="n">
        <v>3</v>
      </c>
      <c r="AG734" t="n">
        <v>3</v>
      </c>
      <c r="AH734" t="n">
        <v>3</v>
      </c>
      <c r="AI734" t="n">
        <v>3</v>
      </c>
      <c r="AJ734" t="n">
        <v>5</v>
      </c>
      <c r="AK734" t="n">
        <v>5</v>
      </c>
      <c r="AL734" t="n">
        <v>3</v>
      </c>
      <c r="AM734" t="n">
        <v>3</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HYPERLINK("https://creighton-primo.hosted.exlibrisgroup.com/primo-explore/search?tab=default_tab&amp;search_scope=EVERYTHING&amp;vid=01CRU&amp;lang=en_US&amp;offset=0&amp;query=any,contains,991004858749702656","Catalog Record")</f>
        <v/>
      </c>
      <c r="AT734">
        <f>HYPERLINK("http://www.worldcat.org/oclc/5677892","WorldCat Record")</f>
        <v/>
      </c>
      <c r="AU734" t="inlineStr">
        <is>
          <t>3859097367:eng</t>
        </is>
      </c>
      <c r="AV734" t="inlineStr">
        <is>
          <t>5677892</t>
        </is>
      </c>
      <c r="AW734" t="inlineStr">
        <is>
          <t>991004858749702656</t>
        </is>
      </c>
      <c r="AX734" t="inlineStr">
        <is>
          <t>991004858749702656</t>
        </is>
      </c>
      <c r="AY734" t="inlineStr">
        <is>
          <t>2261658610002656</t>
        </is>
      </c>
      <c r="AZ734" t="inlineStr">
        <is>
          <t>BOOK</t>
        </is>
      </c>
      <c r="BB734" t="inlineStr">
        <is>
          <t>9780874362695</t>
        </is>
      </c>
      <c r="BC734" t="inlineStr">
        <is>
          <t>32285000221266</t>
        </is>
      </c>
      <c r="BD734" t="inlineStr">
        <is>
          <t>893801431</t>
        </is>
      </c>
    </row>
    <row r="735">
      <c r="A735" t="inlineStr">
        <is>
          <t>No</t>
        </is>
      </c>
      <c r="B735" t="inlineStr">
        <is>
          <t>HQ1236 .W58518 2005</t>
        </is>
      </c>
      <c r="C735" t="inlineStr">
        <is>
          <t>0                      HQ 1236000W  58518       2005</t>
        </is>
      </c>
      <c r="D735" t="inlineStr">
        <is>
          <t>Women and the politics of place / edited by Wendy Harcourt and Arturo Escobar.</t>
        </is>
      </c>
      <c r="F735" t="inlineStr">
        <is>
          <t>No</t>
        </is>
      </c>
      <c r="G735" t="inlineStr">
        <is>
          <t>1</t>
        </is>
      </c>
      <c r="H735" t="inlineStr">
        <is>
          <t>No</t>
        </is>
      </c>
      <c r="I735" t="inlineStr">
        <is>
          <t>No</t>
        </is>
      </c>
      <c r="J735" t="inlineStr">
        <is>
          <t>0</t>
        </is>
      </c>
      <c r="L735" t="inlineStr">
        <is>
          <t>Bloomfield, CT : Kumarian Press, c2005.</t>
        </is>
      </c>
      <c r="M735" t="inlineStr">
        <is>
          <t>2005</t>
        </is>
      </c>
      <c r="O735" t="inlineStr">
        <is>
          <t>eng</t>
        </is>
      </c>
      <c r="P735" t="inlineStr">
        <is>
          <t>ctu</t>
        </is>
      </c>
      <c r="R735" t="inlineStr">
        <is>
          <t xml:space="preserve">HQ </t>
        </is>
      </c>
      <c r="S735" t="n">
        <v>1</v>
      </c>
      <c r="T735" t="n">
        <v>1</v>
      </c>
      <c r="U735" t="inlineStr">
        <is>
          <t>2007-01-09</t>
        </is>
      </c>
      <c r="V735" t="inlineStr">
        <is>
          <t>2007-01-09</t>
        </is>
      </c>
      <c r="W735" t="inlineStr">
        <is>
          <t>2007-01-09</t>
        </is>
      </c>
      <c r="X735" t="inlineStr">
        <is>
          <t>2007-01-09</t>
        </is>
      </c>
      <c r="Y735" t="n">
        <v>461</v>
      </c>
      <c r="Z735" t="n">
        <v>348</v>
      </c>
      <c r="AA735" t="n">
        <v>350</v>
      </c>
      <c r="AB735" t="n">
        <v>3</v>
      </c>
      <c r="AC735" t="n">
        <v>3</v>
      </c>
      <c r="AD735" t="n">
        <v>17</v>
      </c>
      <c r="AE735" t="n">
        <v>17</v>
      </c>
      <c r="AF735" t="n">
        <v>6</v>
      </c>
      <c r="AG735" t="n">
        <v>6</v>
      </c>
      <c r="AH735" t="n">
        <v>6</v>
      </c>
      <c r="AI735" t="n">
        <v>6</v>
      </c>
      <c r="AJ735" t="n">
        <v>7</v>
      </c>
      <c r="AK735" t="n">
        <v>7</v>
      </c>
      <c r="AL735" t="n">
        <v>2</v>
      </c>
      <c r="AM735" t="n">
        <v>2</v>
      </c>
      <c r="AN735" t="n">
        <v>0</v>
      </c>
      <c r="AO735" t="n">
        <v>0</v>
      </c>
      <c r="AP735" t="inlineStr">
        <is>
          <t>No</t>
        </is>
      </c>
      <c r="AQ735" t="inlineStr">
        <is>
          <t>Yes</t>
        </is>
      </c>
      <c r="AR735">
        <f>HYPERLINK("http://catalog.hathitrust.org/Record/005118484","HathiTrust Record")</f>
        <v/>
      </c>
      <c r="AS735">
        <f>HYPERLINK("https://creighton-primo.hosted.exlibrisgroup.com/primo-explore/search?tab=default_tab&amp;search_scope=EVERYTHING&amp;vid=01CRU&amp;lang=en_US&amp;offset=0&amp;query=any,contains,991004991389702656","Catalog Record")</f>
        <v/>
      </c>
      <c r="AT735">
        <f>HYPERLINK("http://www.worldcat.org/oclc/60826471","WorldCat Record")</f>
        <v/>
      </c>
      <c r="AU735" t="inlineStr">
        <is>
          <t>367996602:eng</t>
        </is>
      </c>
      <c r="AV735" t="inlineStr">
        <is>
          <t>60826471</t>
        </is>
      </c>
      <c r="AW735" t="inlineStr">
        <is>
          <t>991004991389702656</t>
        </is>
      </c>
      <c r="AX735" t="inlineStr">
        <is>
          <t>991004991389702656</t>
        </is>
      </c>
      <c r="AY735" t="inlineStr">
        <is>
          <t>2261822700002656</t>
        </is>
      </c>
      <c r="AZ735" t="inlineStr">
        <is>
          <t>BOOK</t>
        </is>
      </c>
      <c r="BB735" t="inlineStr">
        <is>
          <t>9781565492073</t>
        </is>
      </c>
      <c r="BC735" t="inlineStr">
        <is>
          <t>32285005269989</t>
        </is>
      </c>
      <c r="BD735" t="inlineStr">
        <is>
          <t>893430684</t>
        </is>
      </c>
    </row>
    <row r="736">
      <c r="A736" t="inlineStr">
        <is>
          <t>No</t>
        </is>
      </c>
      <c r="B736" t="inlineStr">
        <is>
          <t>HQ1236 .W5852 2001</t>
        </is>
      </c>
      <c r="C736" t="inlineStr">
        <is>
          <t>0                      HQ 1236000W  5852        2001</t>
        </is>
      </c>
      <c r="D736" t="inlineStr">
        <is>
          <t>Women, gender, and human rights : a global perspective / edited by Marjorie Agosín.</t>
        </is>
      </c>
      <c r="F736" t="inlineStr">
        <is>
          <t>No</t>
        </is>
      </c>
      <c r="G736" t="inlineStr">
        <is>
          <t>1</t>
        </is>
      </c>
      <c r="H736" t="inlineStr">
        <is>
          <t>No</t>
        </is>
      </c>
      <c r="I736" t="inlineStr">
        <is>
          <t>No</t>
        </is>
      </c>
      <c r="J736" t="inlineStr">
        <is>
          <t>0</t>
        </is>
      </c>
      <c r="L736" t="inlineStr">
        <is>
          <t>New Brunswick, NJ : Rutgers University Press, c2001.</t>
        </is>
      </c>
      <c r="M736" t="inlineStr">
        <is>
          <t>2001</t>
        </is>
      </c>
      <c r="O736" t="inlineStr">
        <is>
          <t>eng</t>
        </is>
      </c>
      <c r="P736" t="inlineStr">
        <is>
          <t>nju</t>
        </is>
      </c>
      <c r="R736" t="inlineStr">
        <is>
          <t xml:space="preserve">HQ </t>
        </is>
      </c>
      <c r="S736" t="n">
        <v>7</v>
      </c>
      <c r="T736" t="n">
        <v>7</v>
      </c>
      <c r="U736" t="inlineStr">
        <is>
          <t>2008-02-14</t>
        </is>
      </c>
      <c r="V736" t="inlineStr">
        <is>
          <t>2008-02-14</t>
        </is>
      </c>
      <c r="W736" t="inlineStr">
        <is>
          <t>2002-01-07</t>
        </is>
      </c>
      <c r="X736" t="inlineStr">
        <is>
          <t>2002-01-07</t>
        </is>
      </c>
      <c r="Y736" t="n">
        <v>739</v>
      </c>
      <c r="Z736" t="n">
        <v>601</v>
      </c>
      <c r="AA736" t="n">
        <v>606</v>
      </c>
      <c r="AB736" t="n">
        <v>3</v>
      </c>
      <c r="AC736" t="n">
        <v>3</v>
      </c>
      <c r="AD736" t="n">
        <v>29</v>
      </c>
      <c r="AE736" t="n">
        <v>29</v>
      </c>
      <c r="AF736" t="n">
        <v>11</v>
      </c>
      <c r="AG736" t="n">
        <v>11</v>
      </c>
      <c r="AH736" t="n">
        <v>8</v>
      </c>
      <c r="AI736" t="n">
        <v>8</v>
      </c>
      <c r="AJ736" t="n">
        <v>12</v>
      </c>
      <c r="AK736" t="n">
        <v>12</v>
      </c>
      <c r="AL736" t="n">
        <v>2</v>
      </c>
      <c r="AM736" t="n">
        <v>2</v>
      </c>
      <c r="AN736" t="n">
        <v>2</v>
      </c>
      <c r="AO736" t="n">
        <v>2</v>
      </c>
      <c r="AP736" t="inlineStr">
        <is>
          <t>No</t>
        </is>
      </c>
      <c r="AQ736" t="inlineStr">
        <is>
          <t>No</t>
        </is>
      </c>
      <c r="AS736">
        <f>HYPERLINK("https://creighton-primo.hosted.exlibrisgroup.com/primo-explore/search?tab=default_tab&amp;search_scope=EVERYTHING&amp;vid=01CRU&amp;lang=en_US&amp;offset=0&amp;query=any,contains,991003685049702656","Catalog Record")</f>
        <v/>
      </c>
      <c r="AT736">
        <f>HYPERLINK("http://www.worldcat.org/oclc/45958082","WorldCat Record")</f>
        <v/>
      </c>
      <c r="AU736" t="inlineStr">
        <is>
          <t>837034847:eng</t>
        </is>
      </c>
      <c r="AV736" t="inlineStr">
        <is>
          <t>45958082</t>
        </is>
      </c>
      <c r="AW736" t="inlineStr">
        <is>
          <t>991003685049702656</t>
        </is>
      </c>
      <c r="AX736" t="inlineStr">
        <is>
          <t>991003685049702656</t>
        </is>
      </c>
      <c r="AY736" t="inlineStr">
        <is>
          <t>2261418360002656</t>
        </is>
      </c>
      <c r="AZ736" t="inlineStr">
        <is>
          <t>BOOK</t>
        </is>
      </c>
      <c r="BB736" t="inlineStr">
        <is>
          <t>9780813529820</t>
        </is>
      </c>
      <c r="BC736" t="inlineStr">
        <is>
          <t>32285004445200</t>
        </is>
      </c>
      <c r="BD736" t="inlineStr">
        <is>
          <t>893252637</t>
        </is>
      </c>
    </row>
    <row r="737">
      <c r="A737" t="inlineStr">
        <is>
          <t>No</t>
        </is>
      </c>
      <c r="B737" t="inlineStr">
        <is>
          <t>HQ1236 .W5858 2005</t>
        </is>
      </c>
      <c r="C737" t="inlineStr">
        <is>
          <t>0                      HQ 1236000W  5858        2005</t>
        </is>
      </c>
      <c r="D737" t="inlineStr">
        <is>
          <t>Women and citizenship / edited by Marilyn Friedman.</t>
        </is>
      </c>
      <c r="F737" t="inlineStr">
        <is>
          <t>No</t>
        </is>
      </c>
      <c r="G737" t="inlineStr">
        <is>
          <t>1</t>
        </is>
      </c>
      <c r="H737" t="inlineStr">
        <is>
          <t>No</t>
        </is>
      </c>
      <c r="I737" t="inlineStr">
        <is>
          <t>No</t>
        </is>
      </c>
      <c r="J737" t="inlineStr">
        <is>
          <t>0</t>
        </is>
      </c>
      <c r="L737" t="inlineStr">
        <is>
          <t>Oxford ; New York : Oxford University Press, 2005.</t>
        </is>
      </c>
      <c r="M737" t="inlineStr">
        <is>
          <t>2005</t>
        </is>
      </c>
      <c r="O737" t="inlineStr">
        <is>
          <t>eng</t>
        </is>
      </c>
      <c r="P737" t="inlineStr">
        <is>
          <t>enk</t>
        </is>
      </c>
      <c r="Q737" t="inlineStr">
        <is>
          <t>Studies in feminist philosophy</t>
        </is>
      </c>
      <c r="R737" t="inlineStr">
        <is>
          <t xml:space="preserve">HQ </t>
        </is>
      </c>
      <c r="S737" t="n">
        <v>1</v>
      </c>
      <c r="T737" t="n">
        <v>1</v>
      </c>
      <c r="U737" t="inlineStr">
        <is>
          <t>2007-01-09</t>
        </is>
      </c>
      <c r="V737" t="inlineStr">
        <is>
          <t>2007-01-09</t>
        </is>
      </c>
      <c r="W737" t="inlineStr">
        <is>
          <t>2007-01-09</t>
        </is>
      </c>
      <c r="X737" t="inlineStr">
        <is>
          <t>2007-01-09</t>
        </is>
      </c>
      <c r="Y737" t="n">
        <v>304</v>
      </c>
      <c r="Z737" t="n">
        <v>224</v>
      </c>
      <c r="AA737" t="n">
        <v>875</v>
      </c>
      <c r="AB737" t="n">
        <v>2</v>
      </c>
      <c r="AC737" t="n">
        <v>19</v>
      </c>
      <c r="AD737" t="n">
        <v>14</v>
      </c>
      <c r="AE737" t="n">
        <v>42</v>
      </c>
      <c r="AF737" t="n">
        <v>5</v>
      </c>
      <c r="AG737" t="n">
        <v>14</v>
      </c>
      <c r="AH737" t="n">
        <v>5</v>
      </c>
      <c r="AI737" t="n">
        <v>10</v>
      </c>
      <c r="AJ737" t="n">
        <v>7</v>
      </c>
      <c r="AK737" t="n">
        <v>14</v>
      </c>
      <c r="AL737" t="n">
        <v>1</v>
      </c>
      <c r="AM737" t="n">
        <v>11</v>
      </c>
      <c r="AN737" t="n">
        <v>1</v>
      </c>
      <c r="AO737" t="n">
        <v>2</v>
      </c>
      <c r="AP737" t="inlineStr">
        <is>
          <t>No</t>
        </is>
      </c>
      <c r="AQ737" t="inlineStr">
        <is>
          <t>No</t>
        </is>
      </c>
      <c r="AS737">
        <f>HYPERLINK("https://creighton-primo.hosted.exlibrisgroup.com/primo-explore/search?tab=default_tab&amp;search_scope=EVERYTHING&amp;vid=01CRU&amp;lang=en_US&amp;offset=0&amp;query=any,contains,991004995689702656","Catalog Record")</f>
        <v/>
      </c>
      <c r="AT737">
        <f>HYPERLINK("http://www.worldcat.org/oclc/59223950","WorldCat Record")</f>
        <v/>
      </c>
      <c r="AU737" t="inlineStr">
        <is>
          <t>899229241:eng</t>
        </is>
      </c>
      <c r="AV737" t="inlineStr">
        <is>
          <t>59223950</t>
        </is>
      </c>
      <c r="AW737" t="inlineStr">
        <is>
          <t>991004995689702656</t>
        </is>
      </c>
      <c r="AX737" t="inlineStr">
        <is>
          <t>991004995689702656</t>
        </is>
      </c>
      <c r="AY737" t="inlineStr">
        <is>
          <t>2262611630002656</t>
        </is>
      </c>
      <c r="AZ737" t="inlineStr">
        <is>
          <t>BOOK</t>
        </is>
      </c>
      <c r="BB737" t="inlineStr">
        <is>
          <t>9780195175349</t>
        </is>
      </c>
      <c r="BC737" t="inlineStr">
        <is>
          <t>32285005269864</t>
        </is>
      </c>
      <c r="BD737" t="inlineStr">
        <is>
          <t>893412183</t>
        </is>
      </c>
    </row>
    <row r="738">
      <c r="A738" t="inlineStr">
        <is>
          <t>No</t>
        </is>
      </c>
      <c r="B738" t="inlineStr">
        <is>
          <t>HQ1236 .W6 1989</t>
        </is>
      </c>
      <c r="C738" t="inlineStr">
        <is>
          <t>0                      HQ 1236000W  6           1989</t>
        </is>
      </c>
      <c r="D738" t="inlineStr">
        <is>
          <t>Women and counter-power / edited by Yolande Cohen.</t>
        </is>
      </c>
      <c r="F738" t="inlineStr">
        <is>
          <t>No</t>
        </is>
      </c>
      <c r="G738" t="inlineStr">
        <is>
          <t>1</t>
        </is>
      </c>
      <c r="H738" t="inlineStr">
        <is>
          <t>No</t>
        </is>
      </c>
      <c r="I738" t="inlineStr">
        <is>
          <t>No</t>
        </is>
      </c>
      <c r="J738" t="inlineStr">
        <is>
          <t>0</t>
        </is>
      </c>
      <c r="L738" t="inlineStr">
        <is>
          <t>Montréal ; New York : Black Rose Books, 1989.</t>
        </is>
      </c>
      <c r="M738" t="inlineStr">
        <is>
          <t>1989</t>
        </is>
      </c>
      <c r="O738" t="inlineStr">
        <is>
          <t>eng</t>
        </is>
      </c>
      <c r="P738" t="inlineStr">
        <is>
          <t>quc</t>
        </is>
      </c>
      <c r="R738" t="inlineStr">
        <is>
          <t xml:space="preserve">HQ </t>
        </is>
      </c>
      <c r="S738" t="n">
        <v>2</v>
      </c>
      <c r="T738" t="n">
        <v>2</v>
      </c>
      <c r="U738" t="inlineStr">
        <is>
          <t>1994-09-13</t>
        </is>
      </c>
      <c r="V738" t="inlineStr">
        <is>
          <t>1994-09-13</t>
        </is>
      </c>
      <c r="W738" t="inlineStr">
        <is>
          <t>1990-08-29</t>
        </is>
      </c>
      <c r="X738" t="inlineStr">
        <is>
          <t>1990-08-29</t>
        </is>
      </c>
      <c r="Y738" t="n">
        <v>207</v>
      </c>
      <c r="Z738" t="n">
        <v>144</v>
      </c>
      <c r="AA738" t="n">
        <v>153</v>
      </c>
      <c r="AB738" t="n">
        <v>3</v>
      </c>
      <c r="AC738" t="n">
        <v>3</v>
      </c>
      <c r="AD738" t="n">
        <v>5</v>
      </c>
      <c r="AE738" t="n">
        <v>5</v>
      </c>
      <c r="AF738" t="n">
        <v>0</v>
      </c>
      <c r="AG738" t="n">
        <v>0</v>
      </c>
      <c r="AH738" t="n">
        <v>3</v>
      </c>
      <c r="AI738" t="n">
        <v>3</v>
      </c>
      <c r="AJ738" t="n">
        <v>2</v>
      </c>
      <c r="AK738" t="n">
        <v>2</v>
      </c>
      <c r="AL738" t="n">
        <v>2</v>
      </c>
      <c r="AM738" t="n">
        <v>2</v>
      </c>
      <c r="AN738" t="n">
        <v>0</v>
      </c>
      <c r="AO738" t="n">
        <v>0</v>
      </c>
      <c r="AP738" t="inlineStr">
        <is>
          <t>No</t>
        </is>
      </c>
      <c r="AQ738" t="inlineStr">
        <is>
          <t>Yes</t>
        </is>
      </c>
      <c r="AR738">
        <f>HYPERLINK("http://catalog.hathitrust.org/Record/002453066","HathiTrust Record")</f>
        <v/>
      </c>
      <c r="AS738">
        <f>HYPERLINK("https://creighton-primo.hosted.exlibrisgroup.com/primo-explore/search?tab=default_tab&amp;search_scope=EVERYTHING&amp;vid=01CRU&amp;lang=en_US&amp;offset=0&amp;query=any,contains,991001325249702656","Catalog Record")</f>
        <v/>
      </c>
      <c r="AT738">
        <f>HYPERLINK("http://www.worldcat.org/oclc/18260774","WorldCat Record")</f>
        <v/>
      </c>
      <c r="AU738" t="inlineStr">
        <is>
          <t>55114406:eng</t>
        </is>
      </c>
      <c r="AV738" t="inlineStr">
        <is>
          <t>18260774</t>
        </is>
      </c>
      <c r="AW738" t="inlineStr">
        <is>
          <t>991001325249702656</t>
        </is>
      </c>
      <c r="AX738" t="inlineStr">
        <is>
          <t>991001325249702656</t>
        </is>
      </c>
      <c r="AY738" t="inlineStr">
        <is>
          <t>2255437910002656</t>
        </is>
      </c>
      <c r="AZ738" t="inlineStr">
        <is>
          <t>BOOK</t>
        </is>
      </c>
      <c r="BB738" t="inlineStr">
        <is>
          <t>9780921689102</t>
        </is>
      </c>
      <c r="BC738" t="inlineStr">
        <is>
          <t>32285000275262</t>
        </is>
      </c>
      <c r="BD738" t="inlineStr">
        <is>
          <t>893497001</t>
        </is>
      </c>
    </row>
    <row r="739">
      <c r="A739" t="inlineStr">
        <is>
          <t>No</t>
        </is>
      </c>
      <c r="B739" t="inlineStr">
        <is>
          <t>HQ1236 .W638 1983</t>
        </is>
      </c>
      <c r="C739" t="inlineStr">
        <is>
          <t>0                      HQ 1236000W  638         1983</t>
        </is>
      </c>
      <c r="D739" t="inlineStr">
        <is>
          <t>Women in Washington : advocates for public policy / edited by Irene Tinker.</t>
        </is>
      </c>
      <c r="F739" t="inlineStr">
        <is>
          <t>No</t>
        </is>
      </c>
      <c r="G739" t="inlineStr">
        <is>
          <t>1</t>
        </is>
      </c>
      <c r="H739" t="inlineStr">
        <is>
          <t>No</t>
        </is>
      </c>
      <c r="I739" t="inlineStr">
        <is>
          <t>No</t>
        </is>
      </c>
      <c r="J739" t="inlineStr">
        <is>
          <t>0</t>
        </is>
      </c>
      <c r="L739" t="inlineStr">
        <is>
          <t>Beverly Hills : Sage Publications, c1983.</t>
        </is>
      </c>
      <c r="M739" t="inlineStr">
        <is>
          <t>1983</t>
        </is>
      </c>
      <c r="O739" t="inlineStr">
        <is>
          <t>eng</t>
        </is>
      </c>
      <c r="P739" t="inlineStr">
        <is>
          <t>cau</t>
        </is>
      </c>
      <c r="Q739" t="inlineStr">
        <is>
          <t>Sage yearbooks in women's policy studies ; v. 7</t>
        </is>
      </c>
      <c r="R739" t="inlineStr">
        <is>
          <t xml:space="preserve">HQ </t>
        </is>
      </c>
      <c r="S739" t="n">
        <v>4</v>
      </c>
      <c r="T739" t="n">
        <v>4</v>
      </c>
      <c r="U739" t="inlineStr">
        <is>
          <t>1996-03-24</t>
        </is>
      </c>
      <c r="V739" t="inlineStr">
        <is>
          <t>1996-03-24</t>
        </is>
      </c>
      <c r="W739" t="inlineStr">
        <is>
          <t>1990-07-05</t>
        </is>
      </c>
      <c r="X739" t="inlineStr">
        <is>
          <t>1990-07-05</t>
        </is>
      </c>
      <c r="Y739" t="n">
        <v>509</v>
      </c>
      <c r="Z739" t="n">
        <v>440</v>
      </c>
      <c r="AA739" t="n">
        <v>446</v>
      </c>
      <c r="AB739" t="n">
        <v>3</v>
      </c>
      <c r="AC739" t="n">
        <v>3</v>
      </c>
      <c r="AD739" t="n">
        <v>19</v>
      </c>
      <c r="AE739" t="n">
        <v>19</v>
      </c>
      <c r="AF739" t="n">
        <v>6</v>
      </c>
      <c r="AG739" t="n">
        <v>6</v>
      </c>
      <c r="AH739" t="n">
        <v>6</v>
      </c>
      <c r="AI739" t="n">
        <v>6</v>
      </c>
      <c r="AJ739" t="n">
        <v>11</v>
      </c>
      <c r="AK739" t="n">
        <v>11</v>
      </c>
      <c r="AL739" t="n">
        <v>2</v>
      </c>
      <c r="AM739" t="n">
        <v>2</v>
      </c>
      <c r="AN739" t="n">
        <v>1</v>
      </c>
      <c r="AO739" t="n">
        <v>1</v>
      </c>
      <c r="AP739" t="inlineStr">
        <is>
          <t>No</t>
        </is>
      </c>
      <c r="AQ739" t="inlineStr">
        <is>
          <t>Yes</t>
        </is>
      </c>
      <c r="AR739">
        <f>HYPERLINK("http://catalog.hathitrust.org/Record/000200099","HathiTrust Record")</f>
        <v/>
      </c>
      <c r="AS739">
        <f>HYPERLINK("https://creighton-primo.hosted.exlibrisgroup.com/primo-explore/search?tab=default_tab&amp;search_scope=EVERYTHING&amp;vid=01CRU&amp;lang=en_US&amp;offset=0&amp;query=any,contains,991000243389702656","Catalog Record")</f>
        <v/>
      </c>
      <c r="AT739">
        <f>HYPERLINK("http://www.worldcat.org/oclc/9686497","WorldCat Record")</f>
        <v/>
      </c>
      <c r="AU739" t="inlineStr">
        <is>
          <t>899390145:eng</t>
        </is>
      </c>
      <c r="AV739" t="inlineStr">
        <is>
          <t>9686497</t>
        </is>
      </c>
      <c r="AW739" t="inlineStr">
        <is>
          <t>991000243389702656</t>
        </is>
      </c>
      <c r="AX739" t="inlineStr">
        <is>
          <t>991000243389702656</t>
        </is>
      </c>
      <c r="AY739" t="inlineStr">
        <is>
          <t>2263873530002656</t>
        </is>
      </c>
      <c r="AZ739" t="inlineStr">
        <is>
          <t>BOOK</t>
        </is>
      </c>
      <c r="BB739" t="inlineStr">
        <is>
          <t>9780803920705</t>
        </is>
      </c>
      <c r="BC739" t="inlineStr">
        <is>
          <t>32285000221274</t>
        </is>
      </c>
      <c r="BD739" t="inlineStr">
        <is>
          <t>893865223</t>
        </is>
      </c>
    </row>
    <row r="740">
      <c r="A740" t="inlineStr">
        <is>
          <t>No</t>
        </is>
      </c>
      <c r="B740" t="inlineStr">
        <is>
          <t>HQ1236 .W64 1981</t>
        </is>
      </c>
      <c r="C740" t="inlineStr">
        <is>
          <t>0                      HQ 1236000W  64          1981</t>
        </is>
      </c>
      <c r="D740" t="inlineStr">
        <is>
          <t>Women, power, and political systems / edited by Margherita Rendel with the assistance of Georgina Ashworth.</t>
        </is>
      </c>
      <c r="F740" t="inlineStr">
        <is>
          <t>No</t>
        </is>
      </c>
      <c r="G740" t="inlineStr">
        <is>
          <t>1</t>
        </is>
      </c>
      <c r="H740" t="inlineStr">
        <is>
          <t>No</t>
        </is>
      </c>
      <c r="I740" t="inlineStr">
        <is>
          <t>No</t>
        </is>
      </c>
      <c r="J740" t="inlineStr">
        <is>
          <t>0</t>
        </is>
      </c>
      <c r="L740" t="inlineStr">
        <is>
          <t>New York : St. Martin's Press, 1981.</t>
        </is>
      </c>
      <c r="M740" t="inlineStr">
        <is>
          <t>1981</t>
        </is>
      </c>
      <c r="O740" t="inlineStr">
        <is>
          <t>eng</t>
        </is>
      </c>
      <c r="P740" t="inlineStr">
        <is>
          <t>nyu</t>
        </is>
      </c>
      <c r="R740" t="inlineStr">
        <is>
          <t xml:space="preserve">HQ </t>
        </is>
      </c>
      <c r="S740" t="n">
        <v>14</v>
      </c>
      <c r="T740" t="n">
        <v>14</v>
      </c>
      <c r="U740" t="inlineStr">
        <is>
          <t>2002-05-02</t>
        </is>
      </c>
      <c r="V740" t="inlineStr">
        <is>
          <t>2002-05-02</t>
        </is>
      </c>
      <c r="W740" t="inlineStr">
        <is>
          <t>1990-07-05</t>
        </is>
      </c>
      <c r="X740" t="inlineStr">
        <is>
          <t>1990-07-05</t>
        </is>
      </c>
      <c r="Y740" t="n">
        <v>241</v>
      </c>
      <c r="Z740" t="n">
        <v>203</v>
      </c>
      <c r="AA740" t="n">
        <v>262</v>
      </c>
      <c r="AB740" t="n">
        <v>1</v>
      </c>
      <c r="AC740" t="n">
        <v>3</v>
      </c>
      <c r="AD740" t="n">
        <v>4</v>
      </c>
      <c r="AE740" t="n">
        <v>6</v>
      </c>
      <c r="AF740" t="n">
        <v>2</v>
      </c>
      <c r="AG740" t="n">
        <v>2</v>
      </c>
      <c r="AH740" t="n">
        <v>2</v>
      </c>
      <c r="AI740" t="n">
        <v>2</v>
      </c>
      <c r="AJ740" t="n">
        <v>1</v>
      </c>
      <c r="AK740" t="n">
        <v>1</v>
      </c>
      <c r="AL740" t="n">
        <v>0</v>
      </c>
      <c r="AM740" t="n">
        <v>2</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HYPERLINK("https://creighton-primo.hosted.exlibrisgroup.com/primo-explore/search?tab=default_tab&amp;search_scope=EVERYTHING&amp;vid=01CRU&amp;lang=en_US&amp;offset=0&amp;query=any,contains,991005116129702656","Catalog Record")</f>
        <v/>
      </c>
      <c r="AT740">
        <f>HYPERLINK("http://www.worldcat.org/oclc/7462588","WorldCat Record")</f>
        <v/>
      </c>
      <c r="AU740" t="inlineStr">
        <is>
          <t>351963796:eng</t>
        </is>
      </c>
      <c r="AV740" t="inlineStr">
        <is>
          <t>7462588</t>
        </is>
      </c>
      <c r="AW740" t="inlineStr">
        <is>
          <t>991005116129702656</t>
        </is>
      </c>
      <c r="AX740" t="inlineStr">
        <is>
          <t>991005116129702656</t>
        </is>
      </c>
      <c r="AY740" t="inlineStr">
        <is>
          <t>2262925290002656</t>
        </is>
      </c>
      <c r="AZ740" t="inlineStr">
        <is>
          <t>BOOK</t>
        </is>
      </c>
      <c r="BB740" t="inlineStr">
        <is>
          <t>9780312887698</t>
        </is>
      </c>
      <c r="BC740" t="inlineStr">
        <is>
          <t>32285000221282</t>
        </is>
      </c>
      <c r="BD740" t="inlineStr">
        <is>
          <t>893230227</t>
        </is>
      </c>
    </row>
    <row r="741">
      <c r="A741" t="inlineStr">
        <is>
          <t>No</t>
        </is>
      </c>
      <c r="B741" t="inlineStr">
        <is>
          <t>HQ1236 .W6518 1993</t>
        </is>
      </c>
      <c r="C741" t="inlineStr">
        <is>
          <t>0                      HQ 1236000W  6518        1993</t>
        </is>
      </c>
      <c r="D741" t="inlineStr">
        <is>
          <t>Women's lives and public policy : the international experience / edited by Meredeth Turshen and Briavel Holcomb ; foreword by Charlotte Bunch.</t>
        </is>
      </c>
      <c r="F741" t="inlineStr">
        <is>
          <t>No</t>
        </is>
      </c>
      <c r="G741" t="inlineStr">
        <is>
          <t>1</t>
        </is>
      </c>
      <c r="H741" t="inlineStr">
        <is>
          <t>No</t>
        </is>
      </c>
      <c r="I741" t="inlineStr">
        <is>
          <t>No</t>
        </is>
      </c>
      <c r="J741" t="inlineStr">
        <is>
          <t>0</t>
        </is>
      </c>
      <c r="L741" t="inlineStr">
        <is>
          <t>Westport, Conn. : Praeger, 1993.</t>
        </is>
      </c>
      <c r="M741" t="inlineStr">
        <is>
          <t>1993</t>
        </is>
      </c>
      <c r="O741" t="inlineStr">
        <is>
          <t>eng</t>
        </is>
      </c>
      <c r="P741" t="inlineStr">
        <is>
          <t>ctu</t>
        </is>
      </c>
      <c r="R741" t="inlineStr">
        <is>
          <t xml:space="preserve">HQ </t>
        </is>
      </c>
      <c r="S741" t="n">
        <v>1</v>
      </c>
      <c r="T741" t="n">
        <v>1</v>
      </c>
      <c r="U741" t="inlineStr">
        <is>
          <t>1998-12-02</t>
        </is>
      </c>
      <c r="V741" t="inlineStr">
        <is>
          <t>1998-12-02</t>
        </is>
      </c>
      <c r="W741" t="inlineStr">
        <is>
          <t>1994-02-11</t>
        </is>
      </c>
      <c r="X741" t="inlineStr">
        <is>
          <t>1994-02-11</t>
        </is>
      </c>
      <c r="Y741" t="n">
        <v>106</v>
      </c>
      <c r="Z741" t="n">
        <v>71</v>
      </c>
      <c r="AA741" t="n">
        <v>624</v>
      </c>
      <c r="AB741" t="n">
        <v>1</v>
      </c>
      <c r="AC741" t="n">
        <v>5</v>
      </c>
      <c r="AD741" t="n">
        <v>3</v>
      </c>
      <c r="AE741" t="n">
        <v>18</v>
      </c>
      <c r="AF741" t="n">
        <v>1</v>
      </c>
      <c r="AG741" t="n">
        <v>5</v>
      </c>
      <c r="AH741" t="n">
        <v>0</v>
      </c>
      <c r="AI741" t="n">
        <v>4</v>
      </c>
      <c r="AJ741" t="n">
        <v>2</v>
      </c>
      <c r="AK741" t="n">
        <v>8</v>
      </c>
      <c r="AL741" t="n">
        <v>0</v>
      </c>
      <c r="AM741" t="n">
        <v>4</v>
      </c>
      <c r="AN741" t="n">
        <v>1</v>
      </c>
      <c r="AO741" t="n">
        <v>2</v>
      </c>
      <c r="AP741" t="inlineStr">
        <is>
          <t>No</t>
        </is>
      </c>
      <c r="AQ741" t="inlineStr">
        <is>
          <t>Yes</t>
        </is>
      </c>
      <c r="AR741">
        <f>HYPERLINK("http://catalog.hathitrust.org/Record/101948753","HathiTrust Record")</f>
        <v/>
      </c>
      <c r="AS741">
        <f>HYPERLINK("https://creighton-primo.hosted.exlibrisgroup.com/primo-explore/search?tab=default_tab&amp;search_scope=EVERYTHING&amp;vid=01CRU&amp;lang=en_US&amp;offset=0&amp;query=any,contains,991002095279702656","Catalog Record")</f>
        <v/>
      </c>
      <c r="AT741">
        <f>HYPERLINK("http://www.worldcat.org/oclc/26858053","WorldCat Record")</f>
        <v/>
      </c>
      <c r="AU741" t="inlineStr">
        <is>
          <t>797297032:eng</t>
        </is>
      </c>
      <c r="AV741" t="inlineStr">
        <is>
          <t>26858053</t>
        </is>
      </c>
      <c r="AW741" t="inlineStr">
        <is>
          <t>991002095279702656</t>
        </is>
      </c>
      <c r="AX741" t="inlineStr">
        <is>
          <t>991002095279702656</t>
        </is>
      </c>
      <c r="AY741" t="inlineStr">
        <is>
          <t>2268354530002656</t>
        </is>
      </c>
      <c r="AZ741" t="inlineStr">
        <is>
          <t>BOOK</t>
        </is>
      </c>
      <c r="BB741" t="inlineStr">
        <is>
          <t>9780275945237</t>
        </is>
      </c>
      <c r="BC741" t="inlineStr">
        <is>
          <t>32285001841443</t>
        </is>
      </c>
      <c r="BD741" t="inlineStr">
        <is>
          <t>893226453</t>
        </is>
      </c>
    </row>
    <row r="742">
      <c r="A742" t="inlineStr">
        <is>
          <t>No</t>
        </is>
      </c>
      <c r="B742" t="inlineStr">
        <is>
          <t>HQ1236 .W6523 1998</t>
        </is>
      </c>
      <c r="C742" t="inlineStr">
        <is>
          <t>0                      HQ 1236000W  6523        1998</t>
        </is>
      </c>
      <c r="D742" t="inlineStr">
        <is>
          <t>Women's movements and public policy in Europe, Latin America, and the Caribbean / edited by Geertje Lycklama à Nijeholt, Virginia Vargas, and Saskia Wieringa.</t>
        </is>
      </c>
      <c r="F742" t="inlineStr">
        <is>
          <t>No</t>
        </is>
      </c>
      <c r="G742" t="inlineStr">
        <is>
          <t>1</t>
        </is>
      </c>
      <c r="H742" t="inlineStr">
        <is>
          <t>No</t>
        </is>
      </c>
      <c r="I742" t="inlineStr">
        <is>
          <t>No</t>
        </is>
      </c>
      <c r="J742" t="inlineStr">
        <is>
          <t>0</t>
        </is>
      </c>
      <c r="L742" t="inlineStr">
        <is>
          <t>New York : Garland Pub., 1998.</t>
        </is>
      </c>
      <c r="M742" t="inlineStr">
        <is>
          <t>1998</t>
        </is>
      </c>
      <c r="O742" t="inlineStr">
        <is>
          <t>eng</t>
        </is>
      </c>
      <c r="P742" t="inlineStr">
        <is>
          <t>nyu</t>
        </is>
      </c>
      <c r="Q742" t="inlineStr">
        <is>
          <t>Garland reference library of social science ; v. 1128</t>
        </is>
      </c>
      <c r="R742" t="inlineStr">
        <is>
          <t xml:space="preserve">HQ </t>
        </is>
      </c>
      <c r="S742" t="n">
        <v>2</v>
      </c>
      <c r="T742" t="n">
        <v>2</v>
      </c>
      <c r="U742" t="inlineStr">
        <is>
          <t>2002-04-14</t>
        </is>
      </c>
      <c r="V742" t="inlineStr">
        <is>
          <t>2002-04-14</t>
        </is>
      </c>
      <c r="W742" t="inlineStr">
        <is>
          <t>1998-11-18</t>
        </is>
      </c>
      <c r="X742" t="inlineStr">
        <is>
          <t>1998-11-18</t>
        </is>
      </c>
      <c r="Y742" t="n">
        <v>331</v>
      </c>
      <c r="Z742" t="n">
        <v>276</v>
      </c>
      <c r="AA742" t="n">
        <v>298</v>
      </c>
      <c r="AB742" t="n">
        <v>3</v>
      </c>
      <c r="AC742" t="n">
        <v>3</v>
      </c>
      <c r="AD742" t="n">
        <v>15</v>
      </c>
      <c r="AE742" t="n">
        <v>15</v>
      </c>
      <c r="AF742" t="n">
        <v>6</v>
      </c>
      <c r="AG742" t="n">
        <v>6</v>
      </c>
      <c r="AH742" t="n">
        <v>3</v>
      </c>
      <c r="AI742" t="n">
        <v>3</v>
      </c>
      <c r="AJ742" t="n">
        <v>8</v>
      </c>
      <c r="AK742" t="n">
        <v>8</v>
      </c>
      <c r="AL742" t="n">
        <v>2</v>
      </c>
      <c r="AM742" t="n">
        <v>2</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HYPERLINK("https://creighton-primo.hosted.exlibrisgroup.com/primo-explore/search?tab=default_tab&amp;search_scope=EVERYTHING&amp;vid=01CRU&amp;lang=en_US&amp;offset=0&amp;query=any,contains,991002795059702656","Catalog Record")</f>
        <v/>
      </c>
      <c r="AT742">
        <f>HYPERLINK("http://www.worldcat.org/oclc/36713190","WorldCat Record")</f>
        <v/>
      </c>
      <c r="AU742" t="inlineStr">
        <is>
          <t>366956984:eng</t>
        </is>
      </c>
      <c r="AV742" t="inlineStr">
        <is>
          <t>36713190</t>
        </is>
      </c>
      <c r="AW742" t="inlineStr">
        <is>
          <t>991002795059702656</t>
        </is>
      </c>
      <c r="AX742" t="inlineStr">
        <is>
          <t>991002795059702656</t>
        </is>
      </c>
      <c r="AY742" t="inlineStr">
        <is>
          <t>2262453440002656</t>
        </is>
      </c>
      <c r="AZ742" t="inlineStr">
        <is>
          <t>BOOK</t>
        </is>
      </c>
      <c r="BB742" t="inlineStr">
        <is>
          <t>9780815324799</t>
        </is>
      </c>
      <c r="BC742" t="inlineStr">
        <is>
          <t>32285003490348</t>
        </is>
      </c>
      <c r="BD742" t="inlineStr">
        <is>
          <t>893434292</t>
        </is>
      </c>
    </row>
    <row r="743">
      <c r="A743" t="inlineStr">
        <is>
          <t>No</t>
        </is>
      </c>
      <c r="B743" t="inlineStr">
        <is>
          <t>HQ1236.5.A356 G45 2004</t>
        </is>
      </c>
      <c r="C743" t="inlineStr">
        <is>
          <t>0                      HQ 1236500A  356                G  45          2004</t>
        </is>
      </c>
      <c r="D743" t="inlineStr">
        <is>
          <t>Women and the remaking of politics in Southern Africa : negotiating autonomy, incorporation, and representation / Gisela Geisler.</t>
        </is>
      </c>
      <c r="F743" t="inlineStr">
        <is>
          <t>No</t>
        </is>
      </c>
      <c r="G743" t="inlineStr">
        <is>
          <t>1</t>
        </is>
      </c>
      <c r="H743" t="inlineStr">
        <is>
          <t>No</t>
        </is>
      </c>
      <c r="I743" t="inlineStr">
        <is>
          <t>No</t>
        </is>
      </c>
      <c r="J743" t="inlineStr">
        <is>
          <t>0</t>
        </is>
      </c>
      <c r="K743" t="inlineStr">
        <is>
          <t>Geisler, Gisela G., 1954-</t>
        </is>
      </c>
      <c r="L743" t="inlineStr">
        <is>
          <t>Uppsala : Nordiska Afrikainstitutet, 2004.</t>
        </is>
      </c>
      <c r="M743" t="inlineStr">
        <is>
          <t>2004</t>
        </is>
      </c>
      <c r="O743" t="inlineStr">
        <is>
          <t>eng</t>
        </is>
      </c>
      <c r="P743" t="inlineStr">
        <is>
          <t xml:space="preserve">sw </t>
        </is>
      </c>
      <c r="R743" t="inlineStr">
        <is>
          <t xml:space="preserve">HQ </t>
        </is>
      </c>
      <c r="S743" t="n">
        <v>2</v>
      </c>
      <c r="T743" t="n">
        <v>2</v>
      </c>
      <c r="U743" t="inlineStr">
        <is>
          <t>2006-04-26</t>
        </is>
      </c>
      <c r="V743" t="inlineStr">
        <is>
          <t>2006-04-26</t>
        </is>
      </c>
      <c r="W743" t="inlineStr">
        <is>
          <t>2005-09-28</t>
        </is>
      </c>
      <c r="X743" t="inlineStr">
        <is>
          <t>2005-09-28</t>
        </is>
      </c>
      <c r="Y743" t="n">
        <v>418</v>
      </c>
      <c r="Z743" t="n">
        <v>328</v>
      </c>
      <c r="AA743" t="n">
        <v>330</v>
      </c>
      <c r="AB743" t="n">
        <v>4</v>
      </c>
      <c r="AC743" t="n">
        <v>4</v>
      </c>
      <c r="AD743" t="n">
        <v>24</v>
      </c>
      <c r="AE743" t="n">
        <v>24</v>
      </c>
      <c r="AF743" t="n">
        <v>10</v>
      </c>
      <c r="AG743" t="n">
        <v>10</v>
      </c>
      <c r="AH743" t="n">
        <v>4</v>
      </c>
      <c r="AI743" t="n">
        <v>4</v>
      </c>
      <c r="AJ743" t="n">
        <v>11</v>
      </c>
      <c r="AK743" t="n">
        <v>11</v>
      </c>
      <c r="AL743" t="n">
        <v>3</v>
      </c>
      <c r="AM743" t="n">
        <v>3</v>
      </c>
      <c r="AN743" t="n">
        <v>1</v>
      </c>
      <c r="AO743" t="n">
        <v>1</v>
      </c>
      <c r="AP743" t="inlineStr">
        <is>
          <t>No</t>
        </is>
      </c>
      <c r="AQ743" t="inlineStr">
        <is>
          <t>Yes</t>
        </is>
      </c>
      <c r="AR743">
        <f>HYPERLINK("http://catalog.hathitrust.org/Record/004928298","HathiTrust Record")</f>
        <v/>
      </c>
      <c r="AS743">
        <f>HYPERLINK("https://creighton-primo.hosted.exlibrisgroup.com/primo-explore/search?tab=default_tab&amp;search_scope=EVERYTHING&amp;vid=01CRU&amp;lang=en_US&amp;offset=0&amp;query=any,contains,991004641549702656","Catalog Record")</f>
        <v/>
      </c>
      <c r="AT743">
        <f>HYPERLINK("http://www.worldcat.org/oclc/56605547","WorldCat Record")</f>
        <v/>
      </c>
      <c r="AU743" t="inlineStr">
        <is>
          <t>141110199:eng</t>
        </is>
      </c>
      <c r="AV743" t="inlineStr">
        <is>
          <t>56605547</t>
        </is>
      </c>
      <c r="AW743" t="inlineStr">
        <is>
          <t>991004641549702656</t>
        </is>
      </c>
      <c r="AX743" t="inlineStr">
        <is>
          <t>991004641549702656</t>
        </is>
      </c>
      <c r="AY743" t="inlineStr">
        <is>
          <t>2260926700002656</t>
        </is>
      </c>
      <c r="AZ743" t="inlineStr">
        <is>
          <t>BOOK</t>
        </is>
      </c>
      <c r="BB743" t="inlineStr">
        <is>
          <t>9789171065155</t>
        </is>
      </c>
      <c r="BC743" t="inlineStr">
        <is>
          <t>32285005085716</t>
        </is>
      </c>
      <c r="BD743" t="inlineStr">
        <is>
          <t>893424026</t>
        </is>
      </c>
    </row>
    <row r="744">
      <c r="A744" t="inlineStr">
        <is>
          <t>No</t>
        </is>
      </c>
      <c r="B744" t="inlineStr">
        <is>
          <t>HQ1236.5.A357 W65 1990</t>
        </is>
      </c>
      <c r="C744" t="inlineStr">
        <is>
          <t>0                      HQ 1236500A  357                W  65          1990</t>
        </is>
      </c>
      <c r="D744" t="inlineStr">
        <is>
          <t>Women and the state in Africa / edited by Jane L. Parpart &amp; Kathleen A. Staudt.</t>
        </is>
      </c>
      <c r="F744" t="inlineStr">
        <is>
          <t>No</t>
        </is>
      </c>
      <c r="G744" t="inlineStr">
        <is>
          <t>1</t>
        </is>
      </c>
      <c r="H744" t="inlineStr">
        <is>
          <t>No</t>
        </is>
      </c>
      <c r="I744" t="inlineStr">
        <is>
          <t>No</t>
        </is>
      </c>
      <c r="J744" t="inlineStr">
        <is>
          <t>0</t>
        </is>
      </c>
      <c r="L744" t="inlineStr">
        <is>
          <t>Boulder, Col. : L. Rienner Publishers, 1990, c1989.</t>
        </is>
      </c>
      <c r="M744" t="inlineStr">
        <is>
          <t>1990</t>
        </is>
      </c>
      <c r="O744" t="inlineStr">
        <is>
          <t>eng</t>
        </is>
      </c>
      <c r="P744" t="inlineStr">
        <is>
          <t>cou</t>
        </is>
      </c>
      <c r="R744" t="inlineStr">
        <is>
          <t xml:space="preserve">HQ </t>
        </is>
      </c>
      <c r="S744" t="n">
        <v>8</v>
      </c>
      <c r="T744" t="n">
        <v>8</v>
      </c>
      <c r="U744" t="inlineStr">
        <is>
          <t>2006-04-26</t>
        </is>
      </c>
      <c r="V744" t="inlineStr">
        <is>
          <t>2006-04-26</t>
        </is>
      </c>
      <c r="W744" t="inlineStr">
        <is>
          <t>1993-09-08</t>
        </is>
      </c>
      <c r="X744" t="inlineStr">
        <is>
          <t>1993-09-08</t>
        </is>
      </c>
      <c r="Y744" t="n">
        <v>519</v>
      </c>
      <c r="Z744" t="n">
        <v>409</v>
      </c>
      <c r="AA744" t="n">
        <v>409</v>
      </c>
      <c r="AB744" t="n">
        <v>4</v>
      </c>
      <c r="AC744" t="n">
        <v>4</v>
      </c>
      <c r="AD744" t="n">
        <v>21</v>
      </c>
      <c r="AE744" t="n">
        <v>21</v>
      </c>
      <c r="AF744" t="n">
        <v>7</v>
      </c>
      <c r="AG744" t="n">
        <v>7</v>
      </c>
      <c r="AH744" t="n">
        <v>9</v>
      </c>
      <c r="AI744" t="n">
        <v>9</v>
      </c>
      <c r="AJ744" t="n">
        <v>7</v>
      </c>
      <c r="AK744" t="n">
        <v>7</v>
      </c>
      <c r="AL744" t="n">
        <v>3</v>
      </c>
      <c r="AM744" t="n">
        <v>3</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HYPERLINK("https://creighton-primo.hosted.exlibrisgroup.com/primo-explore/search?tab=default_tab&amp;search_scope=EVERYTHING&amp;vid=01CRU&amp;lang=en_US&amp;offset=0&amp;query=any,contains,991001341759702656","Catalog Record")</f>
        <v/>
      </c>
      <c r="AT744">
        <f>HYPERLINK("http://www.worldcat.org/oclc/18383444","WorldCat Record")</f>
        <v/>
      </c>
      <c r="AU744" t="inlineStr">
        <is>
          <t>9438312794:eng</t>
        </is>
      </c>
      <c r="AV744" t="inlineStr">
        <is>
          <t>18383444</t>
        </is>
      </c>
      <c r="AW744" t="inlineStr">
        <is>
          <t>991001341759702656</t>
        </is>
      </c>
      <c r="AX744" t="inlineStr">
        <is>
          <t>991001341759702656</t>
        </is>
      </c>
      <c r="AY744" t="inlineStr">
        <is>
          <t>2259092600002656</t>
        </is>
      </c>
      <c r="AZ744" t="inlineStr">
        <is>
          <t>BOOK</t>
        </is>
      </c>
      <c r="BB744" t="inlineStr">
        <is>
          <t>9781555872236</t>
        </is>
      </c>
      <c r="BC744" t="inlineStr">
        <is>
          <t>32285001729986</t>
        </is>
      </c>
      <c r="BD744" t="inlineStr">
        <is>
          <t>893702943</t>
        </is>
      </c>
    </row>
    <row r="745">
      <c r="A745" t="inlineStr">
        <is>
          <t>No</t>
        </is>
      </c>
      <c r="B745" t="inlineStr">
        <is>
          <t>HQ1236.5.A78 W66 2008</t>
        </is>
      </c>
      <c r="C745" t="inlineStr">
        <is>
          <t>0                      HQ 1236500A  78                 W  66          2008</t>
        </is>
      </c>
      <c r="D745" t="inlineStr">
        <is>
          <t>Women's political participation and representation in Asia : obstacles and challenges / edited by Kazuki Iwanaga.</t>
        </is>
      </c>
      <c r="F745" t="inlineStr">
        <is>
          <t>No</t>
        </is>
      </c>
      <c r="G745" t="inlineStr">
        <is>
          <t>1</t>
        </is>
      </c>
      <c r="H745" t="inlineStr">
        <is>
          <t>No</t>
        </is>
      </c>
      <c r="I745" t="inlineStr">
        <is>
          <t>No</t>
        </is>
      </c>
      <c r="J745" t="inlineStr">
        <is>
          <t>0</t>
        </is>
      </c>
      <c r="L745" t="inlineStr">
        <is>
          <t>Copenhagen : NIAS Press, 2008.</t>
        </is>
      </c>
      <c r="M745" t="inlineStr">
        <is>
          <t>2008</t>
        </is>
      </c>
      <c r="O745" t="inlineStr">
        <is>
          <t>eng</t>
        </is>
      </c>
      <c r="P745" t="inlineStr">
        <is>
          <t xml:space="preserve">dk </t>
        </is>
      </c>
      <c r="Q745" t="inlineStr">
        <is>
          <t>Women and politics in Asia ; no. 2</t>
        </is>
      </c>
      <c r="R745" t="inlineStr">
        <is>
          <t xml:space="preserve">HQ </t>
        </is>
      </c>
      <c r="S745" t="n">
        <v>1</v>
      </c>
      <c r="T745" t="n">
        <v>1</v>
      </c>
      <c r="U745" t="inlineStr">
        <is>
          <t>2010-12-16</t>
        </is>
      </c>
      <c r="V745" t="inlineStr">
        <is>
          <t>2010-12-16</t>
        </is>
      </c>
      <c r="W745" t="inlineStr">
        <is>
          <t>2010-12-16</t>
        </is>
      </c>
      <c r="X745" t="inlineStr">
        <is>
          <t>2010-12-16</t>
        </is>
      </c>
      <c r="Y745" t="n">
        <v>233</v>
      </c>
      <c r="Z745" t="n">
        <v>159</v>
      </c>
      <c r="AA745" t="n">
        <v>185</v>
      </c>
      <c r="AB745" t="n">
        <v>3</v>
      </c>
      <c r="AC745" t="n">
        <v>3</v>
      </c>
      <c r="AD745" t="n">
        <v>10</v>
      </c>
      <c r="AE745" t="n">
        <v>11</v>
      </c>
      <c r="AF745" t="n">
        <v>3</v>
      </c>
      <c r="AG745" t="n">
        <v>3</v>
      </c>
      <c r="AH745" t="n">
        <v>2</v>
      </c>
      <c r="AI745" t="n">
        <v>2</v>
      </c>
      <c r="AJ745" t="n">
        <v>7</v>
      </c>
      <c r="AK745" t="n">
        <v>8</v>
      </c>
      <c r="AL745" t="n">
        <v>2</v>
      </c>
      <c r="AM745" t="n">
        <v>2</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HYPERLINK("https://creighton-primo.hosted.exlibrisgroup.com/primo-explore/search?tab=default_tab&amp;search_scope=EVERYTHING&amp;vid=01CRU&amp;lang=en_US&amp;offset=0&amp;query=any,contains,991000382199702656","Catalog Record")</f>
        <v/>
      </c>
      <c r="AT745">
        <f>HYPERLINK("http://www.worldcat.org/oclc/237052603","WorldCat Record")</f>
        <v/>
      </c>
      <c r="AU745" t="inlineStr">
        <is>
          <t>908379714:eng</t>
        </is>
      </c>
      <c r="AV745" t="inlineStr">
        <is>
          <t>237052603</t>
        </is>
      </c>
      <c r="AW745" t="inlineStr">
        <is>
          <t>991000382199702656</t>
        </is>
      </c>
      <c r="AX745" t="inlineStr">
        <is>
          <t>991000382199702656</t>
        </is>
      </c>
      <c r="AY745" t="inlineStr">
        <is>
          <t>2267938360002656</t>
        </is>
      </c>
      <c r="AZ745" t="inlineStr">
        <is>
          <t>BOOK</t>
        </is>
      </c>
      <c r="BB745" t="inlineStr">
        <is>
          <t>9788776940164</t>
        </is>
      </c>
      <c r="BC745" t="inlineStr">
        <is>
          <t>32285005651582</t>
        </is>
      </c>
      <c r="BD745" t="inlineStr">
        <is>
          <t>893902979</t>
        </is>
      </c>
    </row>
    <row r="746">
      <c r="A746" t="inlineStr">
        <is>
          <t>No</t>
        </is>
      </c>
      <c r="B746" t="inlineStr">
        <is>
          <t>HQ1236.5.B6 M33 2006</t>
        </is>
      </c>
      <c r="C746" t="inlineStr">
        <is>
          <t>0                      HQ 1236500B  6                  M  33          2006</t>
        </is>
      </c>
      <c r="D746" t="inlineStr">
        <is>
          <t>Gender politics in Brazil and Chile : the role of parties in national and local policymaking / Fiona Macaulay.</t>
        </is>
      </c>
      <c r="F746" t="inlineStr">
        <is>
          <t>No</t>
        </is>
      </c>
      <c r="G746" t="inlineStr">
        <is>
          <t>1</t>
        </is>
      </c>
      <c r="H746" t="inlineStr">
        <is>
          <t>No</t>
        </is>
      </c>
      <c r="I746" t="inlineStr">
        <is>
          <t>No</t>
        </is>
      </c>
      <c r="J746" t="inlineStr">
        <is>
          <t>0</t>
        </is>
      </c>
      <c r="K746" t="inlineStr">
        <is>
          <t>Macaulay, Fiona, 1962-</t>
        </is>
      </c>
      <c r="L746" t="inlineStr">
        <is>
          <t>Basingstoke [England] ; New York : Palgrave Macmillan ; Oxford : In association with St. Antony's College, 2006.</t>
        </is>
      </c>
      <c r="M746" t="inlineStr">
        <is>
          <t>2006</t>
        </is>
      </c>
      <c r="O746" t="inlineStr">
        <is>
          <t>eng</t>
        </is>
      </c>
      <c r="P746" t="inlineStr">
        <is>
          <t>enk</t>
        </is>
      </c>
      <c r="Q746" t="inlineStr">
        <is>
          <t>St. Antony's series</t>
        </is>
      </c>
      <c r="R746" t="inlineStr">
        <is>
          <t xml:space="preserve">HQ </t>
        </is>
      </c>
      <c r="S746" t="n">
        <v>1</v>
      </c>
      <c r="T746" t="n">
        <v>1</v>
      </c>
      <c r="U746" t="inlineStr">
        <is>
          <t>2007-10-11</t>
        </is>
      </c>
      <c r="V746" t="inlineStr">
        <is>
          <t>2007-10-11</t>
        </is>
      </c>
      <c r="W746" t="inlineStr">
        <is>
          <t>2007-10-11</t>
        </is>
      </c>
      <c r="X746" t="inlineStr">
        <is>
          <t>2007-10-11</t>
        </is>
      </c>
      <c r="Y746" t="n">
        <v>245</v>
      </c>
      <c r="Z746" t="n">
        <v>181</v>
      </c>
      <c r="AA746" t="n">
        <v>204</v>
      </c>
      <c r="AB746" t="n">
        <v>2</v>
      </c>
      <c r="AC746" t="n">
        <v>2</v>
      </c>
      <c r="AD746" t="n">
        <v>9</v>
      </c>
      <c r="AE746" t="n">
        <v>9</v>
      </c>
      <c r="AF746" t="n">
        <v>4</v>
      </c>
      <c r="AG746" t="n">
        <v>4</v>
      </c>
      <c r="AH746" t="n">
        <v>3</v>
      </c>
      <c r="AI746" t="n">
        <v>3</v>
      </c>
      <c r="AJ746" t="n">
        <v>6</v>
      </c>
      <c r="AK746" t="n">
        <v>6</v>
      </c>
      <c r="AL746" t="n">
        <v>1</v>
      </c>
      <c r="AM746" t="n">
        <v>1</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HYPERLINK("https://creighton-primo.hosted.exlibrisgroup.com/primo-explore/search?tab=default_tab&amp;search_scope=EVERYTHING&amp;vid=01CRU&amp;lang=en_US&amp;offset=0&amp;query=any,contains,991005123849702656","Catalog Record")</f>
        <v/>
      </c>
      <c r="AT746">
        <f>HYPERLINK("http://www.worldcat.org/oclc/60796251","WorldCat Record")</f>
        <v/>
      </c>
      <c r="AU746" t="inlineStr">
        <is>
          <t>905885361:eng</t>
        </is>
      </c>
      <c r="AV746" t="inlineStr">
        <is>
          <t>60796251</t>
        </is>
      </c>
      <c r="AW746" t="inlineStr">
        <is>
          <t>991005123849702656</t>
        </is>
      </c>
      <c r="AX746" t="inlineStr">
        <is>
          <t>991005123849702656</t>
        </is>
      </c>
      <c r="AY746" t="inlineStr">
        <is>
          <t>2258727520002656</t>
        </is>
      </c>
      <c r="AZ746" t="inlineStr">
        <is>
          <t>BOOK</t>
        </is>
      </c>
      <c r="BB746" t="inlineStr">
        <is>
          <t>9780333736142</t>
        </is>
      </c>
      <c r="BC746" t="inlineStr">
        <is>
          <t>32285005329411</t>
        </is>
      </c>
      <c r="BD746" t="inlineStr">
        <is>
          <t>893514077</t>
        </is>
      </c>
    </row>
    <row r="747">
      <c r="A747" t="inlineStr">
        <is>
          <t>No</t>
        </is>
      </c>
      <c r="B747" t="inlineStr">
        <is>
          <t>HQ1236.5.C2 W63 1991</t>
        </is>
      </c>
      <c r="C747" t="inlineStr">
        <is>
          <t>0                      HQ 1236500C  2                  W  63          1991</t>
        </is>
      </c>
      <c r="D747" t="inlineStr">
        <is>
          <t>Women in Canadian politics : toward equity in representation / Kathy Megyery, editor.</t>
        </is>
      </c>
      <c r="F747" t="inlineStr">
        <is>
          <t>No</t>
        </is>
      </c>
      <c r="G747" t="inlineStr">
        <is>
          <t>1</t>
        </is>
      </c>
      <c r="H747" t="inlineStr">
        <is>
          <t>No</t>
        </is>
      </c>
      <c r="I747" t="inlineStr">
        <is>
          <t>No</t>
        </is>
      </c>
      <c r="J747" t="inlineStr">
        <is>
          <t>0</t>
        </is>
      </c>
      <c r="L747" t="inlineStr">
        <is>
          <t>Toronto : Published by Dundurn Press Limited in cooperation with the Royal Commission on Electoral Reform and Party Financing and Canada Communication Group-Publishing, Supply and Services Canada, c1991.</t>
        </is>
      </c>
      <c r="M747" t="inlineStr">
        <is>
          <t>1991</t>
        </is>
      </c>
      <c r="O747" t="inlineStr">
        <is>
          <t>eng</t>
        </is>
      </c>
      <c r="P747" t="inlineStr">
        <is>
          <t>onc</t>
        </is>
      </c>
      <c r="Q747" t="inlineStr">
        <is>
          <t>Research studies, 1188-2743 ; v. 6</t>
        </is>
      </c>
      <c r="R747" t="inlineStr">
        <is>
          <t xml:space="preserve">HQ </t>
        </is>
      </c>
      <c r="S747" t="n">
        <v>1</v>
      </c>
      <c r="T747" t="n">
        <v>1</v>
      </c>
      <c r="U747" t="inlineStr">
        <is>
          <t>2002-05-01</t>
        </is>
      </c>
      <c r="V747" t="inlineStr">
        <is>
          <t>2002-05-01</t>
        </is>
      </c>
      <c r="W747" t="inlineStr">
        <is>
          <t>1994-08-02</t>
        </is>
      </c>
      <c r="X747" t="inlineStr">
        <is>
          <t>1994-08-02</t>
        </is>
      </c>
      <c r="Y747" t="n">
        <v>161</v>
      </c>
      <c r="Z747" t="n">
        <v>51</v>
      </c>
      <c r="AA747" t="n">
        <v>51</v>
      </c>
      <c r="AB747" t="n">
        <v>1</v>
      </c>
      <c r="AC747" t="n">
        <v>1</v>
      </c>
      <c r="AD747" t="n">
        <v>2</v>
      </c>
      <c r="AE747" t="n">
        <v>2</v>
      </c>
      <c r="AF747" t="n">
        <v>1</v>
      </c>
      <c r="AG747" t="n">
        <v>1</v>
      </c>
      <c r="AH747" t="n">
        <v>0</v>
      </c>
      <c r="AI747" t="n">
        <v>0</v>
      </c>
      <c r="AJ747" t="n">
        <v>1</v>
      </c>
      <c r="AK747" t="n">
        <v>1</v>
      </c>
      <c r="AL747" t="n">
        <v>0</v>
      </c>
      <c r="AM747" t="n">
        <v>0</v>
      </c>
      <c r="AN747" t="n">
        <v>1</v>
      </c>
      <c r="AO747" t="n">
        <v>1</v>
      </c>
      <c r="AP747" t="inlineStr">
        <is>
          <t>No</t>
        </is>
      </c>
      <c r="AQ747" t="inlineStr">
        <is>
          <t>Yes</t>
        </is>
      </c>
      <c r="AR747">
        <f>HYPERLINK("http://catalog.hathitrust.org/Record/002598734","HathiTrust Record")</f>
        <v/>
      </c>
      <c r="AS747">
        <f>HYPERLINK("https://creighton-primo.hosted.exlibrisgroup.com/primo-explore/search?tab=default_tab&amp;search_scope=EVERYTHING&amp;vid=01CRU&amp;lang=en_US&amp;offset=0&amp;query=any,contains,991001985939702656","Catalog Record")</f>
        <v/>
      </c>
      <c r="AT747">
        <f>HYPERLINK("http://www.worldcat.org/oclc/25204044","WorldCat Record")</f>
        <v/>
      </c>
      <c r="AU747" t="inlineStr">
        <is>
          <t>10177757666:eng</t>
        </is>
      </c>
      <c r="AV747" t="inlineStr">
        <is>
          <t>25204044</t>
        </is>
      </c>
      <c r="AW747" t="inlineStr">
        <is>
          <t>991001985939702656</t>
        </is>
      </c>
      <c r="AX747" t="inlineStr">
        <is>
          <t>991001985939702656</t>
        </is>
      </c>
      <c r="AY747" t="inlineStr">
        <is>
          <t>2260468450002656</t>
        </is>
      </c>
      <c r="AZ747" t="inlineStr">
        <is>
          <t>BOOK</t>
        </is>
      </c>
      <c r="BB747" t="inlineStr">
        <is>
          <t>9781550021028</t>
        </is>
      </c>
      <c r="BC747" t="inlineStr">
        <is>
          <t>32285001940435</t>
        </is>
      </c>
      <c r="BD747" t="inlineStr">
        <is>
          <t>893809259</t>
        </is>
      </c>
    </row>
    <row r="748">
      <c r="A748" t="inlineStr">
        <is>
          <t>No</t>
        </is>
      </c>
      <c r="B748" t="inlineStr">
        <is>
          <t>HQ1236.5.D44 W665 1996</t>
        </is>
      </c>
      <c r="C748" t="inlineStr">
        <is>
          <t>0                      HQ 1236500D  44                 W  665         1996</t>
        </is>
      </c>
      <c r="D748" t="inlineStr">
        <is>
          <t>Women and politics in the Third World / edited by Haleh Afshar.</t>
        </is>
      </c>
      <c r="F748" t="inlineStr">
        <is>
          <t>No</t>
        </is>
      </c>
      <c r="G748" t="inlineStr">
        <is>
          <t>1</t>
        </is>
      </c>
      <c r="H748" t="inlineStr">
        <is>
          <t>No</t>
        </is>
      </c>
      <c r="I748" t="inlineStr">
        <is>
          <t>No</t>
        </is>
      </c>
      <c r="J748" t="inlineStr">
        <is>
          <t>0</t>
        </is>
      </c>
      <c r="L748" t="inlineStr">
        <is>
          <t>London ; New York : Routledge, 1996.</t>
        </is>
      </c>
      <c r="M748" t="inlineStr">
        <is>
          <t>1996</t>
        </is>
      </c>
      <c r="O748" t="inlineStr">
        <is>
          <t>eng</t>
        </is>
      </c>
      <c r="P748" t="inlineStr">
        <is>
          <t>enk</t>
        </is>
      </c>
      <c r="Q748" t="inlineStr">
        <is>
          <t>Women and politics</t>
        </is>
      </c>
      <c r="R748" t="inlineStr">
        <is>
          <t xml:space="preserve">HQ </t>
        </is>
      </c>
      <c r="S748" t="n">
        <v>9</v>
      </c>
      <c r="T748" t="n">
        <v>9</v>
      </c>
      <c r="U748" t="inlineStr">
        <is>
          <t>2004-04-13</t>
        </is>
      </c>
      <c r="V748" t="inlineStr">
        <is>
          <t>2004-04-13</t>
        </is>
      </c>
      <c r="W748" t="inlineStr">
        <is>
          <t>1997-05-29</t>
        </is>
      </c>
      <c r="X748" t="inlineStr">
        <is>
          <t>1997-05-29</t>
        </is>
      </c>
      <c r="Y748" t="n">
        <v>509</v>
      </c>
      <c r="Z748" t="n">
        <v>292</v>
      </c>
      <c r="AA748" t="n">
        <v>317</v>
      </c>
      <c r="AB748" t="n">
        <v>2</v>
      </c>
      <c r="AC748" t="n">
        <v>2</v>
      </c>
      <c r="AD748" t="n">
        <v>17</v>
      </c>
      <c r="AE748" t="n">
        <v>17</v>
      </c>
      <c r="AF748" t="n">
        <v>5</v>
      </c>
      <c r="AG748" t="n">
        <v>5</v>
      </c>
      <c r="AH748" t="n">
        <v>5</v>
      </c>
      <c r="AI748" t="n">
        <v>5</v>
      </c>
      <c r="AJ748" t="n">
        <v>8</v>
      </c>
      <c r="AK748" t="n">
        <v>8</v>
      </c>
      <c r="AL748" t="n">
        <v>1</v>
      </c>
      <c r="AM748" t="n">
        <v>1</v>
      </c>
      <c r="AN748" t="n">
        <v>2</v>
      </c>
      <c r="AO748" t="n">
        <v>2</v>
      </c>
      <c r="AP748" t="inlineStr">
        <is>
          <t>No</t>
        </is>
      </c>
      <c r="AQ748" t="inlineStr">
        <is>
          <t>No</t>
        </is>
      </c>
      <c r="AS748">
        <f>HYPERLINK("https://creighton-primo.hosted.exlibrisgroup.com/primo-explore/search?tab=default_tab&amp;search_scope=EVERYTHING&amp;vid=01CRU&amp;lang=en_US&amp;offset=0&amp;query=any,contains,991002528219702656","Catalog Record")</f>
        <v/>
      </c>
      <c r="AT748">
        <f>HYPERLINK("http://www.worldcat.org/oclc/32856646","WorldCat Record")</f>
        <v/>
      </c>
      <c r="AU748" t="inlineStr">
        <is>
          <t>1060416710:eng</t>
        </is>
      </c>
      <c r="AV748" t="inlineStr">
        <is>
          <t>32856646</t>
        </is>
      </c>
      <c r="AW748" t="inlineStr">
        <is>
          <t>991002528219702656</t>
        </is>
      </c>
      <c r="AX748" t="inlineStr">
        <is>
          <t>991002528219702656</t>
        </is>
      </c>
      <c r="AY748" t="inlineStr">
        <is>
          <t>2271509050002656</t>
        </is>
      </c>
      <c r="AZ748" t="inlineStr">
        <is>
          <t>BOOK</t>
        </is>
      </c>
      <c r="BB748" t="inlineStr">
        <is>
          <t>9780415138536</t>
        </is>
      </c>
      <c r="BC748" t="inlineStr">
        <is>
          <t>32285002612868</t>
        </is>
      </c>
      <c r="BD748" t="inlineStr">
        <is>
          <t>893498222</t>
        </is>
      </c>
    </row>
    <row r="749">
      <c r="A749" t="inlineStr">
        <is>
          <t>No</t>
        </is>
      </c>
      <c r="B749" t="inlineStr">
        <is>
          <t>HQ1236.5.D65 B74 1999</t>
        </is>
      </c>
      <c r="C749" t="inlineStr">
        <is>
          <t>0                      HQ 1236500D  65                 B  74          1999</t>
        </is>
      </c>
      <c r="D749" t="inlineStr">
        <is>
          <t>Entre la calle y la casa : las mujeres dominicanas y la cultura política a finales del siglo XX / Ramonina Brea, Isis Duarte.</t>
        </is>
      </c>
      <c r="F749" t="inlineStr">
        <is>
          <t>No</t>
        </is>
      </c>
      <c r="G749" t="inlineStr">
        <is>
          <t>1</t>
        </is>
      </c>
      <c r="H749" t="inlineStr">
        <is>
          <t>No</t>
        </is>
      </c>
      <c r="I749" t="inlineStr">
        <is>
          <t>No</t>
        </is>
      </c>
      <c r="J749" t="inlineStr">
        <is>
          <t>0</t>
        </is>
      </c>
      <c r="K749" t="inlineStr">
        <is>
          <t>Brea, Ramonina.</t>
        </is>
      </c>
      <c r="L749" t="inlineStr">
        <is>
          <t>[Santo Domingo, República Dominicana] : Profamilia, 1999.</t>
        </is>
      </c>
      <c r="M749" t="inlineStr">
        <is>
          <t>1999</t>
        </is>
      </c>
      <c r="N749" t="inlineStr">
        <is>
          <t>1st ed.</t>
        </is>
      </c>
      <c r="O749" t="inlineStr">
        <is>
          <t>spa</t>
        </is>
      </c>
      <c r="P749" t="inlineStr">
        <is>
          <t xml:space="preserve">dr </t>
        </is>
      </c>
      <c r="R749" t="inlineStr">
        <is>
          <t xml:space="preserve">HQ </t>
        </is>
      </c>
      <c r="S749" t="n">
        <v>1</v>
      </c>
      <c r="T749" t="n">
        <v>1</v>
      </c>
      <c r="U749" t="inlineStr">
        <is>
          <t>2007-02-05</t>
        </is>
      </c>
      <c r="V749" t="inlineStr">
        <is>
          <t>2007-02-05</t>
        </is>
      </c>
      <c r="W749" t="inlineStr">
        <is>
          <t>2000-10-10</t>
        </is>
      </c>
      <c r="X749" t="inlineStr">
        <is>
          <t>2000-10-10</t>
        </is>
      </c>
      <c r="Y749" t="n">
        <v>37</v>
      </c>
      <c r="Z749" t="n">
        <v>34</v>
      </c>
      <c r="AA749" t="n">
        <v>35</v>
      </c>
      <c r="AB749" t="n">
        <v>1</v>
      </c>
      <c r="AC749" t="n">
        <v>1</v>
      </c>
      <c r="AD749" t="n">
        <v>1</v>
      </c>
      <c r="AE749" t="n">
        <v>1</v>
      </c>
      <c r="AF749" t="n">
        <v>0</v>
      </c>
      <c r="AG749" t="n">
        <v>0</v>
      </c>
      <c r="AH749" t="n">
        <v>1</v>
      </c>
      <c r="AI749" t="n">
        <v>1</v>
      </c>
      <c r="AJ749" t="n">
        <v>0</v>
      </c>
      <c r="AK749" t="n">
        <v>0</v>
      </c>
      <c r="AL749" t="n">
        <v>0</v>
      </c>
      <c r="AM749" t="n">
        <v>0</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HYPERLINK("https://creighton-primo.hosted.exlibrisgroup.com/primo-explore/search?tab=default_tab&amp;search_scope=EVERYTHING&amp;vid=01CRU&amp;lang=en_US&amp;offset=0&amp;query=any,contains,991003248169702656","Catalog Record")</f>
        <v/>
      </c>
      <c r="AT749">
        <f>HYPERLINK("http://www.worldcat.org/oclc/44714798","WorldCat Record")</f>
        <v/>
      </c>
      <c r="AU749" t="inlineStr">
        <is>
          <t>477922929:spa</t>
        </is>
      </c>
      <c r="AV749" t="inlineStr">
        <is>
          <t>44714798</t>
        </is>
      </c>
      <c r="AW749" t="inlineStr">
        <is>
          <t>991003248169702656</t>
        </is>
      </c>
      <c r="AX749" t="inlineStr">
        <is>
          <t>991003248169702656</t>
        </is>
      </c>
      <c r="AY749" t="inlineStr">
        <is>
          <t>2259406560002656</t>
        </is>
      </c>
      <c r="AZ749" t="inlineStr">
        <is>
          <t>BOOK</t>
        </is>
      </c>
      <c r="BB749" t="inlineStr">
        <is>
          <t>9789768175458</t>
        </is>
      </c>
      <c r="BC749" t="inlineStr">
        <is>
          <t>32285003767380</t>
        </is>
      </c>
      <c r="BD749" t="inlineStr">
        <is>
          <t>893809896</t>
        </is>
      </c>
    </row>
    <row r="750">
      <c r="A750" t="inlineStr">
        <is>
          <t>No</t>
        </is>
      </c>
      <c r="B750" t="inlineStr">
        <is>
          <t>HQ1236.5.E85 H37 2001</t>
        </is>
      </c>
      <c r="C750" t="inlineStr">
        <is>
          <t>0                      HQ 1236500E  85                 H  37          2001</t>
        </is>
      </c>
      <c r="D750" t="inlineStr">
        <is>
          <t>Has liberalism failed women? : assuring equal representation in Europe and the United States / Jytte Klausen and Charles S. Maier, eds.</t>
        </is>
      </c>
      <c r="F750" t="inlineStr">
        <is>
          <t>No</t>
        </is>
      </c>
      <c r="G750" t="inlineStr">
        <is>
          <t>1</t>
        </is>
      </c>
      <c r="H750" t="inlineStr">
        <is>
          <t>No</t>
        </is>
      </c>
      <c r="I750" t="inlineStr">
        <is>
          <t>No</t>
        </is>
      </c>
      <c r="J750" t="inlineStr">
        <is>
          <t>0</t>
        </is>
      </c>
      <c r="L750" t="inlineStr">
        <is>
          <t>New York, N.Y. : PALGRAVE, 2001.</t>
        </is>
      </c>
      <c r="M750" t="inlineStr">
        <is>
          <t>2001</t>
        </is>
      </c>
      <c r="O750" t="inlineStr">
        <is>
          <t>eng</t>
        </is>
      </c>
      <c r="P750" t="inlineStr">
        <is>
          <t>nyu</t>
        </is>
      </c>
      <c r="R750" t="inlineStr">
        <is>
          <t xml:space="preserve">HQ </t>
        </is>
      </c>
      <c r="S750" t="n">
        <v>8</v>
      </c>
      <c r="T750" t="n">
        <v>8</v>
      </c>
      <c r="U750" t="inlineStr">
        <is>
          <t>2003-10-16</t>
        </is>
      </c>
      <c r="V750" t="inlineStr">
        <is>
          <t>2003-10-16</t>
        </is>
      </c>
      <c r="W750" t="inlineStr">
        <is>
          <t>2001-12-03</t>
        </is>
      </c>
      <c r="X750" t="inlineStr">
        <is>
          <t>2001-12-03</t>
        </is>
      </c>
      <c r="Y750" t="n">
        <v>281</v>
      </c>
      <c r="Z750" t="n">
        <v>224</v>
      </c>
      <c r="AA750" t="n">
        <v>249</v>
      </c>
      <c r="AB750" t="n">
        <v>3</v>
      </c>
      <c r="AC750" t="n">
        <v>3</v>
      </c>
      <c r="AD750" t="n">
        <v>6</v>
      </c>
      <c r="AE750" t="n">
        <v>6</v>
      </c>
      <c r="AF750" t="n">
        <v>1</v>
      </c>
      <c r="AG750" t="n">
        <v>1</v>
      </c>
      <c r="AH750" t="n">
        <v>2</v>
      </c>
      <c r="AI750" t="n">
        <v>2</v>
      </c>
      <c r="AJ750" t="n">
        <v>2</v>
      </c>
      <c r="AK750" t="n">
        <v>2</v>
      </c>
      <c r="AL750" t="n">
        <v>2</v>
      </c>
      <c r="AM750" t="n">
        <v>2</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HYPERLINK("https://creighton-primo.hosted.exlibrisgroup.com/primo-explore/search?tab=default_tab&amp;search_scope=EVERYTHING&amp;vid=01CRU&amp;lang=en_US&amp;offset=0&amp;query=any,contains,991003672819702656","Catalog Record")</f>
        <v/>
      </c>
      <c r="AT750">
        <f>HYPERLINK("http://www.worldcat.org/oclc/45829798","WorldCat Record")</f>
        <v/>
      </c>
      <c r="AU750" t="inlineStr">
        <is>
          <t>994623521:eng</t>
        </is>
      </c>
      <c r="AV750" t="inlineStr">
        <is>
          <t>45829798</t>
        </is>
      </c>
      <c r="AW750" t="inlineStr">
        <is>
          <t>991003672819702656</t>
        </is>
      </c>
      <c r="AX750" t="inlineStr">
        <is>
          <t>991003672819702656</t>
        </is>
      </c>
      <c r="AY750" t="inlineStr">
        <is>
          <t>2255047130002656</t>
        </is>
      </c>
      <c r="AZ750" t="inlineStr">
        <is>
          <t>BOOK</t>
        </is>
      </c>
      <c r="BB750" t="inlineStr">
        <is>
          <t>9780312232498</t>
        </is>
      </c>
      <c r="BC750" t="inlineStr">
        <is>
          <t>32285004425244</t>
        </is>
      </c>
      <c r="BD750" t="inlineStr">
        <is>
          <t>893793896</t>
        </is>
      </c>
    </row>
    <row r="751">
      <c r="A751" t="inlineStr">
        <is>
          <t>No</t>
        </is>
      </c>
      <c r="B751" t="inlineStr">
        <is>
          <t>HQ1236.5.E85 H46 2001</t>
        </is>
      </c>
      <c r="C751" t="inlineStr">
        <is>
          <t>0                      HQ 1236500E  85                 H  46          2001</t>
        </is>
      </c>
      <c r="D751" t="inlineStr">
        <is>
          <t>Women and political power : Europe since 1945 / Ruth Henig and Simon Henig.</t>
        </is>
      </c>
      <c r="F751" t="inlineStr">
        <is>
          <t>No</t>
        </is>
      </c>
      <c r="G751" t="inlineStr">
        <is>
          <t>1</t>
        </is>
      </c>
      <c r="H751" t="inlineStr">
        <is>
          <t>No</t>
        </is>
      </c>
      <c r="I751" t="inlineStr">
        <is>
          <t>No</t>
        </is>
      </c>
      <c r="J751" t="inlineStr">
        <is>
          <t>0</t>
        </is>
      </c>
      <c r="K751" t="inlineStr">
        <is>
          <t>Henig, Ruth B. (Ruth Beatrice)</t>
        </is>
      </c>
      <c r="L751" t="inlineStr">
        <is>
          <t>London ; New York : Routledge, 2001.</t>
        </is>
      </c>
      <c r="M751" t="inlineStr">
        <is>
          <t>2001</t>
        </is>
      </c>
      <c r="O751" t="inlineStr">
        <is>
          <t>eng</t>
        </is>
      </c>
      <c r="P751" t="inlineStr">
        <is>
          <t>enk</t>
        </is>
      </c>
      <c r="Q751" t="inlineStr">
        <is>
          <t>The making of the contemporary world</t>
        </is>
      </c>
      <c r="R751" t="inlineStr">
        <is>
          <t xml:space="preserve">HQ </t>
        </is>
      </c>
      <c r="S751" t="n">
        <v>3</v>
      </c>
      <c r="T751" t="n">
        <v>3</v>
      </c>
      <c r="U751" t="inlineStr">
        <is>
          <t>2007-10-05</t>
        </is>
      </c>
      <c r="V751" t="inlineStr">
        <is>
          <t>2007-10-05</t>
        </is>
      </c>
      <c r="W751" t="inlineStr">
        <is>
          <t>2003-02-05</t>
        </is>
      </c>
      <c r="X751" t="inlineStr">
        <is>
          <t>2003-02-05</t>
        </is>
      </c>
      <c r="Y751" t="n">
        <v>442</v>
      </c>
      <c r="Z751" t="n">
        <v>311</v>
      </c>
      <c r="AA751" t="n">
        <v>884</v>
      </c>
      <c r="AB751" t="n">
        <v>3</v>
      </c>
      <c r="AC751" t="n">
        <v>4</v>
      </c>
      <c r="AD751" t="n">
        <v>21</v>
      </c>
      <c r="AE751" t="n">
        <v>27</v>
      </c>
      <c r="AF751" t="n">
        <v>7</v>
      </c>
      <c r="AG751" t="n">
        <v>11</v>
      </c>
      <c r="AH751" t="n">
        <v>7</v>
      </c>
      <c r="AI751" t="n">
        <v>7</v>
      </c>
      <c r="AJ751" t="n">
        <v>11</v>
      </c>
      <c r="AK751" t="n">
        <v>12</v>
      </c>
      <c r="AL751" t="n">
        <v>2</v>
      </c>
      <c r="AM751" t="n">
        <v>3</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HYPERLINK("https://creighton-primo.hosted.exlibrisgroup.com/primo-explore/search?tab=default_tab&amp;search_scope=EVERYTHING&amp;vid=01CRU&amp;lang=en_US&amp;offset=0&amp;query=any,contains,991003970759702656","Catalog Record")</f>
        <v/>
      </c>
      <c r="AT751">
        <f>HYPERLINK("http://www.worldcat.org/oclc/43913136","WorldCat Record")</f>
        <v/>
      </c>
      <c r="AU751" t="inlineStr">
        <is>
          <t>793104533:eng</t>
        </is>
      </c>
      <c r="AV751" t="inlineStr">
        <is>
          <t>43913136</t>
        </is>
      </c>
      <c r="AW751" t="inlineStr">
        <is>
          <t>991003970759702656</t>
        </is>
      </c>
      <c r="AX751" t="inlineStr">
        <is>
          <t>991003970759702656</t>
        </is>
      </c>
      <c r="AY751" t="inlineStr">
        <is>
          <t>2263962620002656</t>
        </is>
      </c>
      <c r="AZ751" t="inlineStr">
        <is>
          <t>BOOK</t>
        </is>
      </c>
      <c r="BB751" t="inlineStr">
        <is>
          <t>9780415198516</t>
        </is>
      </c>
      <c r="BC751" t="inlineStr">
        <is>
          <t>32285004697404</t>
        </is>
      </c>
      <c r="BD751" t="inlineStr">
        <is>
          <t>893499941</t>
        </is>
      </c>
    </row>
    <row r="752">
      <c r="A752" t="inlineStr">
        <is>
          <t>No</t>
        </is>
      </c>
      <c r="B752" t="inlineStr">
        <is>
          <t>HQ1236.5.E85 W64 1990</t>
        </is>
      </c>
      <c r="C752" t="inlineStr">
        <is>
          <t>0                      HQ 1236500E  85                 W  64          1990</t>
        </is>
      </c>
      <c r="D752" t="inlineStr">
        <is>
          <t>Women and politics in the age of the democratic revolution / edited by Harriet B. Applewhite and Darline G. Levy.</t>
        </is>
      </c>
      <c r="F752" t="inlineStr">
        <is>
          <t>No</t>
        </is>
      </c>
      <c r="G752" t="inlineStr">
        <is>
          <t>1</t>
        </is>
      </c>
      <c r="H752" t="inlineStr">
        <is>
          <t>No</t>
        </is>
      </c>
      <c r="I752" t="inlineStr">
        <is>
          <t>No</t>
        </is>
      </c>
      <c r="J752" t="inlineStr">
        <is>
          <t>0</t>
        </is>
      </c>
      <c r="L752" t="inlineStr">
        <is>
          <t>Ann Arbor : University of Michigan Press, c1990.</t>
        </is>
      </c>
      <c r="M752" t="inlineStr">
        <is>
          <t>1990</t>
        </is>
      </c>
      <c r="O752" t="inlineStr">
        <is>
          <t>eng</t>
        </is>
      </c>
      <c r="P752" t="inlineStr">
        <is>
          <t>miu</t>
        </is>
      </c>
      <c r="R752" t="inlineStr">
        <is>
          <t xml:space="preserve">HQ </t>
        </is>
      </c>
      <c r="S752" t="n">
        <v>5</v>
      </c>
      <c r="T752" t="n">
        <v>5</v>
      </c>
      <c r="U752" t="inlineStr">
        <is>
          <t>2006-10-03</t>
        </is>
      </c>
      <c r="V752" t="inlineStr">
        <is>
          <t>2006-10-03</t>
        </is>
      </c>
      <c r="W752" t="inlineStr">
        <is>
          <t>1993-08-09</t>
        </is>
      </c>
      <c r="X752" t="inlineStr">
        <is>
          <t>1993-08-09</t>
        </is>
      </c>
      <c r="Y752" t="n">
        <v>471</v>
      </c>
      <c r="Z752" t="n">
        <v>363</v>
      </c>
      <c r="AA752" t="n">
        <v>411</v>
      </c>
      <c r="AB752" t="n">
        <v>4</v>
      </c>
      <c r="AC752" t="n">
        <v>4</v>
      </c>
      <c r="AD752" t="n">
        <v>24</v>
      </c>
      <c r="AE752" t="n">
        <v>26</v>
      </c>
      <c r="AF752" t="n">
        <v>8</v>
      </c>
      <c r="AG752" t="n">
        <v>9</v>
      </c>
      <c r="AH752" t="n">
        <v>5</v>
      </c>
      <c r="AI752" t="n">
        <v>6</v>
      </c>
      <c r="AJ752" t="n">
        <v>12</v>
      </c>
      <c r="AK752" t="n">
        <v>12</v>
      </c>
      <c r="AL752" t="n">
        <v>3</v>
      </c>
      <c r="AM752" t="n">
        <v>3</v>
      </c>
      <c r="AN752" t="n">
        <v>3</v>
      </c>
      <c r="AO752" t="n">
        <v>3</v>
      </c>
      <c r="AP752" t="inlineStr">
        <is>
          <t>No</t>
        </is>
      </c>
      <c r="AQ752" t="inlineStr">
        <is>
          <t>Yes</t>
        </is>
      </c>
      <c r="AR752">
        <f>HYPERLINK("http://catalog.hathitrust.org/Record/002230672","HathiTrust Record")</f>
        <v/>
      </c>
      <c r="AS752">
        <f>HYPERLINK("https://creighton-primo.hosted.exlibrisgroup.com/primo-explore/search?tab=default_tab&amp;search_scope=EVERYTHING&amp;vid=01CRU&amp;lang=en_US&amp;offset=0&amp;query=any,contains,991001643139702656","Catalog Record")</f>
        <v/>
      </c>
      <c r="AT752">
        <f>HYPERLINK("http://www.worldcat.org/oclc/21038532","WorldCat Record")</f>
        <v/>
      </c>
      <c r="AU752" t="inlineStr">
        <is>
          <t>365260645:eng</t>
        </is>
      </c>
      <c r="AV752" t="inlineStr">
        <is>
          <t>21038532</t>
        </is>
      </c>
      <c r="AW752" t="inlineStr">
        <is>
          <t>991001643139702656</t>
        </is>
      </c>
      <c r="AX752" t="inlineStr">
        <is>
          <t>991001643139702656</t>
        </is>
      </c>
      <c r="AY752" t="inlineStr">
        <is>
          <t>2256533300002656</t>
        </is>
      </c>
      <c r="AZ752" t="inlineStr">
        <is>
          <t>BOOK</t>
        </is>
      </c>
      <c r="BB752" t="inlineStr">
        <is>
          <t>9780472094134</t>
        </is>
      </c>
      <c r="BC752" t="inlineStr">
        <is>
          <t>32285001725372</t>
        </is>
      </c>
      <c r="BD752" t="inlineStr">
        <is>
          <t>893866359</t>
        </is>
      </c>
    </row>
    <row r="753">
      <c r="A753" t="inlineStr">
        <is>
          <t>No</t>
        </is>
      </c>
      <c r="B753" t="inlineStr">
        <is>
          <t>HQ1236.5.E852 W66 1994</t>
        </is>
      </c>
      <c r="C753" t="inlineStr">
        <is>
          <t>0                      HQ 1236500E  852                W  66          1994</t>
        </is>
      </c>
      <c r="D753" t="inlineStr">
        <is>
          <t>Women in the politics of postcommunist Eastern Europe / edited by Marilyn Rueschemeyer.</t>
        </is>
      </c>
      <c r="F753" t="inlineStr">
        <is>
          <t>No</t>
        </is>
      </c>
      <c r="G753" t="inlineStr">
        <is>
          <t>1</t>
        </is>
      </c>
      <c r="H753" t="inlineStr">
        <is>
          <t>No</t>
        </is>
      </c>
      <c r="I753" t="inlineStr">
        <is>
          <t>No</t>
        </is>
      </c>
      <c r="J753" t="inlineStr">
        <is>
          <t>0</t>
        </is>
      </c>
      <c r="L753" t="inlineStr">
        <is>
          <t>Armonk, N.Y. : M.E. Sharpe, c1994.</t>
        </is>
      </c>
      <c r="M753" t="inlineStr">
        <is>
          <t>1994</t>
        </is>
      </c>
      <c r="O753" t="inlineStr">
        <is>
          <t>eng</t>
        </is>
      </c>
      <c r="P753" t="inlineStr">
        <is>
          <t>nyu</t>
        </is>
      </c>
      <c r="R753" t="inlineStr">
        <is>
          <t xml:space="preserve">HQ </t>
        </is>
      </c>
      <c r="S753" t="n">
        <v>4</v>
      </c>
      <c r="T753" t="n">
        <v>4</v>
      </c>
      <c r="U753" t="inlineStr">
        <is>
          <t>2003-10-30</t>
        </is>
      </c>
      <c r="V753" t="inlineStr">
        <is>
          <t>2003-10-30</t>
        </is>
      </c>
      <c r="W753" t="inlineStr">
        <is>
          <t>1998-03-19</t>
        </is>
      </c>
      <c r="X753" t="inlineStr">
        <is>
          <t>1998-03-19</t>
        </is>
      </c>
      <c r="Y753" t="n">
        <v>373</v>
      </c>
      <c r="Z753" t="n">
        <v>276</v>
      </c>
      <c r="AA753" t="n">
        <v>1380</v>
      </c>
      <c r="AB753" t="n">
        <v>2</v>
      </c>
      <c r="AC753" t="n">
        <v>8</v>
      </c>
      <c r="AD753" t="n">
        <v>13</v>
      </c>
      <c r="AE753" t="n">
        <v>42</v>
      </c>
      <c r="AF753" t="n">
        <v>4</v>
      </c>
      <c r="AG753" t="n">
        <v>20</v>
      </c>
      <c r="AH753" t="n">
        <v>5</v>
      </c>
      <c r="AI753" t="n">
        <v>10</v>
      </c>
      <c r="AJ753" t="n">
        <v>8</v>
      </c>
      <c r="AK753" t="n">
        <v>17</v>
      </c>
      <c r="AL753" t="n">
        <v>1</v>
      </c>
      <c r="AM753" t="n">
        <v>6</v>
      </c>
      <c r="AN753" t="n">
        <v>1</v>
      </c>
      <c r="AO753" t="n">
        <v>1</v>
      </c>
      <c r="AP753" t="inlineStr">
        <is>
          <t>No</t>
        </is>
      </c>
      <c r="AQ753" t="inlineStr">
        <is>
          <t>Yes</t>
        </is>
      </c>
      <c r="AR753">
        <f>HYPERLINK("http://catalog.hathitrust.org/Record/002886122","HathiTrust Record")</f>
        <v/>
      </c>
      <c r="AS753">
        <f>HYPERLINK("https://creighton-primo.hosted.exlibrisgroup.com/primo-explore/search?tab=default_tab&amp;search_scope=EVERYTHING&amp;vid=01CRU&amp;lang=en_US&amp;offset=0&amp;query=any,contains,991002177079702656","Catalog Record")</f>
        <v/>
      </c>
      <c r="AT753">
        <f>HYPERLINK("http://www.worldcat.org/oclc/28024644","WorldCat Record")</f>
        <v/>
      </c>
      <c r="AU753" t="inlineStr">
        <is>
          <t>55697682:eng</t>
        </is>
      </c>
      <c r="AV753" t="inlineStr">
        <is>
          <t>28024644</t>
        </is>
      </c>
      <c r="AW753" t="inlineStr">
        <is>
          <t>991002177079702656</t>
        </is>
      </c>
      <c r="AX753" t="inlineStr">
        <is>
          <t>991002177079702656</t>
        </is>
      </c>
      <c r="AY753" t="inlineStr">
        <is>
          <t>2266533410002656</t>
        </is>
      </c>
      <c r="AZ753" t="inlineStr">
        <is>
          <t>BOOK</t>
        </is>
      </c>
      <c r="BB753" t="inlineStr">
        <is>
          <t>9781563241680</t>
        </is>
      </c>
      <c r="BC753" t="inlineStr">
        <is>
          <t>32285003358875</t>
        </is>
      </c>
      <c r="BD753" t="inlineStr">
        <is>
          <t>893621993</t>
        </is>
      </c>
    </row>
    <row r="754">
      <c r="A754" t="inlineStr">
        <is>
          <t>No</t>
        </is>
      </c>
      <c r="B754" t="inlineStr">
        <is>
          <t>HQ1236.5.F8 B37 1996</t>
        </is>
      </c>
      <c r="C754" t="inlineStr">
        <is>
          <t>0                      HQ 1236500F  8                  B  37          1996</t>
        </is>
      </c>
      <c r="D754" t="inlineStr">
        <is>
          <t>Women and political insurgency : France in the mid-nineteenth century / David Barry.</t>
        </is>
      </c>
      <c r="F754" t="inlineStr">
        <is>
          <t>No</t>
        </is>
      </c>
      <c r="G754" t="inlineStr">
        <is>
          <t>1</t>
        </is>
      </c>
      <c r="H754" t="inlineStr">
        <is>
          <t>No</t>
        </is>
      </c>
      <c r="I754" t="inlineStr">
        <is>
          <t>No</t>
        </is>
      </c>
      <c r="J754" t="inlineStr">
        <is>
          <t>0</t>
        </is>
      </c>
      <c r="K754" t="inlineStr">
        <is>
          <t>Barry, David, 1947-</t>
        </is>
      </c>
      <c r="L754" t="inlineStr">
        <is>
          <t>Houndmills, Basingstoke, Hampshire : Macmillan Press ; New York : St. Martin's Press, 1996.</t>
        </is>
      </c>
      <c r="M754" t="inlineStr">
        <is>
          <t>1996</t>
        </is>
      </c>
      <c r="O754" t="inlineStr">
        <is>
          <t>eng</t>
        </is>
      </c>
      <c r="P754" t="inlineStr">
        <is>
          <t>enk</t>
        </is>
      </c>
      <c r="R754" t="inlineStr">
        <is>
          <t xml:space="preserve">HQ </t>
        </is>
      </c>
      <c r="S754" t="n">
        <v>2</v>
      </c>
      <c r="T754" t="n">
        <v>2</v>
      </c>
      <c r="U754" t="inlineStr">
        <is>
          <t>1999-11-20</t>
        </is>
      </c>
      <c r="V754" t="inlineStr">
        <is>
          <t>1999-11-20</t>
        </is>
      </c>
      <c r="W754" t="inlineStr">
        <is>
          <t>1997-04-02</t>
        </is>
      </c>
      <c r="X754" t="inlineStr">
        <is>
          <t>1997-04-02</t>
        </is>
      </c>
      <c r="Y754" t="n">
        <v>294</v>
      </c>
      <c r="Z754" t="n">
        <v>211</v>
      </c>
      <c r="AA754" t="n">
        <v>237</v>
      </c>
      <c r="AB754" t="n">
        <v>2</v>
      </c>
      <c r="AC754" t="n">
        <v>2</v>
      </c>
      <c r="AD754" t="n">
        <v>15</v>
      </c>
      <c r="AE754" t="n">
        <v>15</v>
      </c>
      <c r="AF754" t="n">
        <v>3</v>
      </c>
      <c r="AG754" t="n">
        <v>3</v>
      </c>
      <c r="AH754" t="n">
        <v>6</v>
      </c>
      <c r="AI754" t="n">
        <v>6</v>
      </c>
      <c r="AJ754" t="n">
        <v>10</v>
      </c>
      <c r="AK754" t="n">
        <v>10</v>
      </c>
      <c r="AL754" t="n">
        <v>1</v>
      </c>
      <c r="AM754" t="n">
        <v>1</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HYPERLINK("https://creighton-primo.hosted.exlibrisgroup.com/primo-explore/search?tab=default_tab&amp;search_scope=EVERYTHING&amp;vid=01CRU&amp;lang=en_US&amp;offset=0&amp;query=any,contains,991002591019702656","Catalog Record")</f>
        <v/>
      </c>
      <c r="AT754">
        <f>HYPERLINK("http://www.worldcat.org/oclc/33948276","WorldCat Record")</f>
        <v/>
      </c>
      <c r="AU754" t="inlineStr">
        <is>
          <t>39627304:eng</t>
        </is>
      </c>
      <c r="AV754" t="inlineStr">
        <is>
          <t>33948276</t>
        </is>
      </c>
      <c r="AW754" t="inlineStr">
        <is>
          <t>991002591019702656</t>
        </is>
      </c>
      <c r="AX754" t="inlineStr">
        <is>
          <t>991002591019702656</t>
        </is>
      </c>
      <c r="AY754" t="inlineStr">
        <is>
          <t>2263024070002656</t>
        </is>
      </c>
      <c r="AZ754" t="inlineStr">
        <is>
          <t>BOOK</t>
        </is>
      </c>
      <c r="BB754" t="inlineStr">
        <is>
          <t>9780312129477</t>
        </is>
      </c>
      <c r="BC754" t="inlineStr">
        <is>
          <t>32285002478005</t>
        </is>
      </c>
      <c r="BD754" t="inlineStr">
        <is>
          <t>893591528</t>
        </is>
      </c>
    </row>
    <row r="755">
      <c r="A755" t="inlineStr">
        <is>
          <t>No</t>
        </is>
      </c>
      <c r="B755" t="inlineStr">
        <is>
          <t>HQ1236.5.G7 C37 1988</t>
        </is>
      </c>
      <c r="C755" t="inlineStr">
        <is>
          <t>0                      HQ 1236500G  7                  C  37          1988</t>
        </is>
      </c>
      <c r="D755" t="inlineStr">
        <is>
          <t>The politics of women's rights / April Carter.</t>
        </is>
      </c>
      <c r="F755" t="inlineStr">
        <is>
          <t>No</t>
        </is>
      </c>
      <c r="G755" t="inlineStr">
        <is>
          <t>1</t>
        </is>
      </c>
      <c r="H755" t="inlineStr">
        <is>
          <t>No</t>
        </is>
      </c>
      <c r="I755" t="inlineStr">
        <is>
          <t>No</t>
        </is>
      </c>
      <c r="J755" t="inlineStr">
        <is>
          <t>0</t>
        </is>
      </c>
      <c r="K755" t="inlineStr">
        <is>
          <t>Carter, April.</t>
        </is>
      </c>
      <c r="L755" t="inlineStr">
        <is>
          <t>London ; New York : Longman, 1988.</t>
        </is>
      </c>
      <c r="M755" t="inlineStr">
        <is>
          <t>1988</t>
        </is>
      </c>
      <c r="O755" t="inlineStr">
        <is>
          <t>eng</t>
        </is>
      </c>
      <c r="P755" t="inlineStr">
        <is>
          <t>enk</t>
        </is>
      </c>
      <c r="Q755" t="inlineStr">
        <is>
          <t>Politics today</t>
        </is>
      </c>
      <c r="R755" t="inlineStr">
        <is>
          <t xml:space="preserve">HQ </t>
        </is>
      </c>
      <c r="S755" t="n">
        <v>5</v>
      </c>
      <c r="T755" t="n">
        <v>5</v>
      </c>
      <c r="U755" t="inlineStr">
        <is>
          <t>2005-03-21</t>
        </is>
      </c>
      <c r="V755" t="inlineStr">
        <is>
          <t>2005-03-21</t>
        </is>
      </c>
      <c r="W755" t="inlineStr">
        <is>
          <t>1990-07-05</t>
        </is>
      </c>
      <c r="X755" t="inlineStr">
        <is>
          <t>1990-07-05</t>
        </is>
      </c>
      <c r="Y755" t="n">
        <v>403</v>
      </c>
      <c r="Z755" t="n">
        <v>227</v>
      </c>
      <c r="AA755" t="n">
        <v>229</v>
      </c>
      <c r="AB755" t="n">
        <v>2</v>
      </c>
      <c r="AC755" t="n">
        <v>2</v>
      </c>
      <c r="AD755" t="n">
        <v>10</v>
      </c>
      <c r="AE755" t="n">
        <v>10</v>
      </c>
      <c r="AF755" t="n">
        <v>2</v>
      </c>
      <c r="AG755" t="n">
        <v>2</v>
      </c>
      <c r="AH755" t="n">
        <v>5</v>
      </c>
      <c r="AI755" t="n">
        <v>5</v>
      </c>
      <c r="AJ755" t="n">
        <v>5</v>
      </c>
      <c r="AK755" t="n">
        <v>5</v>
      </c>
      <c r="AL755" t="n">
        <v>1</v>
      </c>
      <c r="AM755" t="n">
        <v>1</v>
      </c>
      <c r="AN755" t="n">
        <v>1</v>
      </c>
      <c r="AO755" t="n">
        <v>1</v>
      </c>
      <c r="AP755" t="inlineStr">
        <is>
          <t>No</t>
        </is>
      </c>
      <c r="AQ755" t="inlineStr">
        <is>
          <t>Yes</t>
        </is>
      </c>
      <c r="AR755">
        <f>HYPERLINK("http://catalog.hathitrust.org/Record/000877049","HathiTrust Record")</f>
        <v/>
      </c>
      <c r="AS755">
        <f>HYPERLINK("https://creighton-primo.hosted.exlibrisgroup.com/primo-explore/search?tab=default_tab&amp;search_scope=EVERYTHING&amp;vid=01CRU&amp;lang=en_US&amp;offset=0&amp;query=any,contains,991001048039702656","Catalog Record")</f>
        <v/>
      </c>
      <c r="AT755">
        <f>HYPERLINK("http://www.worldcat.org/oclc/15630431","WorldCat Record")</f>
        <v/>
      </c>
      <c r="AU755" t="inlineStr">
        <is>
          <t>10408927:eng</t>
        </is>
      </c>
      <c r="AV755" t="inlineStr">
        <is>
          <t>15630431</t>
        </is>
      </c>
      <c r="AW755" t="inlineStr">
        <is>
          <t>991001048039702656</t>
        </is>
      </c>
      <c r="AX755" t="inlineStr">
        <is>
          <t>991001048039702656</t>
        </is>
      </c>
      <c r="AY755" t="inlineStr">
        <is>
          <t>2260906420002656</t>
        </is>
      </c>
      <c r="AZ755" t="inlineStr">
        <is>
          <t>BOOK</t>
        </is>
      </c>
      <c r="BB755" t="inlineStr">
        <is>
          <t>9780582295193</t>
        </is>
      </c>
      <c r="BC755" t="inlineStr">
        <is>
          <t>32285000221308</t>
        </is>
      </c>
      <c r="BD755" t="inlineStr">
        <is>
          <t>893243809</t>
        </is>
      </c>
    </row>
    <row r="756">
      <c r="A756" t="inlineStr">
        <is>
          <t>No</t>
        </is>
      </c>
      <c r="B756" t="inlineStr">
        <is>
          <t>HQ1236.5.G7 C47 2002</t>
        </is>
      </c>
      <c r="C756" t="inlineStr">
        <is>
          <t>0                      HQ 1236500G  7                  C  47          2002</t>
        </is>
      </c>
      <c r="D756" t="inlineStr">
        <is>
          <t>The changing politics of gender equality in Britain / edited by Esther Breitenbach ... [et al.].</t>
        </is>
      </c>
      <c r="F756" t="inlineStr">
        <is>
          <t>No</t>
        </is>
      </c>
      <c r="G756" t="inlineStr">
        <is>
          <t>1</t>
        </is>
      </c>
      <c r="H756" t="inlineStr">
        <is>
          <t>No</t>
        </is>
      </c>
      <c r="I756" t="inlineStr">
        <is>
          <t>No</t>
        </is>
      </c>
      <c r="J756" t="inlineStr">
        <is>
          <t>0</t>
        </is>
      </c>
      <c r="L756" t="inlineStr">
        <is>
          <t>New York : Palgrave, 2002.</t>
        </is>
      </c>
      <c r="M756" t="inlineStr">
        <is>
          <t>2002</t>
        </is>
      </c>
      <c r="O756" t="inlineStr">
        <is>
          <t>eng</t>
        </is>
      </c>
      <c r="P756" t="inlineStr">
        <is>
          <t>nyu</t>
        </is>
      </c>
      <c r="R756" t="inlineStr">
        <is>
          <t xml:space="preserve">HQ </t>
        </is>
      </c>
      <c r="S756" t="n">
        <v>2</v>
      </c>
      <c r="T756" t="n">
        <v>2</v>
      </c>
      <c r="U756" t="inlineStr">
        <is>
          <t>2005-11-14</t>
        </is>
      </c>
      <c r="V756" t="inlineStr">
        <is>
          <t>2005-11-14</t>
        </is>
      </c>
      <c r="W756" t="inlineStr">
        <is>
          <t>2002-07-02</t>
        </is>
      </c>
      <c r="X756" t="inlineStr">
        <is>
          <t>2002-07-02</t>
        </is>
      </c>
      <c r="Y756" t="n">
        <v>191</v>
      </c>
      <c r="Z756" t="n">
        <v>133</v>
      </c>
      <c r="AA756" t="n">
        <v>155</v>
      </c>
      <c r="AB756" t="n">
        <v>2</v>
      </c>
      <c r="AC756" t="n">
        <v>2</v>
      </c>
      <c r="AD756" t="n">
        <v>8</v>
      </c>
      <c r="AE756" t="n">
        <v>8</v>
      </c>
      <c r="AF756" t="n">
        <v>3</v>
      </c>
      <c r="AG756" t="n">
        <v>3</v>
      </c>
      <c r="AH756" t="n">
        <v>3</v>
      </c>
      <c r="AI756" t="n">
        <v>3</v>
      </c>
      <c r="AJ756" t="n">
        <v>4</v>
      </c>
      <c r="AK756" t="n">
        <v>4</v>
      </c>
      <c r="AL756" t="n">
        <v>1</v>
      </c>
      <c r="AM756" t="n">
        <v>1</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HYPERLINK("https://creighton-primo.hosted.exlibrisgroup.com/primo-explore/search?tab=default_tab&amp;search_scope=EVERYTHING&amp;vid=01CRU&amp;lang=en_US&amp;offset=0&amp;query=any,contains,991003827499702656","Catalog Record")</f>
        <v/>
      </c>
      <c r="AT756">
        <f>HYPERLINK("http://www.worldcat.org/oclc/47706136","WorldCat Record")</f>
        <v/>
      </c>
      <c r="AU756" t="inlineStr">
        <is>
          <t>766243037:eng</t>
        </is>
      </c>
      <c r="AV756" t="inlineStr">
        <is>
          <t>47706136</t>
        </is>
      </c>
      <c r="AW756" t="inlineStr">
        <is>
          <t>991003827499702656</t>
        </is>
      </c>
      <c r="AX756" t="inlineStr">
        <is>
          <t>991003827499702656</t>
        </is>
      </c>
      <c r="AY756" t="inlineStr">
        <is>
          <t>2270920550002656</t>
        </is>
      </c>
      <c r="AZ756" t="inlineStr">
        <is>
          <t>BOOK</t>
        </is>
      </c>
      <c r="BB756" t="inlineStr">
        <is>
          <t>9780333803042</t>
        </is>
      </c>
      <c r="BC756" t="inlineStr">
        <is>
          <t>32285004496385</t>
        </is>
      </c>
      <c r="BD756" t="inlineStr">
        <is>
          <t>893416844</t>
        </is>
      </c>
    </row>
    <row r="757">
      <c r="A757" t="inlineStr">
        <is>
          <t>No</t>
        </is>
      </c>
      <c r="B757" t="inlineStr">
        <is>
          <t>HQ1236.5.G7 E68 1987</t>
        </is>
      </c>
      <c r="C757" t="inlineStr">
        <is>
          <t>0                      HQ 1236500G  7                  E  68          1987</t>
        </is>
      </c>
      <c r="D757" t="inlineStr">
        <is>
          <t>Equal or different : women's politics 1800-1914 / edited by Jane Rendall.</t>
        </is>
      </c>
      <c r="F757" t="inlineStr">
        <is>
          <t>No</t>
        </is>
      </c>
      <c r="G757" t="inlineStr">
        <is>
          <t>1</t>
        </is>
      </c>
      <c r="H757" t="inlineStr">
        <is>
          <t>No</t>
        </is>
      </c>
      <c r="I757" t="inlineStr">
        <is>
          <t>No</t>
        </is>
      </c>
      <c r="J757" t="inlineStr">
        <is>
          <t>0</t>
        </is>
      </c>
      <c r="L757" t="inlineStr">
        <is>
          <t>Oxford [Oxfordshire] ; New York, NY : Basil Blackwell, 1987.</t>
        </is>
      </c>
      <c r="M757" t="inlineStr">
        <is>
          <t>1987</t>
        </is>
      </c>
      <c r="O757" t="inlineStr">
        <is>
          <t>eng</t>
        </is>
      </c>
      <c r="P757" t="inlineStr">
        <is>
          <t>enk</t>
        </is>
      </c>
      <c r="R757" t="inlineStr">
        <is>
          <t xml:space="preserve">HQ </t>
        </is>
      </c>
      <c r="S757" t="n">
        <v>1</v>
      </c>
      <c r="T757" t="n">
        <v>1</v>
      </c>
      <c r="U757" t="inlineStr">
        <is>
          <t>1994-02-16</t>
        </is>
      </c>
      <c r="V757" t="inlineStr">
        <is>
          <t>1994-02-16</t>
        </is>
      </c>
      <c r="W757" t="inlineStr">
        <is>
          <t>1993-05-17</t>
        </is>
      </c>
      <c r="X757" t="inlineStr">
        <is>
          <t>1993-05-17</t>
        </is>
      </c>
      <c r="Y757" t="n">
        <v>419</v>
      </c>
      <c r="Z757" t="n">
        <v>236</v>
      </c>
      <c r="AA757" t="n">
        <v>242</v>
      </c>
      <c r="AB757" t="n">
        <v>2</v>
      </c>
      <c r="AC757" t="n">
        <v>2</v>
      </c>
      <c r="AD757" t="n">
        <v>6</v>
      </c>
      <c r="AE757" t="n">
        <v>6</v>
      </c>
      <c r="AF757" t="n">
        <v>0</v>
      </c>
      <c r="AG757" t="n">
        <v>0</v>
      </c>
      <c r="AH757" t="n">
        <v>3</v>
      </c>
      <c r="AI757" t="n">
        <v>3</v>
      </c>
      <c r="AJ757" t="n">
        <v>4</v>
      </c>
      <c r="AK757" t="n">
        <v>4</v>
      </c>
      <c r="AL757" t="n">
        <v>1</v>
      </c>
      <c r="AM757" t="n">
        <v>1</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HYPERLINK("https://creighton-primo.hosted.exlibrisgroup.com/primo-explore/search?tab=default_tab&amp;search_scope=EVERYTHING&amp;vid=01CRU&amp;lang=en_US&amp;offset=0&amp;query=any,contains,991001063459702656","Catalog Record")</f>
        <v/>
      </c>
      <c r="AT757">
        <f>HYPERLINK("http://www.worldcat.org/oclc/15791904","WorldCat Record")</f>
        <v/>
      </c>
      <c r="AU757" t="inlineStr">
        <is>
          <t>836627099:eng</t>
        </is>
      </c>
      <c r="AV757" t="inlineStr">
        <is>
          <t>15791904</t>
        </is>
      </c>
      <c r="AW757" t="inlineStr">
        <is>
          <t>991001063459702656</t>
        </is>
      </c>
      <c r="AX757" t="inlineStr">
        <is>
          <t>991001063459702656</t>
        </is>
      </c>
      <c r="AY757" t="inlineStr">
        <is>
          <t>2259863460002656</t>
        </is>
      </c>
      <c r="AZ757" t="inlineStr">
        <is>
          <t>BOOK</t>
        </is>
      </c>
      <c r="BB757" t="inlineStr">
        <is>
          <t>9780631145233</t>
        </is>
      </c>
      <c r="BC757" t="inlineStr">
        <is>
          <t>32285001658524</t>
        </is>
      </c>
      <c r="BD757" t="inlineStr">
        <is>
          <t>893784781</t>
        </is>
      </c>
    </row>
    <row r="758">
      <c r="A758" t="inlineStr">
        <is>
          <t>No</t>
        </is>
      </c>
      <c r="B758" t="inlineStr">
        <is>
          <t>HQ1236.5.I7 P35 1995</t>
        </is>
      </c>
      <c r="C758" t="inlineStr">
        <is>
          <t>0                      HQ 1236500I  7                  P  35          1995</t>
        </is>
      </c>
      <c r="D758" t="inlineStr">
        <is>
          <t>Women and the political process in twentieth-century Iran / Parvin Paidar.</t>
        </is>
      </c>
      <c r="F758" t="inlineStr">
        <is>
          <t>No</t>
        </is>
      </c>
      <c r="G758" t="inlineStr">
        <is>
          <t>1</t>
        </is>
      </c>
      <c r="H758" t="inlineStr">
        <is>
          <t>No</t>
        </is>
      </c>
      <c r="I758" t="inlineStr">
        <is>
          <t>No</t>
        </is>
      </c>
      <c r="J758" t="inlineStr">
        <is>
          <t>0</t>
        </is>
      </c>
      <c r="K758" t="inlineStr">
        <is>
          <t>Paidar, Parvin.</t>
        </is>
      </c>
      <c r="L758" t="inlineStr">
        <is>
          <t>Cambridge [England] ; New York : Cambridge University Press, 1995.</t>
        </is>
      </c>
      <c r="M758" t="inlineStr">
        <is>
          <t>1995</t>
        </is>
      </c>
      <c r="O758" t="inlineStr">
        <is>
          <t>eng</t>
        </is>
      </c>
      <c r="P758" t="inlineStr">
        <is>
          <t>enk</t>
        </is>
      </c>
      <c r="Q758" t="inlineStr">
        <is>
          <t>Cambridge Middle East studies ; 1</t>
        </is>
      </c>
      <c r="R758" t="inlineStr">
        <is>
          <t xml:space="preserve">HQ </t>
        </is>
      </c>
      <c r="S758" t="n">
        <v>2</v>
      </c>
      <c r="T758" t="n">
        <v>2</v>
      </c>
      <c r="U758" t="inlineStr">
        <is>
          <t>2002-11-26</t>
        </is>
      </c>
      <c r="V758" t="inlineStr">
        <is>
          <t>2002-11-26</t>
        </is>
      </c>
      <c r="W758" t="inlineStr">
        <is>
          <t>1996-03-15</t>
        </is>
      </c>
      <c r="X758" t="inlineStr">
        <is>
          <t>1996-03-15</t>
        </is>
      </c>
      <c r="Y758" t="n">
        <v>449</v>
      </c>
      <c r="Z758" t="n">
        <v>315</v>
      </c>
      <c r="AA758" t="n">
        <v>341</v>
      </c>
      <c r="AB758" t="n">
        <v>2</v>
      </c>
      <c r="AC758" t="n">
        <v>2</v>
      </c>
      <c r="AD758" t="n">
        <v>16</v>
      </c>
      <c r="AE758" t="n">
        <v>17</v>
      </c>
      <c r="AF758" t="n">
        <v>5</v>
      </c>
      <c r="AG758" t="n">
        <v>5</v>
      </c>
      <c r="AH758" t="n">
        <v>3</v>
      </c>
      <c r="AI758" t="n">
        <v>4</v>
      </c>
      <c r="AJ758" t="n">
        <v>11</v>
      </c>
      <c r="AK758" t="n">
        <v>11</v>
      </c>
      <c r="AL758" t="n">
        <v>1</v>
      </c>
      <c r="AM758" t="n">
        <v>1</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HYPERLINK("https://creighton-primo.hosted.exlibrisgroup.com/primo-explore/search?tab=default_tab&amp;search_scope=EVERYTHING&amp;vid=01CRU&amp;lang=en_US&amp;offset=0&amp;query=any,contains,991002336419702656","Catalog Record")</f>
        <v/>
      </c>
      <c r="AT758">
        <f>HYPERLINK("http://www.worldcat.org/oclc/30400577","WorldCat Record")</f>
        <v/>
      </c>
      <c r="AU758" t="inlineStr">
        <is>
          <t>558133:eng</t>
        </is>
      </c>
      <c r="AV758" t="inlineStr">
        <is>
          <t>30400577</t>
        </is>
      </c>
      <c r="AW758" t="inlineStr">
        <is>
          <t>991002336419702656</t>
        </is>
      </c>
      <c r="AX758" t="inlineStr">
        <is>
          <t>991002336419702656</t>
        </is>
      </c>
      <c r="AY758" t="inlineStr">
        <is>
          <t>2265814600002656</t>
        </is>
      </c>
      <c r="AZ758" t="inlineStr">
        <is>
          <t>BOOK</t>
        </is>
      </c>
      <c r="BB758" t="inlineStr">
        <is>
          <t>9780521473408</t>
        </is>
      </c>
      <c r="BC758" t="inlineStr">
        <is>
          <t>32285002143468</t>
        </is>
      </c>
      <c r="BD758" t="inlineStr">
        <is>
          <t>893510610</t>
        </is>
      </c>
    </row>
    <row r="759">
      <c r="A759" t="inlineStr">
        <is>
          <t>No</t>
        </is>
      </c>
      <c r="B759" t="inlineStr">
        <is>
          <t>HQ1236.5.J3 C53 2004</t>
        </is>
      </c>
      <c r="C759" t="inlineStr">
        <is>
          <t>0                      HQ 1236500J  3                  C  53          2004</t>
        </is>
      </c>
      <c r="D759" t="inlineStr">
        <is>
          <t>Gender and human rights politics in Japan : global norms and domestic networks / Jennifer Chan-Tiberghien.</t>
        </is>
      </c>
      <c r="F759" t="inlineStr">
        <is>
          <t>No</t>
        </is>
      </c>
      <c r="G759" t="inlineStr">
        <is>
          <t>1</t>
        </is>
      </c>
      <c r="H759" t="inlineStr">
        <is>
          <t>No</t>
        </is>
      </c>
      <c r="I759" t="inlineStr">
        <is>
          <t>No</t>
        </is>
      </c>
      <c r="J759" t="inlineStr">
        <is>
          <t>0</t>
        </is>
      </c>
      <c r="K759" t="inlineStr">
        <is>
          <t>Chan, Jennifer.</t>
        </is>
      </c>
      <c r="L759" t="inlineStr">
        <is>
          <t>Stanford, Calif. : Stanford University Press, 2004.</t>
        </is>
      </c>
      <c r="M759" t="inlineStr">
        <is>
          <t>2004</t>
        </is>
      </c>
      <c r="O759" t="inlineStr">
        <is>
          <t>eng</t>
        </is>
      </c>
      <c r="P759" t="inlineStr">
        <is>
          <t>cau</t>
        </is>
      </c>
      <c r="R759" t="inlineStr">
        <is>
          <t xml:space="preserve">HQ </t>
        </is>
      </c>
      <c r="S759" t="n">
        <v>4</v>
      </c>
      <c r="T759" t="n">
        <v>4</v>
      </c>
      <c r="U759" t="inlineStr">
        <is>
          <t>2008-03-24</t>
        </is>
      </c>
      <c r="V759" t="inlineStr">
        <is>
          <t>2008-03-24</t>
        </is>
      </c>
      <c r="W759" t="inlineStr">
        <is>
          <t>2005-10-04</t>
        </is>
      </c>
      <c r="X759" t="inlineStr">
        <is>
          <t>2005-10-04</t>
        </is>
      </c>
      <c r="Y759" t="n">
        <v>397</v>
      </c>
      <c r="Z759" t="n">
        <v>312</v>
      </c>
      <c r="AA759" t="n">
        <v>315</v>
      </c>
      <c r="AB759" t="n">
        <v>2</v>
      </c>
      <c r="AC759" t="n">
        <v>2</v>
      </c>
      <c r="AD759" t="n">
        <v>20</v>
      </c>
      <c r="AE759" t="n">
        <v>20</v>
      </c>
      <c r="AF759" t="n">
        <v>10</v>
      </c>
      <c r="AG759" t="n">
        <v>10</v>
      </c>
      <c r="AH759" t="n">
        <v>3</v>
      </c>
      <c r="AI759" t="n">
        <v>3</v>
      </c>
      <c r="AJ759" t="n">
        <v>8</v>
      </c>
      <c r="AK759" t="n">
        <v>8</v>
      </c>
      <c r="AL759" t="n">
        <v>1</v>
      </c>
      <c r="AM759" t="n">
        <v>1</v>
      </c>
      <c r="AN759" t="n">
        <v>1</v>
      </c>
      <c r="AO759" t="n">
        <v>1</v>
      </c>
      <c r="AP759" t="inlineStr">
        <is>
          <t>No</t>
        </is>
      </c>
      <c r="AQ759" t="inlineStr">
        <is>
          <t>Yes</t>
        </is>
      </c>
      <c r="AR759">
        <f>HYPERLINK("http://catalog.hathitrust.org/Record/004753236","HathiTrust Record")</f>
        <v/>
      </c>
      <c r="AS759">
        <f>HYPERLINK("https://creighton-primo.hosted.exlibrisgroup.com/primo-explore/search?tab=default_tab&amp;search_scope=EVERYTHING&amp;vid=01CRU&amp;lang=en_US&amp;offset=0&amp;query=any,contains,991004645229702656","Catalog Record")</f>
        <v/>
      </c>
      <c r="AT759">
        <f>HYPERLINK("http://www.worldcat.org/oclc/54806378","WorldCat Record")</f>
        <v/>
      </c>
      <c r="AU759" t="inlineStr">
        <is>
          <t>367482345:eng</t>
        </is>
      </c>
      <c r="AV759" t="inlineStr">
        <is>
          <t>54806378</t>
        </is>
      </c>
      <c r="AW759" t="inlineStr">
        <is>
          <t>991004645229702656</t>
        </is>
      </c>
      <c r="AX759" t="inlineStr">
        <is>
          <t>991004645229702656</t>
        </is>
      </c>
      <c r="AY759" t="inlineStr">
        <is>
          <t>2265721360002656</t>
        </is>
      </c>
      <c r="AZ759" t="inlineStr">
        <is>
          <t>BOOK</t>
        </is>
      </c>
      <c r="BB759" t="inlineStr">
        <is>
          <t>9780804750226</t>
        </is>
      </c>
      <c r="BC759" t="inlineStr">
        <is>
          <t>32285005087282</t>
        </is>
      </c>
      <c r="BD759" t="inlineStr">
        <is>
          <t>893618902</t>
        </is>
      </c>
    </row>
    <row r="760">
      <c r="A760" t="inlineStr">
        <is>
          <t>No</t>
        </is>
      </c>
      <c r="B760" t="inlineStr">
        <is>
          <t>HQ1236.5.J3 G675 2001</t>
        </is>
      </c>
      <c r="C760" t="inlineStr">
        <is>
          <t>0                      HQ 1236500J  3                  G  675         2001</t>
        </is>
      </c>
      <c r="D760" t="inlineStr">
        <is>
          <t>The only woman in the room : a memoir / Beate Sirota Gordon.</t>
        </is>
      </c>
      <c r="F760" t="inlineStr">
        <is>
          <t>No</t>
        </is>
      </c>
      <c r="G760" t="inlineStr">
        <is>
          <t>1</t>
        </is>
      </c>
      <c r="H760" t="inlineStr">
        <is>
          <t>No</t>
        </is>
      </c>
      <c r="I760" t="inlineStr">
        <is>
          <t>No</t>
        </is>
      </c>
      <c r="J760" t="inlineStr">
        <is>
          <t>0</t>
        </is>
      </c>
      <c r="K760" t="inlineStr">
        <is>
          <t>Gordon, Beate.</t>
        </is>
      </c>
      <c r="L760" t="inlineStr">
        <is>
          <t>Tokyo ; New York : Kodansha, 2001.</t>
        </is>
      </c>
      <c r="M760" t="inlineStr">
        <is>
          <t>2001</t>
        </is>
      </c>
      <c r="N760" t="inlineStr">
        <is>
          <t>1st pbk. ed.</t>
        </is>
      </c>
      <c r="O760" t="inlineStr">
        <is>
          <t>eng</t>
        </is>
      </c>
      <c r="P760" t="inlineStr">
        <is>
          <t xml:space="preserve">ja </t>
        </is>
      </c>
      <c r="R760" t="inlineStr">
        <is>
          <t xml:space="preserve">HQ </t>
        </is>
      </c>
      <c r="S760" t="n">
        <v>4</v>
      </c>
      <c r="T760" t="n">
        <v>4</v>
      </c>
      <c r="U760" t="inlineStr">
        <is>
          <t>2005-11-14</t>
        </is>
      </c>
      <c r="V760" t="inlineStr">
        <is>
          <t>2005-11-14</t>
        </is>
      </c>
      <c r="W760" t="inlineStr">
        <is>
          <t>2003-03-03</t>
        </is>
      </c>
      <c r="X760" t="inlineStr">
        <is>
          <t>2003-03-03</t>
        </is>
      </c>
      <c r="Y760" t="n">
        <v>47</v>
      </c>
      <c r="Z760" t="n">
        <v>45</v>
      </c>
      <c r="AA760" t="n">
        <v>290</v>
      </c>
      <c r="AB760" t="n">
        <v>2</v>
      </c>
      <c r="AC760" t="n">
        <v>4</v>
      </c>
      <c r="AD760" t="n">
        <v>2</v>
      </c>
      <c r="AE760" t="n">
        <v>12</v>
      </c>
      <c r="AF760" t="n">
        <v>0</v>
      </c>
      <c r="AG760" t="n">
        <v>2</v>
      </c>
      <c r="AH760" t="n">
        <v>0</v>
      </c>
      <c r="AI760" t="n">
        <v>1</v>
      </c>
      <c r="AJ760" t="n">
        <v>1</v>
      </c>
      <c r="AK760" t="n">
        <v>7</v>
      </c>
      <c r="AL760" t="n">
        <v>1</v>
      </c>
      <c r="AM760" t="n">
        <v>3</v>
      </c>
      <c r="AN760" t="n">
        <v>0</v>
      </c>
      <c r="AO760" t="n">
        <v>1</v>
      </c>
      <c r="AP760" t="inlineStr">
        <is>
          <t>No</t>
        </is>
      </c>
      <c r="AQ760" t="inlineStr">
        <is>
          <t>No</t>
        </is>
      </c>
      <c r="AS760">
        <f>HYPERLINK("https://creighton-primo.hosted.exlibrisgroup.com/primo-explore/search?tab=default_tab&amp;search_scope=EVERYTHING&amp;vid=01CRU&amp;lang=en_US&amp;offset=0&amp;query=any,contains,991003998299702656","Catalog Record")</f>
        <v/>
      </c>
      <c r="AT760">
        <f>HYPERLINK("http://www.worldcat.org/oclc/46600987","WorldCat Record")</f>
        <v/>
      </c>
      <c r="AU760" t="inlineStr">
        <is>
          <t>145146711:eng</t>
        </is>
      </c>
      <c r="AV760" t="inlineStr">
        <is>
          <t>46600987</t>
        </is>
      </c>
      <c r="AW760" t="inlineStr">
        <is>
          <t>991003998299702656</t>
        </is>
      </c>
      <c r="AX760" t="inlineStr">
        <is>
          <t>991003998299702656</t>
        </is>
      </c>
      <c r="AY760" t="inlineStr">
        <is>
          <t>2270252640002656</t>
        </is>
      </c>
      <c r="AZ760" t="inlineStr">
        <is>
          <t>BOOK</t>
        </is>
      </c>
      <c r="BB760" t="inlineStr">
        <is>
          <t>9784770027320</t>
        </is>
      </c>
      <c r="BC760" t="inlineStr">
        <is>
          <t>32285004682026</t>
        </is>
      </c>
      <c r="BD760" t="inlineStr">
        <is>
          <t>893331089</t>
        </is>
      </c>
    </row>
    <row r="761">
      <c r="A761" t="inlineStr">
        <is>
          <t>No</t>
        </is>
      </c>
      <c r="B761" t="inlineStr">
        <is>
          <t>HQ1236.5.L37 C7 1999</t>
        </is>
      </c>
      <c r="C761" t="inlineStr">
        <is>
          <t>0                      HQ 1236500L  37                 C  7           1999</t>
        </is>
      </c>
      <c r="D761" t="inlineStr">
        <is>
          <t>Women and politics in Latin America / Nikki Craske.</t>
        </is>
      </c>
      <c r="F761" t="inlineStr">
        <is>
          <t>No</t>
        </is>
      </c>
      <c r="G761" t="inlineStr">
        <is>
          <t>1</t>
        </is>
      </c>
      <c r="H761" t="inlineStr">
        <is>
          <t>No</t>
        </is>
      </c>
      <c r="I761" t="inlineStr">
        <is>
          <t>No</t>
        </is>
      </c>
      <c r="J761" t="inlineStr">
        <is>
          <t>0</t>
        </is>
      </c>
      <c r="K761" t="inlineStr">
        <is>
          <t>Craske, Nikki.</t>
        </is>
      </c>
      <c r="L761" t="inlineStr">
        <is>
          <t>New Brunswick, NJ : Rutgers University Press, 1999.</t>
        </is>
      </c>
      <c r="M761" t="inlineStr">
        <is>
          <t>1999</t>
        </is>
      </c>
      <c r="O761" t="inlineStr">
        <is>
          <t>eng</t>
        </is>
      </c>
      <c r="P761" t="inlineStr">
        <is>
          <t>nju</t>
        </is>
      </c>
      <c r="R761" t="inlineStr">
        <is>
          <t xml:space="preserve">HQ </t>
        </is>
      </c>
      <c r="S761" t="n">
        <v>7</v>
      </c>
      <c r="T761" t="n">
        <v>7</v>
      </c>
      <c r="U761" t="inlineStr">
        <is>
          <t>2010-04-27</t>
        </is>
      </c>
      <c r="V761" t="inlineStr">
        <is>
          <t>2010-04-27</t>
        </is>
      </c>
      <c r="W761" t="inlineStr">
        <is>
          <t>2000-02-07</t>
        </is>
      </c>
      <c r="X761" t="inlineStr">
        <is>
          <t>2000-02-07</t>
        </is>
      </c>
      <c r="Y761" t="n">
        <v>538</v>
      </c>
      <c r="Z761" t="n">
        <v>480</v>
      </c>
      <c r="AA761" t="n">
        <v>518</v>
      </c>
      <c r="AB761" t="n">
        <v>4</v>
      </c>
      <c r="AC761" t="n">
        <v>4</v>
      </c>
      <c r="AD761" t="n">
        <v>29</v>
      </c>
      <c r="AE761" t="n">
        <v>29</v>
      </c>
      <c r="AF761" t="n">
        <v>10</v>
      </c>
      <c r="AG761" t="n">
        <v>10</v>
      </c>
      <c r="AH761" t="n">
        <v>9</v>
      </c>
      <c r="AI761" t="n">
        <v>9</v>
      </c>
      <c r="AJ761" t="n">
        <v>15</v>
      </c>
      <c r="AK761" t="n">
        <v>15</v>
      </c>
      <c r="AL761" t="n">
        <v>3</v>
      </c>
      <c r="AM761" t="n">
        <v>3</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HYPERLINK("https://creighton-primo.hosted.exlibrisgroup.com/primo-explore/search?tab=default_tab&amp;search_scope=EVERYTHING&amp;vid=01CRU&amp;lang=en_US&amp;offset=0&amp;query=any,contains,991002990749702656","Catalog Record")</f>
        <v/>
      </c>
      <c r="AT761">
        <f>HYPERLINK("http://www.worldcat.org/oclc/40359440","WorldCat Record")</f>
        <v/>
      </c>
      <c r="AU761" t="inlineStr">
        <is>
          <t>23661848:eng</t>
        </is>
      </c>
      <c r="AV761" t="inlineStr">
        <is>
          <t>40359440</t>
        </is>
      </c>
      <c r="AW761" t="inlineStr">
        <is>
          <t>991002990749702656</t>
        </is>
      </c>
      <c r="AX761" t="inlineStr">
        <is>
          <t>991002990749702656</t>
        </is>
      </c>
      <c r="AY761" t="inlineStr">
        <is>
          <t>2255144300002656</t>
        </is>
      </c>
      <c r="AZ761" t="inlineStr">
        <is>
          <t>BOOK</t>
        </is>
      </c>
      <c r="BB761" t="inlineStr">
        <is>
          <t>9780813526928</t>
        </is>
      </c>
      <c r="BC761" t="inlineStr">
        <is>
          <t>32285003659496</t>
        </is>
      </c>
      <c r="BD761" t="inlineStr">
        <is>
          <t>893415897</t>
        </is>
      </c>
    </row>
    <row r="762">
      <c r="A762" t="inlineStr">
        <is>
          <t>No</t>
        </is>
      </c>
      <c r="B762" t="inlineStr">
        <is>
          <t>HQ1236.5.M6 W65 1998</t>
        </is>
      </c>
      <c r="C762" t="inlineStr">
        <is>
          <t>0                      HQ 1236500M  6                  W  65          1998</t>
        </is>
      </c>
      <c r="D762" t="inlineStr">
        <is>
          <t>Women's participation in Mexican political life / edited by Victoria E. Rodríguez.</t>
        </is>
      </c>
      <c r="F762" t="inlineStr">
        <is>
          <t>No</t>
        </is>
      </c>
      <c r="G762" t="inlineStr">
        <is>
          <t>1</t>
        </is>
      </c>
      <c r="H762" t="inlineStr">
        <is>
          <t>No</t>
        </is>
      </c>
      <c r="I762" t="inlineStr">
        <is>
          <t>No</t>
        </is>
      </c>
      <c r="J762" t="inlineStr">
        <is>
          <t>0</t>
        </is>
      </c>
      <c r="L762" t="inlineStr">
        <is>
          <t>Boulder, Colo. : Westview Press, 1998.</t>
        </is>
      </c>
      <c r="M762" t="inlineStr">
        <is>
          <t>1998</t>
        </is>
      </c>
      <c r="O762" t="inlineStr">
        <is>
          <t>eng</t>
        </is>
      </c>
      <c r="P762" t="inlineStr">
        <is>
          <t>cou</t>
        </is>
      </c>
      <c r="R762" t="inlineStr">
        <is>
          <t xml:space="preserve">HQ </t>
        </is>
      </c>
      <c r="S762" t="n">
        <v>4</v>
      </c>
      <c r="T762" t="n">
        <v>4</v>
      </c>
      <c r="U762" t="inlineStr">
        <is>
          <t>2007-02-28</t>
        </is>
      </c>
      <c r="V762" t="inlineStr">
        <is>
          <t>2007-02-28</t>
        </is>
      </c>
      <c r="W762" t="inlineStr">
        <is>
          <t>2000-07-31</t>
        </is>
      </c>
      <c r="X762" t="inlineStr">
        <is>
          <t>2000-07-31</t>
        </is>
      </c>
      <c r="Y762" t="n">
        <v>496</v>
      </c>
      <c r="Z762" t="n">
        <v>432</v>
      </c>
      <c r="AA762" t="n">
        <v>453</v>
      </c>
      <c r="AB762" t="n">
        <v>4</v>
      </c>
      <c r="AC762" t="n">
        <v>4</v>
      </c>
      <c r="AD762" t="n">
        <v>28</v>
      </c>
      <c r="AE762" t="n">
        <v>28</v>
      </c>
      <c r="AF762" t="n">
        <v>13</v>
      </c>
      <c r="AG762" t="n">
        <v>13</v>
      </c>
      <c r="AH762" t="n">
        <v>7</v>
      </c>
      <c r="AI762" t="n">
        <v>7</v>
      </c>
      <c r="AJ762" t="n">
        <v>12</v>
      </c>
      <c r="AK762" t="n">
        <v>12</v>
      </c>
      <c r="AL762" t="n">
        <v>3</v>
      </c>
      <c r="AM762" t="n">
        <v>3</v>
      </c>
      <c r="AN762" t="n">
        <v>0</v>
      </c>
      <c r="AO762" t="n">
        <v>0</v>
      </c>
      <c r="AP762" t="inlineStr">
        <is>
          <t>No</t>
        </is>
      </c>
      <c r="AQ762" t="inlineStr">
        <is>
          <t>Yes</t>
        </is>
      </c>
      <c r="AR762">
        <f>HYPERLINK("http://catalog.hathitrust.org/Record/004001550","HathiTrust Record")</f>
        <v/>
      </c>
      <c r="AS762">
        <f>HYPERLINK("https://creighton-primo.hosted.exlibrisgroup.com/primo-explore/search?tab=default_tab&amp;search_scope=EVERYTHING&amp;vid=01CRU&amp;lang=en_US&amp;offset=0&amp;query=any,contains,991003228279702656","Catalog Record")</f>
        <v/>
      </c>
      <c r="AT762">
        <f>HYPERLINK("http://www.worldcat.org/oclc/39157533","WorldCat Record")</f>
        <v/>
      </c>
      <c r="AU762" t="inlineStr">
        <is>
          <t>350625238:eng</t>
        </is>
      </c>
      <c r="AV762" t="inlineStr">
        <is>
          <t>39157533</t>
        </is>
      </c>
      <c r="AW762" t="inlineStr">
        <is>
          <t>991003228279702656</t>
        </is>
      </c>
      <c r="AX762" t="inlineStr">
        <is>
          <t>991003228279702656</t>
        </is>
      </c>
      <c r="AY762" t="inlineStr">
        <is>
          <t>2266047010002656</t>
        </is>
      </c>
      <c r="AZ762" t="inlineStr">
        <is>
          <t>BOOK</t>
        </is>
      </c>
      <c r="BB762" t="inlineStr">
        <is>
          <t>9780813335292</t>
        </is>
      </c>
      <c r="BC762" t="inlineStr">
        <is>
          <t>32285003744132</t>
        </is>
      </c>
      <c r="BD762" t="inlineStr">
        <is>
          <t>893774530</t>
        </is>
      </c>
    </row>
    <row r="763">
      <c r="A763" t="inlineStr">
        <is>
          <t>No</t>
        </is>
      </c>
      <c r="B763" t="inlineStr">
        <is>
          <t>HQ1236.5.N7 W66 2006</t>
        </is>
      </c>
      <c r="C763" t="inlineStr">
        <is>
          <t>0                      HQ 1236500N  7                  W  66          2006</t>
        </is>
      </c>
      <c r="D763" t="inlineStr">
        <is>
          <t>Women, democracy, and globalization in North America : a comparative study / Jane Bayes ... [et al.].</t>
        </is>
      </c>
      <c r="F763" t="inlineStr">
        <is>
          <t>No</t>
        </is>
      </c>
      <c r="G763" t="inlineStr">
        <is>
          <t>1</t>
        </is>
      </c>
      <c r="H763" t="inlineStr">
        <is>
          <t>No</t>
        </is>
      </c>
      <c r="I763" t="inlineStr">
        <is>
          <t>No</t>
        </is>
      </c>
      <c r="J763" t="inlineStr">
        <is>
          <t>0</t>
        </is>
      </c>
      <c r="L763" t="inlineStr">
        <is>
          <t>New York : Palgrave Macmillan, 2006.</t>
        </is>
      </c>
      <c r="M763" t="inlineStr">
        <is>
          <t>2006</t>
        </is>
      </c>
      <c r="N763" t="inlineStr">
        <is>
          <t>1st ed.</t>
        </is>
      </c>
      <c r="O763" t="inlineStr">
        <is>
          <t>eng</t>
        </is>
      </c>
      <c r="P763" t="inlineStr">
        <is>
          <t>nyu</t>
        </is>
      </c>
      <c r="R763" t="inlineStr">
        <is>
          <t xml:space="preserve">HQ </t>
        </is>
      </c>
      <c r="S763" t="n">
        <v>1</v>
      </c>
      <c r="T763" t="n">
        <v>1</v>
      </c>
      <c r="U763" t="inlineStr">
        <is>
          <t>2006-11-14</t>
        </is>
      </c>
      <c r="V763" t="inlineStr">
        <is>
          <t>2006-11-14</t>
        </is>
      </c>
      <c r="W763" t="inlineStr">
        <is>
          <t>2006-11-14</t>
        </is>
      </c>
      <c r="X763" t="inlineStr">
        <is>
          <t>2006-11-14</t>
        </is>
      </c>
      <c r="Y763" t="n">
        <v>336</v>
      </c>
      <c r="Z763" t="n">
        <v>267</v>
      </c>
      <c r="AA763" t="n">
        <v>604</v>
      </c>
      <c r="AB763" t="n">
        <v>2</v>
      </c>
      <c r="AC763" t="n">
        <v>6</v>
      </c>
      <c r="AD763" t="n">
        <v>13</v>
      </c>
      <c r="AE763" t="n">
        <v>28</v>
      </c>
      <c r="AF763" t="n">
        <v>4</v>
      </c>
      <c r="AG763" t="n">
        <v>9</v>
      </c>
      <c r="AH763" t="n">
        <v>6</v>
      </c>
      <c r="AI763" t="n">
        <v>8</v>
      </c>
      <c r="AJ763" t="n">
        <v>6</v>
      </c>
      <c r="AK763" t="n">
        <v>11</v>
      </c>
      <c r="AL763" t="n">
        <v>1</v>
      </c>
      <c r="AM763" t="n">
        <v>5</v>
      </c>
      <c r="AN763" t="n">
        <v>0</v>
      </c>
      <c r="AO763" t="n">
        <v>1</v>
      </c>
      <c r="AP763" t="inlineStr">
        <is>
          <t>No</t>
        </is>
      </c>
      <c r="AQ763" t="inlineStr">
        <is>
          <t>No</t>
        </is>
      </c>
      <c r="AS763">
        <f>HYPERLINK("https://creighton-primo.hosted.exlibrisgroup.com/primo-explore/search?tab=default_tab&amp;search_scope=EVERYTHING&amp;vid=01CRU&amp;lang=en_US&amp;offset=0&amp;query=any,contains,991004958089702656","Catalog Record")</f>
        <v/>
      </c>
      <c r="AT763">
        <f>HYPERLINK("http://www.worldcat.org/oclc/60491923","WorldCat Record")</f>
        <v/>
      </c>
      <c r="AU763" t="inlineStr">
        <is>
          <t>793983306:eng</t>
        </is>
      </c>
      <c r="AV763" t="inlineStr">
        <is>
          <t>60491923</t>
        </is>
      </c>
      <c r="AW763" t="inlineStr">
        <is>
          <t>991004958089702656</t>
        </is>
      </c>
      <c r="AX763" t="inlineStr">
        <is>
          <t>991004958089702656</t>
        </is>
      </c>
      <c r="AY763" t="inlineStr">
        <is>
          <t>2267850090002656</t>
        </is>
      </c>
      <c r="AZ763" t="inlineStr">
        <is>
          <t>BOOK</t>
        </is>
      </c>
      <c r="BB763" t="inlineStr">
        <is>
          <t>9781403970886</t>
        </is>
      </c>
      <c r="BC763" t="inlineStr">
        <is>
          <t>32285005239222</t>
        </is>
      </c>
      <c r="BD763" t="inlineStr">
        <is>
          <t>893795447</t>
        </is>
      </c>
    </row>
    <row r="764">
      <c r="A764" t="inlineStr">
        <is>
          <t>No</t>
        </is>
      </c>
      <c r="B764" t="inlineStr">
        <is>
          <t>HQ1236.5.S6 R87 1991</t>
        </is>
      </c>
      <c r="C764" t="inlineStr">
        <is>
          <t>0                      HQ 1236500S  6                  R  87          1991</t>
        </is>
      </c>
      <c r="D764" t="inlineStr">
        <is>
          <t>Lives of courage : women for a new South Africa / Diana E.H. Russell.</t>
        </is>
      </c>
      <c r="F764" t="inlineStr">
        <is>
          <t>No</t>
        </is>
      </c>
      <c r="G764" t="inlineStr">
        <is>
          <t>1</t>
        </is>
      </c>
      <c r="H764" t="inlineStr">
        <is>
          <t>No</t>
        </is>
      </c>
      <c r="I764" t="inlineStr">
        <is>
          <t>No</t>
        </is>
      </c>
      <c r="J764" t="inlineStr">
        <is>
          <t>0</t>
        </is>
      </c>
      <c r="K764" t="inlineStr">
        <is>
          <t>Russell, Diana E. H.</t>
        </is>
      </c>
      <c r="L764" t="inlineStr">
        <is>
          <t>New York : BasicBooks, c1991.</t>
        </is>
      </c>
      <c r="M764" t="inlineStr">
        <is>
          <t>1991</t>
        </is>
      </c>
      <c r="O764" t="inlineStr">
        <is>
          <t>eng</t>
        </is>
      </c>
      <c r="P764" t="inlineStr">
        <is>
          <t>nyu</t>
        </is>
      </c>
      <c r="R764" t="inlineStr">
        <is>
          <t xml:space="preserve">HQ </t>
        </is>
      </c>
      <c r="S764" t="n">
        <v>1</v>
      </c>
      <c r="T764" t="n">
        <v>1</v>
      </c>
      <c r="U764" t="inlineStr">
        <is>
          <t>1998-02-05</t>
        </is>
      </c>
      <c r="V764" t="inlineStr">
        <is>
          <t>1998-02-05</t>
        </is>
      </c>
      <c r="W764" t="inlineStr">
        <is>
          <t>1993-10-16</t>
        </is>
      </c>
      <c r="X764" t="inlineStr">
        <is>
          <t>1993-10-16</t>
        </is>
      </c>
      <c r="Y764" t="n">
        <v>40</v>
      </c>
      <c r="Z764" t="n">
        <v>35</v>
      </c>
      <c r="AA764" t="n">
        <v>695</v>
      </c>
      <c r="AB764" t="n">
        <v>1</v>
      </c>
      <c r="AC764" t="n">
        <v>6</v>
      </c>
      <c r="AD764" t="n">
        <v>3</v>
      </c>
      <c r="AE764" t="n">
        <v>27</v>
      </c>
      <c r="AF764" t="n">
        <v>2</v>
      </c>
      <c r="AG764" t="n">
        <v>9</v>
      </c>
      <c r="AH764" t="n">
        <v>0</v>
      </c>
      <c r="AI764" t="n">
        <v>6</v>
      </c>
      <c r="AJ764" t="n">
        <v>1</v>
      </c>
      <c r="AK764" t="n">
        <v>12</v>
      </c>
      <c r="AL764" t="n">
        <v>0</v>
      </c>
      <c r="AM764" t="n">
        <v>4</v>
      </c>
      <c r="AN764" t="n">
        <v>0</v>
      </c>
      <c r="AO764" t="n">
        <v>1</v>
      </c>
      <c r="AP764" t="inlineStr">
        <is>
          <t>No</t>
        </is>
      </c>
      <c r="AQ764" t="inlineStr">
        <is>
          <t>No</t>
        </is>
      </c>
      <c r="AS764">
        <f>HYPERLINK("https://creighton-primo.hosted.exlibrisgroup.com/primo-explore/search?tab=default_tab&amp;search_scope=EVERYTHING&amp;vid=01CRU&amp;lang=en_US&amp;offset=0&amp;query=any,contains,991002031019702656","Catalog Record")</f>
        <v/>
      </c>
      <c r="AT764">
        <f>HYPERLINK("http://www.worldcat.org/oclc/25852992","WorldCat Record")</f>
        <v/>
      </c>
      <c r="AU764" t="inlineStr">
        <is>
          <t>836877376:eng</t>
        </is>
      </c>
      <c r="AV764" t="inlineStr">
        <is>
          <t>25852992</t>
        </is>
      </c>
      <c r="AW764" t="inlineStr">
        <is>
          <t>991002031019702656</t>
        </is>
      </c>
      <c r="AX764" t="inlineStr">
        <is>
          <t>991002031019702656</t>
        </is>
      </c>
      <c r="AY764" t="inlineStr">
        <is>
          <t>2255369060002656</t>
        </is>
      </c>
      <c r="AZ764" t="inlineStr">
        <is>
          <t>BOOK</t>
        </is>
      </c>
      <c r="BB764" t="inlineStr">
        <is>
          <t>9780465041411</t>
        </is>
      </c>
      <c r="BC764" t="inlineStr">
        <is>
          <t>32285001786218</t>
        </is>
      </c>
      <c r="BD764" t="inlineStr">
        <is>
          <t>893873011</t>
        </is>
      </c>
    </row>
    <row r="765">
      <c r="A765" t="inlineStr">
        <is>
          <t>No</t>
        </is>
      </c>
      <c r="B765" t="inlineStr">
        <is>
          <t>HQ1236.5.S7 O36 2009</t>
        </is>
      </c>
      <c r="C765" t="inlineStr">
        <is>
          <t>0                      HQ 1236500S  7                  O  36          2009</t>
        </is>
      </c>
      <c r="D765" t="inlineStr">
        <is>
          <t>Señoritas in blue : the making of a female political elite in Franco's Spain / Inbal Ofer.</t>
        </is>
      </c>
      <c r="F765" t="inlineStr">
        <is>
          <t>No</t>
        </is>
      </c>
      <c r="G765" t="inlineStr">
        <is>
          <t>1</t>
        </is>
      </c>
      <c r="H765" t="inlineStr">
        <is>
          <t>No</t>
        </is>
      </c>
      <c r="I765" t="inlineStr">
        <is>
          <t>No</t>
        </is>
      </c>
      <c r="J765" t="inlineStr">
        <is>
          <t>0</t>
        </is>
      </c>
      <c r="K765" t="inlineStr">
        <is>
          <t>Ofer, Inbal.</t>
        </is>
      </c>
      <c r="L765" t="inlineStr">
        <is>
          <t>Brighton [England] ; Portland, Or. : Sussex Academic Press, 2009.</t>
        </is>
      </c>
      <c r="M765" t="inlineStr">
        <is>
          <t>2009</t>
        </is>
      </c>
      <c r="O765" t="inlineStr">
        <is>
          <t>eng</t>
        </is>
      </c>
      <c r="P765" t="inlineStr">
        <is>
          <t>enk</t>
        </is>
      </c>
      <c r="Q765" t="inlineStr">
        <is>
          <t>Sussex studies in Spanish history</t>
        </is>
      </c>
      <c r="R765" t="inlineStr">
        <is>
          <t xml:space="preserve">HQ </t>
        </is>
      </c>
      <c r="S765" t="n">
        <v>1</v>
      </c>
      <c r="T765" t="n">
        <v>1</v>
      </c>
      <c r="U765" t="inlineStr">
        <is>
          <t>2010-12-02</t>
        </is>
      </c>
      <c r="V765" t="inlineStr">
        <is>
          <t>2010-12-02</t>
        </is>
      </c>
      <c r="W765" t="inlineStr">
        <is>
          <t>2010-01-28</t>
        </is>
      </c>
      <c r="X765" t="inlineStr">
        <is>
          <t>2010-01-28</t>
        </is>
      </c>
      <c r="Y765" t="n">
        <v>126</v>
      </c>
      <c r="Z765" t="n">
        <v>88</v>
      </c>
      <c r="AA765" t="n">
        <v>96</v>
      </c>
      <c r="AB765" t="n">
        <v>1</v>
      </c>
      <c r="AC765" t="n">
        <v>1</v>
      </c>
      <c r="AD765" t="n">
        <v>4</v>
      </c>
      <c r="AE765" t="n">
        <v>4</v>
      </c>
      <c r="AF765" t="n">
        <v>2</v>
      </c>
      <c r="AG765" t="n">
        <v>2</v>
      </c>
      <c r="AH765" t="n">
        <v>1</v>
      </c>
      <c r="AI765" t="n">
        <v>1</v>
      </c>
      <c r="AJ765" t="n">
        <v>3</v>
      </c>
      <c r="AK765" t="n">
        <v>3</v>
      </c>
      <c r="AL765" t="n">
        <v>0</v>
      </c>
      <c r="AM765" t="n">
        <v>0</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HYPERLINK("https://creighton-primo.hosted.exlibrisgroup.com/primo-explore/search?tab=default_tab&amp;search_scope=EVERYTHING&amp;vid=01CRU&amp;lang=en_US&amp;offset=0&amp;query=any,contains,991005360459702656","Catalog Record")</f>
        <v/>
      </c>
      <c r="AT765">
        <f>HYPERLINK("http://www.worldcat.org/oclc/233550059","WorldCat Record")</f>
        <v/>
      </c>
      <c r="AU765" t="inlineStr">
        <is>
          <t>139723619:eng</t>
        </is>
      </c>
      <c r="AV765" t="inlineStr">
        <is>
          <t>233550059</t>
        </is>
      </c>
      <c r="AW765" t="inlineStr">
        <is>
          <t>991005360459702656</t>
        </is>
      </c>
      <c r="AX765" t="inlineStr">
        <is>
          <t>991005360459702656</t>
        </is>
      </c>
      <c r="AY765" t="inlineStr">
        <is>
          <t>2261485240002656</t>
        </is>
      </c>
      <c r="AZ765" t="inlineStr">
        <is>
          <t>BOOK</t>
        </is>
      </c>
      <c r="BB765" t="inlineStr">
        <is>
          <t>9781845193140</t>
        </is>
      </c>
      <c r="BC765" t="inlineStr">
        <is>
          <t>32285005559819</t>
        </is>
      </c>
      <c r="BD765" t="inlineStr">
        <is>
          <t>893628705</t>
        </is>
      </c>
    </row>
    <row r="766">
      <c r="A766" t="inlineStr">
        <is>
          <t>No</t>
        </is>
      </c>
      <c r="B766" t="inlineStr">
        <is>
          <t>HQ1236.5.S73 H35 1996</t>
        </is>
      </c>
      <c r="C766" t="inlineStr">
        <is>
          <t>0                      HQ 1236500S  73                 H  35          1996</t>
        </is>
      </c>
      <c r="D766" t="inlineStr">
        <is>
          <t>Gender politics in Sudan : Islamism, socialism, and the state / Sondra Hale.</t>
        </is>
      </c>
      <c r="F766" t="inlineStr">
        <is>
          <t>No</t>
        </is>
      </c>
      <c r="G766" t="inlineStr">
        <is>
          <t>1</t>
        </is>
      </c>
      <c r="H766" t="inlineStr">
        <is>
          <t>No</t>
        </is>
      </c>
      <c r="I766" t="inlineStr">
        <is>
          <t>No</t>
        </is>
      </c>
      <c r="J766" t="inlineStr">
        <is>
          <t>0</t>
        </is>
      </c>
      <c r="K766" t="inlineStr">
        <is>
          <t>Hale, Sondra.</t>
        </is>
      </c>
      <c r="L766" t="inlineStr">
        <is>
          <t>Boulder, Colo. : Westview Press, 1996.</t>
        </is>
      </c>
      <c r="M766" t="inlineStr">
        <is>
          <t>1996</t>
        </is>
      </c>
      <c r="O766" t="inlineStr">
        <is>
          <t>eng</t>
        </is>
      </c>
      <c r="P766" t="inlineStr">
        <is>
          <t>cou</t>
        </is>
      </c>
      <c r="R766" t="inlineStr">
        <is>
          <t xml:space="preserve">HQ </t>
        </is>
      </c>
      <c r="S766" t="n">
        <v>7</v>
      </c>
      <c r="T766" t="n">
        <v>7</v>
      </c>
      <c r="U766" t="inlineStr">
        <is>
          <t>2006-04-26</t>
        </is>
      </c>
      <c r="V766" t="inlineStr">
        <is>
          <t>2006-04-26</t>
        </is>
      </c>
      <c r="W766" t="inlineStr">
        <is>
          <t>1997-02-25</t>
        </is>
      </c>
      <c r="X766" t="inlineStr">
        <is>
          <t>1997-02-25</t>
        </is>
      </c>
      <c r="Y766" t="n">
        <v>282</v>
      </c>
      <c r="Z766" t="n">
        <v>211</v>
      </c>
      <c r="AA766" t="n">
        <v>321</v>
      </c>
      <c r="AB766" t="n">
        <v>2</v>
      </c>
      <c r="AC766" t="n">
        <v>2</v>
      </c>
      <c r="AD766" t="n">
        <v>16</v>
      </c>
      <c r="AE766" t="n">
        <v>19</v>
      </c>
      <c r="AF766" t="n">
        <v>7</v>
      </c>
      <c r="AG766" t="n">
        <v>9</v>
      </c>
      <c r="AH766" t="n">
        <v>5</v>
      </c>
      <c r="AI766" t="n">
        <v>5</v>
      </c>
      <c r="AJ766" t="n">
        <v>8</v>
      </c>
      <c r="AK766" t="n">
        <v>11</v>
      </c>
      <c r="AL766" t="n">
        <v>1</v>
      </c>
      <c r="AM766" t="n">
        <v>1</v>
      </c>
      <c r="AN766" t="n">
        <v>0</v>
      </c>
      <c r="AO766" t="n">
        <v>0</v>
      </c>
      <c r="AP766" t="inlineStr">
        <is>
          <t>No</t>
        </is>
      </c>
      <c r="AQ766" t="inlineStr">
        <is>
          <t>Yes</t>
        </is>
      </c>
      <c r="AR766">
        <f>HYPERLINK("http://catalog.hathitrust.org/Record/003067591","HathiTrust Record")</f>
        <v/>
      </c>
      <c r="AS766">
        <f>HYPERLINK("https://creighton-primo.hosted.exlibrisgroup.com/primo-explore/search?tab=default_tab&amp;search_scope=EVERYTHING&amp;vid=01CRU&amp;lang=en_US&amp;offset=0&amp;query=any,contains,991002636779702656","Catalog Record")</f>
        <v/>
      </c>
      <c r="AT766">
        <f>HYPERLINK("http://www.worldcat.org/oclc/34545456","WorldCat Record")</f>
        <v/>
      </c>
      <c r="AU766" t="inlineStr">
        <is>
          <t>619503:eng</t>
        </is>
      </c>
      <c r="AV766" t="inlineStr">
        <is>
          <t>34545456</t>
        </is>
      </c>
      <c r="AW766" t="inlineStr">
        <is>
          <t>991002636779702656</t>
        </is>
      </c>
      <c r="AX766" t="inlineStr">
        <is>
          <t>991002636779702656</t>
        </is>
      </c>
      <c r="AY766" t="inlineStr">
        <is>
          <t>2262246270002656</t>
        </is>
      </c>
      <c r="AZ766" t="inlineStr">
        <is>
          <t>BOOK</t>
        </is>
      </c>
      <c r="BB766" t="inlineStr">
        <is>
          <t>9780813324319</t>
        </is>
      </c>
      <c r="BC766" t="inlineStr">
        <is>
          <t>32285002433075</t>
        </is>
      </c>
      <c r="BD766" t="inlineStr">
        <is>
          <t>893245425</t>
        </is>
      </c>
    </row>
    <row r="767">
      <c r="A767" t="inlineStr">
        <is>
          <t>No</t>
        </is>
      </c>
      <c r="B767" t="inlineStr">
        <is>
          <t>HQ1236.5.T28 C483 1990</t>
        </is>
      </c>
      <c r="C767" t="inlineStr">
        <is>
          <t>0                      HQ 1236500T  28                 C  483         1990</t>
        </is>
      </c>
      <c r="D767" t="inlineStr">
        <is>
          <t>Women in Taiwan politics : overcoming barriers to women's participation in a modernizing society / Chou Bih-er, Cal Clark, Janet Clark.</t>
        </is>
      </c>
      <c r="F767" t="inlineStr">
        <is>
          <t>No</t>
        </is>
      </c>
      <c r="G767" t="inlineStr">
        <is>
          <t>1</t>
        </is>
      </c>
      <c r="H767" t="inlineStr">
        <is>
          <t>No</t>
        </is>
      </c>
      <c r="I767" t="inlineStr">
        <is>
          <t>No</t>
        </is>
      </c>
      <c r="J767" t="inlineStr">
        <is>
          <t>0</t>
        </is>
      </c>
      <c r="K767" t="inlineStr">
        <is>
          <t>Chou, Bih-Er.</t>
        </is>
      </c>
      <c r="L767" t="inlineStr">
        <is>
          <t>Boulder, Colo. : L. Rienner, c1990.</t>
        </is>
      </c>
      <c r="M767" t="inlineStr">
        <is>
          <t>1990</t>
        </is>
      </c>
      <c r="O767" t="inlineStr">
        <is>
          <t>eng</t>
        </is>
      </c>
      <c r="P767" t="inlineStr">
        <is>
          <t>cou</t>
        </is>
      </c>
      <c r="R767" t="inlineStr">
        <is>
          <t xml:space="preserve">HQ </t>
        </is>
      </c>
      <c r="S767" t="n">
        <v>5</v>
      </c>
      <c r="T767" t="n">
        <v>5</v>
      </c>
      <c r="U767" t="inlineStr">
        <is>
          <t>2005-11-13</t>
        </is>
      </c>
      <c r="V767" t="inlineStr">
        <is>
          <t>2005-11-13</t>
        </is>
      </c>
      <c r="W767" t="inlineStr">
        <is>
          <t>1994-11-22</t>
        </is>
      </c>
      <c r="X767" t="inlineStr">
        <is>
          <t>1994-11-22</t>
        </is>
      </c>
      <c r="Y767" t="n">
        <v>310</v>
      </c>
      <c r="Z767" t="n">
        <v>239</v>
      </c>
      <c r="AA767" t="n">
        <v>239</v>
      </c>
      <c r="AB767" t="n">
        <v>3</v>
      </c>
      <c r="AC767" t="n">
        <v>3</v>
      </c>
      <c r="AD767" t="n">
        <v>12</v>
      </c>
      <c r="AE767" t="n">
        <v>12</v>
      </c>
      <c r="AF767" t="n">
        <v>4</v>
      </c>
      <c r="AG767" t="n">
        <v>4</v>
      </c>
      <c r="AH767" t="n">
        <v>2</v>
      </c>
      <c r="AI767" t="n">
        <v>2</v>
      </c>
      <c r="AJ767" t="n">
        <v>9</v>
      </c>
      <c r="AK767" t="n">
        <v>9</v>
      </c>
      <c r="AL767" t="n">
        <v>2</v>
      </c>
      <c r="AM767" t="n">
        <v>2</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HYPERLINK("https://creighton-primo.hosted.exlibrisgroup.com/primo-explore/search?tab=default_tab&amp;search_scope=EVERYTHING&amp;vid=01CRU&amp;lang=en_US&amp;offset=0&amp;query=any,contains,991001704979702656","Catalog Record")</f>
        <v/>
      </c>
      <c r="AT767">
        <f>HYPERLINK("http://www.worldcat.org/oclc/21560220","WorldCat Record")</f>
        <v/>
      </c>
      <c r="AU767" t="inlineStr">
        <is>
          <t>836702560:eng</t>
        </is>
      </c>
      <c r="AV767" t="inlineStr">
        <is>
          <t>21560220</t>
        </is>
      </c>
      <c r="AW767" t="inlineStr">
        <is>
          <t>991001704979702656</t>
        </is>
      </c>
      <c r="AX767" t="inlineStr">
        <is>
          <t>991001704979702656</t>
        </is>
      </c>
      <c r="AY767" t="inlineStr">
        <is>
          <t>2262981150002656</t>
        </is>
      </c>
      <c r="AZ767" t="inlineStr">
        <is>
          <t>BOOK</t>
        </is>
      </c>
      <c r="BB767" t="inlineStr">
        <is>
          <t>9781555871062</t>
        </is>
      </c>
      <c r="BC767" t="inlineStr">
        <is>
          <t>32285001959575</t>
        </is>
      </c>
      <c r="BD767" t="inlineStr">
        <is>
          <t>893791640</t>
        </is>
      </c>
    </row>
    <row r="768">
      <c r="A768" t="inlineStr">
        <is>
          <t>No</t>
        </is>
      </c>
      <c r="B768" t="inlineStr">
        <is>
          <t>HQ1236.5.T34 G45 1997</t>
        </is>
      </c>
      <c r="C768" t="inlineStr">
        <is>
          <t>0                      HQ 1236500T  34                 G  45          1997</t>
        </is>
      </c>
      <c r="D768" t="inlineStr">
        <is>
          <t>TANU women : gender and culture in the making of Tanganyikan nationalism, 1955-1965 / Susan Geiger.</t>
        </is>
      </c>
      <c r="F768" t="inlineStr">
        <is>
          <t>No</t>
        </is>
      </c>
      <c r="G768" t="inlineStr">
        <is>
          <t>1</t>
        </is>
      </c>
      <c r="H768" t="inlineStr">
        <is>
          <t>No</t>
        </is>
      </c>
      <c r="I768" t="inlineStr">
        <is>
          <t>No</t>
        </is>
      </c>
      <c r="J768" t="inlineStr">
        <is>
          <t>0</t>
        </is>
      </c>
      <c r="K768" t="inlineStr">
        <is>
          <t>Geiger, Susan.</t>
        </is>
      </c>
      <c r="L768" t="inlineStr">
        <is>
          <t>Portsmouth, NH : Heinemann ; Oxford : James Currey ; Nairobi : E.A.E.P. ; Dar es Salaam : Mkuki Na Nyota, c1997.</t>
        </is>
      </c>
      <c r="M768" t="inlineStr">
        <is>
          <t>1997</t>
        </is>
      </c>
      <c r="O768" t="inlineStr">
        <is>
          <t>eng</t>
        </is>
      </c>
      <c r="P768" t="inlineStr">
        <is>
          <t>nhu</t>
        </is>
      </c>
      <c r="Q768" t="inlineStr">
        <is>
          <t>Social history of Africa series</t>
        </is>
      </c>
      <c r="R768" t="inlineStr">
        <is>
          <t xml:space="preserve">HQ </t>
        </is>
      </c>
      <c r="S768" t="n">
        <v>4</v>
      </c>
      <c r="T768" t="n">
        <v>4</v>
      </c>
      <c r="U768" t="inlineStr">
        <is>
          <t>1999-11-01</t>
        </is>
      </c>
      <c r="V768" t="inlineStr">
        <is>
          <t>1999-11-01</t>
        </is>
      </c>
      <c r="W768" t="inlineStr">
        <is>
          <t>1999-03-30</t>
        </is>
      </c>
      <c r="X768" t="inlineStr">
        <is>
          <t>1999-03-30</t>
        </is>
      </c>
      <c r="Y768" t="n">
        <v>384</v>
      </c>
      <c r="Z768" t="n">
        <v>312</v>
      </c>
      <c r="AA768" t="n">
        <v>318</v>
      </c>
      <c r="AB768" t="n">
        <v>3</v>
      </c>
      <c r="AC768" t="n">
        <v>3</v>
      </c>
      <c r="AD768" t="n">
        <v>17</v>
      </c>
      <c r="AE768" t="n">
        <v>17</v>
      </c>
      <c r="AF768" t="n">
        <v>3</v>
      </c>
      <c r="AG768" t="n">
        <v>3</v>
      </c>
      <c r="AH768" t="n">
        <v>5</v>
      </c>
      <c r="AI768" t="n">
        <v>5</v>
      </c>
      <c r="AJ768" t="n">
        <v>12</v>
      </c>
      <c r="AK768" t="n">
        <v>12</v>
      </c>
      <c r="AL768" t="n">
        <v>2</v>
      </c>
      <c r="AM768" t="n">
        <v>2</v>
      </c>
      <c r="AN768" t="n">
        <v>0</v>
      </c>
      <c r="AO768" t="n">
        <v>0</v>
      </c>
      <c r="AP768" t="inlineStr">
        <is>
          <t>No</t>
        </is>
      </c>
      <c r="AQ768" t="inlineStr">
        <is>
          <t>Yes</t>
        </is>
      </c>
      <c r="AR768">
        <f>HYPERLINK("http://catalog.hathitrust.org/Record/003967843","HathiTrust Record")</f>
        <v/>
      </c>
      <c r="AS768">
        <f>HYPERLINK("https://creighton-primo.hosted.exlibrisgroup.com/primo-explore/search?tab=default_tab&amp;search_scope=EVERYTHING&amp;vid=01CRU&amp;lang=en_US&amp;offset=0&amp;query=any,contains,991002830159702656","Catalog Record")</f>
        <v/>
      </c>
      <c r="AT768">
        <f>HYPERLINK("http://www.worldcat.org/oclc/37261016","WorldCat Record")</f>
        <v/>
      </c>
      <c r="AU768" t="inlineStr">
        <is>
          <t>56192727:eng</t>
        </is>
      </c>
      <c r="AV768" t="inlineStr">
        <is>
          <t>37261016</t>
        </is>
      </c>
      <c r="AW768" t="inlineStr">
        <is>
          <t>991002830159702656</t>
        </is>
      </c>
      <c r="AX768" t="inlineStr">
        <is>
          <t>991002830159702656</t>
        </is>
      </c>
      <c r="AY768" t="inlineStr">
        <is>
          <t>2271868120002656</t>
        </is>
      </c>
      <c r="AZ768" t="inlineStr">
        <is>
          <t>BOOK</t>
        </is>
      </c>
      <c r="BB768" t="inlineStr">
        <is>
          <t>9780435072544</t>
        </is>
      </c>
      <c r="BC768" t="inlineStr">
        <is>
          <t>32285003547618</t>
        </is>
      </c>
      <c r="BD768" t="inlineStr">
        <is>
          <t>893597934</t>
        </is>
      </c>
    </row>
    <row r="769">
      <c r="A769" t="inlineStr">
        <is>
          <t>No</t>
        </is>
      </c>
      <c r="B769" t="inlineStr">
        <is>
          <t>HQ1236.5.U6 A44 1988</t>
        </is>
      </c>
      <c r="C769" t="inlineStr">
        <is>
          <t>0                      HQ 1236500U  6                  A  44          1988</t>
        </is>
      </c>
      <c r="D769" t="inlineStr">
        <is>
          <t>Uneasy access : privacy for women in a free society / Anita L. Allen.</t>
        </is>
      </c>
      <c r="F769" t="inlineStr">
        <is>
          <t>No</t>
        </is>
      </c>
      <c r="G769" t="inlineStr">
        <is>
          <t>1</t>
        </is>
      </c>
      <c r="H769" t="inlineStr">
        <is>
          <t>Yes</t>
        </is>
      </c>
      <c r="I769" t="inlineStr">
        <is>
          <t>No</t>
        </is>
      </c>
      <c r="J769" t="inlineStr">
        <is>
          <t>0</t>
        </is>
      </c>
      <c r="K769" t="inlineStr">
        <is>
          <t>Allen, Anita L., 1953-</t>
        </is>
      </c>
      <c r="L769" t="inlineStr">
        <is>
          <t>Totowa, N.J. : Rowman &amp; Littlefield, 1988.</t>
        </is>
      </c>
      <c r="M769" t="inlineStr">
        <is>
          <t>1987</t>
        </is>
      </c>
      <c r="O769" t="inlineStr">
        <is>
          <t>eng</t>
        </is>
      </c>
      <c r="P769" t="inlineStr">
        <is>
          <t>nju</t>
        </is>
      </c>
      <c r="Q769" t="inlineStr">
        <is>
          <t>New feminist perspectives</t>
        </is>
      </c>
      <c r="R769" t="inlineStr">
        <is>
          <t xml:space="preserve">HQ </t>
        </is>
      </c>
      <c r="S769" t="n">
        <v>2</v>
      </c>
      <c r="T769" t="n">
        <v>3</v>
      </c>
      <c r="U769" t="inlineStr">
        <is>
          <t>2002-04-19</t>
        </is>
      </c>
      <c r="V769" t="inlineStr">
        <is>
          <t>2002-04-19</t>
        </is>
      </c>
      <c r="W769" t="inlineStr">
        <is>
          <t>1993-04-28</t>
        </is>
      </c>
      <c r="X769" t="inlineStr">
        <is>
          <t>1993-04-28</t>
        </is>
      </c>
      <c r="Y769" t="n">
        <v>460</v>
      </c>
      <c r="Z769" t="n">
        <v>407</v>
      </c>
      <c r="AA769" t="n">
        <v>430</v>
      </c>
      <c r="AB769" t="n">
        <v>4</v>
      </c>
      <c r="AC769" t="n">
        <v>4</v>
      </c>
      <c r="AD769" t="n">
        <v>24</v>
      </c>
      <c r="AE769" t="n">
        <v>25</v>
      </c>
      <c r="AF769" t="n">
        <v>5</v>
      </c>
      <c r="AG769" t="n">
        <v>5</v>
      </c>
      <c r="AH769" t="n">
        <v>5</v>
      </c>
      <c r="AI769" t="n">
        <v>5</v>
      </c>
      <c r="AJ769" t="n">
        <v>12</v>
      </c>
      <c r="AK769" t="n">
        <v>12</v>
      </c>
      <c r="AL769" t="n">
        <v>2</v>
      </c>
      <c r="AM769" t="n">
        <v>2</v>
      </c>
      <c r="AN769" t="n">
        <v>7</v>
      </c>
      <c r="AO769" t="n">
        <v>8</v>
      </c>
      <c r="AP769" t="inlineStr">
        <is>
          <t>No</t>
        </is>
      </c>
      <c r="AQ769" t="inlineStr">
        <is>
          <t>Yes</t>
        </is>
      </c>
      <c r="AR769">
        <f>HYPERLINK("http://catalog.hathitrust.org/Record/000921433","HathiTrust Record")</f>
        <v/>
      </c>
      <c r="AS769">
        <f>HYPERLINK("https://creighton-primo.hosted.exlibrisgroup.com/primo-explore/search?tab=default_tab&amp;search_scope=EVERYTHING&amp;vid=01CRU&amp;lang=en_US&amp;offset=0&amp;query=any,contains,991001636549702656","Catalog Record")</f>
        <v/>
      </c>
      <c r="AT769">
        <f>HYPERLINK("http://www.worldcat.org/oclc/16225198","WorldCat Record")</f>
        <v/>
      </c>
      <c r="AU769" t="inlineStr">
        <is>
          <t>291035173:eng</t>
        </is>
      </c>
      <c r="AV769" t="inlineStr">
        <is>
          <t>16225198</t>
        </is>
      </c>
      <c r="AW769" t="inlineStr">
        <is>
          <t>991001636549702656</t>
        </is>
      </c>
      <c r="AX769" t="inlineStr">
        <is>
          <t>991001636549702656</t>
        </is>
      </c>
      <c r="AY769" t="inlineStr">
        <is>
          <t>2267879770002656</t>
        </is>
      </c>
      <c r="AZ769" t="inlineStr">
        <is>
          <t>BOOK</t>
        </is>
      </c>
      <c r="BB769" t="inlineStr">
        <is>
          <t>9780847673278</t>
        </is>
      </c>
      <c r="BC769" t="inlineStr">
        <is>
          <t>32285001629590</t>
        </is>
      </c>
      <c r="BD769" t="inlineStr">
        <is>
          <t>893232112</t>
        </is>
      </c>
    </row>
    <row r="770">
      <c r="A770" t="inlineStr">
        <is>
          <t>No</t>
        </is>
      </c>
      <c r="B770" t="inlineStr">
        <is>
          <t>HQ1236.5.U6 B875 2004</t>
        </is>
      </c>
      <c r="C770" t="inlineStr">
        <is>
          <t>0                      HQ 1236500U  6                  B  875         2004</t>
        </is>
      </c>
      <c r="D770" t="inlineStr">
        <is>
          <t>Women and political participation : a reference handbook / Barbara Burrell.</t>
        </is>
      </c>
      <c r="F770" t="inlineStr">
        <is>
          <t>No</t>
        </is>
      </c>
      <c r="G770" t="inlineStr">
        <is>
          <t>1</t>
        </is>
      </c>
      <c r="H770" t="inlineStr">
        <is>
          <t>No</t>
        </is>
      </c>
      <c r="I770" t="inlineStr">
        <is>
          <t>No</t>
        </is>
      </c>
      <c r="J770" t="inlineStr">
        <is>
          <t>0</t>
        </is>
      </c>
      <c r="K770" t="inlineStr">
        <is>
          <t>Burrell, Barbara C., 1947-</t>
        </is>
      </c>
      <c r="L770" t="inlineStr">
        <is>
          <t>Santa Barbara, Calif. : ABC-CLIO, c2004.</t>
        </is>
      </c>
      <c r="M770" t="inlineStr">
        <is>
          <t>2004</t>
        </is>
      </c>
      <c r="O770" t="inlineStr">
        <is>
          <t>eng</t>
        </is>
      </c>
      <c r="P770" t="inlineStr">
        <is>
          <t>cau</t>
        </is>
      </c>
      <c r="Q770" t="inlineStr">
        <is>
          <t>Political participation in America</t>
        </is>
      </c>
      <c r="R770" t="inlineStr">
        <is>
          <t xml:space="preserve">HQ </t>
        </is>
      </c>
      <c r="S770" t="n">
        <v>7</v>
      </c>
      <c r="T770" t="n">
        <v>7</v>
      </c>
      <c r="U770" t="inlineStr">
        <is>
          <t>2010-04-27</t>
        </is>
      </c>
      <c r="V770" t="inlineStr">
        <is>
          <t>2010-04-27</t>
        </is>
      </c>
      <c r="W770" t="inlineStr">
        <is>
          <t>2005-05-10</t>
        </is>
      </c>
      <c r="X770" t="inlineStr">
        <is>
          <t>2005-05-10</t>
        </is>
      </c>
      <c r="Y770" t="n">
        <v>385</v>
      </c>
      <c r="Z770" t="n">
        <v>351</v>
      </c>
      <c r="AA770" t="n">
        <v>744</v>
      </c>
      <c r="AB770" t="n">
        <v>2</v>
      </c>
      <c r="AC770" t="n">
        <v>4</v>
      </c>
      <c r="AD770" t="n">
        <v>20</v>
      </c>
      <c r="AE770" t="n">
        <v>30</v>
      </c>
      <c r="AF770" t="n">
        <v>11</v>
      </c>
      <c r="AG770" t="n">
        <v>16</v>
      </c>
      <c r="AH770" t="n">
        <v>5</v>
      </c>
      <c r="AI770" t="n">
        <v>8</v>
      </c>
      <c r="AJ770" t="n">
        <v>6</v>
      </c>
      <c r="AK770" t="n">
        <v>12</v>
      </c>
      <c r="AL770" t="n">
        <v>1</v>
      </c>
      <c r="AM770" t="n">
        <v>3</v>
      </c>
      <c r="AN770" t="n">
        <v>1</v>
      </c>
      <c r="AO770" t="n">
        <v>1</v>
      </c>
      <c r="AP770" t="inlineStr">
        <is>
          <t>No</t>
        </is>
      </c>
      <c r="AQ770" t="inlineStr">
        <is>
          <t>Yes</t>
        </is>
      </c>
      <c r="AR770">
        <f>HYPERLINK("http://catalog.hathitrust.org/Record/102036397","HathiTrust Record")</f>
        <v/>
      </c>
      <c r="AS770">
        <f>HYPERLINK("https://creighton-primo.hosted.exlibrisgroup.com/primo-explore/search?tab=default_tab&amp;search_scope=EVERYTHING&amp;vid=01CRU&amp;lang=en_US&amp;offset=0&amp;query=any,contains,991004519179702656","Catalog Record")</f>
        <v/>
      </c>
      <c r="AT770">
        <f>HYPERLINK("http://www.worldcat.org/oclc/56368685","WorldCat Record")</f>
        <v/>
      </c>
      <c r="AU770" t="inlineStr">
        <is>
          <t>792935697:eng</t>
        </is>
      </c>
      <c r="AV770" t="inlineStr">
        <is>
          <t>56368685</t>
        </is>
      </c>
      <c r="AW770" t="inlineStr">
        <is>
          <t>991004519179702656</t>
        </is>
      </c>
      <c r="AX770" t="inlineStr">
        <is>
          <t>991004519179702656</t>
        </is>
      </c>
      <c r="AY770" t="inlineStr">
        <is>
          <t>2260112830002656</t>
        </is>
      </c>
      <c r="AZ770" t="inlineStr">
        <is>
          <t>BOOK</t>
        </is>
      </c>
      <c r="BB770" t="inlineStr">
        <is>
          <t>9781851095926</t>
        </is>
      </c>
      <c r="BC770" t="inlineStr">
        <is>
          <t>32285005037121</t>
        </is>
      </c>
      <c r="BD770" t="inlineStr">
        <is>
          <t>893235602</t>
        </is>
      </c>
    </row>
    <row r="771">
      <c r="A771" t="inlineStr">
        <is>
          <t>No</t>
        </is>
      </c>
      <c r="B771" t="inlineStr">
        <is>
          <t>HQ1236.5.U6 C66 1995</t>
        </is>
      </c>
      <c r="C771" t="inlineStr">
        <is>
          <t>0                      HQ 1236500U  6                  C  66          1995</t>
        </is>
      </c>
      <c r="D771" t="inlineStr">
        <is>
          <t>Women &amp; public policy : a revolution in progress / M. Margaret Conway, David W. Ahern, Gertrude A. Steuernagel ; with chapters by Earlean McCarrick, Robert H. Jerry II.</t>
        </is>
      </c>
      <c r="F771" t="inlineStr">
        <is>
          <t>No</t>
        </is>
      </c>
      <c r="G771" t="inlineStr">
        <is>
          <t>1</t>
        </is>
      </c>
      <c r="H771" t="inlineStr">
        <is>
          <t>No</t>
        </is>
      </c>
      <c r="I771" t="inlineStr">
        <is>
          <t>Yes</t>
        </is>
      </c>
      <c r="J771" t="inlineStr">
        <is>
          <t>0</t>
        </is>
      </c>
      <c r="K771" t="inlineStr">
        <is>
          <t>Conway, M. Margaret (Mary Margaret), 1935-</t>
        </is>
      </c>
      <c r="L771" t="inlineStr">
        <is>
          <t>Washington, D.C. : CQ Press, c1995.</t>
        </is>
      </c>
      <c r="M771" t="inlineStr">
        <is>
          <t>1995</t>
        </is>
      </c>
      <c r="O771" t="inlineStr">
        <is>
          <t>eng</t>
        </is>
      </c>
      <c r="P771" t="inlineStr">
        <is>
          <t>dcu</t>
        </is>
      </c>
      <c r="R771" t="inlineStr">
        <is>
          <t xml:space="preserve">HQ </t>
        </is>
      </c>
      <c r="S771" t="n">
        <v>9</v>
      </c>
      <c r="T771" t="n">
        <v>9</v>
      </c>
      <c r="U771" t="inlineStr">
        <is>
          <t>2002-05-02</t>
        </is>
      </c>
      <c r="V771" t="inlineStr">
        <is>
          <t>2002-05-02</t>
        </is>
      </c>
      <c r="W771" t="inlineStr">
        <is>
          <t>1994-12-28</t>
        </is>
      </c>
      <c r="X771" t="inlineStr">
        <is>
          <t>1994-12-28</t>
        </is>
      </c>
      <c r="Y771" t="n">
        <v>546</v>
      </c>
      <c r="Z771" t="n">
        <v>517</v>
      </c>
      <c r="AA771" t="n">
        <v>831</v>
      </c>
      <c r="AB771" t="n">
        <v>2</v>
      </c>
      <c r="AC771" t="n">
        <v>4</v>
      </c>
      <c r="AD771" t="n">
        <v>33</v>
      </c>
      <c r="AE771" t="n">
        <v>46</v>
      </c>
      <c r="AF771" t="n">
        <v>10</v>
      </c>
      <c r="AG771" t="n">
        <v>15</v>
      </c>
      <c r="AH771" t="n">
        <v>8</v>
      </c>
      <c r="AI771" t="n">
        <v>10</v>
      </c>
      <c r="AJ771" t="n">
        <v>9</v>
      </c>
      <c r="AK771" t="n">
        <v>17</v>
      </c>
      <c r="AL771" t="n">
        <v>1</v>
      </c>
      <c r="AM771" t="n">
        <v>3</v>
      </c>
      <c r="AN771" t="n">
        <v>11</v>
      </c>
      <c r="AO771" t="n">
        <v>12</v>
      </c>
      <c r="AP771" t="inlineStr">
        <is>
          <t>No</t>
        </is>
      </c>
      <c r="AQ771" t="inlineStr">
        <is>
          <t>Yes</t>
        </is>
      </c>
      <c r="AR771">
        <f>HYPERLINK("http://catalog.hathitrust.org/Record/002960530","HathiTrust Record")</f>
        <v/>
      </c>
      <c r="AS771">
        <f>HYPERLINK("https://creighton-primo.hosted.exlibrisgroup.com/primo-explore/search?tab=default_tab&amp;search_scope=EVERYTHING&amp;vid=01CRU&amp;lang=en_US&amp;offset=0&amp;query=any,contains,991002375059702656","Catalog Record")</f>
        <v/>
      </c>
      <c r="AT771">
        <f>HYPERLINK("http://www.worldcat.org/oclc/30893469","WorldCat Record")</f>
        <v/>
      </c>
      <c r="AU771" t="inlineStr">
        <is>
          <t>316823574:eng</t>
        </is>
      </c>
      <c r="AV771" t="inlineStr">
        <is>
          <t>30893469</t>
        </is>
      </c>
      <c r="AW771" t="inlineStr">
        <is>
          <t>991002375059702656</t>
        </is>
      </c>
      <c r="AX771" t="inlineStr">
        <is>
          <t>991002375059702656</t>
        </is>
      </c>
      <c r="AY771" t="inlineStr">
        <is>
          <t>2267154580002656</t>
        </is>
      </c>
      <c r="AZ771" t="inlineStr">
        <is>
          <t>BOOK</t>
        </is>
      </c>
      <c r="BB771" t="inlineStr">
        <is>
          <t>9780871879233</t>
        </is>
      </c>
      <c r="BC771" t="inlineStr">
        <is>
          <t>32285001979854</t>
        </is>
      </c>
      <c r="BD771" t="inlineStr">
        <is>
          <t>893697695</t>
        </is>
      </c>
    </row>
    <row r="772">
      <c r="A772" t="inlineStr">
        <is>
          <t>No</t>
        </is>
      </c>
      <c r="B772" t="inlineStr">
        <is>
          <t>HQ1236.5.U6 C67 1992</t>
        </is>
      </c>
      <c r="C772" t="inlineStr">
        <is>
          <t>0                      HQ 1236500U  6                  C  67          1992</t>
        </is>
      </c>
      <c r="D772" t="inlineStr">
        <is>
          <t>Inviting women's rebellion : a political process interpretation of the women's movement / Anne N. Costain.</t>
        </is>
      </c>
      <c r="F772" t="inlineStr">
        <is>
          <t>No</t>
        </is>
      </c>
      <c r="G772" t="inlineStr">
        <is>
          <t>1</t>
        </is>
      </c>
      <c r="H772" t="inlineStr">
        <is>
          <t>No</t>
        </is>
      </c>
      <c r="I772" t="inlineStr">
        <is>
          <t>No</t>
        </is>
      </c>
      <c r="J772" t="inlineStr">
        <is>
          <t>0</t>
        </is>
      </c>
      <c r="K772" t="inlineStr">
        <is>
          <t>Costain, Anne N., 1948-</t>
        </is>
      </c>
      <c r="L772" t="inlineStr">
        <is>
          <t>Baltimore : Johns Hopkins University Press, c1992.</t>
        </is>
      </c>
      <c r="M772" t="inlineStr">
        <is>
          <t>1992</t>
        </is>
      </c>
      <c r="O772" t="inlineStr">
        <is>
          <t>eng</t>
        </is>
      </c>
      <c r="P772" t="inlineStr">
        <is>
          <t>mdu</t>
        </is>
      </c>
      <c r="R772" t="inlineStr">
        <is>
          <t xml:space="preserve">HQ </t>
        </is>
      </c>
      <c r="S772" t="n">
        <v>3</v>
      </c>
      <c r="T772" t="n">
        <v>3</v>
      </c>
      <c r="U772" t="inlineStr">
        <is>
          <t>1994-10-31</t>
        </is>
      </c>
      <c r="V772" t="inlineStr">
        <is>
          <t>1994-10-31</t>
        </is>
      </c>
      <c r="W772" t="inlineStr">
        <is>
          <t>1993-10-19</t>
        </is>
      </c>
      <c r="X772" t="inlineStr">
        <is>
          <t>1993-10-19</t>
        </is>
      </c>
      <c r="Y772" t="n">
        <v>639</v>
      </c>
      <c r="Z772" t="n">
        <v>555</v>
      </c>
      <c r="AA772" t="n">
        <v>575</v>
      </c>
      <c r="AB772" t="n">
        <v>5</v>
      </c>
      <c r="AC772" t="n">
        <v>5</v>
      </c>
      <c r="AD772" t="n">
        <v>33</v>
      </c>
      <c r="AE772" t="n">
        <v>33</v>
      </c>
      <c r="AF772" t="n">
        <v>11</v>
      </c>
      <c r="AG772" t="n">
        <v>11</v>
      </c>
      <c r="AH772" t="n">
        <v>7</v>
      </c>
      <c r="AI772" t="n">
        <v>7</v>
      </c>
      <c r="AJ772" t="n">
        <v>17</v>
      </c>
      <c r="AK772" t="n">
        <v>17</v>
      </c>
      <c r="AL772" t="n">
        <v>4</v>
      </c>
      <c r="AM772" t="n">
        <v>4</v>
      </c>
      <c r="AN772" t="n">
        <v>3</v>
      </c>
      <c r="AO772" t="n">
        <v>3</v>
      </c>
      <c r="AP772" t="inlineStr">
        <is>
          <t>No</t>
        </is>
      </c>
      <c r="AQ772" t="inlineStr">
        <is>
          <t>Yes</t>
        </is>
      </c>
      <c r="AR772">
        <f>HYPERLINK("http://catalog.hathitrust.org/Record/002560928","HathiTrust Record")</f>
        <v/>
      </c>
      <c r="AS772">
        <f>HYPERLINK("https://creighton-primo.hosted.exlibrisgroup.com/primo-explore/search?tab=default_tab&amp;search_scope=EVERYTHING&amp;vid=01CRU&amp;lang=en_US&amp;offset=0&amp;query=any,contains,991001964699702656","Catalog Record")</f>
        <v/>
      </c>
      <c r="AT772">
        <f>HYPERLINK("http://www.worldcat.org/oclc/24906434","WorldCat Record")</f>
        <v/>
      </c>
      <c r="AU772" t="inlineStr">
        <is>
          <t>836839922:eng</t>
        </is>
      </c>
      <c r="AV772" t="inlineStr">
        <is>
          <t>24906434</t>
        </is>
      </c>
      <c r="AW772" t="inlineStr">
        <is>
          <t>991001964699702656</t>
        </is>
      </c>
      <c r="AX772" t="inlineStr">
        <is>
          <t>991001964699702656</t>
        </is>
      </c>
      <c r="AY772" t="inlineStr">
        <is>
          <t>2270918610002656</t>
        </is>
      </c>
      <c r="AZ772" t="inlineStr">
        <is>
          <t>BOOK</t>
        </is>
      </c>
      <c r="BB772" t="inlineStr">
        <is>
          <t>9780801843334</t>
        </is>
      </c>
      <c r="BC772" t="inlineStr">
        <is>
          <t>32285001786945</t>
        </is>
      </c>
      <c r="BD772" t="inlineStr">
        <is>
          <t>893232421</t>
        </is>
      </c>
    </row>
    <row r="773">
      <c r="A773" t="inlineStr">
        <is>
          <t>No</t>
        </is>
      </c>
      <c r="B773" t="inlineStr">
        <is>
          <t>HQ1236.5.U6 F74 2000</t>
        </is>
      </c>
      <c r="C773" t="inlineStr">
        <is>
          <t>0                      HQ 1236500U  6                  F  74          2000</t>
        </is>
      </c>
      <c r="D773" t="inlineStr">
        <is>
          <t>A room at a time : how women entered party politics / Jo Freeman.</t>
        </is>
      </c>
      <c r="F773" t="inlineStr">
        <is>
          <t>No</t>
        </is>
      </c>
      <c r="G773" t="inlineStr">
        <is>
          <t>1</t>
        </is>
      </c>
      <c r="H773" t="inlineStr">
        <is>
          <t>No</t>
        </is>
      </c>
      <c r="I773" t="inlineStr">
        <is>
          <t>No</t>
        </is>
      </c>
      <c r="J773" t="inlineStr">
        <is>
          <t>0</t>
        </is>
      </c>
      <c r="K773" t="inlineStr">
        <is>
          <t>Freeman, Jo.</t>
        </is>
      </c>
      <c r="L773" t="inlineStr">
        <is>
          <t>Lanham, Md. : Rowman &amp; Littlefield, c2000.</t>
        </is>
      </c>
      <c r="M773" t="inlineStr">
        <is>
          <t>2000</t>
        </is>
      </c>
      <c r="O773" t="inlineStr">
        <is>
          <t>eng</t>
        </is>
      </c>
      <c r="P773" t="inlineStr">
        <is>
          <t>mdu</t>
        </is>
      </c>
      <c r="R773" t="inlineStr">
        <is>
          <t xml:space="preserve">HQ </t>
        </is>
      </c>
      <c r="S773" t="n">
        <v>2</v>
      </c>
      <c r="T773" t="n">
        <v>2</v>
      </c>
      <c r="U773" t="inlineStr">
        <is>
          <t>2007-10-05</t>
        </is>
      </c>
      <c r="V773" t="inlineStr">
        <is>
          <t>2007-10-05</t>
        </is>
      </c>
      <c r="W773" t="inlineStr">
        <is>
          <t>2002-09-25</t>
        </is>
      </c>
      <c r="X773" t="inlineStr">
        <is>
          <t>2002-09-25</t>
        </is>
      </c>
      <c r="Y773" t="n">
        <v>581</v>
      </c>
      <c r="Z773" t="n">
        <v>522</v>
      </c>
      <c r="AA773" t="n">
        <v>564</v>
      </c>
      <c r="AB773" t="n">
        <v>3</v>
      </c>
      <c r="AC773" t="n">
        <v>4</v>
      </c>
      <c r="AD773" t="n">
        <v>28</v>
      </c>
      <c r="AE773" t="n">
        <v>30</v>
      </c>
      <c r="AF773" t="n">
        <v>9</v>
      </c>
      <c r="AG773" t="n">
        <v>10</v>
      </c>
      <c r="AH773" t="n">
        <v>8</v>
      </c>
      <c r="AI773" t="n">
        <v>8</v>
      </c>
      <c r="AJ773" t="n">
        <v>14</v>
      </c>
      <c r="AK773" t="n">
        <v>14</v>
      </c>
      <c r="AL773" t="n">
        <v>2</v>
      </c>
      <c r="AM773" t="n">
        <v>3</v>
      </c>
      <c r="AN773" t="n">
        <v>2</v>
      </c>
      <c r="AO773" t="n">
        <v>2</v>
      </c>
      <c r="AP773" t="inlineStr">
        <is>
          <t>No</t>
        </is>
      </c>
      <c r="AQ773" t="inlineStr">
        <is>
          <t>Yes</t>
        </is>
      </c>
      <c r="AR773">
        <f>HYPERLINK("http://catalog.hathitrust.org/Record/004079751","HathiTrust Record")</f>
        <v/>
      </c>
      <c r="AS773">
        <f>HYPERLINK("https://creighton-primo.hosted.exlibrisgroup.com/primo-explore/search?tab=default_tab&amp;search_scope=EVERYTHING&amp;vid=01CRU&amp;lang=en_US&amp;offset=0&amp;query=any,contains,991003851669702656","Catalog Record")</f>
        <v/>
      </c>
      <c r="AT773">
        <f>HYPERLINK("http://www.worldcat.org/oclc/41368316","WorldCat Record")</f>
        <v/>
      </c>
      <c r="AU773" t="inlineStr">
        <is>
          <t>1028081:eng</t>
        </is>
      </c>
      <c r="AV773" t="inlineStr">
        <is>
          <t>41368316</t>
        </is>
      </c>
      <c r="AW773" t="inlineStr">
        <is>
          <t>991003851669702656</t>
        </is>
      </c>
      <c r="AX773" t="inlineStr">
        <is>
          <t>991003851669702656</t>
        </is>
      </c>
      <c r="AY773" t="inlineStr">
        <is>
          <t>2266544720002656</t>
        </is>
      </c>
      <c r="AZ773" t="inlineStr">
        <is>
          <t>BOOK</t>
        </is>
      </c>
      <c r="BB773" t="inlineStr">
        <is>
          <t>9780847698042</t>
        </is>
      </c>
      <c r="BC773" t="inlineStr">
        <is>
          <t>32285004648928</t>
        </is>
      </c>
      <c r="BD773" t="inlineStr">
        <is>
          <t>893687039</t>
        </is>
      </c>
    </row>
    <row r="774">
      <c r="A774" t="inlineStr">
        <is>
          <t>No</t>
        </is>
      </c>
      <c r="B774" t="inlineStr">
        <is>
          <t>HQ1236.5.U6 G45 1993</t>
        </is>
      </c>
      <c r="C774" t="inlineStr">
        <is>
          <t>0                      HQ 1236500U  6                  G  45          1993</t>
        </is>
      </c>
      <c r="D774" t="inlineStr">
        <is>
          <t>Gender and public policy : cases and comments / edited by Kenneth Winston and Mary Jo Bane.</t>
        </is>
      </c>
      <c r="F774" t="inlineStr">
        <is>
          <t>No</t>
        </is>
      </c>
      <c r="G774" t="inlineStr">
        <is>
          <t>1</t>
        </is>
      </c>
      <c r="H774" t="inlineStr">
        <is>
          <t>No</t>
        </is>
      </c>
      <c r="I774" t="inlineStr">
        <is>
          <t>No</t>
        </is>
      </c>
      <c r="J774" t="inlineStr">
        <is>
          <t>0</t>
        </is>
      </c>
      <c r="L774" t="inlineStr">
        <is>
          <t>Boulder, Colo. : Westview Press, 1993.</t>
        </is>
      </c>
      <c r="M774" t="inlineStr">
        <is>
          <t>1993</t>
        </is>
      </c>
      <c r="O774" t="inlineStr">
        <is>
          <t>eng</t>
        </is>
      </c>
      <c r="P774" t="inlineStr">
        <is>
          <t>cou</t>
        </is>
      </c>
      <c r="R774" t="inlineStr">
        <is>
          <t xml:space="preserve">HQ </t>
        </is>
      </c>
      <c r="S774" t="n">
        <v>5</v>
      </c>
      <c r="T774" t="n">
        <v>5</v>
      </c>
      <c r="U774" t="inlineStr">
        <is>
          <t>1998-12-02</t>
        </is>
      </c>
      <c r="V774" t="inlineStr">
        <is>
          <t>1998-12-02</t>
        </is>
      </c>
      <c r="W774" t="inlineStr">
        <is>
          <t>1994-03-02</t>
        </is>
      </c>
      <c r="X774" t="inlineStr">
        <is>
          <t>1994-03-02</t>
        </is>
      </c>
      <c r="Y774" t="n">
        <v>306</v>
      </c>
      <c r="Z774" t="n">
        <v>243</v>
      </c>
      <c r="AA774" t="n">
        <v>243</v>
      </c>
      <c r="AB774" t="n">
        <v>3</v>
      </c>
      <c r="AC774" t="n">
        <v>3</v>
      </c>
      <c r="AD774" t="n">
        <v>13</v>
      </c>
      <c r="AE774" t="n">
        <v>13</v>
      </c>
      <c r="AF774" t="n">
        <v>3</v>
      </c>
      <c r="AG774" t="n">
        <v>3</v>
      </c>
      <c r="AH774" t="n">
        <v>4</v>
      </c>
      <c r="AI774" t="n">
        <v>4</v>
      </c>
      <c r="AJ774" t="n">
        <v>5</v>
      </c>
      <c r="AK774" t="n">
        <v>5</v>
      </c>
      <c r="AL774" t="n">
        <v>2</v>
      </c>
      <c r="AM774" t="n">
        <v>2</v>
      </c>
      <c r="AN774" t="n">
        <v>3</v>
      </c>
      <c r="AO774" t="n">
        <v>3</v>
      </c>
      <c r="AP774" t="inlineStr">
        <is>
          <t>No</t>
        </is>
      </c>
      <c r="AQ774" t="inlineStr">
        <is>
          <t>No</t>
        </is>
      </c>
      <c r="AS774">
        <f>HYPERLINK("https://creighton-primo.hosted.exlibrisgroup.com/primo-explore/search?tab=default_tab&amp;search_scope=EVERYTHING&amp;vid=01CRU&amp;lang=en_US&amp;offset=0&amp;query=any,contains,991002055499702656","Catalog Record")</f>
        <v/>
      </c>
      <c r="AT774">
        <f>HYPERLINK("http://www.worldcat.org/oclc/26261047","WorldCat Record")</f>
        <v/>
      </c>
      <c r="AU774" t="inlineStr">
        <is>
          <t>836927346:eng</t>
        </is>
      </c>
      <c r="AV774" t="inlineStr">
        <is>
          <t>26261047</t>
        </is>
      </c>
      <c r="AW774" t="inlineStr">
        <is>
          <t>991002055499702656</t>
        </is>
      </c>
      <c r="AX774" t="inlineStr">
        <is>
          <t>991002055499702656</t>
        </is>
      </c>
      <c r="AY774" t="inlineStr">
        <is>
          <t>2262999150002656</t>
        </is>
      </c>
      <c r="AZ774" t="inlineStr">
        <is>
          <t>BOOK</t>
        </is>
      </c>
      <c r="BB774" t="inlineStr">
        <is>
          <t>9780813313009</t>
        </is>
      </c>
      <c r="BC774" t="inlineStr">
        <is>
          <t>32285001843761</t>
        </is>
      </c>
      <c r="BD774" t="inlineStr">
        <is>
          <t>893866748</t>
        </is>
      </c>
    </row>
    <row r="775">
      <c r="A775" t="inlineStr">
        <is>
          <t>No</t>
        </is>
      </c>
      <c r="B775" t="inlineStr">
        <is>
          <t>HQ1236.5.U6 H38 1989</t>
        </is>
      </c>
      <c r="C775" t="inlineStr">
        <is>
          <t>0                      HQ 1236500U  6                  H  38          1989</t>
        </is>
      </c>
      <c r="D775" t="inlineStr">
        <is>
          <t>From margin to mainstream : American women and politics since 1960 / Susan M. Hartmann.</t>
        </is>
      </c>
      <c r="F775" t="inlineStr">
        <is>
          <t>No</t>
        </is>
      </c>
      <c r="G775" t="inlineStr">
        <is>
          <t>1</t>
        </is>
      </c>
      <c r="H775" t="inlineStr">
        <is>
          <t>No</t>
        </is>
      </c>
      <c r="I775" t="inlineStr">
        <is>
          <t>No</t>
        </is>
      </c>
      <c r="J775" t="inlineStr">
        <is>
          <t>0</t>
        </is>
      </c>
      <c r="K775" t="inlineStr">
        <is>
          <t>Hartmann, Susan M.</t>
        </is>
      </c>
      <c r="L775" t="inlineStr">
        <is>
          <t>New York : Knopf, c1989.</t>
        </is>
      </c>
      <c r="M775" t="inlineStr">
        <is>
          <t>1989</t>
        </is>
      </c>
      <c r="N775" t="inlineStr">
        <is>
          <t>1st ed.</t>
        </is>
      </c>
      <c r="O775" t="inlineStr">
        <is>
          <t>eng</t>
        </is>
      </c>
      <c r="P775" t="inlineStr">
        <is>
          <t>nyu</t>
        </is>
      </c>
      <c r="R775" t="inlineStr">
        <is>
          <t xml:space="preserve">HQ </t>
        </is>
      </c>
      <c r="S775" t="n">
        <v>5</v>
      </c>
      <c r="T775" t="n">
        <v>5</v>
      </c>
      <c r="U775" t="inlineStr">
        <is>
          <t>1994-04-04</t>
        </is>
      </c>
      <c r="V775" t="inlineStr">
        <is>
          <t>1994-04-04</t>
        </is>
      </c>
      <c r="W775" t="inlineStr">
        <is>
          <t>1989-12-18</t>
        </is>
      </c>
      <c r="X775" t="inlineStr">
        <is>
          <t>1989-12-18</t>
        </is>
      </c>
      <c r="Y775" t="n">
        <v>688</v>
      </c>
      <c r="Z775" t="n">
        <v>627</v>
      </c>
      <c r="AA775" t="n">
        <v>700</v>
      </c>
      <c r="AB775" t="n">
        <v>5</v>
      </c>
      <c r="AC775" t="n">
        <v>6</v>
      </c>
      <c r="AD775" t="n">
        <v>31</v>
      </c>
      <c r="AE775" t="n">
        <v>34</v>
      </c>
      <c r="AF775" t="n">
        <v>14</v>
      </c>
      <c r="AG775" t="n">
        <v>15</v>
      </c>
      <c r="AH775" t="n">
        <v>5</v>
      </c>
      <c r="AI775" t="n">
        <v>6</v>
      </c>
      <c r="AJ775" t="n">
        <v>17</v>
      </c>
      <c r="AK775" t="n">
        <v>18</v>
      </c>
      <c r="AL775" t="n">
        <v>4</v>
      </c>
      <c r="AM775" t="n">
        <v>4</v>
      </c>
      <c r="AN775" t="n">
        <v>1</v>
      </c>
      <c r="AO775" t="n">
        <v>1</v>
      </c>
      <c r="AP775" t="inlineStr">
        <is>
          <t>No</t>
        </is>
      </c>
      <c r="AQ775" t="inlineStr">
        <is>
          <t>No</t>
        </is>
      </c>
      <c r="AS775">
        <f>HYPERLINK("https://creighton-primo.hosted.exlibrisgroup.com/primo-explore/search?tab=default_tab&amp;search_scope=EVERYTHING&amp;vid=01CRU&amp;lang=en_US&amp;offset=0&amp;query=any,contains,991001354099702656","Catalog Record")</f>
        <v/>
      </c>
      <c r="AT775">
        <f>HYPERLINK("http://www.worldcat.org/oclc/18463493","WorldCat Record")</f>
        <v/>
      </c>
      <c r="AU775" t="inlineStr">
        <is>
          <t>6417921:eng</t>
        </is>
      </c>
      <c r="AV775" t="inlineStr">
        <is>
          <t>18463493</t>
        </is>
      </c>
      <c r="AW775" t="inlineStr">
        <is>
          <t>991001354099702656</t>
        </is>
      </c>
      <c r="AX775" t="inlineStr">
        <is>
          <t>991001354099702656</t>
        </is>
      </c>
      <c r="AY775" t="inlineStr">
        <is>
          <t>2257336870002656</t>
        </is>
      </c>
      <c r="AZ775" t="inlineStr">
        <is>
          <t>BOOK</t>
        </is>
      </c>
      <c r="BB775" t="inlineStr">
        <is>
          <t>9780394356105</t>
        </is>
      </c>
      <c r="BC775" t="inlineStr">
        <is>
          <t>32285000018811</t>
        </is>
      </c>
      <c r="BD775" t="inlineStr">
        <is>
          <t>893503347</t>
        </is>
      </c>
    </row>
    <row r="776">
      <c r="A776" t="inlineStr">
        <is>
          <t>No</t>
        </is>
      </c>
      <c r="B776" t="inlineStr">
        <is>
          <t>HQ1236.5.U6 K34 1996</t>
        </is>
      </c>
      <c r="C776" t="inlineStr">
        <is>
          <t>0                      HQ 1236500U  6                  K  34          1996</t>
        </is>
      </c>
      <c r="D776" t="inlineStr">
        <is>
          <t>The political consequences of being a woman : how stereotypes influence the conduct and consequences of political campaigns / Kim Fridkin Kahn.</t>
        </is>
      </c>
      <c r="F776" t="inlineStr">
        <is>
          <t>No</t>
        </is>
      </c>
      <c r="G776" t="inlineStr">
        <is>
          <t>1</t>
        </is>
      </c>
      <c r="H776" t="inlineStr">
        <is>
          <t>No</t>
        </is>
      </c>
      <c r="I776" t="inlineStr">
        <is>
          <t>No</t>
        </is>
      </c>
      <c r="J776" t="inlineStr">
        <is>
          <t>0</t>
        </is>
      </c>
      <c r="K776" t="inlineStr">
        <is>
          <t>Fridkin, Kim, 1962-</t>
        </is>
      </c>
      <c r="L776" t="inlineStr">
        <is>
          <t>New York : Columbia University Press, c1996.</t>
        </is>
      </c>
      <c r="M776" t="inlineStr">
        <is>
          <t>1996</t>
        </is>
      </c>
      <c r="O776" t="inlineStr">
        <is>
          <t>eng</t>
        </is>
      </c>
      <c r="P776" t="inlineStr">
        <is>
          <t>nyu</t>
        </is>
      </c>
      <c r="Q776" t="inlineStr">
        <is>
          <t>Power, conflict, and democracy</t>
        </is>
      </c>
      <c r="R776" t="inlineStr">
        <is>
          <t xml:space="preserve">HQ </t>
        </is>
      </c>
      <c r="S776" t="n">
        <v>10</v>
      </c>
      <c r="T776" t="n">
        <v>10</v>
      </c>
      <c r="U776" t="inlineStr">
        <is>
          <t>2005-11-03</t>
        </is>
      </c>
      <c r="V776" t="inlineStr">
        <is>
          <t>2005-11-03</t>
        </is>
      </c>
      <c r="W776" t="inlineStr">
        <is>
          <t>1997-11-14</t>
        </is>
      </c>
      <c r="X776" t="inlineStr">
        <is>
          <t>1997-11-14</t>
        </is>
      </c>
      <c r="Y776" t="n">
        <v>503</v>
      </c>
      <c r="Z776" t="n">
        <v>429</v>
      </c>
      <c r="AA776" t="n">
        <v>434</v>
      </c>
      <c r="AB776" t="n">
        <v>3</v>
      </c>
      <c r="AC776" t="n">
        <v>3</v>
      </c>
      <c r="AD776" t="n">
        <v>26</v>
      </c>
      <c r="AE776" t="n">
        <v>26</v>
      </c>
      <c r="AF776" t="n">
        <v>11</v>
      </c>
      <c r="AG776" t="n">
        <v>11</v>
      </c>
      <c r="AH776" t="n">
        <v>8</v>
      </c>
      <c r="AI776" t="n">
        <v>8</v>
      </c>
      <c r="AJ776" t="n">
        <v>14</v>
      </c>
      <c r="AK776" t="n">
        <v>14</v>
      </c>
      <c r="AL776" t="n">
        <v>2</v>
      </c>
      <c r="AM776" t="n">
        <v>2</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HYPERLINK("https://creighton-primo.hosted.exlibrisgroup.com/primo-explore/search?tab=default_tab&amp;search_scope=EVERYTHING&amp;vid=01CRU&amp;lang=en_US&amp;offset=0&amp;query=any,contains,991005423409702656","Catalog Record")</f>
        <v/>
      </c>
      <c r="AT776">
        <f>HYPERLINK("http://www.worldcat.org/oclc/34357794","WorldCat Record")</f>
        <v/>
      </c>
      <c r="AU776" t="inlineStr">
        <is>
          <t>836920347:eng</t>
        </is>
      </c>
      <c r="AV776" t="inlineStr">
        <is>
          <t>34357794</t>
        </is>
      </c>
      <c r="AW776" t="inlineStr">
        <is>
          <t>991005423409702656</t>
        </is>
      </c>
      <c r="AX776" t="inlineStr">
        <is>
          <t>991005423409702656</t>
        </is>
      </c>
      <c r="AY776" t="inlineStr">
        <is>
          <t>2266447950002656</t>
        </is>
      </c>
      <c r="AZ776" t="inlineStr">
        <is>
          <t>BOOK</t>
        </is>
      </c>
      <c r="BB776" t="inlineStr">
        <is>
          <t>9780231103022</t>
        </is>
      </c>
      <c r="BC776" t="inlineStr">
        <is>
          <t>32285003279709</t>
        </is>
      </c>
      <c r="BD776" t="inlineStr">
        <is>
          <t>893802289</t>
        </is>
      </c>
    </row>
    <row r="777">
      <c r="A777" t="inlineStr">
        <is>
          <t>No</t>
        </is>
      </c>
      <c r="B777" t="inlineStr">
        <is>
          <t>HQ1236.5.U6 K47 1998</t>
        </is>
      </c>
      <c r="C777" t="inlineStr">
        <is>
          <t>0                      HQ 1236500U  6                  K  47          1998</t>
        </is>
      </c>
      <c r="D777" t="inlineStr">
        <is>
          <t>No constitutional right to be ladies : women and the obligations of citizenship / Linda K. Kerber.</t>
        </is>
      </c>
      <c r="F777" t="inlineStr">
        <is>
          <t>No</t>
        </is>
      </c>
      <c r="G777" t="inlineStr">
        <is>
          <t>1</t>
        </is>
      </c>
      <c r="H777" t="inlineStr">
        <is>
          <t>Yes</t>
        </is>
      </c>
      <c r="I777" t="inlineStr">
        <is>
          <t>No</t>
        </is>
      </c>
      <c r="J777" t="inlineStr">
        <is>
          <t>0</t>
        </is>
      </c>
      <c r="K777" t="inlineStr">
        <is>
          <t>Kerber, Linda K.</t>
        </is>
      </c>
      <c r="L777" t="inlineStr">
        <is>
          <t>New York : Hill and Wang, 1998.</t>
        </is>
      </c>
      <c r="M777" t="inlineStr">
        <is>
          <t>1998</t>
        </is>
      </c>
      <c r="N777" t="inlineStr">
        <is>
          <t>1st ed.</t>
        </is>
      </c>
      <c r="O777" t="inlineStr">
        <is>
          <t>eng</t>
        </is>
      </c>
      <c r="P777" t="inlineStr">
        <is>
          <t>nyu</t>
        </is>
      </c>
      <c r="R777" t="inlineStr">
        <is>
          <t xml:space="preserve">HQ </t>
        </is>
      </c>
      <c r="S777" t="n">
        <v>9</v>
      </c>
      <c r="T777" t="n">
        <v>10</v>
      </c>
      <c r="U777" t="inlineStr">
        <is>
          <t>2010-04-08</t>
        </is>
      </c>
      <c r="V777" t="inlineStr">
        <is>
          <t>2010-04-08</t>
        </is>
      </c>
      <c r="W777" t="inlineStr">
        <is>
          <t>1998-10-07</t>
        </is>
      </c>
      <c r="X777" t="inlineStr">
        <is>
          <t>2002-08-15</t>
        </is>
      </c>
      <c r="Y777" t="n">
        <v>1167</v>
      </c>
      <c r="Z777" t="n">
        <v>1086</v>
      </c>
      <c r="AA777" t="n">
        <v>1210</v>
      </c>
      <c r="AB777" t="n">
        <v>9</v>
      </c>
      <c r="AC777" t="n">
        <v>13</v>
      </c>
      <c r="AD777" t="n">
        <v>61</v>
      </c>
      <c r="AE777" t="n">
        <v>67</v>
      </c>
      <c r="AF777" t="n">
        <v>17</v>
      </c>
      <c r="AG777" t="n">
        <v>19</v>
      </c>
      <c r="AH777" t="n">
        <v>9</v>
      </c>
      <c r="AI777" t="n">
        <v>9</v>
      </c>
      <c r="AJ777" t="n">
        <v>18</v>
      </c>
      <c r="AK777" t="n">
        <v>20</v>
      </c>
      <c r="AL777" t="n">
        <v>7</v>
      </c>
      <c r="AM777" t="n">
        <v>10</v>
      </c>
      <c r="AN777" t="n">
        <v>18</v>
      </c>
      <c r="AO777" t="n">
        <v>18</v>
      </c>
      <c r="AP777" t="inlineStr">
        <is>
          <t>No</t>
        </is>
      </c>
      <c r="AQ777" t="inlineStr">
        <is>
          <t>No</t>
        </is>
      </c>
      <c r="AS777">
        <f>HYPERLINK("https://creighton-primo.hosted.exlibrisgroup.com/primo-explore/search?tab=default_tab&amp;search_scope=EVERYTHING&amp;vid=01CRU&amp;lang=en_US&amp;offset=0&amp;query=any,contains,991001693359702656","Catalog Record")</f>
        <v/>
      </c>
      <c r="AT777">
        <f>HYPERLINK("http://www.worldcat.org/oclc/39013749","WorldCat Record")</f>
        <v/>
      </c>
      <c r="AU777" t="inlineStr">
        <is>
          <t>41728105:eng</t>
        </is>
      </c>
      <c r="AV777" t="inlineStr">
        <is>
          <t>39013749</t>
        </is>
      </c>
      <c r="AW777" t="inlineStr">
        <is>
          <t>991001693359702656</t>
        </is>
      </c>
      <c r="AX777" t="inlineStr">
        <is>
          <t>991001693359702656</t>
        </is>
      </c>
      <c r="AY777" t="inlineStr">
        <is>
          <t>2260888170002656</t>
        </is>
      </c>
      <c r="AZ777" t="inlineStr">
        <is>
          <t>BOOK</t>
        </is>
      </c>
      <c r="BB777" t="inlineStr">
        <is>
          <t>9780809073832</t>
        </is>
      </c>
      <c r="BC777" t="inlineStr">
        <is>
          <t>32285003473427</t>
        </is>
      </c>
      <c r="BD777" t="inlineStr">
        <is>
          <t>893803811</t>
        </is>
      </c>
    </row>
    <row r="778">
      <c r="A778" t="inlineStr">
        <is>
          <t>No</t>
        </is>
      </c>
      <c r="B778" t="inlineStr">
        <is>
          <t>HQ1236.5.U6 M394 2002</t>
        </is>
      </c>
      <c r="C778" t="inlineStr">
        <is>
          <t>0                      HQ 1236500U  6                  M  394         2002</t>
        </is>
      </c>
      <c r="D778" t="inlineStr">
        <is>
          <t>Women, politics, and American society / Nancy E. McGlen ... [et al.].</t>
        </is>
      </c>
      <c r="F778" t="inlineStr">
        <is>
          <t>No</t>
        </is>
      </c>
      <c r="G778" t="inlineStr">
        <is>
          <t>1</t>
        </is>
      </c>
      <c r="H778" t="inlineStr">
        <is>
          <t>No</t>
        </is>
      </c>
      <c r="I778" t="inlineStr">
        <is>
          <t>No</t>
        </is>
      </c>
      <c r="J778" t="inlineStr">
        <is>
          <t>0</t>
        </is>
      </c>
      <c r="L778" t="inlineStr">
        <is>
          <t>New York : Longman, c2002.</t>
        </is>
      </c>
      <c r="M778" t="inlineStr">
        <is>
          <t>2002</t>
        </is>
      </c>
      <c r="N778" t="inlineStr">
        <is>
          <t>3rd ed.</t>
        </is>
      </c>
      <c r="O778" t="inlineStr">
        <is>
          <t>eng</t>
        </is>
      </c>
      <c r="P778" t="inlineStr">
        <is>
          <t>nyu</t>
        </is>
      </c>
      <c r="R778" t="inlineStr">
        <is>
          <t xml:space="preserve">HQ </t>
        </is>
      </c>
      <c r="S778" t="n">
        <v>12</v>
      </c>
      <c r="T778" t="n">
        <v>12</v>
      </c>
      <c r="U778" t="inlineStr">
        <is>
          <t>2008-03-05</t>
        </is>
      </c>
      <c r="V778" t="inlineStr">
        <is>
          <t>2008-03-05</t>
        </is>
      </c>
      <c r="W778" t="inlineStr">
        <is>
          <t>2002-09-18</t>
        </is>
      </c>
      <c r="X778" t="inlineStr">
        <is>
          <t>2002-09-18</t>
        </is>
      </c>
      <c r="Y778" t="n">
        <v>149</v>
      </c>
      <c r="Z778" t="n">
        <v>135</v>
      </c>
      <c r="AA778" t="n">
        <v>377</v>
      </c>
      <c r="AB778" t="n">
        <v>1</v>
      </c>
      <c r="AC778" t="n">
        <v>2</v>
      </c>
      <c r="AD778" t="n">
        <v>7</v>
      </c>
      <c r="AE778" t="n">
        <v>15</v>
      </c>
      <c r="AF778" t="n">
        <v>3</v>
      </c>
      <c r="AG778" t="n">
        <v>7</v>
      </c>
      <c r="AH778" t="n">
        <v>3</v>
      </c>
      <c r="AI778" t="n">
        <v>4</v>
      </c>
      <c r="AJ778" t="n">
        <v>4</v>
      </c>
      <c r="AK778" t="n">
        <v>10</v>
      </c>
      <c r="AL778" t="n">
        <v>0</v>
      </c>
      <c r="AM778" t="n">
        <v>1</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HYPERLINK("https://creighton-primo.hosted.exlibrisgroup.com/primo-explore/search?tab=default_tab&amp;search_scope=EVERYTHING&amp;vid=01CRU&amp;lang=en_US&amp;offset=0&amp;query=any,contains,991003863789702656","Catalog Record")</f>
        <v/>
      </c>
      <c r="AT778">
        <f>HYPERLINK("http://www.worldcat.org/oclc/48223029","WorldCat Record")</f>
        <v/>
      </c>
      <c r="AU778" t="inlineStr">
        <is>
          <t>20633867:eng</t>
        </is>
      </c>
      <c r="AV778" t="inlineStr">
        <is>
          <t>48223029</t>
        </is>
      </c>
      <c r="AW778" t="inlineStr">
        <is>
          <t>991003863789702656</t>
        </is>
      </c>
      <c r="AX778" t="inlineStr">
        <is>
          <t>991003863789702656</t>
        </is>
      </c>
      <c r="AY778" t="inlineStr">
        <is>
          <t>2255532190002656</t>
        </is>
      </c>
      <c r="AZ778" t="inlineStr">
        <is>
          <t>BOOK</t>
        </is>
      </c>
      <c r="BB778" t="inlineStr">
        <is>
          <t>9780321100436</t>
        </is>
      </c>
      <c r="BC778" t="inlineStr">
        <is>
          <t>32285004647839</t>
        </is>
      </c>
      <c r="BD778" t="inlineStr">
        <is>
          <t>893900469</t>
        </is>
      </c>
    </row>
    <row r="779">
      <c r="A779" t="inlineStr">
        <is>
          <t>No</t>
        </is>
      </c>
      <c r="B779" t="inlineStr">
        <is>
          <t>HQ1236.5.U6 P65 1984</t>
        </is>
      </c>
      <c r="C779" t="inlineStr">
        <is>
          <t>0                      HQ 1236500U  6                  P  65          1984</t>
        </is>
      </c>
      <c r="D779" t="inlineStr">
        <is>
          <t>Political women : current roles in state and local government / edited by Janet A. Flammang.</t>
        </is>
      </c>
      <c r="F779" t="inlineStr">
        <is>
          <t>No</t>
        </is>
      </c>
      <c r="G779" t="inlineStr">
        <is>
          <t>1</t>
        </is>
      </c>
      <c r="H779" t="inlineStr">
        <is>
          <t>No</t>
        </is>
      </c>
      <c r="I779" t="inlineStr">
        <is>
          <t>No</t>
        </is>
      </c>
      <c r="J779" t="inlineStr">
        <is>
          <t>0</t>
        </is>
      </c>
      <c r="L779" t="inlineStr">
        <is>
          <t>Beverly Hills : Sage Publications, c1984.</t>
        </is>
      </c>
      <c r="M779" t="inlineStr">
        <is>
          <t>1984</t>
        </is>
      </c>
      <c r="O779" t="inlineStr">
        <is>
          <t>eng</t>
        </is>
      </c>
      <c r="P779" t="inlineStr">
        <is>
          <t>cau</t>
        </is>
      </c>
      <c r="Q779" t="inlineStr">
        <is>
          <t>Sage yearbooks in women's policy studies ; v. 8</t>
        </is>
      </c>
      <c r="R779" t="inlineStr">
        <is>
          <t xml:space="preserve">HQ </t>
        </is>
      </c>
      <c r="S779" t="n">
        <v>9</v>
      </c>
      <c r="T779" t="n">
        <v>9</v>
      </c>
      <c r="U779" t="inlineStr">
        <is>
          <t>2006-10-24</t>
        </is>
      </c>
      <c r="V779" t="inlineStr">
        <is>
          <t>2006-10-24</t>
        </is>
      </c>
      <c r="W779" t="inlineStr">
        <is>
          <t>1990-07-05</t>
        </is>
      </c>
      <c r="X779" t="inlineStr">
        <is>
          <t>1990-07-05</t>
        </is>
      </c>
      <c r="Y779" t="n">
        <v>430</v>
      </c>
      <c r="Z779" t="n">
        <v>350</v>
      </c>
      <c r="AA779" t="n">
        <v>357</v>
      </c>
      <c r="AB779" t="n">
        <v>3</v>
      </c>
      <c r="AC779" t="n">
        <v>3</v>
      </c>
      <c r="AD779" t="n">
        <v>13</v>
      </c>
      <c r="AE779" t="n">
        <v>13</v>
      </c>
      <c r="AF779" t="n">
        <v>4</v>
      </c>
      <c r="AG779" t="n">
        <v>4</v>
      </c>
      <c r="AH779" t="n">
        <v>4</v>
      </c>
      <c r="AI779" t="n">
        <v>4</v>
      </c>
      <c r="AJ779" t="n">
        <v>6</v>
      </c>
      <c r="AK779" t="n">
        <v>6</v>
      </c>
      <c r="AL779" t="n">
        <v>2</v>
      </c>
      <c r="AM779" t="n">
        <v>2</v>
      </c>
      <c r="AN779" t="n">
        <v>0</v>
      </c>
      <c r="AO779" t="n">
        <v>0</v>
      </c>
      <c r="AP779" t="inlineStr">
        <is>
          <t>No</t>
        </is>
      </c>
      <c r="AQ779" t="inlineStr">
        <is>
          <t>Yes</t>
        </is>
      </c>
      <c r="AR779">
        <f>HYPERLINK("http://catalog.hathitrust.org/Record/000558583","HathiTrust Record")</f>
        <v/>
      </c>
      <c r="AS779">
        <f>HYPERLINK("https://creighton-primo.hosted.exlibrisgroup.com/primo-explore/search?tab=default_tab&amp;search_scope=EVERYTHING&amp;vid=01CRU&amp;lang=en_US&amp;offset=0&amp;query=any,contains,991000408339702656","Catalog Record")</f>
        <v/>
      </c>
      <c r="AT779">
        <f>HYPERLINK("http://www.worldcat.org/oclc/10696434","WorldCat Record")</f>
        <v/>
      </c>
      <c r="AU779" t="inlineStr">
        <is>
          <t>836662288:eng</t>
        </is>
      </c>
      <c r="AV779" t="inlineStr">
        <is>
          <t>10696434</t>
        </is>
      </c>
      <c r="AW779" t="inlineStr">
        <is>
          <t>991000408339702656</t>
        </is>
      </c>
      <c r="AX779" t="inlineStr">
        <is>
          <t>991000408339702656</t>
        </is>
      </c>
      <c r="AY779" t="inlineStr">
        <is>
          <t>2269146870002656</t>
        </is>
      </c>
      <c r="AZ779" t="inlineStr">
        <is>
          <t>BOOK</t>
        </is>
      </c>
      <c r="BB779" t="inlineStr">
        <is>
          <t>9780803921405</t>
        </is>
      </c>
      <c r="BC779" t="inlineStr">
        <is>
          <t>32285000221324</t>
        </is>
      </c>
      <c r="BD779" t="inlineStr">
        <is>
          <t>893345625</t>
        </is>
      </c>
    </row>
    <row r="780">
      <c r="A780" t="inlineStr">
        <is>
          <t>No</t>
        </is>
      </c>
      <c r="B780" t="inlineStr">
        <is>
          <t>HQ1236.5.U6 P66 1988</t>
        </is>
      </c>
      <c r="C780" t="inlineStr">
        <is>
          <t>0                      HQ 1236500U  6                  P  66          1988</t>
        </is>
      </c>
      <c r="D780" t="inlineStr">
        <is>
          <t>The Politics of the gender gap : the social construction of political influence / edited by Carol M. Mueller.</t>
        </is>
      </c>
      <c r="F780" t="inlineStr">
        <is>
          <t>No</t>
        </is>
      </c>
      <c r="G780" t="inlineStr">
        <is>
          <t>1</t>
        </is>
      </c>
      <c r="H780" t="inlineStr">
        <is>
          <t>No</t>
        </is>
      </c>
      <c r="I780" t="inlineStr">
        <is>
          <t>No</t>
        </is>
      </c>
      <c r="J780" t="inlineStr">
        <is>
          <t>0</t>
        </is>
      </c>
      <c r="L780" t="inlineStr">
        <is>
          <t>Beverly Hills, Calif. : SAGE Publications, c1988.</t>
        </is>
      </c>
      <c r="M780" t="inlineStr">
        <is>
          <t>1987</t>
        </is>
      </c>
      <c r="O780" t="inlineStr">
        <is>
          <t>eng</t>
        </is>
      </c>
      <c r="P780" t="inlineStr">
        <is>
          <t>cau</t>
        </is>
      </c>
      <c r="Q780" t="inlineStr">
        <is>
          <t>Sage yearbooks in women's policy studies ; v. 12</t>
        </is>
      </c>
      <c r="R780" t="inlineStr">
        <is>
          <t xml:space="preserve">HQ </t>
        </is>
      </c>
      <c r="S780" t="n">
        <v>16</v>
      </c>
      <c r="T780" t="n">
        <v>16</v>
      </c>
      <c r="U780" t="inlineStr">
        <is>
          <t>2010-11-30</t>
        </is>
      </c>
      <c r="V780" t="inlineStr">
        <is>
          <t>2010-11-30</t>
        </is>
      </c>
      <c r="W780" t="inlineStr">
        <is>
          <t>1990-07-05</t>
        </is>
      </c>
      <c r="X780" t="inlineStr">
        <is>
          <t>1990-07-05</t>
        </is>
      </c>
      <c r="Y780" t="n">
        <v>590</v>
      </c>
      <c r="Z780" t="n">
        <v>464</v>
      </c>
      <c r="AA780" t="n">
        <v>471</v>
      </c>
      <c r="AB780" t="n">
        <v>5</v>
      </c>
      <c r="AC780" t="n">
        <v>5</v>
      </c>
      <c r="AD780" t="n">
        <v>24</v>
      </c>
      <c r="AE780" t="n">
        <v>24</v>
      </c>
      <c r="AF780" t="n">
        <v>5</v>
      </c>
      <c r="AG780" t="n">
        <v>5</v>
      </c>
      <c r="AH780" t="n">
        <v>8</v>
      </c>
      <c r="AI780" t="n">
        <v>8</v>
      </c>
      <c r="AJ780" t="n">
        <v>13</v>
      </c>
      <c r="AK780" t="n">
        <v>13</v>
      </c>
      <c r="AL780" t="n">
        <v>4</v>
      </c>
      <c r="AM780" t="n">
        <v>4</v>
      </c>
      <c r="AN780" t="n">
        <v>1</v>
      </c>
      <c r="AO780" t="n">
        <v>1</v>
      </c>
      <c r="AP780" t="inlineStr">
        <is>
          <t>No</t>
        </is>
      </c>
      <c r="AQ780" t="inlineStr">
        <is>
          <t>Yes</t>
        </is>
      </c>
      <c r="AR780">
        <f>HYPERLINK("http://catalog.hathitrust.org/Record/000905444","HathiTrust Record")</f>
        <v/>
      </c>
      <c r="AS780">
        <f>HYPERLINK("https://creighton-primo.hosted.exlibrisgroup.com/primo-explore/search?tab=default_tab&amp;search_scope=EVERYTHING&amp;vid=01CRU&amp;lang=en_US&amp;offset=0&amp;query=any,contains,991001124459702656","Catalog Record")</f>
        <v/>
      </c>
      <c r="AT780">
        <f>HYPERLINK("http://www.worldcat.org/oclc/16647273","WorldCat Record")</f>
        <v/>
      </c>
      <c r="AU780" t="inlineStr">
        <is>
          <t>836715498:eng</t>
        </is>
      </c>
      <c r="AV780" t="inlineStr">
        <is>
          <t>16647273</t>
        </is>
      </c>
      <c r="AW780" t="inlineStr">
        <is>
          <t>991001124459702656</t>
        </is>
      </c>
      <c r="AX780" t="inlineStr">
        <is>
          <t>991001124459702656</t>
        </is>
      </c>
      <c r="AY780" t="inlineStr">
        <is>
          <t>2262692110002656</t>
        </is>
      </c>
      <c r="AZ780" t="inlineStr">
        <is>
          <t>BOOK</t>
        </is>
      </c>
      <c r="BB780" t="inlineStr">
        <is>
          <t>9780803927339</t>
        </is>
      </c>
      <c r="BC780" t="inlineStr">
        <is>
          <t>32285000221332</t>
        </is>
      </c>
      <c r="BD780" t="inlineStr">
        <is>
          <t>893327895</t>
        </is>
      </c>
    </row>
    <row r="781">
      <c r="A781" t="inlineStr">
        <is>
          <t>No</t>
        </is>
      </c>
      <c r="B781" t="inlineStr">
        <is>
          <t>HQ1236.5.U6 S267 2009</t>
        </is>
      </c>
      <c r="C781" t="inlineStr">
        <is>
          <t>0                      HQ 1236500U  6                  S  267         2009</t>
        </is>
      </c>
      <c r="D781" t="inlineStr">
        <is>
          <t>You've come a long way, maybe : Sarah, Michelle, Hillary, and the shaping of the new American woman / Leslie Sanchez.</t>
        </is>
      </c>
      <c r="F781" t="inlineStr">
        <is>
          <t>No</t>
        </is>
      </c>
      <c r="G781" t="inlineStr">
        <is>
          <t>1</t>
        </is>
      </c>
      <c r="H781" t="inlineStr">
        <is>
          <t>No</t>
        </is>
      </c>
      <c r="I781" t="inlineStr">
        <is>
          <t>No</t>
        </is>
      </c>
      <c r="J781" t="inlineStr">
        <is>
          <t>0</t>
        </is>
      </c>
      <c r="K781" t="inlineStr">
        <is>
          <t>Sanchez, Leslie.</t>
        </is>
      </c>
      <c r="L781" t="inlineStr">
        <is>
          <t>New York : Palgrave Macmillan, 2009.</t>
        </is>
      </c>
      <c r="M781" t="inlineStr">
        <is>
          <t>2009</t>
        </is>
      </c>
      <c r="N781" t="inlineStr">
        <is>
          <t>1st ed.</t>
        </is>
      </c>
      <c r="O781" t="inlineStr">
        <is>
          <t>eng</t>
        </is>
      </c>
      <c r="P781" t="inlineStr">
        <is>
          <t>nyu</t>
        </is>
      </c>
      <c r="R781" t="inlineStr">
        <is>
          <t xml:space="preserve">HQ </t>
        </is>
      </c>
      <c r="S781" t="n">
        <v>1</v>
      </c>
      <c r="T781" t="n">
        <v>1</v>
      </c>
      <c r="U781" t="inlineStr">
        <is>
          <t>2010-03-01</t>
        </is>
      </c>
      <c r="V781" t="inlineStr">
        <is>
          <t>2010-03-01</t>
        </is>
      </c>
      <c r="W781" t="inlineStr">
        <is>
          <t>2010-03-01</t>
        </is>
      </c>
      <c r="X781" t="inlineStr">
        <is>
          <t>2010-03-01</t>
        </is>
      </c>
      <c r="Y781" t="n">
        <v>263</v>
      </c>
      <c r="Z781" t="n">
        <v>227</v>
      </c>
      <c r="AA781" t="n">
        <v>251</v>
      </c>
      <c r="AB781" t="n">
        <v>3</v>
      </c>
      <c r="AC781" t="n">
        <v>3</v>
      </c>
      <c r="AD781" t="n">
        <v>5</v>
      </c>
      <c r="AE781" t="n">
        <v>5</v>
      </c>
      <c r="AF781" t="n">
        <v>0</v>
      </c>
      <c r="AG781" t="n">
        <v>0</v>
      </c>
      <c r="AH781" t="n">
        <v>2</v>
      </c>
      <c r="AI781" t="n">
        <v>2</v>
      </c>
      <c r="AJ781" t="n">
        <v>3</v>
      </c>
      <c r="AK781" t="n">
        <v>3</v>
      </c>
      <c r="AL781" t="n">
        <v>2</v>
      </c>
      <c r="AM781" t="n">
        <v>2</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HYPERLINK("https://creighton-primo.hosted.exlibrisgroup.com/primo-explore/search?tab=default_tab&amp;search_scope=EVERYTHING&amp;vid=01CRU&amp;lang=en_US&amp;offset=0&amp;query=any,contains,991005362839702656","Catalog Record")</f>
        <v/>
      </c>
      <c r="AT781">
        <f>HYPERLINK("http://www.worldcat.org/oclc/435711340","WorldCat Record")</f>
        <v/>
      </c>
      <c r="AU781" t="inlineStr">
        <is>
          <t>793233172:eng</t>
        </is>
      </c>
      <c r="AV781" t="inlineStr">
        <is>
          <t>435711340</t>
        </is>
      </c>
      <c r="AW781" t="inlineStr">
        <is>
          <t>991005362839702656</t>
        </is>
      </c>
      <c r="AX781" t="inlineStr">
        <is>
          <t>991005362839702656</t>
        </is>
      </c>
      <c r="AY781" t="inlineStr">
        <is>
          <t>2264359020002656</t>
        </is>
      </c>
      <c r="AZ781" t="inlineStr">
        <is>
          <t>BOOK</t>
        </is>
      </c>
      <c r="BB781" t="inlineStr">
        <is>
          <t>9780230618169</t>
        </is>
      </c>
      <c r="BC781" t="inlineStr">
        <is>
          <t>32285005575609</t>
        </is>
      </c>
      <c r="BD781" t="inlineStr">
        <is>
          <t>893601060</t>
        </is>
      </c>
    </row>
    <row r="782">
      <c r="A782" t="inlineStr">
        <is>
          <t>No</t>
        </is>
      </c>
      <c r="B782" t="inlineStr">
        <is>
          <t>HQ1236.5.U6 S35 2008</t>
        </is>
      </c>
      <c r="C782" t="inlineStr">
        <is>
          <t>0                      HQ 1236500U  6                  S  35          2008</t>
        </is>
      </c>
      <c r="D782" t="inlineStr">
        <is>
          <t>Righting feminism : conservative women and American politics / Ronnee Schreiber.</t>
        </is>
      </c>
      <c r="F782" t="inlineStr">
        <is>
          <t>No</t>
        </is>
      </c>
      <c r="G782" t="inlineStr">
        <is>
          <t>1</t>
        </is>
      </c>
      <c r="H782" t="inlineStr">
        <is>
          <t>No</t>
        </is>
      </c>
      <c r="I782" t="inlineStr">
        <is>
          <t>No</t>
        </is>
      </c>
      <c r="J782" t="inlineStr">
        <is>
          <t>0</t>
        </is>
      </c>
      <c r="K782" t="inlineStr">
        <is>
          <t>Schreiber, Ronnee.</t>
        </is>
      </c>
      <c r="L782" t="inlineStr">
        <is>
          <t>Oxford ; New York : Oxford University Press, 2008.</t>
        </is>
      </c>
      <c r="M782" t="inlineStr">
        <is>
          <t>2008</t>
        </is>
      </c>
      <c r="O782" t="inlineStr">
        <is>
          <t>eng</t>
        </is>
      </c>
      <c r="P782" t="inlineStr">
        <is>
          <t>enk</t>
        </is>
      </c>
      <c r="R782" t="inlineStr">
        <is>
          <t xml:space="preserve">HQ </t>
        </is>
      </c>
      <c r="S782" t="n">
        <v>3</v>
      </c>
      <c r="T782" t="n">
        <v>3</v>
      </c>
      <c r="U782" t="inlineStr">
        <is>
          <t>2010-09-08</t>
        </is>
      </c>
      <c r="V782" t="inlineStr">
        <is>
          <t>2010-09-08</t>
        </is>
      </c>
      <c r="W782" t="inlineStr">
        <is>
          <t>2009-02-11</t>
        </is>
      </c>
      <c r="X782" t="inlineStr">
        <is>
          <t>2009-02-11</t>
        </is>
      </c>
      <c r="Y782" t="n">
        <v>516</v>
      </c>
      <c r="Z782" t="n">
        <v>462</v>
      </c>
      <c r="AA782" t="n">
        <v>812</v>
      </c>
      <c r="AB782" t="n">
        <v>4</v>
      </c>
      <c r="AC782" t="n">
        <v>6</v>
      </c>
      <c r="AD782" t="n">
        <v>28</v>
      </c>
      <c r="AE782" t="n">
        <v>39</v>
      </c>
      <c r="AF782" t="n">
        <v>13</v>
      </c>
      <c r="AG782" t="n">
        <v>16</v>
      </c>
      <c r="AH782" t="n">
        <v>6</v>
      </c>
      <c r="AI782" t="n">
        <v>9</v>
      </c>
      <c r="AJ782" t="n">
        <v>14</v>
      </c>
      <c r="AK782" t="n">
        <v>17</v>
      </c>
      <c r="AL782" t="n">
        <v>3</v>
      </c>
      <c r="AM782" t="n">
        <v>5</v>
      </c>
      <c r="AN782" t="n">
        <v>0</v>
      </c>
      <c r="AO782" t="n">
        <v>1</v>
      </c>
      <c r="AP782" t="inlineStr">
        <is>
          <t>No</t>
        </is>
      </c>
      <c r="AQ782" t="inlineStr">
        <is>
          <t>No</t>
        </is>
      </c>
      <c r="AS782">
        <f>HYPERLINK("https://creighton-primo.hosted.exlibrisgroup.com/primo-explore/search?tab=default_tab&amp;search_scope=EVERYTHING&amp;vid=01CRU&amp;lang=en_US&amp;offset=0&amp;query=any,contains,991005294559702656","Catalog Record")</f>
        <v/>
      </c>
      <c r="AT782">
        <f>HYPERLINK("http://www.worldcat.org/oclc/179802735","WorldCat Record")</f>
        <v/>
      </c>
      <c r="AU782" t="inlineStr">
        <is>
          <t>802653258:eng</t>
        </is>
      </c>
      <c r="AV782" t="inlineStr">
        <is>
          <t>179802735</t>
        </is>
      </c>
      <c r="AW782" t="inlineStr">
        <is>
          <t>991005294559702656</t>
        </is>
      </c>
      <c r="AX782" t="inlineStr">
        <is>
          <t>991005294559702656</t>
        </is>
      </c>
      <c r="AY782" t="inlineStr">
        <is>
          <t>2270664920002656</t>
        </is>
      </c>
      <c r="AZ782" t="inlineStr">
        <is>
          <t>BOOK</t>
        </is>
      </c>
      <c r="BB782" t="inlineStr">
        <is>
          <t>9780195331813</t>
        </is>
      </c>
      <c r="BC782" t="inlineStr">
        <is>
          <t>32285005503684</t>
        </is>
      </c>
      <c r="BD782" t="inlineStr">
        <is>
          <t>893437483</t>
        </is>
      </c>
    </row>
    <row r="783">
      <c r="A783" t="inlineStr">
        <is>
          <t>No</t>
        </is>
      </c>
      <c r="B783" t="inlineStr">
        <is>
          <t>HQ1236.5.U6 T73 1987</t>
        </is>
      </c>
      <c r="C783" t="inlineStr">
        <is>
          <t>0                      HQ 1236500U  6                  T  73          1987</t>
        </is>
      </c>
      <c r="D783" t="inlineStr">
        <is>
          <t>The Trapped woman : catch-22 in deviance and control / Josefina Figueira-McDonough &amp; Rosemary Sarri, editors.</t>
        </is>
      </c>
      <c r="F783" t="inlineStr">
        <is>
          <t>No</t>
        </is>
      </c>
      <c r="G783" t="inlineStr">
        <is>
          <t>1</t>
        </is>
      </c>
      <c r="H783" t="inlineStr">
        <is>
          <t>No</t>
        </is>
      </c>
      <c r="I783" t="inlineStr">
        <is>
          <t>No</t>
        </is>
      </c>
      <c r="J783" t="inlineStr">
        <is>
          <t>0</t>
        </is>
      </c>
      <c r="L783" t="inlineStr">
        <is>
          <t>Newbury Park : Sage Publications, [1987]</t>
        </is>
      </c>
      <c r="M783" t="inlineStr">
        <is>
          <t>1987</t>
        </is>
      </c>
      <c r="O783" t="inlineStr">
        <is>
          <t>eng</t>
        </is>
      </c>
      <c r="P783" t="inlineStr">
        <is>
          <t>cau</t>
        </is>
      </c>
      <c r="Q783" t="inlineStr">
        <is>
          <t>Sage sourcebooks for the human services series ; v. 4</t>
        </is>
      </c>
      <c r="R783" t="inlineStr">
        <is>
          <t xml:space="preserve">HQ </t>
        </is>
      </c>
      <c r="S783" t="n">
        <v>5</v>
      </c>
      <c r="T783" t="n">
        <v>5</v>
      </c>
      <c r="U783" t="inlineStr">
        <is>
          <t>1993-11-02</t>
        </is>
      </c>
      <c r="V783" t="inlineStr">
        <is>
          <t>1993-11-02</t>
        </is>
      </c>
      <c r="W783" t="inlineStr">
        <is>
          <t>1990-06-06</t>
        </is>
      </c>
      <c r="X783" t="inlineStr">
        <is>
          <t>1990-06-06</t>
        </is>
      </c>
      <c r="Y783" t="n">
        <v>389</v>
      </c>
      <c r="Z783" t="n">
        <v>299</v>
      </c>
      <c r="AA783" t="n">
        <v>301</v>
      </c>
      <c r="AB783" t="n">
        <v>4</v>
      </c>
      <c r="AC783" t="n">
        <v>4</v>
      </c>
      <c r="AD783" t="n">
        <v>16</v>
      </c>
      <c r="AE783" t="n">
        <v>16</v>
      </c>
      <c r="AF783" t="n">
        <v>2</v>
      </c>
      <c r="AG783" t="n">
        <v>2</v>
      </c>
      <c r="AH783" t="n">
        <v>2</v>
      </c>
      <c r="AI783" t="n">
        <v>2</v>
      </c>
      <c r="AJ783" t="n">
        <v>10</v>
      </c>
      <c r="AK783" t="n">
        <v>10</v>
      </c>
      <c r="AL783" t="n">
        <v>3</v>
      </c>
      <c r="AM783" t="n">
        <v>3</v>
      </c>
      <c r="AN783" t="n">
        <v>2</v>
      </c>
      <c r="AO783" t="n">
        <v>2</v>
      </c>
      <c r="AP783" t="inlineStr">
        <is>
          <t>No</t>
        </is>
      </c>
      <c r="AQ783" t="inlineStr">
        <is>
          <t>Yes</t>
        </is>
      </c>
      <c r="AR783">
        <f>HYPERLINK("http://catalog.hathitrust.org/Record/000859320","HathiTrust Record")</f>
        <v/>
      </c>
      <c r="AS783">
        <f>HYPERLINK("https://creighton-primo.hosted.exlibrisgroup.com/primo-explore/search?tab=default_tab&amp;search_scope=EVERYTHING&amp;vid=01CRU&amp;lang=en_US&amp;offset=0&amp;query=any,contains,991000952019702656","Catalog Record")</f>
        <v/>
      </c>
      <c r="AT783">
        <f>HYPERLINK("http://www.worldcat.org/oclc/14691688","WorldCat Record")</f>
        <v/>
      </c>
      <c r="AU783" t="inlineStr">
        <is>
          <t>836688234:eng</t>
        </is>
      </c>
      <c r="AV783" t="inlineStr">
        <is>
          <t>14691688</t>
        </is>
      </c>
      <c r="AW783" t="inlineStr">
        <is>
          <t>991000952019702656</t>
        </is>
      </c>
      <c r="AX783" t="inlineStr">
        <is>
          <t>991000952019702656</t>
        </is>
      </c>
      <c r="AY783" t="inlineStr">
        <is>
          <t>2255095340002656</t>
        </is>
      </c>
      <c r="AZ783" t="inlineStr">
        <is>
          <t>BOOK</t>
        </is>
      </c>
      <c r="BB783" t="inlineStr">
        <is>
          <t>9780803926158</t>
        </is>
      </c>
      <c r="BC783" t="inlineStr">
        <is>
          <t>32285000182153</t>
        </is>
      </c>
      <c r="BD783" t="inlineStr">
        <is>
          <t>893897365</t>
        </is>
      </c>
    </row>
    <row r="784">
      <c r="A784" t="inlineStr">
        <is>
          <t>No</t>
        </is>
      </c>
      <c r="B784" t="inlineStr">
        <is>
          <t>HQ1236.5.U6 W65 1988</t>
        </is>
      </c>
      <c r="C784" t="inlineStr">
        <is>
          <t>0                      HQ 1236500U  6                  W  65          1988</t>
        </is>
      </c>
      <c r="D784" t="inlineStr">
        <is>
          <t>Women and the politics of empowerment / edited by Ann Bookman and Sandra Morgen.</t>
        </is>
      </c>
      <c r="F784" t="inlineStr">
        <is>
          <t>No</t>
        </is>
      </c>
      <c r="G784" t="inlineStr">
        <is>
          <t>1</t>
        </is>
      </c>
      <c r="H784" t="inlineStr">
        <is>
          <t>No</t>
        </is>
      </c>
      <c r="I784" t="inlineStr">
        <is>
          <t>No</t>
        </is>
      </c>
      <c r="J784" t="inlineStr">
        <is>
          <t>0</t>
        </is>
      </c>
      <c r="L784" t="inlineStr">
        <is>
          <t>Philadelphia : Temple University Press, 1988.</t>
        </is>
      </c>
      <c r="M784" t="inlineStr">
        <is>
          <t>1988</t>
        </is>
      </c>
      <c r="O784" t="inlineStr">
        <is>
          <t>eng</t>
        </is>
      </c>
      <c r="P784" t="inlineStr">
        <is>
          <t>pau</t>
        </is>
      </c>
      <c r="Q784" t="inlineStr">
        <is>
          <t>Women in the political economy</t>
        </is>
      </c>
      <c r="R784" t="inlineStr">
        <is>
          <t xml:space="preserve">HQ </t>
        </is>
      </c>
      <c r="S784" t="n">
        <v>6</v>
      </c>
      <c r="T784" t="n">
        <v>6</v>
      </c>
      <c r="U784" t="inlineStr">
        <is>
          <t>2002-05-01</t>
        </is>
      </c>
      <c r="V784" t="inlineStr">
        <is>
          <t>2002-05-01</t>
        </is>
      </c>
      <c r="W784" t="inlineStr">
        <is>
          <t>1990-02-06</t>
        </is>
      </c>
      <c r="X784" t="inlineStr">
        <is>
          <t>1990-02-06</t>
        </is>
      </c>
      <c r="Y784" t="n">
        <v>648</v>
      </c>
      <c r="Z784" t="n">
        <v>550</v>
      </c>
      <c r="AA784" t="n">
        <v>555</v>
      </c>
      <c r="AB784" t="n">
        <v>5</v>
      </c>
      <c r="AC784" t="n">
        <v>5</v>
      </c>
      <c r="AD784" t="n">
        <v>30</v>
      </c>
      <c r="AE784" t="n">
        <v>30</v>
      </c>
      <c r="AF784" t="n">
        <v>14</v>
      </c>
      <c r="AG784" t="n">
        <v>14</v>
      </c>
      <c r="AH784" t="n">
        <v>6</v>
      </c>
      <c r="AI784" t="n">
        <v>6</v>
      </c>
      <c r="AJ784" t="n">
        <v>15</v>
      </c>
      <c r="AK784" t="n">
        <v>15</v>
      </c>
      <c r="AL784" t="n">
        <v>4</v>
      </c>
      <c r="AM784" t="n">
        <v>4</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HYPERLINK("https://creighton-primo.hosted.exlibrisgroup.com/primo-explore/search?tab=default_tab&amp;search_scope=EVERYTHING&amp;vid=01CRU&amp;lang=en_US&amp;offset=0&amp;query=any,contains,991001023759702656","Catalog Record")</f>
        <v/>
      </c>
      <c r="AT784">
        <f>HYPERLINK("http://www.worldcat.org/oclc/15427225","WorldCat Record")</f>
        <v/>
      </c>
      <c r="AU784" t="inlineStr">
        <is>
          <t>351609386:eng</t>
        </is>
      </c>
      <c r="AV784" t="inlineStr">
        <is>
          <t>15427225</t>
        </is>
      </c>
      <c r="AW784" t="inlineStr">
        <is>
          <t>991001023759702656</t>
        </is>
      </c>
      <c r="AX784" t="inlineStr">
        <is>
          <t>991001023759702656</t>
        </is>
      </c>
      <c r="AY784" t="inlineStr">
        <is>
          <t>2262498990002656</t>
        </is>
      </c>
      <c r="AZ784" t="inlineStr">
        <is>
          <t>BOOK</t>
        </is>
      </c>
      <c r="BB784" t="inlineStr">
        <is>
          <t>9780877225041</t>
        </is>
      </c>
      <c r="BC784" t="inlineStr">
        <is>
          <t>32285000033075</t>
        </is>
      </c>
      <c r="BD784" t="inlineStr">
        <is>
          <t>893522224</t>
        </is>
      </c>
    </row>
    <row r="785">
      <c r="A785" t="inlineStr">
        <is>
          <t>No</t>
        </is>
      </c>
      <c r="B785" t="inlineStr">
        <is>
          <t>HQ1236.5.U6 W663 1999</t>
        </is>
      </c>
      <c r="C785" t="inlineStr">
        <is>
          <t>0                      HQ 1236500U  6                  W  663         1999</t>
        </is>
      </c>
      <c r="D785" t="inlineStr">
        <is>
          <t>Women in politics : outsiders or insiders? : a collection of readings / Lois Duke Whitaker, editor.</t>
        </is>
      </c>
      <c r="F785" t="inlineStr">
        <is>
          <t>No</t>
        </is>
      </c>
      <c r="G785" t="inlineStr">
        <is>
          <t>1</t>
        </is>
      </c>
      <c r="H785" t="inlineStr">
        <is>
          <t>No</t>
        </is>
      </c>
      <c r="I785" t="inlineStr">
        <is>
          <t>No</t>
        </is>
      </c>
      <c r="J785" t="inlineStr">
        <is>
          <t>0</t>
        </is>
      </c>
      <c r="L785" t="inlineStr">
        <is>
          <t>Upper Saddle River, N.J. : Prentice Hall, c1999.</t>
        </is>
      </c>
      <c r="M785" t="inlineStr">
        <is>
          <t>1999</t>
        </is>
      </c>
      <c r="N785" t="inlineStr">
        <is>
          <t>3rd ed.</t>
        </is>
      </c>
      <c r="O785" t="inlineStr">
        <is>
          <t>eng</t>
        </is>
      </c>
      <c r="P785" t="inlineStr">
        <is>
          <t>nju</t>
        </is>
      </c>
      <c r="R785" t="inlineStr">
        <is>
          <t xml:space="preserve">HQ </t>
        </is>
      </c>
      <c r="S785" t="n">
        <v>13</v>
      </c>
      <c r="T785" t="n">
        <v>13</v>
      </c>
      <c r="U785" t="inlineStr">
        <is>
          <t>2007-10-05</t>
        </is>
      </c>
      <c r="V785" t="inlineStr">
        <is>
          <t>2007-10-05</t>
        </is>
      </c>
      <c r="W785" t="inlineStr">
        <is>
          <t>1998-12-14</t>
        </is>
      </c>
      <c r="X785" t="inlineStr">
        <is>
          <t>1998-12-14</t>
        </is>
      </c>
      <c r="Y785" t="n">
        <v>147</v>
      </c>
      <c r="Z785" t="n">
        <v>111</v>
      </c>
      <c r="AA785" t="n">
        <v>307</v>
      </c>
      <c r="AB785" t="n">
        <v>1</v>
      </c>
      <c r="AC785" t="n">
        <v>1</v>
      </c>
      <c r="AD785" t="n">
        <v>4</v>
      </c>
      <c r="AE785" t="n">
        <v>11</v>
      </c>
      <c r="AF785" t="n">
        <v>3</v>
      </c>
      <c r="AG785" t="n">
        <v>5</v>
      </c>
      <c r="AH785" t="n">
        <v>1</v>
      </c>
      <c r="AI785" t="n">
        <v>3</v>
      </c>
      <c r="AJ785" t="n">
        <v>3</v>
      </c>
      <c r="AK785" t="n">
        <v>7</v>
      </c>
      <c r="AL785" t="n">
        <v>0</v>
      </c>
      <c r="AM785" t="n">
        <v>0</v>
      </c>
      <c r="AN785" t="n">
        <v>0</v>
      </c>
      <c r="AO785" t="n">
        <v>1</v>
      </c>
      <c r="AP785" t="inlineStr">
        <is>
          <t>No</t>
        </is>
      </c>
      <c r="AQ785" t="inlineStr">
        <is>
          <t>No</t>
        </is>
      </c>
      <c r="AS785">
        <f>HYPERLINK("https://creighton-primo.hosted.exlibrisgroup.com/primo-explore/search?tab=default_tab&amp;search_scope=EVERYTHING&amp;vid=01CRU&amp;lang=en_US&amp;offset=0&amp;query=any,contains,991002938239702656","Catalog Record")</f>
        <v/>
      </c>
      <c r="AT785">
        <f>HYPERLINK("http://www.worldcat.org/oclc/39085369","WorldCat Record")</f>
        <v/>
      </c>
      <c r="AU785" t="inlineStr">
        <is>
          <t>793469473:eng</t>
        </is>
      </c>
      <c r="AV785" t="inlineStr">
        <is>
          <t>39085369</t>
        </is>
      </c>
      <c r="AW785" t="inlineStr">
        <is>
          <t>991002938239702656</t>
        </is>
      </c>
      <c r="AX785" t="inlineStr">
        <is>
          <t>991002938239702656</t>
        </is>
      </c>
      <c r="AY785" t="inlineStr">
        <is>
          <t>2256956320002656</t>
        </is>
      </c>
      <c r="AZ785" t="inlineStr">
        <is>
          <t>BOOK</t>
        </is>
      </c>
      <c r="BB785" t="inlineStr">
        <is>
          <t>9780130966100</t>
        </is>
      </c>
      <c r="BC785" t="inlineStr">
        <is>
          <t>32285003506127</t>
        </is>
      </c>
      <c r="BD785" t="inlineStr">
        <is>
          <t>893627378</t>
        </is>
      </c>
    </row>
    <row r="786">
      <c r="A786" t="inlineStr">
        <is>
          <t>No</t>
        </is>
      </c>
      <c r="B786" t="inlineStr">
        <is>
          <t>HQ1236.5.U6 W665 1986</t>
        </is>
      </c>
      <c r="C786" t="inlineStr">
        <is>
          <t>0                      HQ 1236500U  6                  W  665         1986</t>
        </is>
      </c>
      <c r="D786" t="inlineStr">
        <is>
          <t>Women leaders in American politics / edited by James David Barber, Barbara Kellerman.</t>
        </is>
      </c>
      <c r="F786" t="inlineStr">
        <is>
          <t>No</t>
        </is>
      </c>
      <c r="G786" t="inlineStr">
        <is>
          <t>1</t>
        </is>
      </c>
      <c r="H786" t="inlineStr">
        <is>
          <t>No</t>
        </is>
      </c>
      <c r="I786" t="inlineStr">
        <is>
          <t>No</t>
        </is>
      </c>
      <c r="J786" t="inlineStr">
        <is>
          <t>0</t>
        </is>
      </c>
      <c r="L786" t="inlineStr">
        <is>
          <t>Englewood Cliffs, N.J. : Prentice-Hall, c1986.</t>
        </is>
      </c>
      <c r="M786" t="inlineStr">
        <is>
          <t>1986</t>
        </is>
      </c>
      <c r="O786" t="inlineStr">
        <is>
          <t>eng</t>
        </is>
      </c>
      <c r="P786" t="inlineStr">
        <is>
          <t>nju</t>
        </is>
      </c>
      <c r="R786" t="inlineStr">
        <is>
          <t xml:space="preserve">HQ </t>
        </is>
      </c>
      <c r="S786" t="n">
        <v>18</v>
      </c>
      <c r="T786" t="n">
        <v>18</v>
      </c>
      <c r="U786" t="inlineStr">
        <is>
          <t>2002-05-01</t>
        </is>
      </c>
      <c r="V786" t="inlineStr">
        <is>
          <t>2002-05-01</t>
        </is>
      </c>
      <c r="W786" t="inlineStr">
        <is>
          <t>1990-07-05</t>
        </is>
      </c>
      <c r="X786" t="inlineStr">
        <is>
          <t>1990-07-05</t>
        </is>
      </c>
      <c r="Y786" t="n">
        <v>286</v>
      </c>
      <c r="Z786" t="n">
        <v>256</v>
      </c>
      <c r="AA786" t="n">
        <v>258</v>
      </c>
      <c r="AB786" t="n">
        <v>2</v>
      </c>
      <c r="AC786" t="n">
        <v>2</v>
      </c>
      <c r="AD786" t="n">
        <v>12</v>
      </c>
      <c r="AE786" t="n">
        <v>12</v>
      </c>
      <c r="AF786" t="n">
        <v>5</v>
      </c>
      <c r="AG786" t="n">
        <v>5</v>
      </c>
      <c r="AH786" t="n">
        <v>4</v>
      </c>
      <c r="AI786" t="n">
        <v>4</v>
      </c>
      <c r="AJ786" t="n">
        <v>6</v>
      </c>
      <c r="AK786" t="n">
        <v>6</v>
      </c>
      <c r="AL786" t="n">
        <v>1</v>
      </c>
      <c r="AM786" t="n">
        <v>1</v>
      </c>
      <c r="AN786" t="n">
        <v>0</v>
      </c>
      <c r="AO786" t="n">
        <v>0</v>
      </c>
      <c r="AP786" t="inlineStr">
        <is>
          <t>No</t>
        </is>
      </c>
      <c r="AQ786" t="inlineStr">
        <is>
          <t>Yes</t>
        </is>
      </c>
      <c r="AR786">
        <f>HYPERLINK("http://catalog.hathitrust.org/Record/000664557","HathiTrust Record")</f>
        <v/>
      </c>
      <c r="AS786">
        <f>HYPERLINK("https://creighton-primo.hosted.exlibrisgroup.com/primo-explore/search?tab=default_tab&amp;search_scope=EVERYTHING&amp;vid=01CRU&amp;lang=en_US&amp;offset=0&amp;query=any,contains,991000630559702656","Catalog Record")</f>
        <v/>
      </c>
      <c r="AT786">
        <f>HYPERLINK("http://www.worldcat.org/oclc/12052235","WorldCat Record")</f>
        <v/>
      </c>
      <c r="AU786" t="inlineStr">
        <is>
          <t>365104935:eng</t>
        </is>
      </c>
      <c r="AV786" t="inlineStr">
        <is>
          <t>12052235</t>
        </is>
      </c>
      <c r="AW786" t="inlineStr">
        <is>
          <t>991000630559702656</t>
        </is>
      </c>
      <c r="AX786" t="inlineStr">
        <is>
          <t>991000630559702656</t>
        </is>
      </c>
      <c r="AY786" t="inlineStr">
        <is>
          <t>2258317060002656</t>
        </is>
      </c>
      <c r="AZ786" t="inlineStr">
        <is>
          <t>BOOK</t>
        </is>
      </c>
      <c r="BB786" t="inlineStr">
        <is>
          <t>9780139622670</t>
        </is>
      </c>
      <c r="BC786" t="inlineStr">
        <is>
          <t>32285000221340</t>
        </is>
      </c>
      <c r="BD786" t="inlineStr">
        <is>
          <t>893683605</t>
        </is>
      </c>
    </row>
    <row r="787">
      <c r="A787" t="inlineStr">
        <is>
          <t>No</t>
        </is>
      </c>
      <c r="B787" t="inlineStr">
        <is>
          <t>HQ1236.5.U6 W6665 1997</t>
        </is>
      </c>
      <c r="C787" t="inlineStr">
        <is>
          <t>0                      HQ 1236500U  6                  W  6665        1997</t>
        </is>
      </c>
      <c r="D787" t="inlineStr">
        <is>
          <t>Women, media, and politics / edited by Pippa Norris.</t>
        </is>
      </c>
      <c r="F787" t="inlineStr">
        <is>
          <t>No</t>
        </is>
      </c>
      <c r="G787" t="inlineStr">
        <is>
          <t>1</t>
        </is>
      </c>
      <c r="H787" t="inlineStr">
        <is>
          <t>No</t>
        </is>
      </c>
      <c r="I787" t="inlineStr">
        <is>
          <t>No</t>
        </is>
      </c>
      <c r="J787" t="inlineStr">
        <is>
          <t>0</t>
        </is>
      </c>
      <c r="L787" t="inlineStr">
        <is>
          <t>New York : Oxford University Press, 1997.</t>
        </is>
      </c>
      <c r="M787" t="inlineStr">
        <is>
          <t>1997</t>
        </is>
      </c>
      <c r="O787" t="inlineStr">
        <is>
          <t>eng</t>
        </is>
      </c>
      <c r="P787" t="inlineStr">
        <is>
          <t>nyu</t>
        </is>
      </c>
      <c r="R787" t="inlineStr">
        <is>
          <t xml:space="preserve">HQ </t>
        </is>
      </c>
      <c r="S787" t="n">
        <v>7</v>
      </c>
      <c r="T787" t="n">
        <v>7</v>
      </c>
      <c r="U787" t="inlineStr">
        <is>
          <t>2008-11-24</t>
        </is>
      </c>
      <c r="V787" t="inlineStr">
        <is>
          <t>2008-11-24</t>
        </is>
      </c>
      <c r="W787" t="inlineStr">
        <is>
          <t>1996-11-14</t>
        </is>
      </c>
      <c r="X787" t="inlineStr">
        <is>
          <t>1996-11-14</t>
        </is>
      </c>
      <c r="Y787" t="n">
        <v>701</v>
      </c>
      <c r="Z787" t="n">
        <v>551</v>
      </c>
      <c r="AA787" t="n">
        <v>559</v>
      </c>
      <c r="AB787" t="n">
        <v>3</v>
      </c>
      <c r="AC787" t="n">
        <v>3</v>
      </c>
      <c r="AD787" t="n">
        <v>35</v>
      </c>
      <c r="AE787" t="n">
        <v>35</v>
      </c>
      <c r="AF787" t="n">
        <v>19</v>
      </c>
      <c r="AG787" t="n">
        <v>19</v>
      </c>
      <c r="AH787" t="n">
        <v>6</v>
      </c>
      <c r="AI787" t="n">
        <v>6</v>
      </c>
      <c r="AJ787" t="n">
        <v>19</v>
      </c>
      <c r="AK787" t="n">
        <v>19</v>
      </c>
      <c r="AL787" t="n">
        <v>2</v>
      </c>
      <c r="AM787" t="n">
        <v>2</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HYPERLINK("https://creighton-primo.hosted.exlibrisgroup.com/primo-explore/search?tab=default_tab&amp;search_scope=EVERYTHING&amp;vid=01CRU&amp;lang=en_US&amp;offset=0&amp;query=any,contains,991002595509702656","Catalog Record")</f>
        <v/>
      </c>
      <c r="AT787">
        <f>HYPERLINK("http://www.worldcat.org/oclc/33983866","WorldCat Record")</f>
        <v/>
      </c>
      <c r="AU787" t="inlineStr">
        <is>
          <t>366953963:eng</t>
        </is>
      </c>
      <c r="AV787" t="inlineStr">
        <is>
          <t>33983866</t>
        </is>
      </c>
      <c r="AW787" t="inlineStr">
        <is>
          <t>991002595509702656</t>
        </is>
      </c>
      <c r="AX787" t="inlineStr">
        <is>
          <t>991002595509702656</t>
        </is>
      </c>
      <c r="AY787" t="inlineStr">
        <is>
          <t>2262462770002656</t>
        </is>
      </c>
      <c r="AZ787" t="inlineStr">
        <is>
          <t>BOOK</t>
        </is>
      </c>
      <c r="BB787" t="inlineStr">
        <is>
          <t>9780195105667</t>
        </is>
      </c>
      <c r="BC787" t="inlineStr">
        <is>
          <t>32285002373198</t>
        </is>
      </c>
      <c r="BD787" t="inlineStr">
        <is>
          <t>893434063</t>
        </is>
      </c>
    </row>
    <row r="788">
      <c r="A788" t="inlineStr">
        <is>
          <t>No</t>
        </is>
      </c>
      <c r="B788" t="inlineStr">
        <is>
          <t>HQ1236.5.U6 W667 1990</t>
        </is>
      </c>
      <c r="C788" t="inlineStr">
        <is>
          <t>0                      HQ 1236500U  6                  W  667         1990</t>
        </is>
      </c>
      <c r="D788" t="inlineStr">
        <is>
          <t>Women, politics, and change / Louise A. Tilly and Patricia Gurin, editors.</t>
        </is>
      </c>
      <c r="F788" t="inlineStr">
        <is>
          <t>No</t>
        </is>
      </c>
      <c r="G788" t="inlineStr">
        <is>
          <t>1</t>
        </is>
      </c>
      <c r="H788" t="inlineStr">
        <is>
          <t>No</t>
        </is>
      </c>
      <c r="I788" t="inlineStr">
        <is>
          <t>No</t>
        </is>
      </c>
      <c r="J788" t="inlineStr">
        <is>
          <t>0</t>
        </is>
      </c>
      <c r="L788" t="inlineStr">
        <is>
          <t>New York : Russell Sage Foundation, c1990.</t>
        </is>
      </c>
      <c r="M788" t="inlineStr">
        <is>
          <t>1990</t>
        </is>
      </c>
      <c r="O788" t="inlineStr">
        <is>
          <t>eng</t>
        </is>
      </c>
      <c r="P788" t="inlineStr">
        <is>
          <t>nyu</t>
        </is>
      </c>
      <c r="R788" t="inlineStr">
        <is>
          <t xml:space="preserve">HQ </t>
        </is>
      </c>
      <c r="S788" t="n">
        <v>17</v>
      </c>
      <c r="T788" t="n">
        <v>17</v>
      </c>
      <c r="U788" t="inlineStr">
        <is>
          <t>2006-10-20</t>
        </is>
      </c>
      <c r="V788" t="inlineStr">
        <is>
          <t>2006-10-20</t>
        </is>
      </c>
      <c r="W788" t="inlineStr">
        <is>
          <t>1991-08-08</t>
        </is>
      </c>
      <c r="X788" t="inlineStr">
        <is>
          <t>1991-08-08</t>
        </is>
      </c>
      <c r="Y788" t="n">
        <v>567</v>
      </c>
      <c r="Z788" t="n">
        <v>475</v>
      </c>
      <c r="AA788" t="n">
        <v>553</v>
      </c>
      <c r="AB788" t="n">
        <v>6</v>
      </c>
      <c r="AC788" t="n">
        <v>6</v>
      </c>
      <c r="AD788" t="n">
        <v>32</v>
      </c>
      <c r="AE788" t="n">
        <v>34</v>
      </c>
      <c r="AF788" t="n">
        <v>12</v>
      </c>
      <c r="AG788" t="n">
        <v>14</v>
      </c>
      <c r="AH788" t="n">
        <v>7</v>
      </c>
      <c r="AI788" t="n">
        <v>8</v>
      </c>
      <c r="AJ788" t="n">
        <v>16</v>
      </c>
      <c r="AK788" t="n">
        <v>16</v>
      </c>
      <c r="AL788" t="n">
        <v>5</v>
      </c>
      <c r="AM788" t="n">
        <v>5</v>
      </c>
      <c r="AN788" t="n">
        <v>2</v>
      </c>
      <c r="AO788" t="n">
        <v>2</v>
      </c>
      <c r="AP788" t="inlineStr">
        <is>
          <t>No</t>
        </is>
      </c>
      <c r="AQ788" t="inlineStr">
        <is>
          <t>No</t>
        </is>
      </c>
      <c r="AS788">
        <f>HYPERLINK("https://creighton-primo.hosted.exlibrisgroup.com/primo-explore/search?tab=default_tab&amp;search_scope=EVERYTHING&amp;vid=01CRU&amp;lang=en_US&amp;offset=0&amp;query=any,contains,991001680439702656","Catalog Record")</f>
        <v/>
      </c>
      <c r="AT788">
        <f>HYPERLINK("http://www.worldcat.org/oclc/21337738","WorldCat Record")</f>
        <v/>
      </c>
      <c r="AU788" t="inlineStr">
        <is>
          <t>355914077:eng</t>
        </is>
      </c>
      <c r="AV788" t="inlineStr">
        <is>
          <t>21337738</t>
        </is>
      </c>
      <c r="AW788" t="inlineStr">
        <is>
          <t>991001680439702656</t>
        </is>
      </c>
      <c r="AX788" t="inlineStr">
        <is>
          <t>991001680439702656</t>
        </is>
      </c>
      <c r="AY788" t="inlineStr">
        <is>
          <t>2260731580002656</t>
        </is>
      </c>
      <c r="AZ788" t="inlineStr">
        <is>
          <t>BOOK</t>
        </is>
      </c>
      <c r="BB788" t="inlineStr">
        <is>
          <t>9780871548849</t>
        </is>
      </c>
      <c r="BC788" t="inlineStr">
        <is>
          <t>32285000700236</t>
        </is>
      </c>
      <c r="BD788" t="inlineStr">
        <is>
          <t>893809140</t>
        </is>
      </c>
    </row>
    <row r="789">
      <c r="A789" t="inlineStr">
        <is>
          <t>No</t>
        </is>
      </c>
      <c r="B789" t="inlineStr">
        <is>
          <t>HQ1236.5.U6 W668 1997</t>
        </is>
      </c>
      <c r="C789" t="inlineStr">
        <is>
          <t>0                      HQ 1236500U  6                  W  668         1997</t>
        </is>
      </c>
      <c r="D789" t="inlineStr">
        <is>
          <t>Women transforming politics : an alternative reader / edited by Cathy J. Cohen, Kathleen B. Jones, and Joan C. Tronto.</t>
        </is>
      </c>
      <c r="F789" t="inlineStr">
        <is>
          <t>No</t>
        </is>
      </c>
      <c r="G789" t="inlineStr">
        <is>
          <t>1</t>
        </is>
      </c>
      <c r="H789" t="inlineStr">
        <is>
          <t>No</t>
        </is>
      </c>
      <c r="I789" t="inlineStr">
        <is>
          <t>No</t>
        </is>
      </c>
      <c r="J789" t="inlineStr">
        <is>
          <t>0</t>
        </is>
      </c>
      <c r="L789" t="inlineStr">
        <is>
          <t>New York : New York University Press, c1997.</t>
        </is>
      </c>
      <c r="M789" t="inlineStr">
        <is>
          <t>1997</t>
        </is>
      </c>
      <c r="O789" t="inlineStr">
        <is>
          <t>eng</t>
        </is>
      </c>
      <c r="P789" t="inlineStr">
        <is>
          <t>nyu</t>
        </is>
      </c>
      <c r="R789" t="inlineStr">
        <is>
          <t xml:space="preserve">HQ </t>
        </is>
      </c>
      <c r="S789" t="n">
        <v>5</v>
      </c>
      <c r="T789" t="n">
        <v>5</v>
      </c>
      <c r="U789" t="inlineStr">
        <is>
          <t>2010-08-30</t>
        </is>
      </c>
      <c r="V789" t="inlineStr">
        <is>
          <t>2010-08-30</t>
        </is>
      </c>
      <c r="W789" t="inlineStr">
        <is>
          <t>1998-10-08</t>
        </is>
      </c>
      <c r="X789" t="inlineStr">
        <is>
          <t>1998-10-08</t>
        </is>
      </c>
      <c r="Y789" t="n">
        <v>548</v>
      </c>
      <c r="Z789" t="n">
        <v>469</v>
      </c>
      <c r="AA789" t="n">
        <v>473</v>
      </c>
      <c r="AB789" t="n">
        <v>1</v>
      </c>
      <c r="AC789" t="n">
        <v>1</v>
      </c>
      <c r="AD789" t="n">
        <v>24</v>
      </c>
      <c r="AE789" t="n">
        <v>24</v>
      </c>
      <c r="AF789" t="n">
        <v>11</v>
      </c>
      <c r="AG789" t="n">
        <v>11</v>
      </c>
      <c r="AH789" t="n">
        <v>7</v>
      </c>
      <c r="AI789" t="n">
        <v>7</v>
      </c>
      <c r="AJ789" t="n">
        <v>15</v>
      </c>
      <c r="AK789" t="n">
        <v>15</v>
      </c>
      <c r="AL789" t="n">
        <v>0</v>
      </c>
      <c r="AM789" t="n">
        <v>0</v>
      </c>
      <c r="AN789" t="n">
        <v>0</v>
      </c>
      <c r="AO789" t="n">
        <v>0</v>
      </c>
      <c r="AP789" t="inlineStr">
        <is>
          <t>No</t>
        </is>
      </c>
      <c r="AQ789" t="inlineStr">
        <is>
          <t>No</t>
        </is>
      </c>
      <c r="AS789">
        <f>HYPERLINK("https://creighton-primo.hosted.exlibrisgroup.com/primo-explore/search?tab=default_tab&amp;search_scope=EVERYTHING&amp;vid=01CRU&amp;lang=en_US&amp;offset=0&amp;query=any,contains,991002809849702656","Catalog Record")</f>
        <v/>
      </c>
      <c r="AT789">
        <f>HYPERLINK("http://www.worldcat.org/oclc/36909673","WorldCat Record")</f>
        <v/>
      </c>
      <c r="AU789" t="inlineStr">
        <is>
          <t>836955054:eng</t>
        </is>
      </c>
      <c r="AV789" t="inlineStr">
        <is>
          <t>36909673</t>
        </is>
      </c>
      <c r="AW789" t="inlineStr">
        <is>
          <t>991002809849702656</t>
        </is>
      </c>
      <c r="AX789" t="inlineStr">
        <is>
          <t>991002809849702656</t>
        </is>
      </c>
      <c r="AY789" t="inlineStr">
        <is>
          <t>2258746510002656</t>
        </is>
      </c>
      <c r="AZ789" t="inlineStr">
        <is>
          <t>BOOK</t>
        </is>
      </c>
      <c r="BB789" t="inlineStr">
        <is>
          <t>9780814715574</t>
        </is>
      </c>
      <c r="BC789" t="inlineStr">
        <is>
          <t>32285003474078</t>
        </is>
      </c>
      <c r="BD789" t="inlineStr">
        <is>
          <t>893511223</t>
        </is>
      </c>
    </row>
    <row r="790">
      <c r="A790" t="inlineStr">
        <is>
          <t>No</t>
        </is>
      </c>
      <c r="B790" t="inlineStr">
        <is>
          <t>HQ1237 .C437 1994</t>
        </is>
      </c>
      <c r="C790" t="inlineStr">
        <is>
          <t>0                      HQ 1237000C  437         1994</t>
        </is>
      </c>
      <c r="D790" t="inlineStr">
        <is>
          <t>Challenging racism and sexism : alternatives to genetic explanations / edited by Ethel Tobach and Betty Rosoff.</t>
        </is>
      </c>
      <c r="F790" t="inlineStr">
        <is>
          <t>No</t>
        </is>
      </c>
      <c r="G790" t="inlineStr">
        <is>
          <t>1</t>
        </is>
      </c>
      <c r="H790" t="inlineStr">
        <is>
          <t>No</t>
        </is>
      </c>
      <c r="I790" t="inlineStr">
        <is>
          <t>No</t>
        </is>
      </c>
      <c r="J790" t="inlineStr">
        <is>
          <t>0</t>
        </is>
      </c>
      <c r="L790" t="inlineStr">
        <is>
          <t>New York : Feminist Press at the City University of New York, 1994.</t>
        </is>
      </c>
      <c r="M790" t="inlineStr">
        <is>
          <t>1994</t>
        </is>
      </c>
      <c r="O790" t="inlineStr">
        <is>
          <t>eng</t>
        </is>
      </c>
      <c r="P790" t="inlineStr">
        <is>
          <t>nyu</t>
        </is>
      </c>
      <c r="Q790" t="inlineStr">
        <is>
          <t>Genes and gender ; 7</t>
        </is>
      </c>
      <c r="R790" t="inlineStr">
        <is>
          <t xml:space="preserve">HQ </t>
        </is>
      </c>
      <c r="S790" t="n">
        <v>11</v>
      </c>
      <c r="T790" t="n">
        <v>11</v>
      </c>
      <c r="U790" t="inlineStr">
        <is>
          <t>1998-02-04</t>
        </is>
      </c>
      <c r="V790" t="inlineStr">
        <is>
          <t>1998-02-04</t>
        </is>
      </c>
      <c r="W790" t="inlineStr">
        <is>
          <t>1996-01-02</t>
        </is>
      </c>
      <c r="X790" t="inlineStr">
        <is>
          <t>1996-01-02</t>
        </is>
      </c>
      <c r="Y790" t="n">
        <v>462</v>
      </c>
      <c r="Z790" t="n">
        <v>383</v>
      </c>
      <c r="AA790" t="n">
        <v>388</v>
      </c>
      <c r="AB790" t="n">
        <v>4</v>
      </c>
      <c r="AC790" t="n">
        <v>4</v>
      </c>
      <c r="AD790" t="n">
        <v>20</v>
      </c>
      <c r="AE790" t="n">
        <v>20</v>
      </c>
      <c r="AF790" t="n">
        <v>7</v>
      </c>
      <c r="AG790" t="n">
        <v>7</v>
      </c>
      <c r="AH790" t="n">
        <v>7</v>
      </c>
      <c r="AI790" t="n">
        <v>7</v>
      </c>
      <c r="AJ790" t="n">
        <v>9</v>
      </c>
      <c r="AK790" t="n">
        <v>9</v>
      </c>
      <c r="AL790" t="n">
        <v>3</v>
      </c>
      <c r="AM790" t="n">
        <v>3</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HYPERLINK("https://creighton-primo.hosted.exlibrisgroup.com/primo-explore/search?tab=default_tab&amp;search_scope=EVERYTHING&amp;vid=01CRU&amp;lang=en_US&amp;offset=0&amp;query=any,contains,991002345959702656","Catalog Record")</f>
        <v/>
      </c>
      <c r="AT790">
        <f>HYPERLINK("http://www.worldcat.org/oclc/30544633","WorldCat Record")</f>
        <v/>
      </c>
      <c r="AU790" t="inlineStr">
        <is>
          <t>32788374:eng</t>
        </is>
      </c>
      <c r="AV790" t="inlineStr">
        <is>
          <t>30544633</t>
        </is>
      </c>
      <c r="AW790" t="inlineStr">
        <is>
          <t>991002345959702656</t>
        </is>
      </c>
      <c r="AX790" t="inlineStr">
        <is>
          <t>991002345959702656</t>
        </is>
      </c>
      <c r="AY790" t="inlineStr">
        <is>
          <t>2261756040002656</t>
        </is>
      </c>
      <c r="AZ790" t="inlineStr">
        <is>
          <t>BOOK</t>
        </is>
      </c>
      <c r="BB790" t="inlineStr">
        <is>
          <t>9781558610897</t>
        </is>
      </c>
      <c r="BC790" t="inlineStr">
        <is>
          <t>32285002113719</t>
        </is>
      </c>
      <c r="BD790" t="inlineStr">
        <is>
          <t>893622179</t>
        </is>
      </c>
    </row>
    <row r="791">
      <c r="A791" t="inlineStr">
        <is>
          <t>No</t>
        </is>
      </c>
      <c r="B791" t="inlineStr">
        <is>
          <t>HQ1237 .J36 1995</t>
        </is>
      </c>
      <c r="C791" t="inlineStr">
        <is>
          <t>0                      HQ 1237000J  36          1995</t>
        </is>
      </c>
      <c r="D791" t="inlineStr">
        <is>
          <t>Beyond the double bind : women and leadership / Kathleen Hall Jamieson.</t>
        </is>
      </c>
      <c r="F791" t="inlineStr">
        <is>
          <t>No</t>
        </is>
      </c>
      <c r="G791" t="inlineStr">
        <is>
          <t>1</t>
        </is>
      </c>
      <c r="H791" t="inlineStr">
        <is>
          <t>No</t>
        </is>
      </c>
      <c r="I791" t="inlineStr">
        <is>
          <t>No</t>
        </is>
      </c>
      <c r="J791" t="inlineStr">
        <is>
          <t>0</t>
        </is>
      </c>
      <c r="K791" t="inlineStr">
        <is>
          <t>Jamieson, Kathleen Hall.</t>
        </is>
      </c>
      <c r="L791" t="inlineStr">
        <is>
          <t>New York : Oxford University Press, 1995.</t>
        </is>
      </c>
      <c r="M791" t="inlineStr">
        <is>
          <t>1995</t>
        </is>
      </c>
      <c r="O791" t="inlineStr">
        <is>
          <t>eng</t>
        </is>
      </c>
      <c r="P791" t="inlineStr">
        <is>
          <t>nyu</t>
        </is>
      </c>
      <c r="R791" t="inlineStr">
        <is>
          <t xml:space="preserve">HQ </t>
        </is>
      </c>
      <c r="S791" t="n">
        <v>11</v>
      </c>
      <c r="T791" t="n">
        <v>11</v>
      </c>
      <c r="U791" t="inlineStr">
        <is>
          <t>1999-11-02</t>
        </is>
      </c>
      <c r="V791" t="inlineStr">
        <is>
          <t>1999-11-02</t>
        </is>
      </c>
      <c r="W791" t="inlineStr">
        <is>
          <t>1995-05-22</t>
        </is>
      </c>
      <c r="X791" t="inlineStr">
        <is>
          <t>1995-05-22</t>
        </is>
      </c>
      <c r="Y791" t="n">
        <v>1141</v>
      </c>
      <c r="Z791" t="n">
        <v>1023</v>
      </c>
      <c r="AA791" t="n">
        <v>1061</v>
      </c>
      <c r="AB791" t="n">
        <v>7</v>
      </c>
      <c r="AC791" t="n">
        <v>7</v>
      </c>
      <c r="AD791" t="n">
        <v>47</v>
      </c>
      <c r="AE791" t="n">
        <v>48</v>
      </c>
      <c r="AF791" t="n">
        <v>17</v>
      </c>
      <c r="AG791" t="n">
        <v>17</v>
      </c>
      <c r="AH791" t="n">
        <v>8</v>
      </c>
      <c r="AI791" t="n">
        <v>9</v>
      </c>
      <c r="AJ791" t="n">
        <v>21</v>
      </c>
      <c r="AK791" t="n">
        <v>21</v>
      </c>
      <c r="AL791" t="n">
        <v>6</v>
      </c>
      <c r="AM791" t="n">
        <v>6</v>
      </c>
      <c r="AN791" t="n">
        <v>7</v>
      </c>
      <c r="AO791" t="n">
        <v>7</v>
      </c>
      <c r="AP791" t="inlineStr">
        <is>
          <t>No</t>
        </is>
      </c>
      <c r="AQ791" t="inlineStr">
        <is>
          <t>No</t>
        </is>
      </c>
      <c r="AS791">
        <f>HYPERLINK("https://creighton-primo.hosted.exlibrisgroup.com/primo-explore/search?tab=default_tab&amp;search_scope=EVERYTHING&amp;vid=01CRU&amp;lang=en_US&amp;offset=0&amp;query=any,contains,991002415289702656","Catalog Record")</f>
        <v/>
      </c>
      <c r="AT791">
        <f>HYPERLINK("http://www.worldcat.org/oclc/31434626","WorldCat Record")</f>
        <v/>
      </c>
      <c r="AU791" t="inlineStr">
        <is>
          <t>597322:eng</t>
        </is>
      </c>
      <c r="AV791" t="inlineStr">
        <is>
          <t>31434626</t>
        </is>
      </c>
      <c r="AW791" t="inlineStr">
        <is>
          <t>991002415289702656</t>
        </is>
      </c>
      <c r="AX791" t="inlineStr">
        <is>
          <t>991002415289702656</t>
        </is>
      </c>
      <c r="AY791" t="inlineStr">
        <is>
          <t>2263074790002656</t>
        </is>
      </c>
      <c r="AZ791" t="inlineStr">
        <is>
          <t>BOOK</t>
        </is>
      </c>
      <c r="BB791" t="inlineStr">
        <is>
          <t>9780195089400</t>
        </is>
      </c>
      <c r="BC791" t="inlineStr">
        <is>
          <t>32285002045994</t>
        </is>
      </c>
      <c r="BD791" t="inlineStr">
        <is>
          <t>893251185</t>
        </is>
      </c>
    </row>
    <row r="792">
      <c r="A792" t="inlineStr">
        <is>
          <t>No</t>
        </is>
      </c>
      <c r="B792" t="inlineStr">
        <is>
          <t>HQ1237 .N53 2002</t>
        </is>
      </c>
      <c r="C792" t="inlineStr">
        <is>
          <t>0                      HQ 1237000N  53          2002</t>
        </is>
      </c>
      <c r="D792" t="inlineStr">
        <is>
          <t>Correcting gender myopia : gender equity, women's welfare, and the environment / Danielle Nierenberg ; Thomas Prugh, editor.</t>
        </is>
      </c>
      <c r="F792" t="inlineStr">
        <is>
          <t>No</t>
        </is>
      </c>
      <c r="G792" t="inlineStr">
        <is>
          <t>1</t>
        </is>
      </c>
      <c r="H792" t="inlineStr">
        <is>
          <t>No</t>
        </is>
      </c>
      <c r="I792" t="inlineStr">
        <is>
          <t>No</t>
        </is>
      </c>
      <c r="J792" t="inlineStr">
        <is>
          <t>0</t>
        </is>
      </c>
      <c r="K792" t="inlineStr">
        <is>
          <t>Nierenberg, Danielle.</t>
        </is>
      </c>
      <c r="L792" t="inlineStr">
        <is>
          <t>Washington, DC : Worldwatch Institute, c2002.</t>
        </is>
      </c>
      <c r="M792" t="inlineStr">
        <is>
          <t>2002</t>
        </is>
      </c>
      <c r="O792" t="inlineStr">
        <is>
          <t>eng</t>
        </is>
      </c>
      <c r="P792" t="inlineStr">
        <is>
          <t>dcu</t>
        </is>
      </c>
      <c r="Q792" t="inlineStr">
        <is>
          <t>Worldwatch paper ; 161</t>
        </is>
      </c>
      <c r="R792" t="inlineStr">
        <is>
          <t xml:space="preserve">HQ </t>
        </is>
      </c>
      <c r="S792" t="n">
        <v>3</v>
      </c>
      <c r="T792" t="n">
        <v>3</v>
      </c>
      <c r="U792" t="inlineStr">
        <is>
          <t>2006-04-22</t>
        </is>
      </c>
      <c r="V792" t="inlineStr">
        <is>
          <t>2006-04-22</t>
        </is>
      </c>
      <c r="W792" t="inlineStr">
        <is>
          <t>2003-08-18</t>
        </is>
      </c>
      <c r="X792" t="inlineStr">
        <is>
          <t>2003-08-18</t>
        </is>
      </c>
      <c r="Y792" t="n">
        <v>482</v>
      </c>
      <c r="Z792" t="n">
        <v>426</v>
      </c>
      <c r="AA792" t="n">
        <v>439</v>
      </c>
      <c r="AB792" t="n">
        <v>5</v>
      </c>
      <c r="AC792" t="n">
        <v>5</v>
      </c>
      <c r="AD792" t="n">
        <v>18</v>
      </c>
      <c r="AE792" t="n">
        <v>18</v>
      </c>
      <c r="AF792" t="n">
        <v>7</v>
      </c>
      <c r="AG792" t="n">
        <v>7</v>
      </c>
      <c r="AH792" t="n">
        <v>3</v>
      </c>
      <c r="AI792" t="n">
        <v>3</v>
      </c>
      <c r="AJ792" t="n">
        <v>8</v>
      </c>
      <c r="AK792" t="n">
        <v>8</v>
      </c>
      <c r="AL792" t="n">
        <v>4</v>
      </c>
      <c r="AM792" t="n">
        <v>4</v>
      </c>
      <c r="AN792" t="n">
        <v>0</v>
      </c>
      <c r="AO792" t="n">
        <v>0</v>
      </c>
      <c r="AP792" t="inlineStr">
        <is>
          <t>No</t>
        </is>
      </c>
      <c r="AQ792" t="inlineStr">
        <is>
          <t>Yes</t>
        </is>
      </c>
      <c r="AR792">
        <f>HYPERLINK("http://catalog.hathitrust.org/Record/003835389","HathiTrust Record")</f>
        <v/>
      </c>
      <c r="AS792">
        <f>HYPERLINK("https://creighton-primo.hosted.exlibrisgroup.com/primo-explore/search?tab=default_tab&amp;search_scope=EVERYTHING&amp;vid=01CRU&amp;lang=en_US&amp;offset=0&amp;query=any,contains,991004106099702656","Catalog Record")</f>
        <v/>
      </c>
      <c r="AT792">
        <f>HYPERLINK("http://www.worldcat.org/oclc/50722684","WorldCat Record")</f>
        <v/>
      </c>
      <c r="AU792" t="inlineStr">
        <is>
          <t>6337251:eng</t>
        </is>
      </c>
      <c r="AV792" t="inlineStr">
        <is>
          <t>50722684</t>
        </is>
      </c>
      <c r="AW792" t="inlineStr">
        <is>
          <t>991004106099702656</t>
        </is>
      </c>
      <c r="AX792" t="inlineStr">
        <is>
          <t>991004106099702656</t>
        </is>
      </c>
      <c r="AY792" t="inlineStr">
        <is>
          <t>2260247670002656</t>
        </is>
      </c>
      <c r="AZ792" t="inlineStr">
        <is>
          <t>BOOK</t>
        </is>
      </c>
      <c r="BC792" t="inlineStr">
        <is>
          <t>32285004759543</t>
        </is>
      </c>
      <c r="BD792" t="inlineStr">
        <is>
          <t>893442208</t>
        </is>
      </c>
    </row>
    <row r="793">
      <c r="A793" t="inlineStr">
        <is>
          <t>No</t>
        </is>
      </c>
      <c r="B793" t="inlineStr">
        <is>
          <t>HQ1237 .P45 2003</t>
        </is>
      </c>
      <c r="C793" t="inlineStr">
        <is>
          <t>0                      HQ 1237000P  45          2003</t>
        </is>
      </c>
      <c r="D793" t="inlineStr">
        <is>
          <t>Overcoming violence against women and girls : the international campaign to eradicate a worldwide problem / Michael L. Penn and Rahel Nardos, in collaboration with William S. Hatcher and Mary K. Radpour.</t>
        </is>
      </c>
      <c r="F793" t="inlineStr">
        <is>
          <t>No</t>
        </is>
      </c>
      <c r="G793" t="inlineStr">
        <is>
          <t>1</t>
        </is>
      </c>
      <c r="H793" t="inlineStr">
        <is>
          <t>No</t>
        </is>
      </c>
      <c r="I793" t="inlineStr">
        <is>
          <t>No</t>
        </is>
      </c>
      <c r="J793" t="inlineStr">
        <is>
          <t>0</t>
        </is>
      </c>
      <c r="K793" t="inlineStr">
        <is>
          <t>Penn, Michael L., 1958-</t>
        </is>
      </c>
      <c r="L793" t="inlineStr">
        <is>
          <t>Lanham, Md. : Rowman &amp; Littlefield, c2003.</t>
        </is>
      </c>
      <c r="M793" t="inlineStr">
        <is>
          <t>2003</t>
        </is>
      </c>
      <c r="O793" t="inlineStr">
        <is>
          <t>eng</t>
        </is>
      </c>
      <c r="P793" t="inlineStr">
        <is>
          <t>mdu</t>
        </is>
      </c>
      <c r="R793" t="inlineStr">
        <is>
          <t xml:space="preserve">HQ </t>
        </is>
      </c>
      <c r="S793" t="n">
        <v>6</v>
      </c>
      <c r="T793" t="n">
        <v>6</v>
      </c>
      <c r="U793" t="inlineStr">
        <is>
          <t>2007-10-17</t>
        </is>
      </c>
      <c r="V793" t="inlineStr">
        <is>
          <t>2007-10-17</t>
        </is>
      </c>
      <c r="W793" t="inlineStr">
        <is>
          <t>2003-07-24</t>
        </is>
      </c>
      <c r="X793" t="inlineStr">
        <is>
          <t>2003-07-24</t>
        </is>
      </c>
      <c r="Y793" t="n">
        <v>671</v>
      </c>
      <c r="Z793" t="n">
        <v>573</v>
      </c>
      <c r="AA793" t="n">
        <v>604</v>
      </c>
      <c r="AB793" t="n">
        <v>6</v>
      </c>
      <c r="AC793" t="n">
        <v>6</v>
      </c>
      <c r="AD793" t="n">
        <v>36</v>
      </c>
      <c r="AE793" t="n">
        <v>36</v>
      </c>
      <c r="AF793" t="n">
        <v>15</v>
      </c>
      <c r="AG793" t="n">
        <v>15</v>
      </c>
      <c r="AH793" t="n">
        <v>9</v>
      </c>
      <c r="AI793" t="n">
        <v>9</v>
      </c>
      <c r="AJ793" t="n">
        <v>16</v>
      </c>
      <c r="AK793" t="n">
        <v>16</v>
      </c>
      <c r="AL793" t="n">
        <v>5</v>
      </c>
      <c r="AM793" t="n">
        <v>5</v>
      </c>
      <c r="AN793" t="n">
        <v>0</v>
      </c>
      <c r="AO793" t="n">
        <v>0</v>
      </c>
      <c r="AP793" t="inlineStr">
        <is>
          <t>No</t>
        </is>
      </c>
      <c r="AQ793" t="inlineStr">
        <is>
          <t>Yes</t>
        </is>
      </c>
      <c r="AR793">
        <f>HYPERLINK("http://catalog.hathitrust.org/Record/004308880","HathiTrust Record")</f>
        <v/>
      </c>
      <c r="AS793">
        <f>HYPERLINK("https://creighton-primo.hosted.exlibrisgroup.com/primo-explore/search?tab=default_tab&amp;search_scope=EVERYTHING&amp;vid=01CRU&amp;lang=en_US&amp;offset=0&amp;query=any,contains,991004082219702656","Catalog Record")</f>
        <v/>
      </c>
      <c r="AT793">
        <f>HYPERLINK("http://www.worldcat.org/oclc/50124454","WorldCat Record")</f>
        <v/>
      </c>
      <c r="AU793" t="inlineStr">
        <is>
          <t>795484262:eng</t>
        </is>
      </c>
      <c r="AV793" t="inlineStr">
        <is>
          <t>50124454</t>
        </is>
      </c>
      <c r="AW793" t="inlineStr">
        <is>
          <t>991004082219702656</t>
        </is>
      </c>
      <c r="AX793" t="inlineStr">
        <is>
          <t>991004082219702656</t>
        </is>
      </c>
      <c r="AY793" t="inlineStr">
        <is>
          <t>2266770140002656</t>
        </is>
      </c>
      <c r="AZ793" t="inlineStr">
        <is>
          <t>BOOK</t>
        </is>
      </c>
      <c r="BB793" t="inlineStr">
        <is>
          <t>9780742524996</t>
        </is>
      </c>
      <c r="BC793" t="inlineStr">
        <is>
          <t>32285004757117</t>
        </is>
      </c>
      <c r="BD793" t="inlineStr">
        <is>
          <t>893788250</t>
        </is>
      </c>
    </row>
    <row r="794">
      <c r="A794" t="inlineStr">
        <is>
          <t>No</t>
        </is>
      </c>
      <c r="B794" t="inlineStr">
        <is>
          <t>HQ1237 .S23 1995</t>
        </is>
      </c>
      <c r="C794" t="inlineStr">
        <is>
          <t>0                      HQ 1237000S  23          1995</t>
        </is>
      </c>
      <c r="D794" t="inlineStr">
        <is>
          <t>Confronting sexual harassment : learning activities for teens / by Russell A. Sabella and Robert D. Myrick.</t>
        </is>
      </c>
      <c r="F794" t="inlineStr">
        <is>
          <t>No</t>
        </is>
      </c>
      <c r="G794" t="inlineStr">
        <is>
          <t>1</t>
        </is>
      </c>
      <c r="H794" t="inlineStr">
        <is>
          <t>No</t>
        </is>
      </c>
      <c r="I794" t="inlineStr">
        <is>
          <t>No</t>
        </is>
      </c>
      <c r="J794" t="inlineStr">
        <is>
          <t>0</t>
        </is>
      </c>
      <c r="K794" t="inlineStr">
        <is>
          <t>Sabella, Russell A., 1965-</t>
        </is>
      </c>
      <c r="L794" t="inlineStr">
        <is>
          <t>Minneapolis, Minn. Educational Media Corporation, 1995.</t>
        </is>
      </c>
      <c r="M794" t="inlineStr">
        <is>
          <t>1995</t>
        </is>
      </c>
      <c r="O794" t="inlineStr">
        <is>
          <t>eng</t>
        </is>
      </c>
      <c r="P794" t="inlineStr">
        <is>
          <t>mnu</t>
        </is>
      </c>
      <c r="R794" t="inlineStr">
        <is>
          <t xml:space="preserve">HQ </t>
        </is>
      </c>
      <c r="S794" t="n">
        <v>5</v>
      </c>
      <c r="T794" t="n">
        <v>5</v>
      </c>
      <c r="U794" t="inlineStr">
        <is>
          <t>2006-04-22</t>
        </is>
      </c>
      <c r="V794" t="inlineStr">
        <is>
          <t>2006-04-22</t>
        </is>
      </c>
      <c r="W794" t="inlineStr">
        <is>
          <t>1997-06-25</t>
        </is>
      </c>
      <c r="X794" t="inlineStr">
        <is>
          <t>1997-06-25</t>
        </is>
      </c>
      <c r="Y794" t="n">
        <v>30</v>
      </c>
      <c r="Z794" t="n">
        <v>26</v>
      </c>
      <c r="AA794" t="n">
        <v>26</v>
      </c>
      <c r="AB794" t="n">
        <v>2</v>
      </c>
      <c r="AC794" t="n">
        <v>2</v>
      </c>
      <c r="AD794" t="n">
        <v>1</v>
      </c>
      <c r="AE794" t="n">
        <v>1</v>
      </c>
      <c r="AF794" t="n">
        <v>1</v>
      </c>
      <c r="AG794" t="n">
        <v>1</v>
      </c>
      <c r="AH794" t="n">
        <v>1</v>
      </c>
      <c r="AI794" t="n">
        <v>1</v>
      </c>
      <c r="AJ794" t="n">
        <v>0</v>
      </c>
      <c r="AK794" t="n">
        <v>0</v>
      </c>
      <c r="AL794" t="n">
        <v>0</v>
      </c>
      <c r="AM794" t="n">
        <v>0</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HYPERLINK("https://creighton-primo.hosted.exlibrisgroup.com/primo-explore/search?tab=default_tab&amp;search_scope=EVERYTHING&amp;vid=01CRU&amp;lang=en_US&amp;offset=0&amp;query=any,contains,991002603189702656","Catalog Record")</f>
        <v/>
      </c>
      <c r="AT794">
        <f>HYPERLINK("http://www.worldcat.org/oclc/34110097","WorldCat Record")</f>
        <v/>
      </c>
      <c r="AU794" t="inlineStr">
        <is>
          <t>656731:eng</t>
        </is>
      </c>
      <c r="AV794" t="inlineStr">
        <is>
          <t>34110097</t>
        </is>
      </c>
      <c r="AW794" t="inlineStr">
        <is>
          <t>991002603189702656</t>
        </is>
      </c>
      <c r="AX794" t="inlineStr">
        <is>
          <t>991002603189702656</t>
        </is>
      </c>
      <c r="AY794" t="inlineStr">
        <is>
          <t>2264912930002656</t>
        </is>
      </c>
      <c r="AZ794" t="inlineStr">
        <is>
          <t>BOOK</t>
        </is>
      </c>
      <c r="BB794" t="inlineStr">
        <is>
          <t>9780932796745</t>
        </is>
      </c>
      <c r="BC794" t="inlineStr">
        <is>
          <t>32285002753977</t>
        </is>
      </c>
      <c r="BD794" t="inlineStr">
        <is>
          <t>893716658</t>
        </is>
      </c>
    </row>
    <row r="795">
      <c r="A795" t="inlineStr">
        <is>
          <t>No</t>
        </is>
      </c>
      <c r="B795" t="inlineStr">
        <is>
          <t>HQ1237 .T54 2007</t>
        </is>
      </c>
      <c r="C795" t="inlineStr">
        <is>
          <t>0                      HQ 1237000T  54          2007</t>
        </is>
      </c>
      <c r="D795" t="inlineStr">
        <is>
          <t>Everywhere/nowhere : gender mainstreaming in development agencies / Rebecca Tiessen.</t>
        </is>
      </c>
      <c r="F795" t="inlineStr">
        <is>
          <t>No</t>
        </is>
      </c>
      <c r="G795" t="inlineStr">
        <is>
          <t>1</t>
        </is>
      </c>
      <c r="H795" t="inlineStr">
        <is>
          <t>No</t>
        </is>
      </c>
      <c r="I795" t="inlineStr">
        <is>
          <t>No</t>
        </is>
      </c>
      <c r="J795" t="inlineStr">
        <is>
          <t>0</t>
        </is>
      </c>
      <c r="K795" t="inlineStr">
        <is>
          <t>Tiessen, Rebecca, 1970-</t>
        </is>
      </c>
      <c r="L795" t="inlineStr">
        <is>
          <t>Bloomfield, CT : Kumarian Press, 2007.</t>
        </is>
      </c>
      <c r="M795" t="inlineStr">
        <is>
          <t>2007</t>
        </is>
      </c>
      <c r="O795" t="inlineStr">
        <is>
          <t>eng</t>
        </is>
      </c>
      <c r="P795" t="inlineStr">
        <is>
          <t>ctu</t>
        </is>
      </c>
      <c r="R795" t="inlineStr">
        <is>
          <t xml:space="preserve">HQ </t>
        </is>
      </c>
      <c r="S795" t="n">
        <v>1</v>
      </c>
      <c r="T795" t="n">
        <v>1</v>
      </c>
      <c r="U795" t="inlineStr">
        <is>
          <t>2007-06-12</t>
        </is>
      </c>
      <c r="V795" t="inlineStr">
        <is>
          <t>2007-06-12</t>
        </is>
      </c>
      <c r="W795" t="inlineStr">
        <is>
          <t>2007-06-12</t>
        </is>
      </c>
      <c r="X795" t="inlineStr">
        <is>
          <t>2007-06-12</t>
        </is>
      </c>
      <c r="Y795" t="n">
        <v>220</v>
      </c>
      <c r="Z795" t="n">
        <v>152</v>
      </c>
      <c r="AA795" t="n">
        <v>152</v>
      </c>
      <c r="AB795" t="n">
        <v>1</v>
      </c>
      <c r="AC795" t="n">
        <v>1</v>
      </c>
      <c r="AD795" t="n">
        <v>6</v>
      </c>
      <c r="AE795" t="n">
        <v>6</v>
      </c>
      <c r="AF795" t="n">
        <v>2</v>
      </c>
      <c r="AG795" t="n">
        <v>2</v>
      </c>
      <c r="AH795" t="n">
        <v>2</v>
      </c>
      <c r="AI795" t="n">
        <v>2</v>
      </c>
      <c r="AJ795" t="n">
        <v>4</v>
      </c>
      <c r="AK795" t="n">
        <v>4</v>
      </c>
      <c r="AL795" t="n">
        <v>0</v>
      </c>
      <c r="AM795" t="n">
        <v>0</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HYPERLINK("https://creighton-primo.hosted.exlibrisgroup.com/primo-explore/search?tab=default_tab&amp;search_scope=EVERYTHING&amp;vid=01CRU&amp;lang=en_US&amp;offset=0&amp;query=any,contains,991005065769702656","Catalog Record")</f>
        <v/>
      </c>
      <c r="AT795">
        <f>HYPERLINK("http://www.worldcat.org/oclc/85830695","WorldCat Record")</f>
        <v/>
      </c>
      <c r="AU795" t="inlineStr">
        <is>
          <t>892122033:eng</t>
        </is>
      </c>
      <c r="AV795" t="inlineStr">
        <is>
          <t>85830695</t>
        </is>
      </c>
      <c r="AW795" t="inlineStr">
        <is>
          <t>991005065769702656</t>
        </is>
      </c>
      <c r="AX795" t="inlineStr">
        <is>
          <t>991005065769702656</t>
        </is>
      </c>
      <c r="AY795" t="inlineStr">
        <is>
          <t>2266949130002656</t>
        </is>
      </c>
      <c r="AZ795" t="inlineStr">
        <is>
          <t>BOOK</t>
        </is>
      </c>
      <c r="BB795" t="inlineStr">
        <is>
          <t>9781565492387</t>
        </is>
      </c>
      <c r="BC795" t="inlineStr">
        <is>
          <t>32285005316889</t>
        </is>
      </c>
      <c r="BD795" t="inlineStr">
        <is>
          <t>893418318</t>
        </is>
      </c>
    </row>
    <row r="796">
      <c r="A796" t="inlineStr">
        <is>
          <t>No</t>
        </is>
      </c>
      <c r="B796" t="inlineStr">
        <is>
          <t>HQ1237.5.U6 D57 1997</t>
        </is>
      </c>
      <c r="C796" t="inlineStr">
        <is>
          <t>0                      HQ 1237500U  6                  D  57          1997</t>
        </is>
      </c>
      <c r="D796" t="inlineStr">
        <is>
          <t>Discrimination against women : prevalence, consequences, remedies / [edited by] Hope Landrine, Elizabeth A. Klonoff.</t>
        </is>
      </c>
      <c r="F796" t="inlineStr">
        <is>
          <t>No</t>
        </is>
      </c>
      <c r="G796" t="inlineStr">
        <is>
          <t>1</t>
        </is>
      </c>
      <c r="H796" t="inlineStr">
        <is>
          <t>No</t>
        </is>
      </c>
      <c r="I796" t="inlineStr">
        <is>
          <t>No</t>
        </is>
      </c>
      <c r="J796" t="inlineStr">
        <is>
          <t>0</t>
        </is>
      </c>
      <c r="L796" t="inlineStr">
        <is>
          <t>Thousand Oaks, Calif. : Sage Publications, c1997.</t>
        </is>
      </c>
      <c r="M796" t="inlineStr">
        <is>
          <t>1997</t>
        </is>
      </c>
      <c r="O796" t="inlineStr">
        <is>
          <t>eng</t>
        </is>
      </c>
      <c r="P796" t="inlineStr">
        <is>
          <t>cau</t>
        </is>
      </c>
      <c r="R796" t="inlineStr">
        <is>
          <t xml:space="preserve">HQ </t>
        </is>
      </c>
      <c r="S796" t="n">
        <v>9</v>
      </c>
      <c r="T796" t="n">
        <v>9</v>
      </c>
      <c r="U796" t="inlineStr">
        <is>
          <t>2006-04-22</t>
        </is>
      </c>
      <c r="V796" t="inlineStr">
        <is>
          <t>2006-04-22</t>
        </is>
      </c>
      <c r="W796" t="inlineStr">
        <is>
          <t>1998-03-17</t>
        </is>
      </c>
      <c r="X796" t="inlineStr">
        <is>
          <t>1998-03-17</t>
        </is>
      </c>
      <c r="Y796" t="n">
        <v>663</v>
      </c>
      <c r="Z796" t="n">
        <v>577</v>
      </c>
      <c r="AA796" t="n">
        <v>863</v>
      </c>
      <c r="AB796" t="n">
        <v>6</v>
      </c>
      <c r="AC796" t="n">
        <v>7</v>
      </c>
      <c r="AD796" t="n">
        <v>38</v>
      </c>
      <c r="AE796" t="n">
        <v>39</v>
      </c>
      <c r="AF796" t="n">
        <v>13</v>
      </c>
      <c r="AG796" t="n">
        <v>13</v>
      </c>
      <c r="AH796" t="n">
        <v>7</v>
      </c>
      <c r="AI796" t="n">
        <v>7</v>
      </c>
      <c r="AJ796" t="n">
        <v>16</v>
      </c>
      <c r="AK796" t="n">
        <v>16</v>
      </c>
      <c r="AL796" t="n">
        <v>5</v>
      </c>
      <c r="AM796" t="n">
        <v>6</v>
      </c>
      <c r="AN796" t="n">
        <v>5</v>
      </c>
      <c r="AO796" t="n">
        <v>5</v>
      </c>
      <c r="AP796" t="inlineStr">
        <is>
          <t>No</t>
        </is>
      </c>
      <c r="AQ796" t="inlineStr">
        <is>
          <t>Yes</t>
        </is>
      </c>
      <c r="AR796">
        <f>HYPERLINK("http://catalog.hathitrust.org/Record/003944426","HathiTrust Record")</f>
        <v/>
      </c>
      <c r="AS796">
        <f>HYPERLINK("https://creighton-primo.hosted.exlibrisgroup.com/primo-explore/search?tab=default_tab&amp;search_scope=EVERYTHING&amp;vid=01CRU&amp;lang=en_US&amp;offset=0&amp;query=any,contains,991002783269702656","Catalog Record")</f>
        <v/>
      </c>
      <c r="AT796">
        <f>HYPERLINK("http://www.worldcat.org/oclc/36548828","WorldCat Record")</f>
        <v/>
      </c>
      <c r="AU796" t="inlineStr">
        <is>
          <t>836919787:eng</t>
        </is>
      </c>
      <c r="AV796" t="inlineStr">
        <is>
          <t>36548828</t>
        </is>
      </c>
      <c r="AW796" t="inlineStr">
        <is>
          <t>991002783269702656</t>
        </is>
      </c>
      <c r="AX796" t="inlineStr">
        <is>
          <t>991002783269702656</t>
        </is>
      </c>
      <c r="AY796" t="inlineStr">
        <is>
          <t>2258255100002656</t>
        </is>
      </c>
      <c r="AZ796" t="inlineStr">
        <is>
          <t>BOOK</t>
        </is>
      </c>
      <c r="BB796" t="inlineStr">
        <is>
          <t>9780761909545</t>
        </is>
      </c>
      <c r="BC796" t="inlineStr">
        <is>
          <t>32285003358297</t>
        </is>
      </c>
      <c r="BD796" t="inlineStr">
        <is>
          <t>893591770</t>
        </is>
      </c>
    </row>
    <row r="797">
      <c r="A797" t="inlineStr">
        <is>
          <t>No</t>
        </is>
      </c>
      <c r="B797" t="inlineStr">
        <is>
          <t>HQ1237.5.U6 J66 1996</t>
        </is>
      </c>
      <c r="C797" t="inlineStr">
        <is>
          <t>0                      HQ 1237500U  6                  J  66          1996</t>
        </is>
      </c>
      <c r="D797" t="inlineStr">
        <is>
          <t>Sexual harassment / Constance Jones.</t>
        </is>
      </c>
      <c r="F797" t="inlineStr">
        <is>
          <t>No</t>
        </is>
      </c>
      <c r="G797" t="inlineStr">
        <is>
          <t>1</t>
        </is>
      </c>
      <c r="H797" t="inlineStr">
        <is>
          <t>No</t>
        </is>
      </c>
      <c r="I797" t="inlineStr">
        <is>
          <t>No</t>
        </is>
      </c>
      <c r="J797" t="inlineStr">
        <is>
          <t>0</t>
        </is>
      </c>
      <c r="K797" t="inlineStr">
        <is>
          <t>Jones, Constance.</t>
        </is>
      </c>
      <c r="L797" t="inlineStr">
        <is>
          <t>New York : Facts on File, c1996.</t>
        </is>
      </c>
      <c r="M797" t="inlineStr">
        <is>
          <t>1996</t>
        </is>
      </c>
      <c r="O797" t="inlineStr">
        <is>
          <t>eng</t>
        </is>
      </c>
      <c r="P797" t="inlineStr">
        <is>
          <t>nyu</t>
        </is>
      </c>
      <c r="Q797" t="inlineStr">
        <is>
          <t>Library in a book</t>
        </is>
      </c>
      <c r="R797" t="inlineStr">
        <is>
          <t xml:space="preserve">HQ </t>
        </is>
      </c>
      <c r="S797" t="n">
        <v>7</v>
      </c>
      <c r="T797" t="n">
        <v>7</v>
      </c>
      <c r="U797" t="inlineStr">
        <is>
          <t>2004-04-25</t>
        </is>
      </c>
      <c r="V797" t="inlineStr">
        <is>
          <t>2004-04-25</t>
        </is>
      </c>
      <c r="W797" t="inlineStr">
        <is>
          <t>1996-07-17</t>
        </is>
      </c>
      <c r="X797" t="inlineStr">
        <is>
          <t>1996-07-17</t>
        </is>
      </c>
      <c r="Y797" t="n">
        <v>527</v>
      </c>
      <c r="Z797" t="n">
        <v>507</v>
      </c>
      <c r="AA797" t="n">
        <v>512</v>
      </c>
      <c r="AB797" t="n">
        <v>4</v>
      </c>
      <c r="AC797" t="n">
        <v>4</v>
      </c>
      <c r="AD797" t="n">
        <v>10</v>
      </c>
      <c r="AE797" t="n">
        <v>10</v>
      </c>
      <c r="AF797" t="n">
        <v>3</v>
      </c>
      <c r="AG797" t="n">
        <v>3</v>
      </c>
      <c r="AH797" t="n">
        <v>2</v>
      </c>
      <c r="AI797" t="n">
        <v>2</v>
      </c>
      <c r="AJ797" t="n">
        <v>3</v>
      </c>
      <c r="AK797" t="n">
        <v>3</v>
      </c>
      <c r="AL797" t="n">
        <v>3</v>
      </c>
      <c r="AM797" t="n">
        <v>3</v>
      </c>
      <c r="AN797" t="n">
        <v>1</v>
      </c>
      <c r="AO797" t="n">
        <v>1</v>
      </c>
      <c r="AP797" t="inlineStr">
        <is>
          <t>No</t>
        </is>
      </c>
      <c r="AQ797" t="inlineStr">
        <is>
          <t>No</t>
        </is>
      </c>
      <c r="AS797">
        <f>HYPERLINK("https://creighton-primo.hosted.exlibrisgroup.com/primo-explore/search?tab=default_tab&amp;search_scope=EVERYTHING&amp;vid=01CRU&amp;lang=en_US&amp;offset=0&amp;query=any,contains,991002496719702656","Catalog Record")</f>
        <v/>
      </c>
      <c r="AT797">
        <f>HYPERLINK("http://www.worldcat.org/oclc/32469005","WorldCat Record")</f>
        <v/>
      </c>
      <c r="AU797" t="inlineStr">
        <is>
          <t>152323233:eng</t>
        </is>
      </c>
      <c r="AV797" t="inlineStr">
        <is>
          <t>32469005</t>
        </is>
      </c>
      <c r="AW797" t="inlineStr">
        <is>
          <t>991002496719702656</t>
        </is>
      </c>
      <c r="AX797" t="inlineStr">
        <is>
          <t>991002496719702656</t>
        </is>
      </c>
      <c r="AY797" t="inlineStr">
        <is>
          <t>2266374320002656</t>
        </is>
      </c>
      <c r="AZ797" t="inlineStr">
        <is>
          <t>BOOK</t>
        </is>
      </c>
      <c r="BB797" t="inlineStr">
        <is>
          <t>9780816032730</t>
        </is>
      </c>
      <c r="BC797" t="inlineStr">
        <is>
          <t>32285002212362</t>
        </is>
      </c>
      <c r="BD797" t="inlineStr">
        <is>
          <t>893510818</t>
        </is>
      </c>
    </row>
    <row r="798">
      <c r="A798" t="inlineStr">
        <is>
          <t>No</t>
        </is>
      </c>
      <c r="B798" t="inlineStr">
        <is>
          <t>HQ1237.5.U6 V36 1993</t>
        </is>
      </c>
      <c r="C798" t="inlineStr">
        <is>
          <t>0                      HQ 1237500U  6                  V  36          1993</t>
        </is>
      </c>
      <c r="D798" t="inlineStr">
        <is>
          <t>Gender responsible leadership : detecting bias, implementing interventions / Catharine Herr Van Nostrand.</t>
        </is>
      </c>
      <c r="F798" t="inlineStr">
        <is>
          <t>No</t>
        </is>
      </c>
      <c r="G798" t="inlineStr">
        <is>
          <t>1</t>
        </is>
      </c>
      <c r="H798" t="inlineStr">
        <is>
          <t>No</t>
        </is>
      </c>
      <c r="I798" t="inlineStr">
        <is>
          <t>No</t>
        </is>
      </c>
      <c r="J798" t="inlineStr">
        <is>
          <t>0</t>
        </is>
      </c>
      <c r="K798" t="inlineStr">
        <is>
          <t>Van Nostrand, Catharine Herr.</t>
        </is>
      </c>
      <c r="L798" t="inlineStr">
        <is>
          <t>Newbury Park, Calif. : Sage Publications, c1993.</t>
        </is>
      </c>
      <c r="M798" t="inlineStr">
        <is>
          <t>1993</t>
        </is>
      </c>
      <c r="O798" t="inlineStr">
        <is>
          <t>eng</t>
        </is>
      </c>
      <c r="P798" t="inlineStr">
        <is>
          <t>cau</t>
        </is>
      </c>
      <c r="R798" t="inlineStr">
        <is>
          <t xml:space="preserve">HQ </t>
        </is>
      </c>
      <c r="S798" t="n">
        <v>24</v>
      </c>
      <c r="T798" t="n">
        <v>24</v>
      </c>
      <c r="U798" t="inlineStr">
        <is>
          <t>2006-04-22</t>
        </is>
      </c>
      <c r="V798" t="inlineStr">
        <is>
          <t>2006-04-22</t>
        </is>
      </c>
      <c r="W798" t="inlineStr">
        <is>
          <t>1993-03-25</t>
        </is>
      </c>
      <c r="X798" t="inlineStr">
        <is>
          <t>1993-03-25</t>
        </is>
      </c>
      <c r="Y798" t="n">
        <v>473</v>
      </c>
      <c r="Z798" t="n">
        <v>373</v>
      </c>
      <c r="AA798" t="n">
        <v>375</v>
      </c>
      <c r="AB798" t="n">
        <v>4</v>
      </c>
      <c r="AC798" t="n">
        <v>4</v>
      </c>
      <c r="AD798" t="n">
        <v>21</v>
      </c>
      <c r="AE798" t="n">
        <v>21</v>
      </c>
      <c r="AF798" t="n">
        <v>5</v>
      </c>
      <c r="AG798" t="n">
        <v>5</v>
      </c>
      <c r="AH798" t="n">
        <v>7</v>
      </c>
      <c r="AI798" t="n">
        <v>7</v>
      </c>
      <c r="AJ798" t="n">
        <v>9</v>
      </c>
      <c r="AK798" t="n">
        <v>9</v>
      </c>
      <c r="AL798" t="n">
        <v>3</v>
      </c>
      <c r="AM798" t="n">
        <v>3</v>
      </c>
      <c r="AN798" t="n">
        <v>1</v>
      </c>
      <c r="AO798" t="n">
        <v>1</v>
      </c>
      <c r="AP798" t="inlineStr">
        <is>
          <t>No</t>
        </is>
      </c>
      <c r="AQ798" t="inlineStr">
        <is>
          <t>Yes</t>
        </is>
      </c>
      <c r="AR798">
        <f>HYPERLINK("http://catalog.hathitrust.org/Record/002615737","HathiTrust Record")</f>
        <v/>
      </c>
      <c r="AS798">
        <f>HYPERLINK("https://creighton-primo.hosted.exlibrisgroup.com/primo-explore/search?tab=default_tab&amp;search_scope=EVERYTHING&amp;vid=01CRU&amp;lang=en_US&amp;offset=0&amp;query=any,contains,991002095939702656","Catalog Record")</f>
        <v/>
      </c>
      <c r="AT798">
        <f>HYPERLINK("http://www.worldcat.org/oclc/26858348","WorldCat Record")</f>
        <v/>
      </c>
      <c r="AU798" t="inlineStr">
        <is>
          <t>836860781:eng</t>
        </is>
      </c>
      <c r="AV798" t="inlineStr">
        <is>
          <t>26858348</t>
        </is>
      </c>
      <c r="AW798" t="inlineStr">
        <is>
          <t>991002095939702656</t>
        </is>
      </c>
      <c r="AX798" t="inlineStr">
        <is>
          <t>991002095939702656</t>
        </is>
      </c>
      <c r="AY798" t="inlineStr">
        <is>
          <t>2268346800002656</t>
        </is>
      </c>
      <c r="AZ798" t="inlineStr">
        <is>
          <t>BOOK</t>
        </is>
      </c>
      <c r="BB798" t="inlineStr">
        <is>
          <t>9780803940499</t>
        </is>
      </c>
      <c r="BC798" t="inlineStr">
        <is>
          <t>32285001498590</t>
        </is>
      </c>
      <c r="BD798" t="inlineStr">
        <is>
          <t>893804220</t>
        </is>
      </c>
    </row>
    <row r="799">
      <c r="A799" t="inlineStr">
        <is>
          <t>No</t>
        </is>
      </c>
      <c r="B799" t="inlineStr">
        <is>
          <t>HQ1240 .G46 1987</t>
        </is>
      </c>
      <c r="C799" t="inlineStr">
        <is>
          <t>0                      HQ 1240000G  46          1987</t>
        </is>
      </c>
      <c r="D799" t="inlineStr">
        <is>
          <t>Geography of gender in the Third World / edited by Janet Henshall Momsen and Janet G. Townsend.</t>
        </is>
      </c>
      <c r="F799" t="inlineStr">
        <is>
          <t>No</t>
        </is>
      </c>
      <c r="G799" t="inlineStr">
        <is>
          <t>1</t>
        </is>
      </c>
      <c r="H799" t="inlineStr">
        <is>
          <t>No</t>
        </is>
      </c>
      <c r="I799" t="inlineStr">
        <is>
          <t>No</t>
        </is>
      </c>
      <c r="J799" t="inlineStr">
        <is>
          <t>0</t>
        </is>
      </c>
      <c r="L799" t="inlineStr">
        <is>
          <t>Albany, N.Y. : State University of New York Press, c1987.</t>
        </is>
      </c>
      <c r="M799" t="inlineStr">
        <is>
          <t>1987</t>
        </is>
      </c>
      <c r="N799" t="inlineStr">
        <is>
          <t>U.S. ed.</t>
        </is>
      </c>
      <c r="O799" t="inlineStr">
        <is>
          <t>eng</t>
        </is>
      </c>
      <c r="P799" t="inlineStr">
        <is>
          <t>nyu</t>
        </is>
      </c>
      <c r="R799" t="inlineStr">
        <is>
          <t xml:space="preserve">HQ </t>
        </is>
      </c>
      <c r="S799" t="n">
        <v>15</v>
      </c>
      <c r="T799" t="n">
        <v>15</v>
      </c>
      <c r="U799" t="inlineStr">
        <is>
          <t>1997-10-05</t>
        </is>
      </c>
      <c r="V799" t="inlineStr">
        <is>
          <t>1997-10-05</t>
        </is>
      </c>
      <c r="W799" t="inlineStr">
        <is>
          <t>1990-07-05</t>
        </is>
      </c>
      <c r="X799" t="inlineStr">
        <is>
          <t>1990-07-05</t>
        </is>
      </c>
      <c r="Y799" t="n">
        <v>470</v>
      </c>
      <c r="Z799" t="n">
        <v>376</v>
      </c>
      <c r="AA799" t="n">
        <v>397</v>
      </c>
      <c r="AB799" t="n">
        <v>4</v>
      </c>
      <c r="AC799" t="n">
        <v>4</v>
      </c>
      <c r="AD799" t="n">
        <v>15</v>
      </c>
      <c r="AE799" t="n">
        <v>17</v>
      </c>
      <c r="AF799" t="n">
        <v>3</v>
      </c>
      <c r="AG799" t="n">
        <v>3</v>
      </c>
      <c r="AH799" t="n">
        <v>4</v>
      </c>
      <c r="AI799" t="n">
        <v>6</v>
      </c>
      <c r="AJ799" t="n">
        <v>7</v>
      </c>
      <c r="AK799" t="n">
        <v>8</v>
      </c>
      <c r="AL799" t="n">
        <v>3</v>
      </c>
      <c r="AM799" t="n">
        <v>3</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HYPERLINK("https://creighton-primo.hosted.exlibrisgroup.com/primo-explore/search?tab=default_tab&amp;search_scope=EVERYTHING&amp;vid=01CRU&amp;lang=en_US&amp;offset=0&amp;query=any,contains,991000908749702656","Catalog Record")</f>
        <v/>
      </c>
      <c r="AT799">
        <f>HYPERLINK("http://www.worldcat.org/oclc/14128228","WorldCat Record")</f>
        <v/>
      </c>
      <c r="AU799" t="inlineStr">
        <is>
          <t>351177979:eng</t>
        </is>
      </c>
      <c r="AV799" t="inlineStr">
        <is>
          <t>14128228</t>
        </is>
      </c>
      <c r="AW799" t="inlineStr">
        <is>
          <t>991000908749702656</t>
        </is>
      </c>
      <c r="AX799" t="inlineStr">
        <is>
          <t>991000908749702656</t>
        </is>
      </c>
      <c r="AY799" t="inlineStr">
        <is>
          <t>2261154200002656</t>
        </is>
      </c>
      <c r="AZ799" t="inlineStr">
        <is>
          <t>BOOK</t>
        </is>
      </c>
      <c r="BB799" t="inlineStr">
        <is>
          <t>9780887064401</t>
        </is>
      </c>
      <c r="BC799" t="inlineStr">
        <is>
          <t>32285000221357</t>
        </is>
      </c>
      <c r="BD799" t="inlineStr">
        <is>
          <t>893509215</t>
        </is>
      </c>
    </row>
    <row r="800">
      <c r="A800" t="inlineStr">
        <is>
          <t>No</t>
        </is>
      </c>
      <c r="B800" t="inlineStr">
        <is>
          <t>HQ1240 .K37 1991</t>
        </is>
      </c>
      <c r="C800" t="inlineStr">
        <is>
          <t>0                      HQ 1240000K  37          1991</t>
        </is>
      </c>
      <c r="D800" t="inlineStr">
        <is>
          <t>Bringing women in : women's issues in international development programs / Nüket Kardam.</t>
        </is>
      </c>
      <c r="F800" t="inlineStr">
        <is>
          <t>No</t>
        </is>
      </c>
      <c r="G800" t="inlineStr">
        <is>
          <t>1</t>
        </is>
      </c>
      <c r="H800" t="inlineStr">
        <is>
          <t>No</t>
        </is>
      </c>
      <c r="I800" t="inlineStr">
        <is>
          <t>No</t>
        </is>
      </c>
      <c r="J800" t="inlineStr">
        <is>
          <t>0</t>
        </is>
      </c>
      <c r="K800" t="inlineStr">
        <is>
          <t>Kardam, Nüket.</t>
        </is>
      </c>
      <c r="L800" t="inlineStr">
        <is>
          <t>Boulder ; London : Rienner, 1991.</t>
        </is>
      </c>
      <c r="M800" t="inlineStr">
        <is>
          <t>1991</t>
        </is>
      </c>
      <c r="O800" t="inlineStr">
        <is>
          <t>eng</t>
        </is>
      </c>
      <c r="P800" t="inlineStr">
        <is>
          <t>enk</t>
        </is>
      </c>
      <c r="R800" t="inlineStr">
        <is>
          <t xml:space="preserve">HQ </t>
        </is>
      </c>
      <c r="S800" t="n">
        <v>5</v>
      </c>
      <c r="T800" t="n">
        <v>5</v>
      </c>
      <c r="U800" t="inlineStr">
        <is>
          <t>1994-01-12</t>
        </is>
      </c>
      <c r="V800" t="inlineStr">
        <is>
          <t>1994-01-12</t>
        </is>
      </c>
      <c r="W800" t="inlineStr">
        <is>
          <t>1991-02-22</t>
        </is>
      </c>
      <c r="X800" t="inlineStr">
        <is>
          <t>1991-02-22</t>
        </is>
      </c>
      <c r="Y800" t="n">
        <v>34</v>
      </c>
      <c r="Z800" t="n">
        <v>27</v>
      </c>
      <c r="AA800" t="n">
        <v>255</v>
      </c>
      <c r="AB800" t="n">
        <v>1</v>
      </c>
      <c r="AC800" t="n">
        <v>3</v>
      </c>
      <c r="AD800" t="n">
        <v>2</v>
      </c>
      <c r="AE800" t="n">
        <v>13</v>
      </c>
      <c r="AF800" t="n">
        <v>0</v>
      </c>
      <c r="AG800" t="n">
        <v>1</v>
      </c>
      <c r="AH800" t="n">
        <v>2</v>
      </c>
      <c r="AI800" t="n">
        <v>5</v>
      </c>
      <c r="AJ800" t="n">
        <v>1</v>
      </c>
      <c r="AK800" t="n">
        <v>8</v>
      </c>
      <c r="AL800" t="n">
        <v>0</v>
      </c>
      <c r="AM800" t="n">
        <v>2</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HYPERLINK("https://creighton-primo.hosted.exlibrisgroup.com/primo-explore/search?tab=default_tab&amp;search_scope=EVERYTHING&amp;vid=01CRU&amp;lang=en_US&amp;offset=0&amp;query=any,contains,991001735139702656","Catalog Record")</f>
        <v/>
      </c>
      <c r="AT800">
        <f>HYPERLINK("http://www.worldcat.org/oclc/21969801","WorldCat Record")</f>
        <v/>
      </c>
      <c r="AU800" t="inlineStr">
        <is>
          <t>836714459:eng</t>
        </is>
      </c>
      <c r="AV800" t="inlineStr">
        <is>
          <t>21969801</t>
        </is>
      </c>
      <c r="AW800" t="inlineStr">
        <is>
          <t>991001735139702656</t>
        </is>
      </c>
      <c r="AX800" t="inlineStr">
        <is>
          <t>991001735139702656</t>
        </is>
      </c>
      <c r="AY800" t="inlineStr">
        <is>
          <t>2255328460002656</t>
        </is>
      </c>
      <c r="AZ800" t="inlineStr">
        <is>
          <t>BOOK</t>
        </is>
      </c>
      <c r="BB800" t="inlineStr">
        <is>
          <t>9781555872052</t>
        </is>
      </c>
      <c r="BC800" t="inlineStr">
        <is>
          <t>32285000491307</t>
        </is>
      </c>
      <c r="BD800" t="inlineStr">
        <is>
          <t>893590594</t>
        </is>
      </c>
    </row>
    <row r="801">
      <c r="A801" t="inlineStr">
        <is>
          <t>No</t>
        </is>
      </c>
      <c r="B801" t="inlineStr">
        <is>
          <t>HQ1240 .L43 1986</t>
        </is>
      </c>
      <c r="C801" t="inlineStr">
        <is>
          <t>0                      HQ 1240000L  43          1986</t>
        </is>
      </c>
      <c r="D801" t="inlineStr">
        <is>
          <t>Development strategies and the status of women : a comparative study of the United States, Mexico, the Soviet Union, and Cuba / Margaret E. Leahy.</t>
        </is>
      </c>
      <c r="F801" t="inlineStr">
        <is>
          <t>No</t>
        </is>
      </c>
      <c r="G801" t="inlineStr">
        <is>
          <t>1</t>
        </is>
      </c>
      <c r="H801" t="inlineStr">
        <is>
          <t>No</t>
        </is>
      </c>
      <c r="I801" t="inlineStr">
        <is>
          <t>No</t>
        </is>
      </c>
      <c r="J801" t="inlineStr">
        <is>
          <t>0</t>
        </is>
      </c>
      <c r="K801" t="inlineStr">
        <is>
          <t>Leahy, Margaret E.</t>
        </is>
      </c>
      <c r="L801" t="inlineStr">
        <is>
          <t>Boulder, Colo. : L. Rienner Publishers, 1986.</t>
        </is>
      </c>
      <c r="M801" t="inlineStr">
        <is>
          <t>1986</t>
        </is>
      </c>
      <c r="O801" t="inlineStr">
        <is>
          <t>eng</t>
        </is>
      </c>
      <c r="P801" t="inlineStr">
        <is>
          <t>cou</t>
        </is>
      </c>
      <c r="R801" t="inlineStr">
        <is>
          <t xml:space="preserve">HQ </t>
        </is>
      </c>
      <c r="S801" t="n">
        <v>18</v>
      </c>
      <c r="T801" t="n">
        <v>18</v>
      </c>
      <c r="U801" t="inlineStr">
        <is>
          <t>1998-10-04</t>
        </is>
      </c>
      <c r="V801" t="inlineStr">
        <is>
          <t>1998-10-04</t>
        </is>
      </c>
      <c r="W801" t="inlineStr">
        <is>
          <t>1989-10-23</t>
        </is>
      </c>
      <c r="X801" t="inlineStr">
        <is>
          <t>1989-10-23</t>
        </is>
      </c>
      <c r="Y801" t="n">
        <v>616</v>
      </c>
      <c r="Z801" t="n">
        <v>496</v>
      </c>
      <c r="AA801" t="n">
        <v>497</v>
      </c>
      <c r="AB801" t="n">
        <v>5</v>
      </c>
      <c r="AC801" t="n">
        <v>5</v>
      </c>
      <c r="AD801" t="n">
        <v>22</v>
      </c>
      <c r="AE801" t="n">
        <v>22</v>
      </c>
      <c r="AF801" t="n">
        <v>6</v>
      </c>
      <c r="AG801" t="n">
        <v>6</v>
      </c>
      <c r="AH801" t="n">
        <v>7</v>
      </c>
      <c r="AI801" t="n">
        <v>7</v>
      </c>
      <c r="AJ801" t="n">
        <v>9</v>
      </c>
      <c r="AK801" t="n">
        <v>9</v>
      </c>
      <c r="AL801" t="n">
        <v>4</v>
      </c>
      <c r="AM801" t="n">
        <v>4</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HYPERLINK("https://creighton-primo.hosted.exlibrisgroup.com/primo-explore/search?tab=default_tab&amp;search_scope=EVERYTHING&amp;vid=01CRU&amp;lang=en_US&amp;offset=0&amp;query=any,contains,991000752729702656","Catalog Record")</f>
        <v/>
      </c>
      <c r="AT801">
        <f>HYPERLINK("http://www.worldcat.org/oclc/12943236","WorldCat Record")</f>
        <v/>
      </c>
      <c r="AU801" t="inlineStr">
        <is>
          <t>309147042:eng</t>
        </is>
      </c>
      <c r="AV801" t="inlineStr">
        <is>
          <t>12943236</t>
        </is>
      </c>
      <c r="AW801" t="inlineStr">
        <is>
          <t>991000752729702656</t>
        </is>
      </c>
      <c r="AX801" t="inlineStr">
        <is>
          <t>991000752729702656</t>
        </is>
      </c>
      <c r="AY801" t="inlineStr">
        <is>
          <t>2269605800002656</t>
        </is>
      </c>
      <c r="AZ801" t="inlineStr">
        <is>
          <t>BOOK</t>
        </is>
      </c>
      <c r="BB801" t="inlineStr">
        <is>
          <t>9780931477645</t>
        </is>
      </c>
      <c r="BC801" t="inlineStr">
        <is>
          <t>32285000002054</t>
        </is>
      </c>
      <c r="BD801" t="inlineStr">
        <is>
          <t>893315199</t>
        </is>
      </c>
    </row>
    <row r="802">
      <c r="A802" t="inlineStr">
        <is>
          <t>No</t>
        </is>
      </c>
      <c r="B802" t="inlineStr">
        <is>
          <t>HQ1240 .P56 2000</t>
        </is>
      </c>
      <c r="C802" t="inlineStr">
        <is>
          <t>0                      HQ 1240000P  56          2000</t>
        </is>
      </c>
      <c r="D802" t="inlineStr">
        <is>
          <t>Guía didáctica mujer y medioambiente : (técnicas y ejercicios para el trabajo) / Irvin Noris Pimentel Rosario.</t>
        </is>
      </c>
      <c r="F802" t="inlineStr">
        <is>
          <t>No</t>
        </is>
      </c>
      <c r="G802" t="inlineStr">
        <is>
          <t>1</t>
        </is>
      </c>
      <c r="H802" t="inlineStr">
        <is>
          <t>No</t>
        </is>
      </c>
      <c r="I802" t="inlineStr">
        <is>
          <t>No</t>
        </is>
      </c>
      <c r="J802" t="inlineStr">
        <is>
          <t>0</t>
        </is>
      </c>
      <c r="K802" t="inlineStr">
        <is>
          <t>Pimentel Rosario, Irvin Noris.</t>
        </is>
      </c>
      <c r="L802" t="inlineStr">
        <is>
          <t>República Dominicana : [s.n.], 2000</t>
        </is>
      </c>
      <c r="M802" t="inlineStr">
        <is>
          <t>2000</t>
        </is>
      </c>
      <c r="N802" t="inlineStr">
        <is>
          <t>1. ed.</t>
        </is>
      </c>
      <c r="O802" t="inlineStr">
        <is>
          <t>spa</t>
        </is>
      </c>
      <c r="P802" t="inlineStr">
        <is>
          <t xml:space="preserve">dr </t>
        </is>
      </c>
      <c r="R802" t="inlineStr">
        <is>
          <t xml:space="preserve">HQ </t>
        </is>
      </c>
      <c r="S802" t="n">
        <v>1</v>
      </c>
      <c r="T802" t="n">
        <v>1</v>
      </c>
      <c r="U802" t="inlineStr">
        <is>
          <t>2001-08-30</t>
        </is>
      </c>
      <c r="V802" t="inlineStr">
        <is>
          <t>2001-08-30</t>
        </is>
      </c>
      <c r="W802" t="inlineStr">
        <is>
          <t>2001-08-30</t>
        </is>
      </c>
      <c r="X802" t="inlineStr">
        <is>
          <t>2001-08-30</t>
        </is>
      </c>
      <c r="Y802" t="n">
        <v>4</v>
      </c>
      <c r="Z802" t="n">
        <v>4</v>
      </c>
      <c r="AA802" t="n">
        <v>5</v>
      </c>
      <c r="AB802" t="n">
        <v>1</v>
      </c>
      <c r="AC802" t="n">
        <v>1</v>
      </c>
      <c r="AD802" t="n">
        <v>0</v>
      </c>
      <c r="AE802" t="n">
        <v>0</v>
      </c>
      <c r="AF802" t="n">
        <v>0</v>
      </c>
      <c r="AG802" t="n">
        <v>0</v>
      </c>
      <c r="AH802" t="n">
        <v>0</v>
      </c>
      <c r="AI802" t="n">
        <v>0</v>
      </c>
      <c r="AJ802" t="n">
        <v>0</v>
      </c>
      <c r="AK802" t="n">
        <v>0</v>
      </c>
      <c r="AL802" t="n">
        <v>0</v>
      </c>
      <c r="AM802" t="n">
        <v>0</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HYPERLINK("https://creighton-primo.hosted.exlibrisgroup.com/primo-explore/search?tab=default_tab&amp;search_scope=EVERYTHING&amp;vid=01CRU&amp;lang=en_US&amp;offset=0&amp;query=any,contains,991003285099702656","Catalog Record")</f>
        <v/>
      </c>
      <c r="AT802">
        <f>HYPERLINK("http://www.worldcat.org/oclc/47206078","WorldCat Record")</f>
        <v/>
      </c>
      <c r="AU802" t="inlineStr">
        <is>
          <t>478076126:spa</t>
        </is>
      </c>
      <c r="AV802" t="inlineStr">
        <is>
          <t>47206078</t>
        </is>
      </c>
      <c r="AW802" t="inlineStr">
        <is>
          <t>991003285099702656</t>
        </is>
      </c>
      <c r="AX802" t="inlineStr">
        <is>
          <t>991003285099702656</t>
        </is>
      </c>
      <c r="AY802" t="inlineStr">
        <is>
          <t>2257180380002656</t>
        </is>
      </c>
      <c r="AZ802" t="inlineStr">
        <is>
          <t>BOOK</t>
        </is>
      </c>
      <c r="BC802" t="inlineStr">
        <is>
          <t>32285004383534</t>
        </is>
      </c>
      <c r="BD802" t="inlineStr">
        <is>
          <t>893317842</t>
        </is>
      </c>
    </row>
    <row r="803">
      <c r="A803" t="inlineStr">
        <is>
          <t>No</t>
        </is>
      </c>
      <c r="B803" t="inlineStr">
        <is>
          <t>HQ1240 .S38 1995</t>
        </is>
      </c>
      <c r="C803" t="inlineStr">
        <is>
          <t>0                      HQ 1240000S  38          1995</t>
        </is>
      </c>
      <c r="D803" t="inlineStr">
        <is>
          <t>Gender and development : rethinking modernization and dependency theory / Catherine V. Scott.</t>
        </is>
      </c>
      <c r="F803" t="inlineStr">
        <is>
          <t>No</t>
        </is>
      </c>
      <c r="G803" t="inlineStr">
        <is>
          <t>1</t>
        </is>
      </c>
      <c r="H803" t="inlineStr">
        <is>
          <t>No</t>
        </is>
      </c>
      <c r="I803" t="inlineStr">
        <is>
          <t>No</t>
        </is>
      </c>
      <c r="J803" t="inlineStr">
        <is>
          <t>0</t>
        </is>
      </c>
      <c r="K803" t="inlineStr">
        <is>
          <t>Scott, Catherine V. (Catherine Virginia)</t>
        </is>
      </c>
      <c r="L803" t="inlineStr">
        <is>
          <t>Boulder : L. Rienner Publishers, 1995.</t>
        </is>
      </c>
      <c r="M803" t="inlineStr">
        <is>
          <t>1995</t>
        </is>
      </c>
      <c r="O803" t="inlineStr">
        <is>
          <t>eng</t>
        </is>
      </c>
      <c r="P803" t="inlineStr">
        <is>
          <t>cou</t>
        </is>
      </c>
      <c r="Q803" t="inlineStr">
        <is>
          <t>Women and change in the developing world</t>
        </is>
      </c>
      <c r="R803" t="inlineStr">
        <is>
          <t xml:space="preserve">HQ </t>
        </is>
      </c>
      <c r="S803" t="n">
        <v>8</v>
      </c>
      <c r="T803" t="n">
        <v>8</v>
      </c>
      <c r="U803" t="inlineStr">
        <is>
          <t>2004-03-31</t>
        </is>
      </c>
      <c r="V803" t="inlineStr">
        <is>
          <t>2004-03-31</t>
        </is>
      </c>
      <c r="W803" t="inlineStr">
        <is>
          <t>1996-03-25</t>
        </is>
      </c>
      <c r="X803" t="inlineStr">
        <is>
          <t>1996-03-25</t>
        </is>
      </c>
      <c r="Y803" t="n">
        <v>572</v>
      </c>
      <c r="Z803" t="n">
        <v>410</v>
      </c>
      <c r="AA803" t="n">
        <v>502</v>
      </c>
      <c r="AB803" t="n">
        <v>4</v>
      </c>
      <c r="AC803" t="n">
        <v>4</v>
      </c>
      <c r="AD803" t="n">
        <v>27</v>
      </c>
      <c r="AE803" t="n">
        <v>33</v>
      </c>
      <c r="AF803" t="n">
        <v>9</v>
      </c>
      <c r="AG803" t="n">
        <v>15</v>
      </c>
      <c r="AH803" t="n">
        <v>8</v>
      </c>
      <c r="AI803" t="n">
        <v>9</v>
      </c>
      <c r="AJ803" t="n">
        <v>15</v>
      </c>
      <c r="AK803" t="n">
        <v>16</v>
      </c>
      <c r="AL803" t="n">
        <v>3</v>
      </c>
      <c r="AM803" t="n">
        <v>3</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HYPERLINK("https://creighton-primo.hosted.exlibrisgroup.com/primo-explore/search?tab=default_tab&amp;search_scope=EVERYTHING&amp;vid=01CRU&amp;lang=en_US&amp;offset=0&amp;query=any,contains,991002360299702656","Catalog Record")</f>
        <v/>
      </c>
      <c r="AT803">
        <f>HYPERLINK("http://www.worldcat.org/oclc/30700947","WorldCat Record")</f>
        <v/>
      </c>
      <c r="AU803" t="inlineStr">
        <is>
          <t>836887815:eng</t>
        </is>
      </c>
      <c r="AV803" t="inlineStr">
        <is>
          <t>30700947</t>
        </is>
      </c>
      <c r="AW803" t="inlineStr">
        <is>
          <t>991002360299702656</t>
        </is>
      </c>
      <c r="AX803" t="inlineStr">
        <is>
          <t>991002360299702656</t>
        </is>
      </c>
      <c r="AY803" t="inlineStr">
        <is>
          <t>2263848960002656</t>
        </is>
      </c>
      <c r="AZ803" t="inlineStr">
        <is>
          <t>BOOK</t>
        </is>
      </c>
      <c r="BB803" t="inlineStr">
        <is>
          <t>9781555874100</t>
        </is>
      </c>
      <c r="BC803" t="inlineStr">
        <is>
          <t>32285002146321</t>
        </is>
      </c>
      <c r="BD803" t="inlineStr">
        <is>
          <t>893409014</t>
        </is>
      </c>
    </row>
    <row r="804">
      <c r="A804" t="inlineStr">
        <is>
          <t>No</t>
        </is>
      </c>
      <c r="B804" t="inlineStr">
        <is>
          <t>HQ1240 .S54 2002</t>
        </is>
      </c>
      <c r="C804" t="inlineStr">
        <is>
          <t>0                      HQ 1240000S  54          2002</t>
        </is>
      </c>
      <c r="D804" t="inlineStr">
        <is>
          <t>Shifting burdens : gender and agrarian change under neoliberalism / edited by Shahra Razavi.</t>
        </is>
      </c>
      <c r="F804" t="inlineStr">
        <is>
          <t>No</t>
        </is>
      </c>
      <c r="G804" t="inlineStr">
        <is>
          <t>1</t>
        </is>
      </c>
      <c r="H804" t="inlineStr">
        <is>
          <t>No</t>
        </is>
      </c>
      <c r="I804" t="inlineStr">
        <is>
          <t>No</t>
        </is>
      </c>
      <c r="J804" t="inlineStr">
        <is>
          <t>0</t>
        </is>
      </c>
      <c r="L804" t="inlineStr">
        <is>
          <t>Bloomfield, CT : Kumarian Press, 2002.</t>
        </is>
      </c>
      <c r="M804" t="inlineStr">
        <is>
          <t>2002</t>
        </is>
      </c>
      <c r="O804" t="inlineStr">
        <is>
          <t>eng</t>
        </is>
      </c>
      <c r="P804" t="inlineStr">
        <is>
          <t>ctu</t>
        </is>
      </c>
      <c r="R804" t="inlineStr">
        <is>
          <t xml:space="preserve">HQ </t>
        </is>
      </c>
      <c r="S804" t="n">
        <v>2</v>
      </c>
      <c r="T804" t="n">
        <v>2</v>
      </c>
      <c r="U804" t="inlineStr">
        <is>
          <t>2002-09-04</t>
        </is>
      </c>
      <c r="V804" t="inlineStr">
        <is>
          <t>2002-09-04</t>
        </is>
      </c>
      <c r="W804" t="inlineStr">
        <is>
          <t>2002-09-04</t>
        </is>
      </c>
      <c r="X804" t="inlineStr">
        <is>
          <t>2002-09-04</t>
        </is>
      </c>
      <c r="Y804" t="n">
        <v>259</v>
      </c>
      <c r="Z804" t="n">
        <v>194</v>
      </c>
      <c r="AA804" t="n">
        <v>227</v>
      </c>
      <c r="AB804" t="n">
        <v>3</v>
      </c>
      <c r="AC804" t="n">
        <v>3</v>
      </c>
      <c r="AD804" t="n">
        <v>10</v>
      </c>
      <c r="AE804" t="n">
        <v>12</v>
      </c>
      <c r="AF804" t="n">
        <v>2</v>
      </c>
      <c r="AG804" t="n">
        <v>4</v>
      </c>
      <c r="AH804" t="n">
        <v>5</v>
      </c>
      <c r="AI804" t="n">
        <v>6</v>
      </c>
      <c r="AJ804" t="n">
        <v>5</v>
      </c>
      <c r="AK804" t="n">
        <v>5</v>
      </c>
      <c r="AL804" t="n">
        <v>2</v>
      </c>
      <c r="AM804" t="n">
        <v>2</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HYPERLINK("https://creighton-primo.hosted.exlibrisgroup.com/primo-explore/search?tab=default_tab&amp;search_scope=EVERYTHING&amp;vid=01CRU&amp;lang=en_US&amp;offset=0&amp;query=any,contains,991003855329702656","Catalog Record")</f>
        <v/>
      </c>
      <c r="AT804">
        <f>HYPERLINK("http://www.worldcat.org/oclc/48588357","WorldCat Record")</f>
        <v/>
      </c>
      <c r="AU804" t="inlineStr">
        <is>
          <t>793929091:eng</t>
        </is>
      </c>
      <c r="AV804" t="inlineStr">
        <is>
          <t>48588357</t>
        </is>
      </c>
      <c r="AW804" t="inlineStr">
        <is>
          <t>991003855329702656</t>
        </is>
      </c>
      <c r="AX804" t="inlineStr">
        <is>
          <t>991003855329702656</t>
        </is>
      </c>
      <c r="AY804" t="inlineStr">
        <is>
          <t>2257747950002656</t>
        </is>
      </c>
      <c r="AZ804" t="inlineStr">
        <is>
          <t>BOOK</t>
        </is>
      </c>
      <c r="BB804" t="inlineStr">
        <is>
          <t>9781565491434</t>
        </is>
      </c>
      <c r="BC804" t="inlineStr">
        <is>
          <t>32285004645932</t>
        </is>
      </c>
      <c r="BD804" t="inlineStr">
        <is>
          <t>893435542</t>
        </is>
      </c>
    </row>
    <row r="805">
      <c r="A805" t="inlineStr">
        <is>
          <t>No</t>
        </is>
      </c>
      <c r="B805" t="inlineStr">
        <is>
          <t>HQ1240 .W656 1993</t>
        </is>
      </c>
      <c r="C805" t="inlineStr">
        <is>
          <t>0                      HQ 1240000W  656         1993</t>
        </is>
      </c>
      <c r="D805" t="inlineStr">
        <is>
          <t>Women at the center : development issues and practices for the 1990s / editors, Gay Young, Vidyamali Samarasinghe, Ken Kusterer.</t>
        </is>
      </c>
      <c r="F805" t="inlineStr">
        <is>
          <t>No</t>
        </is>
      </c>
      <c r="G805" t="inlineStr">
        <is>
          <t>1</t>
        </is>
      </c>
      <c r="H805" t="inlineStr">
        <is>
          <t>No</t>
        </is>
      </c>
      <c r="I805" t="inlineStr">
        <is>
          <t>No</t>
        </is>
      </c>
      <c r="J805" t="inlineStr">
        <is>
          <t>0</t>
        </is>
      </c>
      <c r="L805" t="inlineStr">
        <is>
          <t>West Hartford, Conn. : Kumarian Press, c1993.</t>
        </is>
      </c>
      <c r="M805" t="inlineStr">
        <is>
          <t>1993</t>
        </is>
      </c>
      <c r="O805" t="inlineStr">
        <is>
          <t>eng</t>
        </is>
      </c>
      <c r="P805" t="inlineStr">
        <is>
          <t>ctu</t>
        </is>
      </c>
      <c r="Q805" t="inlineStr">
        <is>
          <t>Kumarian Press library of management for development</t>
        </is>
      </c>
      <c r="R805" t="inlineStr">
        <is>
          <t xml:space="preserve">HQ </t>
        </is>
      </c>
      <c r="S805" t="n">
        <v>14</v>
      </c>
      <c r="T805" t="n">
        <v>14</v>
      </c>
      <c r="U805" t="inlineStr">
        <is>
          <t>2000-11-28</t>
        </is>
      </c>
      <c r="V805" t="inlineStr">
        <is>
          <t>2000-11-28</t>
        </is>
      </c>
      <c r="W805" t="inlineStr">
        <is>
          <t>1994-04-21</t>
        </is>
      </c>
      <c r="X805" t="inlineStr">
        <is>
          <t>1994-04-21</t>
        </is>
      </c>
      <c r="Y805" t="n">
        <v>372</v>
      </c>
      <c r="Z805" t="n">
        <v>282</v>
      </c>
      <c r="AA805" t="n">
        <v>288</v>
      </c>
      <c r="AB805" t="n">
        <v>5</v>
      </c>
      <c r="AC805" t="n">
        <v>5</v>
      </c>
      <c r="AD805" t="n">
        <v>16</v>
      </c>
      <c r="AE805" t="n">
        <v>16</v>
      </c>
      <c r="AF805" t="n">
        <v>5</v>
      </c>
      <c r="AG805" t="n">
        <v>5</v>
      </c>
      <c r="AH805" t="n">
        <v>5</v>
      </c>
      <c r="AI805" t="n">
        <v>5</v>
      </c>
      <c r="AJ805" t="n">
        <v>7</v>
      </c>
      <c r="AK805" t="n">
        <v>7</v>
      </c>
      <c r="AL805" t="n">
        <v>4</v>
      </c>
      <c r="AM805" t="n">
        <v>4</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HYPERLINK("https://creighton-primo.hosted.exlibrisgroup.com/primo-explore/search?tab=default_tab&amp;search_scope=EVERYTHING&amp;vid=01CRU&amp;lang=en_US&amp;offset=0&amp;query=any,contains,991002216269702656","Catalog Record")</f>
        <v/>
      </c>
      <c r="AT805">
        <f>HYPERLINK("http://www.worldcat.org/oclc/28547357","WorldCat Record")</f>
        <v/>
      </c>
      <c r="AU805" t="inlineStr">
        <is>
          <t>375695600:eng</t>
        </is>
      </c>
      <c r="AV805" t="inlineStr">
        <is>
          <t>28547357</t>
        </is>
      </c>
      <c r="AW805" t="inlineStr">
        <is>
          <t>991002216269702656</t>
        </is>
      </c>
      <c r="AX805" t="inlineStr">
        <is>
          <t>991002216269702656</t>
        </is>
      </c>
      <c r="AY805" t="inlineStr">
        <is>
          <t>2257602400002656</t>
        </is>
      </c>
      <c r="AZ805" t="inlineStr">
        <is>
          <t>BOOK</t>
        </is>
      </c>
      <c r="BB805" t="inlineStr">
        <is>
          <t>9781565490291</t>
        </is>
      </c>
      <c r="BC805" t="inlineStr">
        <is>
          <t>32285001876571</t>
        </is>
      </c>
      <c r="BD805" t="inlineStr">
        <is>
          <t>893414957</t>
        </is>
      </c>
    </row>
    <row r="806">
      <c r="A806" t="inlineStr">
        <is>
          <t>No</t>
        </is>
      </c>
      <c r="B806" t="inlineStr">
        <is>
          <t>HQ1240.5.A35 G67 1996</t>
        </is>
      </c>
      <c r="C806" t="inlineStr">
        <is>
          <t>0                      HQ 1240500A  35                 G  67          1996</t>
        </is>
      </c>
      <c r="D806" t="inlineStr">
        <is>
          <t>Transforming capitalism and patriarchy : gender and development in Africa / April A. Gordon.</t>
        </is>
      </c>
      <c r="F806" t="inlineStr">
        <is>
          <t>No</t>
        </is>
      </c>
      <c r="G806" t="inlineStr">
        <is>
          <t>1</t>
        </is>
      </c>
      <c r="H806" t="inlineStr">
        <is>
          <t>No</t>
        </is>
      </c>
      <c r="I806" t="inlineStr">
        <is>
          <t>No</t>
        </is>
      </c>
      <c r="J806" t="inlineStr">
        <is>
          <t>0</t>
        </is>
      </c>
      <c r="K806" t="inlineStr">
        <is>
          <t>Gordon, April A.</t>
        </is>
      </c>
      <c r="L806" t="inlineStr">
        <is>
          <t>Boulder, Col. : Lynne Rienner, 1996.</t>
        </is>
      </c>
      <c r="M806" t="inlineStr">
        <is>
          <t>1996</t>
        </is>
      </c>
      <c r="O806" t="inlineStr">
        <is>
          <t>eng</t>
        </is>
      </c>
      <c r="P806" t="inlineStr">
        <is>
          <t>cou</t>
        </is>
      </c>
      <c r="Q806" t="inlineStr">
        <is>
          <t>Women and change in the developing world</t>
        </is>
      </c>
      <c r="R806" t="inlineStr">
        <is>
          <t xml:space="preserve">HQ </t>
        </is>
      </c>
      <c r="S806" t="n">
        <v>7</v>
      </c>
      <c r="T806" t="n">
        <v>7</v>
      </c>
      <c r="U806" t="inlineStr">
        <is>
          <t>2005-11-08</t>
        </is>
      </c>
      <c r="V806" t="inlineStr">
        <is>
          <t>2005-11-08</t>
        </is>
      </c>
      <c r="W806" t="inlineStr">
        <is>
          <t>1997-04-17</t>
        </is>
      </c>
      <c r="X806" t="inlineStr">
        <is>
          <t>1997-04-17</t>
        </is>
      </c>
      <c r="Y806" t="n">
        <v>501</v>
      </c>
      <c r="Z806" t="n">
        <v>377</v>
      </c>
      <c r="AA806" t="n">
        <v>377</v>
      </c>
      <c r="AB806" t="n">
        <v>1</v>
      </c>
      <c r="AC806" t="n">
        <v>1</v>
      </c>
      <c r="AD806" t="n">
        <v>17</v>
      </c>
      <c r="AE806" t="n">
        <v>17</v>
      </c>
      <c r="AF806" t="n">
        <v>8</v>
      </c>
      <c r="AG806" t="n">
        <v>8</v>
      </c>
      <c r="AH806" t="n">
        <v>4</v>
      </c>
      <c r="AI806" t="n">
        <v>4</v>
      </c>
      <c r="AJ806" t="n">
        <v>11</v>
      </c>
      <c r="AK806" t="n">
        <v>11</v>
      </c>
      <c r="AL806" t="n">
        <v>0</v>
      </c>
      <c r="AM806" t="n">
        <v>0</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HYPERLINK("https://creighton-primo.hosted.exlibrisgroup.com/primo-explore/search?tab=default_tab&amp;search_scope=EVERYTHING&amp;vid=01CRU&amp;lang=en_US&amp;offset=0&amp;query=any,contains,991002550269702656","Catalog Record")</f>
        <v/>
      </c>
      <c r="AT806">
        <f>HYPERLINK("http://www.worldcat.org/oclc/33132440","WorldCat Record")</f>
        <v/>
      </c>
      <c r="AU806" t="inlineStr">
        <is>
          <t>836997323:eng</t>
        </is>
      </c>
      <c r="AV806" t="inlineStr">
        <is>
          <t>33132440</t>
        </is>
      </c>
      <c r="AW806" t="inlineStr">
        <is>
          <t>991002550269702656</t>
        </is>
      </c>
      <c r="AX806" t="inlineStr">
        <is>
          <t>991002550269702656</t>
        </is>
      </c>
      <c r="AY806" t="inlineStr">
        <is>
          <t>2269292540002656</t>
        </is>
      </c>
      <c r="AZ806" t="inlineStr">
        <is>
          <t>BOOK</t>
        </is>
      </c>
      <c r="BB806" t="inlineStr">
        <is>
          <t>9781555874025</t>
        </is>
      </c>
      <c r="BC806" t="inlineStr">
        <is>
          <t>32285002498078</t>
        </is>
      </c>
      <c r="BD806" t="inlineStr">
        <is>
          <t>893251364</t>
        </is>
      </c>
    </row>
    <row r="807">
      <c r="A807" t="inlineStr">
        <is>
          <t>No</t>
        </is>
      </c>
      <c r="B807" t="inlineStr">
        <is>
          <t>HQ1240.5.A357 W66 1989</t>
        </is>
      </c>
      <c r="C807" t="inlineStr">
        <is>
          <t>0                      HQ 1240500A  357                W  66          1989</t>
        </is>
      </c>
      <c r="D807" t="inlineStr">
        <is>
          <t>Women and development in Africa : comparative perspectives / edited by Jane L. Parpart.</t>
        </is>
      </c>
      <c r="F807" t="inlineStr">
        <is>
          <t>No</t>
        </is>
      </c>
      <c r="G807" t="inlineStr">
        <is>
          <t>1</t>
        </is>
      </c>
      <c r="H807" t="inlineStr">
        <is>
          <t>No</t>
        </is>
      </c>
      <c r="I807" t="inlineStr">
        <is>
          <t>No</t>
        </is>
      </c>
      <c r="J807" t="inlineStr">
        <is>
          <t>0</t>
        </is>
      </c>
      <c r="L807" t="inlineStr">
        <is>
          <t>Lanham : University Press of America, c1989.</t>
        </is>
      </c>
      <c r="M807" t="inlineStr">
        <is>
          <t>1989</t>
        </is>
      </c>
      <c r="O807" t="inlineStr">
        <is>
          <t>eng</t>
        </is>
      </c>
      <c r="P807" t="inlineStr">
        <is>
          <t>mdu</t>
        </is>
      </c>
      <c r="Q807" t="inlineStr">
        <is>
          <t>Dalhousie African studies series ; 7</t>
        </is>
      </c>
      <c r="R807" t="inlineStr">
        <is>
          <t xml:space="preserve">HQ </t>
        </is>
      </c>
      <c r="S807" t="n">
        <v>27</v>
      </c>
      <c r="T807" t="n">
        <v>27</v>
      </c>
      <c r="U807" t="inlineStr">
        <is>
          <t>2008-11-09</t>
        </is>
      </c>
      <c r="V807" t="inlineStr">
        <is>
          <t>2008-11-09</t>
        </is>
      </c>
      <c r="W807" t="inlineStr">
        <is>
          <t>1989-11-13</t>
        </is>
      </c>
      <c r="X807" t="inlineStr">
        <is>
          <t>1989-11-13</t>
        </is>
      </c>
      <c r="Y807" t="n">
        <v>209</v>
      </c>
      <c r="Z807" t="n">
        <v>148</v>
      </c>
      <c r="AA807" t="n">
        <v>150</v>
      </c>
      <c r="AB807" t="n">
        <v>1</v>
      </c>
      <c r="AC807" t="n">
        <v>1</v>
      </c>
      <c r="AD807" t="n">
        <v>2</v>
      </c>
      <c r="AE807" t="n">
        <v>2</v>
      </c>
      <c r="AF807" t="n">
        <v>0</v>
      </c>
      <c r="AG807" t="n">
        <v>0</v>
      </c>
      <c r="AH807" t="n">
        <v>0</v>
      </c>
      <c r="AI807" t="n">
        <v>0</v>
      </c>
      <c r="AJ807" t="n">
        <v>2</v>
      </c>
      <c r="AK807" t="n">
        <v>2</v>
      </c>
      <c r="AL807" t="n">
        <v>0</v>
      </c>
      <c r="AM807" t="n">
        <v>0</v>
      </c>
      <c r="AN807" t="n">
        <v>0</v>
      </c>
      <c r="AO807" t="n">
        <v>0</v>
      </c>
      <c r="AP807" t="inlineStr">
        <is>
          <t>No</t>
        </is>
      </c>
      <c r="AQ807" t="inlineStr">
        <is>
          <t>Yes</t>
        </is>
      </c>
      <c r="AR807">
        <f>HYPERLINK("http://catalog.hathitrust.org/Record/002481535","HathiTrust Record")</f>
        <v/>
      </c>
      <c r="AS807">
        <f>HYPERLINK("https://creighton-primo.hosted.exlibrisgroup.com/primo-explore/search?tab=default_tab&amp;search_scope=EVERYTHING&amp;vid=01CRU&amp;lang=en_US&amp;offset=0&amp;query=any,contains,991001436939702656","Catalog Record")</f>
        <v/>
      </c>
      <c r="AT807">
        <f>HYPERLINK("http://www.worldcat.org/oclc/19130632","WorldCat Record")</f>
        <v/>
      </c>
      <c r="AU807" t="inlineStr">
        <is>
          <t>836841061:eng</t>
        </is>
      </c>
      <c r="AV807" t="inlineStr">
        <is>
          <t>19130632</t>
        </is>
      </c>
      <c r="AW807" t="inlineStr">
        <is>
          <t>991001436939702656</t>
        </is>
      </c>
      <c r="AX807" t="inlineStr">
        <is>
          <t>991001436939702656</t>
        </is>
      </c>
      <c r="AY807" t="inlineStr">
        <is>
          <t>2261497220002656</t>
        </is>
      </c>
      <c r="AZ807" t="inlineStr">
        <is>
          <t>BOOK</t>
        </is>
      </c>
      <c r="BB807" t="inlineStr">
        <is>
          <t>9780819173799</t>
        </is>
      </c>
      <c r="BC807" t="inlineStr">
        <is>
          <t>32285000012863</t>
        </is>
      </c>
      <c r="BD807" t="inlineStr">
        <is>
          <t>893432860</t>
        </is>
      </c>
    </row>
    <row r="808">
      <c r="A808" t="inlineStr">
        <is>
          <t>No</t>
        </is>
      </c>
      <c r="B808" t="inlineStr">
        <is>
          <t>HQ1240.5.D44 E54 1995</t>
        </is>
      </c>
      <c r="C808" t="inlineStr">
        <is>
          <t>0                      HQ 1240500D  44                 E  54          1995</t>
        </is>
      </c>
      <c r="D808" t="inlineStr">
        <is>
          <t>Engendering wealth and well-being : empowerment for global change / edited by Rae Lesser Blumberg ... [et al.].</t>
        </is>
      </c>
      <c r="F808" t="inlineStr">
        <is>
          <t>No</t>
        </is>
      </c>
      <c r="G808" t="inlineStr">
        <is>
          <t>1</t>
        </is>
      </c>
      <c r="H808" t="inlineStr">
        <is>
          <t>No</t>
        </is>
      </c>
      <c r="I808" t="inlineStr">
        <is>
          <t>No</t>
        </is>
      </c>
      <c r="J808" t="inlineStr">
        <is>
          <t>0</t>
        </is>
      </c>
      <c r="L808" t="inlineStr">
        <is>
          <t>Boulder : Westview Press, 1995.</t>
        </is>
      </c>
      <c r="M808" t="inlineStr">
        <is>
          <t>1995</t>
        </is>
      </c>
      <c r="O808" t="inlineStr">
        <is>
          <t>eng</t>
        </is>
      </c>
      <c r="P808" t="inlineStr">
        <is>
          <t>cou</t>
        </is>
      </c>
      <c r="Q808" t="inlineStr">
        <is>
          <t>Latin America in global perspective</t>
        </is>
      </c>
      <c r="R808" t="inlineStr">
        <is>
          <t xml:space="preserve">HQ </t>
        </is>
      </c>
      <c r="S808" t="n">
        <v>17</v>
      </c>
      <c r="T808" t="n">
        <v>17</v>
      </c>
      <c r="U808" t="inlineStr">
        <is>
          <t>2002-04-14</t>
        </is>
      </c>
      <c r="V808" t="inlineStr">
        <is>
          <t>2002-04-14</t>
        </is>
      </c>
      <c r="W808" t="inlineStr">
        <is>
          <t>1996-05-28</t>
        </is>
      </c>
      <c r="X808" t="inlineStr">
        <is>
          <t>1996-05-28</t>
        </is>
      </c>
      <c r="Y808" t="n">
        <v>365</v>
      </c>
      <c r="Z808" t="n">
        <v>272</v>
      </c>
      <c r="AA808" t="n">
        <v>291</v>
      </c>
      <c r="AB808" t="n">
        <v>2</v>
      </c>
      <c r="AC808" t="n">
        <v>2</v>
      </c>
      <c r="AD808" t="n">
        <v>13</v>
      </c>
      <c r="AE808" t="n">
        <v>13</v>
      </c>
      <c r="AF808" t="n">
        <v>6</v>
      </c>
      <c r="AG808" t="n">
        <v>6</v>
      </c>
      <c r="AH808" t="n">
        <v>3</v>
      </c>
      <c r="AI808" t="n">
        <v>3</v>
      </c>
      <c r="AJ808" t="n">
        <v>7</v>
      </c>
      <c r="AK808" t="n">
        <v>7</v>
      </c>
      <c r="AL808" t="n">
        <v>1</v>
      </c>
      <c r="AM808" t="n">
        <v>1</v>
      </c>
      <c r="AN808" t="n">
        <v>0</v>
      </c>
      <c r="AO808" t="n">
        <v>0</v>
      </c>
      <c r="AP808" t="inlineStr">
        <is>
          <t>No</t>
        </is>
      </c>
      <c r="AQ808" t="inlineStr">
        <is>
          <t>Yes</t>
        </is>
      </c>
      <c r="AR808">
        <f>HYPERLINK("http://catalog.hathitrust.org/Record/002996119","HathiTrust Record")</f>
        <v/>
      </c>
      <c r="AS808">
        <f>HYPERLINK("https://creighton-primo.hosted.exlibrisgroup.com/primo-explore/search?tab=default_tab&amp;search_scope=EVERYTHING&amp;vid=01CRU&amp;lang=en_US&amp;offset=0&amp;query=any,contains,991002450539702656","Catalog Record")</f>
        <v/>
      </c>
      <c r="AT808">
        <f>HYPERLINK("http://www.worldcat.org/oclc/31969096","WorldCat Record")</f>
        <v/>
      </c>
      <c r="AU808" t="inlineStr">
        <is>
          <t>837019002:eng</t>
        </is>
      </c>
      <c r="AV808" t="inlineStr">
        <is>
          <t>31969096</t>
        </is>
      </c>
      <c r="AW808" t="inlineStr">
        <is>
          <t>991002450539702656</t>
        </is>
      </c>
      <c r="AX808" t="inlineStr">
        <is>
          <t>991002450539702656</t>
        </is>
      </c>
      <c r="AY808" t="inlineStr">
        <is>
          <t>2263143800002656</t>
        </is>
      </c>
      <c r="AZ808" t="inlineStr">
        <is>
          <t>BOOK</t>
        </is>
      </c>
      <c r="BB808" t="inlineStr">
        <is>
          <t>9780813321066</t>
        </is>
      </c>
      <c r="BC808" t="inlineStr">
        <is>
          <t>32285002178084</t>
        </is>
      </c>
      <c r="BD808" t="inlineStr">
        <is>
          <t>893779827</t>
        </is>
      </c>
    </row>
    <row r="809">
      <c r="A809" t="inlineStr">
        <is>
          <t>No</t>
        </is>
      </c>
      <c r="B809" t="inlineStr">
        <is>
          <t>HQ1240.5.D44 G45 1991</t>
        </is>
      </c>
      <c r="C809" t="inlineStr">
        <is>
          <t>0                      HQ 1240500D  44                 G  45          1991</t>
        </is>
      </c>
      <c r="D809" t="inlineStr">
        <is>
          <t>Gender analysis in development planning : a case book / editors, Aruna Rao, Mary B. Anderson, Catherine A. Overholt.</t>
        </is>
      </c>
      <c r="F809" t="inlineStr">
        <is>
          <t>No</t>
        </is>
      </c>
      <c r="G809" t="inlineStr">
        <is>
          <t>1</t>
        </is>
      </c>
      <c r="H809" t="inlineStr">
        <is>
          <t>No</t>
        </is>
      </c>
      <c r="I809" t="inlineStr">
        <is>
          <t>No</t>
        </is>
      </c>
      <c r="J809" t="inlineStr">
        <is>
          <t>0</t>
        </is>
      </c>
      <c r="L809" t="inlineStr">
        <is>
          <t>West Hartford, Conn., USA : Kumarian Press, 1991.</t>
        </is>
      </c>
      <c r="M809" t="inlineStr">
        <is>
          <t>1991</t>
        </is>
      </c>
      <c r="N809" t="inlineStr">
        <is>
          <t>1st ed.</t>
        </is>
      </c>
      <c r="O809" t="inlineStr">
        <is>
          <t>eng</t>
        </is>
      </c>
      <c r="P809" t="inlineStr">
        <is>
          <t>ctu</t>
        </is>
      </c>
      <c r="Q809" t="inlineStr">
        <is>
          <t>Kumarian Press library of management for development</t>
        </is>
      </c>
      <c r="R809" t="inlineStr">
        <is>
          <t xml:space="preserve">HQ </t>
        </is>
      </c>
      <c r="S809" t="n">
        <v>13</v>
      </c>
      <c r="T809" t="n">
        <v>13</v>
      </c>
      <c r="U809" t="inlineStr">
        <is>
          <t>1999-02-28</t>
        </is>
      </c>
      <c r="V809" t="inlineStr">
        <is>
          <t>1999-02-28</t>
        </is>
      </c>
      <c r="W809" t="inlineStr">
        <is>
          <t>1993-01-04</t>
        </is>
      </c>
      <c r="X809" t="inlineStr">
        <is>
          <t>1993-01-04</t>
        </is>
      </c>
      <c r="Y809" t="n">
        <v>383</v>
      </c>
      <c r="Z809" t="n">
        <v>282</v>
      </c>
      <c r="AA809" t="n">
        <v>291</v>
      </c>
      <c r="AB809" t="n">
        <v>2</v>
      </c>
      <c r="AC809" t="n">
        <v>2</v>
      </c>
      <c r="AD809" t="n">
        <v>13</v>
      </c>
      <c r="AE809" t="n">
        <v>13</v>
      </c>
      <c r="AF809" t="n">
        <v>2</v>
      </c>
      <c r="AG809" t="n">
        <v>2</v>
      </c>
      <c r="AH809" t="n">
        <v>5</v>
      </c>
      <c r="AI809" t="n">
        <v>5</v>
      </c>
      <c r="AJ809" t="n">
        <v>9</v>
      </c>
      <c r="AK809" t="n">
        <v>9</v>
      </c>
      <c r="AL809" t="n">
        <v>1</v>
      </c>
      <c r="AM809" t="n">
        <v>1</v>
      </c>
      <c r="AN809" t="n">
        <v>0</v>
      </c>
      <c r="AO809" t="n">
        <v>0</v>
      </c>
      <c r="AP809" t="inlineStr">
        <is>
          <t>No</t>
        </is>
      </c>
      <c r="AQ809" t="inlineStr">
        <is>
          <t>Yes</t>
        </is>
      </c>
      <c r="AR809">
        <f>HYPERLINK("http://catalog.hathitrust.org/Record/002522039","HathiTrust Record")</f>
        <v/>
      </c>
      <c r="AS809">
        <f>HYPERLINK("https://creighton-primo.hosted.exlibrisgroup.com/primo-explore/search?tab=default_tab&amp;search_scope=EVERYTHING&amp;vid=01CRU&amp;lang=en_US&amp;offset=0&amp;query=any,contains,991001934599702656","Catalog Record")</f>
        <v/>
      </c>
      <c r="AT809">
        <f>HYPERLINK("http://www.worldcat.org/oclc/24430368","WorldCat Record")</f>
        <v/>
      </c>
      <c r="AU809" t="inlineStr">
        <is>
          <t>909692574:eng</t>
        </is>
      </c>
      <c r="AV809" t="inlineStr">
        <is>
          <t>24430368</t>
        </is>
      </c>
      <c r="AW809" t="inlineStr">
        <is>
          <t>991001934599702656</t>
        </is>
      </c>
      <c r="AX809" t="inlineStr">
        <is>
          <t>991001934599702656</t>
        </is>
      </c>
      <c r="AY809" t="inlineStr">
        <is>
          <t>2268074830002656</t>
        </is>
      </c>
      <c r="AZ809" t="inlineStr">
        <is>
          <t>BOOK</t>
        </is>
      </c>
      <c r="BB809" t="inlineStr">
        <is>
          <t>9780931816611</t>
        </is>
      </c>
      <c r="BC809" t="inlineStr">
        <is>
          <t>32285001403517</t>
        </is>
      </c>
      <c r="BD809" t="inlineStr">
        <is>
          <t>893444867</t>
        </is>
      </c>
    </row>
    <row r="810">
      <c r="A810" t="inlineStr">
        <is>
          <t>No</t>
        </is>
      </c>
      <c r="B810" t="inlineStr">
        <is>
          <t>HQ1240.5.D44 M66 1991</t>
        </is>
      </c>
      <c r="C810" t="inlineStr">
        <is>
          <t>0                      HQ 1240500D  44                 M  66          1991</t>
        </is>
      </c>
      <c r="D810" t="inlineStr">
        <is>
          <t>Women and development in the Third World / Janet Henshall Momsen.</t>
        </is>
      </c>
      <c r="F810" t="inlineStr">
        <is>
          <t>No</t>
        </is>
      </c>
      <c r="G810" t="inlineStr">
        <is>
          <t>1</t>
        </is>
      </c>
      <c r="H810" t="inlineStr">
        <is>
          <t>No</t>
        </is>
      </c>
      <c r="I810" t="inlineStr">
        <is>
          <t>No</t>
        </is>
      </c>
      <c r="J810" t="inlineStr">
        <is>
          <t>0</t>
        </is>
      </c>
      <c r="K810" t="inlineStr">
        <is>
          <t>Momsen, Janet Henshall.</t>
        </is>
      </c>
      <c r="L810" t="inlineStr">
        <is>
          <t>London ; New York : Routledge, 1991.</t>
        </is>
      </c>
      <c r="M810" t="inlineStr">
        <is>
          <t>1991</t>
        </is>
      </c>
      <c r="O810" t="inlineStr">
        <is>
          <t>eng</t>
        </is>
      </c>
      <c r="P810" t="inlineStr">
        <is>
          <t>enk</t>
        </is>
      </c>
      <c r="Q810" t="inlineStr">
        <is>
          <t>Routledge introductions to development</t>
        </is>
      </c>
      <c r="R810" t="inlineStr">
        <is>
          <t xml:space="preserve">HQ </t>
        </is>
      </c>
      <c r="S810" t="n">
        <v>14</v>
      </c>
      <c r="T810" t="n">
        <v>14</v>
      </c>
      <c r="U810" t="inlineStr">
        <is>
          <t>2008-11-09</t>
        </is>
      </c>
      <c r="V810" t="inlineStr">
        <is>
          <t>2008-11-09</t>
        </is>
      </c>
      <c r="W810" t="inlineStr">
        <is>
          <t>1997-05-29</t>
        </is>
      </c>
      <c r="X810" t="inlineStr">
        <is>
          <t>1997-05-29</t>
        </is>
      </c>
      <c r="Y810" t="n">
        <v>555</v>
      </c>
      <c r="Z810" t="n">
        <v>307</v>
      </c>
      <c r="AA810" t="n">
        <v>343</v>
      </c>
      <c r="AB810" t="n">
        <v>2</v>
      </c>
      <c r="AC810" t="n">
        <v>2</v>
      </c>
      <c r="AD810" t="n">
        <v>20</v>
      </c>
      <c r="AE810" t="n">
        <v>21</v>
      </c>
      <c r="AF810" t="n">
        <v>9</v>
      </c>
      <c r="AG810" t="n">
        <v>9</v>
      </c>
      <c r="AH810" t="n">
        <v>6</v>
      </c>
      <c r="AI810" t="n">
        <v>7</v>
      </c>
      <c r="AJ810" t="n">
        <v>10</v>
      </c>
      <c r="AK810" t="n">
        <v>10</v>
      </c>
      <c r="AL810" t="n">
        <v>1</v>
      </c>
      <c r="AM810" t="n">
        <v>1</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HYPERLINK("https://creighton-primo.hosted.exlibrisgroup.com/primo-explore/search?tab=default_tab&amp;search_scope=EVERYTHING&amp;vid=01CRU&amp;lang=en_US&amp;offset=0&amp;query=any,contains,991001746369702656","Catalog Record")</f>
        <v/>
      </c>
      <c r="AT810">
        <f>HYPERLINK("http://www.worldcat.org/oclc/22114026","WorldCat Record")</f>
        <v/>
      </c>
      <c r="AU810" t="inlineStr">
        <is>
          <t>23143176:eng</t>
        </is>
      </c>
      <c r="AV810" t="inlineStr">
        <is>
          <t>22114026</t>
        </is>
      </c>
      <c r="AW810" t="inlineStr">
        <is>
          <t>991001746369702656</t>
        </is>
      </c>
      <c r="AX810" t="inlineStr">
        <is>
          <t>991001746369702656</t>
        </is>
      </c>
      <c r="AY810" t="inlineStr">
        <is>
          <t>2268788850002656</t>
        </is>
      </c>
      <c r="AZ810" t="inlineStr">
        <is>
          <t>BOOK</t>
        </is>
      </c>
      <c r="BB810" t="inlineStr">
        <is>
          <t>9780415016957</t>
        </is>
      </c>
      <c r="BC810" t="inlineStr">
        <is>
          <t>32285002612843</t>
        </is>
      </c>
      <c r="BD810" t="inlineStr">
        <is>
          <t>893426815</t>
        </is>
      </c>
    </row>
    <row r="811">
      <c r="A811" t="inlineStr">
        <is>
          <t>No</t>
        </is>
      </c>
      <c r="B811" t="inlineStr">
        <is>
          <t>HQ1240.5.G7 D65 2006</t>
        </is>
      </c>
      <c r="C811" t="inlineStr">
        <is>
          <t>0                      HQ 1240500G  7                  D  65          2006</t>
        </is>
      </c>
      <c r="D811" t="inlineStr">
        <is>
          <t>Women and community action / Lena Dominelli.</t>
        </is>
      </c>
      <c r="F811" t="inlineStr">
        <is>
          <t>No</t>
        </is>
      </c>
      <c r="G811" t="inlineStr">
        <is>
          <t>1</t>
        </is>
      </c>
      <c r="H811" t="inlineStr">
        <is>
          <t>No</t>
        </is>
      </c>
      <c r="I811" t="inlineStr">
        <is>
          <t>No</t>
        </is>
      </c>
      <c r="J811" t="inlineStr">
        <is>
          <t>0</t>
        </is>
      </c>
      <c r="K811" t="inlineStr">
        <is>
          <t>Dominelli, Lena.</t>
        </is>
      </c>
      <c r="L811" t="inlineStr">
        <is>
          <t>Bristol, U.K. : Policy Press, 2006.</t>
        </is>
      </c>
      <c r="M811" t="inlineStr">
        <is>
          <t>2006</t>
        </is>
      </c>
      <c r="N811" t="inlineStr">
        <is>
          <t>Rev. 2nd ed.</t>
        </is>
      </c>
      <c r="O811" t="inlineStr">
        <is>
          <t>eng</t>
        </is>
      </c>
      <c r="P811" t="inlineStr">
        <is>
          <t>enk</t>
        </is>
      </c>
      <c r="R811" t="inlineStr">
        <is>
          <t xml:space="preserve">HQ </t>
        </is>
      </c>
      <c r="S811" t="n">
        <v>1</v>
      </c>
      <c r="T811" t="n">
        <v>1</v>
      </c>
      <c r="U811" t="inlineStr">
        <is>
          <t>2009-02-05</t>
        </is>
      </c>
      <c r="V811" t="inlineStr">
        <is>
          <t>2009-02-05</t>
        </is>
      </c>
      <c r="W811" t="inlineStr">
        <is>
          <t>2009-02-05</t>
        </is>
      </c>
      <c r="X811" t="inlineStr">
        <is>
          <t>2009-02-05</t>
        </is>
      </c>
      <c r="Y811" t="n">
        <v>186</v>
      </c>
      <c r="Z811" t="n">
        <v>95</v>
      </c>
      <c r="AA811" t="n">
        <v>110</v>
      </c>
      <c r="AB811" t="n">
        <v>1</v>
      </c>
      <c r="AC811" t="n">
        <v>1</v>
      </c>
      <c r="AD811" t="n">
        <v>3</v>
      </c>
      <c r="AE811" t="n">
        <v>3</v>
      </c>
      <c r="AF811" t="n">
        <v>0</v>
      </c>
      <c r="AG811" t="n">
        <v>0</v>
      </c>
      <c r="AH811" t="n">
        <v>2</v>
      </c>
      <c r="AI811" t="n">
        <v>2</v>
      </c>
      <c r="AJ811" t="n">
        <v>2</v>
      </c>
      <c r="AK811" t="n">
        <v>2</v>
      </c>
      <c r="AL811" t="n">
        <v>0</v>
      </c>
      <c r="AM811" t="n">
        <v>0</v>
      </c>
      <c r="AN811" t="n">
        <v>0</v>
      </c>
      <c r="AO811" t="n">
        <v>0</v>
      </c>
      <c r="AP811" t="inlineStr">
        <is>
          <t>No</t>
        </is>
      </c>
      <c r="AQ811" t="inlineStr">
        <is>
          <t>Yes</t>
        </is>
      </c>
      <c r="AR811">
        <f>HYPERLINK("http://catalog.hathitrust.org/Record/007147723","HathiTrust Record")</f>
        <v/>
      </c>
      <c r="AS811">
        <f>HYPERLINK("https://creighton-primo.hosted.exlibrisgroup.com/primo-explore/search?tab=default_tab&amp;search_scope=EVERYTHING&amp;vid=01CRU&amp;lang=en_US&amp;offset=0&amp;query=any,contains,991005292799702656","Catalog Record")</f>
        <v/>
      </c>
      <c r="AT811">
        <f>HYPERLINK("http://www.worldcat.org/oclc/70166683","WorldCat Record")</f>
        <v/>
      </c>
      <c r="AU811" t="inlineStr">
        <is>
          <t>28635535:eng</t>
        </is>
      </c>
      <c r="AV811" t="inlineStr">
        <is>
          <t>70166683</t>
        </is>
      </c>
      <c r="AW811" t="inlineStr">
        <is>
          <t>991005292799702656</t>
        </is>
      </c>
      <c r="AX811" t="inlineStr">
        <is>
          <t>991005292799702656</t>
        </is>
      </c>
      <c r="AY811" t="inlineStr">
        <is>
          <t>2270710920002656</t>
        </is>
      </c>
      <c r="AZ811" t="inlineStr">
        <is>
          <t>BOOK</t>
        </is>
      </c>
      <c r="BB811" t="inlineStr">
        <is>
          <t>9781861347084</t>
        </is>
      </c>
      <c r="BC811" t="inlineStr">
        <is>
          <t>32285005502892</t>
        </is>
      </c>
      <c r="BD811" t="inlineStr">
        <is>
          <t>893536531</t>
        </is>
      </c>
    </row>
    <row r="812">
      <c r="A812" t="inlineStr">
        <is>
          <t>No</t>
        </is>
      </c>
      <c r="B812" t="inlineStr">
        <is>
          <t>HQ1240.5.G9 E34 1990</t>
        </is>
      </c>
      <c r="C812" t="inlineStr">
        <is>
          <t>0                      HQ 1240500G  9                  E  34          1990</t>
        </is>
      </c>
      <c r="D812" t="inlineStr">
        <is>
          <t>Silent looms : women and production in a Guatemalan town / by Tracy Bachrach Ehlers.</t>
        </is>
      </c>
      <c r="F812" t="inlineStr">
        <is>
          <t>No</t>
        </is>
      </c>
      <c r="G812" t="inlineStr">
        <is>
          <t>1</t>
        </is>
      </c>
      <c r="H812" t="inlineStr">
        <is>
          <t>No</t>
        </is>
      </c>
      <c r="I812" t="inlineStr">
        <is>
          <t>No</t>
        </is>
      </c>
      <c r="J812" t="inlineStr">
        <is>
          <t>0</t>
        </is>
      </c>
      <c r="K812" t="inlineStr">
        <is>
          <t>Ehlers, Tracy Bachrach.</t>
        </is>
      </c>
      <c r="L812" t="inlineStr">
        <is>
          <t>Boulder : Westview Press, 1990.</t>
        </is>
      </c>
      <c r="M812" t="inlineStr">
        <is>
          <t>1990</t>
        </is>
      </c>
      <c r="O812" t="inlineStr">
        <is>
          <t>eng</t>
        </is>
      </c>
      <c r="P812" t="inlineStr">
        <is>
          <t>cou</t>
        </is>
      </c>
      <c r="Q812" t="inlineStr">
        <is>
          <t>Westview special studies on Latin America and the Caribbean</t>
        </is>
      </c>
      <c r="R812" t="inlineStr">
        <is>
          <t xml:space="preserve">HQ </t>
        </is>
      </c>
      <c r="S812" t="n">
        <v>8</v>
      </c>
      <c r="T812" t="n">
        <v>8</v>
      </c>
      <c r="U812" t="inlineStr">
        <is>
          <t>1997-04-04</t>
        </is>
      </c>
      <c r="V812" t="inlineStr">
        <is>
          <t>1997-04-04</t>
        </is>
      </c>
      <c r="W812" t="inlineStr">
        <is>
          <t>1990-08-29</t>
        </is>
      </c>
      <c r="X812" t="inlineStr">
        <is>
          <t>1990-08-29</t>
        </is>
      </c>
      <c r="Y812" t="n">
        <v>415</v>
      </c>
      <c r="Z812" t="n">
        <v>342</v>
      </c>
      <c r="AA812" t="n">
        <v>461</v>
      </c>
      <c r="AB812" t="n">
        <v>4</v>
      </c>
      <c r="AC812" t="n">
        <v>4</v>
      </c>
      <c r="AD812" t="n">
        <v>20</v>
      </c>
      <c r="AE812" t="n">
        <v>26</v>
      </c>
      <c r="AF812" t="n">
        <v>4</v>
      </c>
      <c r="AG812" t="n">
        <v>10</v>
      </c>
      <c r="AH812" t="n">
        <v>7</v>
      </c>
      <c r="AI812" t="n">
        <v>7</v>
      </c>
      <c r="AJ812" t="n">
        <v>10</v>
      </c>
      <c r="AK812" t="n">
        <v>14</v>
      </c>
      <c r="AL812" t="n">
        <v>3</v>
      </c>
      <c r="AM812" t="n">
        <v>3</v>
      </c>
      <c r="AN812" t="n">
        <v>0</v>
      </c>
      <c r="AO812" t="n">
        <v>0</v>
      </c>
      <c r="AP812" t="inlineStr">
        <is>
          <t>No</t>
        </is>
      </c>
      <c r="AQ812" t="inlineStr">
        <is>
          <t>Yes</t>
        </is>
      </c>
      <c r="AR812">
        <f>HYPERLINK("http://catalog.hathitrust.org/Record/002212809","HathiTrust Record")</f>
        <v/>
      </c>
      <c r="AS812">
        <f>HYPERLINK("https://creighton-primo.hosted.exlibrisgroup.com/primo-explore/search?tab=default_tab&amp;search_scope=EVERYTHING&amp;vid=01CRU&amp;lang=en_US&amp;offset=0&amp;query=any,contains,991001276199702656","Catalog Record")</f>
        <v/>
      </c>
      <c r="AT812">
        <f>HYPERLINK("http://www.worldcat.org/oclc/17874502","WorldCat Record")</f>
        <v/>
      </c>
      <c r="AU812" t="inlineStr">
        <is>
          <t>16695038:eng</t>
        </is>
      </c>
      <c r="AV812" t="inlineStr">
        <is>
          <t>17874502</t>
        </is>
      </c>
      <c r="AW812" t="inlineStr">
        <is>
          <t>991001276199702656</t>
        </is>
      </c>
      <c r="AX812" t="inlineStr">
        <is>
          <t>991001276199702656</t>
        </is>
      </c>
      <c r="AY812" t="inlineStr">
        <is>
          <t>2267616000002656</t>
        </is>
      </c>
      <c r="AZ812" t="inlineStr">
        <is>
          <t>BOOK</t>
        </is>
      </c>
      <c r="BB812" t="inlineStr">
        <is>
          <t>9780813375816</t>
        </is>
      </c>
      <c r="BC812" t="inlineStr">
        <is>
          <t>32285000275528</t>
        </is>
      </c>
      <c r="BD812" t="inlineStr">
        <is>
          <t>893621224</t>
        </is>
      </c>
    </row>
    <row r="813">
      <c r="A813" t="inlineStr">
        <is>
          <t>No</t>
        </is>
      </c>
      <c r="B813" t="inlineStr">
        <is>
          <t>HQ1240.5.I4 S54 1989</t>
        </is>
      </c>
      <c r="C813" t="inlineStr">
        <is>
          <t>0                      HQ 1240500I  4                  S  54          1989</t>
        </is>
      </c>
      <c r="D813" t="inlineStr">
        <is>
          <t>Staying alive : women, ecology, and development / Vandana Shiva.</t>
        </is>
      </c>
      <c r="F813" t="inlineStr">
        <is>
          <t>No</t>
        </is>
      </c>
      <c r="G813" t="inlineStr">
        <is>
          <t>1</t>
        </is>
      </c>
      <c r="H813" t="inlineStr">
        <is>
          <t>No</t>
        </is>
      </c>
      <c r="I813" t="inlineStr">
        <is>
          <t>No</t>
        </is>
      </c>
      <c r="J813" t="inlineStr">
        <is>
          <t>0</t>
        </is>
      </c>
      <c r="K813" t="inlineStr">
        <is>
          <t>Shiva, Vandana.</t>
        </is>
      </c>
      <c r="L813" t="inlineStr">
        <is>
          <t>London : Zed Books, 1989.</t>
        </is>
      </c>
      <c r="M813" t="inlineStr">
        <is>
          <t>1989</t>
        </is>
      </c>
      <c r="O813" t="inlineStr">
        <is>
          <t>eng</t>
        </is>
      </c>
      <c r="P813" t="inlineStr">
        <is>
          <t>enk</t>
        </is>
      </c>
      <c r="R813" t="inlineStr">
        <is>
          <t xml:space="preserve">HQ </t>
        </is>
      </c>
      <c r="S813" t="n">
        <v>10</v>
      </c>
      <c r="T813" t="n">
        <v>10</v>
      </c>
      <c r="U813" t="inlineStr">
        <is>
          <t>2000-04-27</t>
        </is>
      </c>
      <c r="V813" t="inlineStr">
        <is>
          <t>2000-04-27</t>
        </is>
      </c>
      <c r="W813" t="inlineStr">
        <is>
          <t>1999-03-22</t>
        </is>
      </c>
      <c r="X813" t="inlineStr">
        <is>
          <t>1999-03-22</t>
        </is>
      </c>
      <c r="Y813" t="n">
        <v>428</v>
      </c>
      <c r="Z813" t="n">
        <v>281</v>
      </c>
      <c r="AA813" t="n">
        <v>572</v>
      </c>
      <c r="AB813" t="n">
        <v>3</v>
      </c>
      <c r="AC813" t="n">
        <v>3</v>
      </c>
      <c r="AD813" t="n">
        <v>17</v>
      </c>
      <c r="AE813" t="n">
        <v>29</v>
      </c>
      <c r="AF813" t="n">
        <v>5</v>
      </c>
      <c r="AG813" t="n">
        <v>13</v>
      </c>
      <c r="AH813" t="n">
        <v>5</v>
      </c>
      <c r="AI813" t="n">
        <v>7</v>
      </c>
      <c r="AJ813" t="n">
        <v>8</v>
      </c>
      <c r="AK813" t="n">
        <v>14</v>
      </c>
      <c r="AL813" t="n">
        <v>2</v>
      </c>
      <c r="AM813" t="n">
        <v>2</v>
      </c>
      <c r="AN813" t="n">
        <v>0</v>
      </c>
      <c r="AO813" t="n">
        <v>0</v>
      </c>
      <c r="AP813" t="inlineStr">
        <is>
          <t>No</t>
        </is>
      </c>
      <c r="AQ813" t="inlineStr">
        <is>
          <t>No</t>
        </is>
      </c>
      <c r="AS813">
        <f>HYPERLINK("https://creighton-primo.hosted.exlibrisgroup.com/primo-explore/search?tab=default_tab&amp;search_scope=EVERYTHING&amp;vid=01CRU&amp;lang=en_US&amp;offset=0&amp;query=any,contains,991001365779702656","Catalog Record")</f>
        <v/>
      </c>
      <c r="AT813">
        <f>HYPERLINK("http://www.worldcat.org/oclc/18558228","WorldCat Record")</f>
        <v/>
      </c>
      <c r="AU813" t="inlineStr">
        <is>
          <t>17391118:eng</t>
        </is>
      </c>
      <c r="AV813" t="inlineStr">
        <is>
          <t>18558228</t>
        </is>
      </c>
      <c r="AW813" t="inlineStr">
        <is>
          <t>991001365779702656</t>
        </is>
      </c>
      <c r="AX813" t="inlineStr">
        <is>
          <t>991001365779702656</t>
        </is>
      </c>
      <c r="AY813" t="inlineStr">
        <is>
          <t>2261944970002656</t>
        </is>
      </c>
      <c r="AZ813" t="inlineStr">
        <is>
          <t>BOOK</t>
        </is>
      </c>
      <c r="BB813" t="inlineStr">
        <is>
          <t>9780862328221</t>
        </is>
      </c>
      <c r="BC813" t="inlineStr">
        <is>
          <t>32285003534194</t>
        </is>
      </c>
      <c r="BD813" t="inlineStr">
        <is>
          <t>893231941</t>
        </is>
      </c>
    </row>
    <row r="814">
      <c r="A814" t="inlineStr">
        <is>
          <t>No</t>
        </is>
      </c>
      <c r="B814" t="inlineStr">
        <is>
          <t>HQ1240.5.J3 G46 2005</t>
        </is>
      </c>
      <c r="C814" t="inlineStr">
        <is>
          <t>0                      HQ 1240500J  3                  G  46          2005</t>
        </is>
      </c>
      <c r="D814" t="inlineStr">
        <is>
          <t>Gender and development : the Japanese experience in comparative perspective / edited by Mayumi Murayama.</t>
        </is>
      </c>
      <c r="F814" t="inlineStr">
        <is>
          <t>No</t>
        </is>
      </c>
      <c r="G814" t="inlineStr">
        <is>
          <t>1</t>
        </is>
      </c>
      <c r="H814" t="inlineStr">
        <is>
          <t>No</t>
        </is>
      </c>
      <c r="I814" t="inlineStr">
        <is>
          <t>No</t>
        </is>
      </c>
      <c r="J814" t="inlineStr">
        <is>
          <t>0</t>
        </is>
      </c>
      <c r="L814" t="inlineStr">
        <is>
          <t>Basingstoke [England] ; New York : Palgrave Macmillan/IDE-JETRO, 2005.</t>
        </is>
      </c>
      <c r="M814" t="inlineStr">
        <is>
          <t>2005</t>
        </is>
      </c>
      <c r="O814" t="inlineStr">
        <is>
          <t>eng</t>
        </is>
      </c>
      <c r="P814" t="inlineStr">
        <is>
          <t>enk</t>
        </is>
      </c>
      <c r="R814" t="inlineStr">
        <is>
          <t xml:space="preserve">HQ </t>
        </is>
      </c>
      <c r="S814" t="n">
        <v>2</v>
      </c>
      <c r="T814" t="n">
        <v>2</v>
      </c>
      <c r="U814" t="inlineStr">
        <is>
          <t>2009-04-01</t>
        </is>
      </c>
      <c r="V814" t="inlineStr">
        <is>
          <t>2009-04-01</t>
        </is>
      </c>
      <c r="W814" t="inlineStr">
        <is>
          <t>2009-04-01</t>
        </is>
      </c>
      <c r="X814" t="inlineStr">
        <is>
          <t>2009-04-01</t>
        </is>
      </c>
      <c r="Y814" t="n">
        <v>490</v>
      </c>
      <c r="Z814" t="n">
        <v>357</v>
      </c>
      <c r="AA814" t="n">
        <v>396</v>
      </c>
      <c r="AB814" t="n">
        <v>1</v>
      </c>
      <c r="AC814" t="n">
        <v>2</v>
      </c>
      <c r="AD814" t="n">
        <v>19</v>
      </c>
      <c r="AE814" t="n">
        <v>20</v>
      </c>
      <c r="AF814" t="n">
        <v>10</v>
      </c>
      <c r="AG814" t="n">
        <v>10</v>
      </c>
      <c r="AH814" t="n">
        <v>8</v>
      </c>
      <c r="AI814" t="n">
        <v>8</v>
      </c>
      <c r="AJ814" t="n">
        <v>9</v>
      </c>
      <c r="AK814" t="n">
        <v>9</v>
      </c>
      <c r="AL814" t="n">
        <v>0</v>
      </c>
      <c r="AM814" t="n">
        <v>1</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HYPERLINK("https://creighton-primo.hosted.exlibrisgroup.com/primo-explore/search?tab=default_tab&amp;search_scope=EVERYTHING&amp;vid=01CRU&amp;lang=en_US&amp;offset=0&amp;query=any,contains,991005307359702656","Catalog Record")</f>
        <v/>
      </c>
      <c r="AT814">
        <f>HYPERLINK("http://www.worldcat.org/oclc/58451964","WorldCat Record")</f>
        <v/>
      </c>
      <c r="AU814" t="inlineStr">
        <is>
          <t>792438621:eng</t>
        </is>
      </c>
      <c r="AV814" t="inlineStr">
        <is>
          <t>58451964</t>
        </is>
      </c>
      <c r="AW814" t="inlineStr">
        <is>
          <t>991005307359702656</t>
        </is>
      </c>
      <c r="AX814" t="inlineStr">
        <is>
          <t>991005307359702656</t>
        </is>
      </c>
      <c r="AY814" t="inlineStr">
        <is>
          <t>2268072970002656</t>
        </is>
      </c>
      <c r="AZ814" t="inlineStr">
        <is>
          <t>BOOK</t>
        </is>
      </c>
      <c r="BB814" t="inlineStr">
        <is>
          <t>9781403949448</t>
        </is>
      </c>
      <c r="BC814" t="inlineStr">
        <is>
          <t>32285005512966</t>
        </is>
      </c>
      <c r="BD814" t="inlineStr">
        <is>
          <t>893628676</t>
        </is>
      </c>
    </row>
    <row r="815">
      <c r="A815" t="inlineStr">
        <is>
          <t>No</t>
        </is>
      </c>
      <c r="B815" t="inlineStr">
        <is>
          <t>HQ1240.5.L29 G66 1992</t>
        </is>
      </c>
      <c r="C815" t="inlineStr">
        <is>
          <t>0                      HQ 1240500L  29                 G  66          1992</t>
        </is>
      </c>
      <c r="D815" t="inlineStr">
        <is>
          <t>Mujer campesina : talento olvidado del desarrollo rural / Manuel González del Valle A.</t>
        </is>
      </c>
      <c r="F815" t="inlineStr">
        <is>
          <t>No</t>
        </is>
      </c>
      <c r="G815" t="inlineStr">
        <is>
          <t>1</t>
        </is>
      </c>
      <c r="H815" t="inlineStr">
        <is>
          <t>No</t>
        </is>
      </c>
      <c r="I815" t="inlineStr">
        <is>
          <t>No</t>
        </is>
      </c>
      <c r="J815" t="inlineStr">
        <is>
          <t>0</t>
        </is>
      </c>
      <c r="K815" t="inlineStr">
        <is>
          <t>González del Valle A., Manuel.</t>
        </is>
      </c>
      <c r="L815" t="inlineStr">
        <is>
          <t>Santo Domingo, República Dominicana : Editora Corripio, C. por A., 1992.</t>
        </is>
      </c>
      <c r="M815" t="inlineStr">
        <is>
          <t>1992</t>
        </is>
      </c>
      <c r="O815" t="inlineStr">
        <is>
          <t>spa</t>
        </is>
      </c>
      <c r="P815" t="inlineStr">
        <is>
          <t xml:space="preserve">dr </t>
        </is>
      </c>
      <c r="R815" t="inlineStr">
        <is>
          <t xml:space="preserve">HQ </t>
        </is>
      </c>
      <c r="S815" t="n">
        <v>5</v>
      </c>
      <c r="T815" t="n">
        <v>5</v>
      </c>
      <c r="U815" t="inlineStr">
        <is>
          <t>1996-04-02</t>
        </is>
      </c>
      <c r="V815" t="inlineStr">
        <is>
          <t>1996-04-02</t>
        </is>
      </c>
      <c r="W815" t="inlineStr">
        <is>
          <t>1995-09-18</t>
        </is>
      </c>
      <c r="X815" t="inlineStr">
        <is>
          <t>1995-09-18</t>
        </is>
      </c>
      <c r="Y815" t="n">
        <v>31</v>
      </c>
      <c r="Z815" t="n">
        <v>29</v>
      </c>
      <c r="AA815" t="n">
        <v>29</v>
      </c>
      <c r="AB815" t="n">
        <v>1</v>
      </c>
      <c r="AC815" t="n">
        <v>1</v>
      </c>
      <c r="AD815" t="n">
        <v>0</v>
      </c>
      <c r="AE815" t="n">
        <v>0</v>
      </c>
      <c r="AF815" t="n">
        <v>0</v>
      </c>
      <c r="AG815" t="n">
        <v>0</v>
      </c>
      <c r="AH815" t="n">
        <v>0</v>
      </c>
      <c r="AI815" t="n">
        <v>0</v>
      </c>
      <c r="AJ815" t="n">
        <v>0</v>
      </c>
      <c r="AK815" t="n">
        <v>0</v>
      </c>
      <c r="AL815" t="n">
        <v>0</v>
      </c>
      <c r="AM815" t="n">
        <v>0</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HYPERLINK("https://creighton-primo.hosted.exlibrisgroup.com/primo-explore/search?tab=default_tab&amp;search_scope=EVERYTHING&amp;vid=01CRU&amp;lang=en_US&amp;offset=0&amp;query=any,contains,991002198819702656","Catalog Record")</f>
        <v/>
      </c>
      <c r="AT815">
        <f>HYPERLINK("http://www.worldcat.org/oclc/28283622","WorldCat Record")</f>
        <v/>
      </c>
      <c r="AU815" t="inlineStr">
        <is>
          <t>148068779:spa</t>
        </is>
      </c>
      <c r="AV815" t="inlineStr">
        <is>
          <t>28283622</t>
        </is>
      </c>
      <c r="AW815" t="inlineStr">
        <is>
          <t>991002198819702656</t>
        </is>
      </c>
      <c r="AX815" t="inlineStr">
        <is>
          <t>991002198819702656</t>
        </is>
      </c>
      <c r="AY815" t="inlineStr">
        <is>
          <t>2256205520002656</t>
        </is>
      </c>
      <c r="AZ815" t="inlineStr">
        <is>
          <t>BOOK</t>
        </is>
      </c>
      <c r="BC815" t="inlineStr">
        <is>
          <t>32285002093499</t>
        </is>
      </c>
      <c r="BD815" t="inlineStr">
        <is>
          <t>893615814</t>
        </is>
      </c>
    </row>
    <row r="816">
      <c r="A816" t="inlineStr">
        <is>
          <t>No</t>
        </is>
      </c>
      <c r="B816" t="inlineStr">
        <is>
          <t>HQ1240.5.L29 W67 1995</t>
        </is>
      </c>
      <c r="C816" t="inlineStr">
        <is>
          <t>0                      HQ 1240500L  29                 W  67          1995</t>
        </is>
      </c>
      <c r="D816" t="inlineStr">
        <is>
          <t>Women in the Latin American development process / edited by Christine E. Bose and Edna Acosta-Bel©♭n.</t>
        </is>
      </c>
      <c r="F816" t="inlineStr">
        <is>
          <t>No</t>
        </is>
      </c>
      <c r="G816" t="inlineStr">
        <is>
          <t>1</t>
        </is>
      </c>
      <c r="H816" t="inlineStr">
        <is>
          <t>No</t>
        </is>
      </c>
      <c r="I816" t="inlineStr">
        <is>
          <t>No</t>
        </is>
      </c>
      <c r="J816" t="inlineStr">
        <is>
          <t>0</t>
        </is>
      </c>
      <c r="L816" t="inlineStr">
        <is>
          <t>Philadelphia : Temple University Press, 1995.</t>
        </is>
      </c>
      <c r="M816" t="inlineStr">
        <is>
          <t>1995</t>
        </is>
      </c>
      <c r="O816" t="inlineStr">
        <is>
          <t>eng</t>
        </is>
      </c>
      <c r="P816" t="inlineStr">
        <is>
          <t>pau</t>
        </is>
      </c>
      <c r="R816" t="inlineStr">
        <is>
          <t xml:space="preserve">HQ </t>
        </is>
      </c>
      <c r="S816" t="n">
        <v>20</v>
      </c>
      <c r="T816" t="n">
        <v>20</v>
      </c>
      <c r="U816" t="inlineStr">
        <is>
          <t>2007-09-29</t>
        </is>
      </c>
      <c r="V816" t="inlineStr">
        <is>
          <t>2007-09-29</t>
        </is>
      </c>
      <c r="W816" t="inlineStr">
        <is>
          <t>1995-11-15</t>
        </is>
      </c>
      <c r="X816" t="inlineStr">
        <is>
          <t>1995-11-15</t>
        </is>
      </c>
      <c r="Y816" t="n">
        <v>440</v>
      </c>
      <c r="Z816" t="n">
        <v>352</v>
      </c>
      <c r="AA816" t="n">
        <v>352</v>
      </c>
      <c r="AB816" t="n">
        <v>3</v>
      </c>
      <c r="AC816" t="n">
        <v>3</v>
      </c>
      <c r="AD816" t="n">
        <v>20</v>
      </c>
      <c r="AE816" t="n">
        <v>20</v>
      </c>
      <c r="AF816" t="n">
        <v>8</v>
      </c>
      <c r="AG816" t="n">
        <v>8</v>
      </c>
      <c r="AH816" t="n">
        <v>3</v>
      </c>
      <c r="AI816" t="n">
        <v>3</v>
      </c>
      <c r="AJ816" t="n">
        <v>12</v>
      </c>
      <c r="AK816" t="n">
        <v>12</v>
      </c>
      <c r="AL816" t="n">
        <v>2</v>
      </c>
      <c r="AM816" t="n">
        <v>2</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HYPERLINK("https://creighton-primo.hosted.exlibrisgroup.com/primo-explore/search?tab=default_tab&amp;search_scope=EVERYTHING&amp;vid=01CRU&amp;lang=en_US&amp;offset=0&amp;query=any,contains,991002367339702656","Catalog Record")</f>
        <v/>
      </c>
      <c r="AT816">
        <f>HYPERLINK("http://www.worldcat.org/oclc/30778208","WorldCat Record")</f>
        <v/>
      </c>
      <c r="AU816" t="inlineStr">
        <is>
          <t>366956209:eng</t>
        </is>
      </c>
      <c r="AV816" t="inlineStr">
        <is>
          <t>30778208</t>
        </is>
      </c>
      <c r="AW816" t="inlineStr">
        <is>
          <t>991002367339702656</t>
        </is>
      </c>
      <c r="AX816" t="inlineStr">
        <is>
          <t>991002367339702656</t>
        </is>
      </c>
      <c r="AY816" t="inlineStr">
        <is>
          <t>2271010080002656</t>
        </is>
      </c>
      <c r="AZ816" t="inlineStr">
        <is>
          <t>BOOK</t>
        </is>
      </c>
      <c r="BB816" t="inlineStr">
        <is>
          <t>9781566392921</t>
        </is>
      </c>
      <c r="BC816" t="inlineStr">
        <is>
          <t>32285002098480</t>
        </is>
      </c>
      <c r="BD816" t="inlineStr">
        <is>
          <t>893341350</t>
        </is>
      </c>
    </row>
    <row r="817">
      <c r="A817" t="inlineStr">
        <is>
          <t>No</t>
        </is>
      </c>
      <c r="B817" t="inlineStr">
        <is>
          <t>HQ1240.5.L29 Y83 1987</t>
        </is>
      </c>
      <c r="C817" t="inlineStr">
        <is>
          <t>0                      HQ 1240500L  29                 Y  83          1987</t>
        </is>
      </c>
      <c r="D817" t="inlineStr">
        <is>
          <t>Hopeful openings : a study of five women's development organizations in Latin America and the Caribbean / Sally W. Yudelman.</t>
        </is>
      </c>
      <c r="F817" t="inlineStr">
        <is>
          <t>No</t>
        </is>
      </c>
      <c r="G817" t="inlineStr">
        <is>
          <t>1</t>
        </is>
      </c>
      <c r="H817" t="inlineStr">
        <is>
          <t>No</t>
        </is>
      </c>
      <c r="I817" t="inlineStr">
        <is>
          <t>No</t>
        </is>
      </c>
      <c r="J817" t="inlineStr">
        <is>
          <t>0</t>
        </is>
      </c>
      <c r="K817" t="inlineStr">
        <is>
          <t>Yudelman, Sally W., 1931-</t>
        </is>
      </c>
      <c r="L817" t="inlineStr">
        <is>
          <t>West Hartford, Conn. : Kumarian Press, c1987.</t>
        </is>
      </c>
      <c r="M817" t="inlineStr">
        <is>
          <t>1987</t>
        </is>
      </c>
      <c r="O817" t="inlineStr">
        <is>
          <t>eng</t>
        </is>
      </c>
      <c r="P817" t="inlineStr">
        <is>
          <t>ctu</t>
        </is>
      </c>
      <c r="Q817" t="inlineStr">
        <is>
          <t>Kumarian Press case studies series</t>
        </is>
      </c>
      <c r="R817" t="inlineStr">
        <is>
          <t xml:space="preserve">HQ </t>
        </is>
      </c>
      <c r="S817" t="n">
        <v>9</v>
      </c>
      <c r="T817" t="n">
        <v>9</v>
      </c>
      <c r="U817" t="inlineStr">
        <is>
          <t>1996-02-12</t>
        </is>
      </c>
      <c r="V817" t="inlineStr">
        <is>
          <t>1996-02-12</t>
        </is>
      </c>
      <c r="W817" t="inlineStr">
        <is>
          <t>1990-07-05</t>
        </is>
      </c>
      <c r="X817" t="inlineStr">
        <is>
          <t>1990-07-05</t>
        </is>
      </c>
      <c r="Y817" t="n">
        <v>239</v>
      </c>
      <c r="Z817" t="n">
        <v>175</v>
      </c>
      <c r="AA817" t="n">
        <v>183</v>
      </c>
      <c r="AB817" t="n">
        <v>2</v>
      </c>
      <c r="AC817" t="n">
        <v>2</v>
      </c>
      <c r="AD817" t="n">
        <v>6</v>
      </c>
      <c r="AE817" t="n">
        <v>6</v>
      </c>
      <c r="AF817" t="n">
        <v>1</v>
      </c>
      <c r="AG817" t="n">
        <v>1</v>
      </c>
      <c r="AH817" t="n">
        <v>2</v>
      </c>
      <c r="AI817" t="n">
        <v>2</v>
      </c>
      <c r="AJ817" t="n">
        <v>5</v>
      </c>
      <c r="AK817" t="n">
        <v>5</v>
      </c>
      <c r="AL817" t="n">
        <v>1</v>
      </c>
      <c r="AM817" t="n">
        <v>1</v>
      </c>
      <c r="AN817" t="n">
        <v>0</v>
      </c>
      <c r="AO817" t="n">
        <v>0</v>
      </c>
      <c r="AP817" t="inlineStr">
        <is>
          <t>No</t>
        </is>
      </c>
      <c r="AQ817" t="inlineStr">
        <is>
          <t>Yes</t>
        </is>
      </c>
      <c r="AR817">
        <f>HYPERLINK("http://catalog.hathitrust.org/Record/000831150","HathiTrust Record")</f>
        <v/>
      </c>
      <c r="AS817">
        <f>HYPERLINK("https://creighton-primo.hosted.exlibrisgroup.com/primo-explore/search?tab=default_tab&amp;search_scope=EVERYTHING&amp;vid=01CRU&amp;lang=en_US&amp;offset=0&amp;query=any,contains,991000983869702656","Catalog Record")</f>
        <v/>
      </c>
      <c r="AT817">
        <f>HYPERLINK("http://www.worldcat.org/oclc/15054880","WorldCat Record")</f>
        <v/>
      </c>
      <c r="AU817" t="inlineStr">
        <is>
          <t>8229144:eng</t>
        </is>
      </c>
      <c r="AV817" t="inlineStr">
        <is>
          <t>15054880</t>
        </is>
      </c>
      <c r="AW817" t="inlineStr">
        <is>
          <t>991000983869702656</t>
        </is>
      </c>
      <c r="AX817" t="inlineStr">
        <is>
          <t>991000983869702656</t>
        </is>
      </c>
      <c r="AY817" t="inlineStr">
        <is>
          <t>2255749970002656</t>
        </is>
      </c>
      <c r="AZ817" t="inlineStr">
        <is>
          <t>BOOK</t>
        </is>
      </c>
      <c r="BB817" t="inlineStr">
        <is>
          <t>9780931816239</t>
        </is>
      </c>
      <c r="BC817" t="inlineStr">
        <is>
          <t>32285000221365</t>
        </is>
      </c>
      <c r="BD817" t="inlineStr">
        <is>
          <t>893614674</t>
        </is>
      </c>
    </row>
    <row r="818">
      <c r="A818" t="inlineStr">
        <is>
          <t>No</t>
        </is>
      </c>
      <c r="B818" t="inlineStr">
        <is>
          <t>HQ125.U6 J46 1993</t>
        </is>
      </c>
      <c r="C818" t="inlineStr">
        <is>
          <t>0                      HQ 0125000U  6                  J  46          1993</t>
        </is>
      </c>
      <c r="D818" t="inlineStr">
        <is>
          <t>Making it work : the Prostitutes' Rights Movement in perspective / Valerie Jenness.</t>
        </is>
      </c>
      <c r="F818" t="inlineStr">
        <is>
          <t>No</t>
        </is>
      </c>
      <c r="G818" t="inlineStr">
        <is>
          <t>1</t>
        </is>
      </c>
      <c r="H818" t="inlineStr">
        <is>
          <t>No</t>
        </is>
      </c>
      <c r="I818" t="inlineStr">
        <is>
          <t>No</t>
        </is>
      </c>
      <c r="J818" t="inlineStr">
        <is>
          <t>0</t>
        </is>
      </c>
      <c r="K818" t="inlineStr">
        <is>
          <t>Jenness, Valerie, 1963-</t>
        </is>
      </c>
      <c r="L818" t="inlineStr">
        <is>
          <t>New York : Aldine de Gruyter, c1993.</t>
        </is>
      </c>
      <c r="M818" t="inlineStr">
        <is>
          <t>1993</t>
        </is>
      </c>
      <c r="O818" t="inlineStr">
        <is>
          <t>eng</t>
        </is>
      </c>
      <c r="P818" t="inlineStr">
        <is>
          <t>nyu</t>
        </is>
      </c>
      <c r="Q818" t="inlineStr">
        <is>
          <t>Social problems and social issues</t>
        </is>
      </c>
      <c r="R818" t="inlineStr">
        <is>
          <t xml:space="preserve">HQ </t>
        </is>
      </c>
      <c r="S818" t="n">
        <v>7</v>
      </c>
      <c r="T818" t="n">
        <v>7</v>
      </c>
      <c r="U818" t="inlineStr">
        <is>
          <t>2002-02-13</t>
        </is>
      </c>
      <c r="V818" t="inlineStr">
        <is>
          <t>2002-02-13</t>
        </is>
      </c>
      <c r="W818" t="inlineStr">
        <is>
          <t>1994-05-26</t>
        </is>
      </c>
      <c r="X818" t="inlineStr">
        <is>
          <t>1994-05-26</t>
        </is>
      </c>
      <c r="Y818" t="n">
        <v>556</v>
      </c>
      <c r="Z818" t="n">
        <v>471</v>
      </c>
      <c r="AA818" t="n">
        <v>472</v>
      </c>
      <c r="AB818" t="n">
        <v>4</v>
      </c>
      <c r="AC818" t="n">
        <v>4</v>
      </c>
      <c r="AD818" t="n">
        <v>24</v>
      </c>
      <c r="AE818" t="n">
        <v>24</v>
      </c>
      <c r="AF818" t="n">
        <v>9</v>
      </c>
      <c r="AG818" t="n">
        <v>9</v>
      </c>
      <c r="AH818" t="n">
        <v>5</v>
      </c>
      <c r="AI818" t="n">
        <v>5</v>
      </c>
      <c r="AJ818" t="n">
        <v>10</v>
      </c>
      <c r="AK818" t="n">
        <v>10</v>
      </c>
      <c r="AL818" t="n">
        <v>3</v>
      </c>
      <c r="AM818" t="n">
        <v>3</v>
      </c>
      <c r="AN818" t="n">
        <v>3</v>
      </c>
      <c r="AO818" t="n">
        <v>3</v>
      </c>
      <c r="AP818" t="inlineStr">
        <is>
          <t>No</t>
        </is>
      </c>
      <c r="AQ818" t="inlineStr">
        <is>
          <t>No</t>
        </is>
      </c>
      <c r="AS818">
        <f>HYPERLINK("https://creighton-primo.hosted.exlibrisgroup.com/primo-explore/search?tab=default_tab&amp;search_scope=EVERYTHING&amp;vid=01CRU&amp;lang=en_US&amp;offset=0&amp;query=any,contains,991002120129702656","Catalog Record")</f>
        <v/>
      </c>
      <c r="AT818">
        <f>HYPERLINK("http://www.worldcat.org/oclc/27172937","WorldCat Record")</f>
        <v/>
      </c>
      <c r="AU818" t="inlineStr">
        <is>
          <t>908348393:eng</t>
        </is>
      </c>
      <c r="AV818" t="inlineStr">
        <is>
          <t>27172937</t>
        </is>
      </c>
      <c r="AW818" t="inlineStr">
        <is>
          <t>991002120129702656</t>
        </is>
      </c>
      <c r="AX818" t="inlineStr">
        <is>
          <t>991002120129702656</t>
        </is>
      </c>
      <c r="AY818" t="inlineStr">
        <is>
          <t>2271226040002656</t>
        </is>
      </c>
      <c r="AZ818" t="inlineStr">
        <is>
          <t>BOOK</t>
        </is>
      </c>
      <c r="BB818" t="inlineStr">
        <is>
          <t>9780202304632</t>
        </is>
      </c>
      <c r="BC818" t="inlineStr">
        <is>
          <t>32285001899813</t>
        </is>
      </c>
      <c r="BD818" t="inlineStr">
        <is>
          <t>893603217</t>
        </is>
      </c>
    </row>
    <row r="819">
      <c r="A819" t="inlineStr">
        <is>
          <t>No</t>
        </is>
      </c>
      <c r="B819" t="inlineStr">
        <is>
          <t>HQ125.U6 P55 2002</t>
        </is>
      </c>
      <c r="C819" t="inlineStr">
        <is>
          <t>0                      HQ 0125000U  6                  P  55          2002</t>
        </is>
      </c>
      <c r="D819" t="inlineStr">
        <is>
          <t>Purity and hygiene : women, prostitution, and the "American plan," 1900-1930 / David J. Pivar.</t>
        </is>
      </c>
      <c r="F819" t="inlineStr">
        <is>
          <t>No</t>
        </is>
      </c>
      <c r="G819" t="inlineStr">
        <is>
          <t>1</t>
        </is>
      </c>
      <c r="H819" t="inlineStr">
        <is>
          <t>No</t>
        </is>
      </c>
      <c r="I819" t="inlineStr">
        <is>
          <t>No</t>
        </is>
      </c>
      <c r="J819" t="inlineStr">
        <is>
          <t>0</t>
        </is>
      </c>
      <c r="K819" t="inlineStr">
        <is>
          <t>Pivar, David J., 1933-</t>
        </is>
      </c>
      <c r="L819" t="inlineStr">
        <is>
          <t>Westport, CT : Greenwood Press, 2002.</t>
        </is>
      </c>
      <c r="M819" t="inlineStr">
        <is>
          <t>2002</t>
        </is>
      </c>
      <c r="O819" t="inlineStr">
        <is>
          <t>eng</t>
        </is>
      </c>
      <c r="P819" t="inlineStr">
        <is>
          <t>ctu</t>
        </is>
      </c>
      <c r="Q819" t="inlineStr">
        <is>
          <t>Contributions in American history, 0084-9219 ; no. 193</t>
        </is>
      </c>
      <c r="R819" t="inlineStr">
        <is>
          <t xml:space="preserve">HQ </t>
        </is>
      </c>
      <c r="S819" t="n">
        <v>3</v>
      </c>
      <c r="T819" t="n">
        <v>3</v>
      </c>
      <c r="U819" t="inlineStr">
        <is>
          <t>2009-04-14</t>
        </is>
      </c>
      <c r="V819" t="inlineStr">
        <is>
          <t>2009-04-14</t>
        </is>
      </c>
      <c r="W819" t="inlineStr">
        <is>
          <t>2002-09-12</t>
        </is>
      </c>
      <c r="X819" t="inlineStr">
        <is>
          <t>2002-09-12</t>
        </is>
      </c>
      <c r="Y819" t="n">
        <v>308</v>
      </c>
      <c r="Z819" t="n">
        <v>267</v>
      </c>
      <c r="AA819" t="n">
        <v>268</v>
      </c>
      <c r="AB819" t="n">
        <v>3</v>
      </c>
      <c r="AC819" t="n">
        <v>3</v>
      </c>
      <c r="AD819" t="n">
        <v>17</v>
      </c>
      <c r="AE819" t="n">
        <v>17</v>
      </c>
      <c r="AF819" t="n">
        <v>6</v>
      </c>
      <c r="AG819" t="n">
        <v>6</v>
      </c>
      <c r="AH819" t="n">
        <v>7</v>
      </c>
      <c r="AI819" t="n">
        <v>7</v>
      </c>
      <c r="AJ819" t="n">
        <v>6</v>
      </c>
      <c r="AK819" t="n">
        <v>6</v>
      </c>
      <c r="AL819" t="n">
        <v>2</v>
      </c>
      <c r="AM819" t="n">
        <v>2</v>
      </c>
      <c r="AN819" t="n">
        <v>0</v>
      </c>
      <c r="AO819" t="n">
        <v>0</v>
      </c>
      <c r="AP819" t="inlineStr">
        <is>
          <t>No</t>
        </is>
      </c>
      <c r="AQ819" t="inlineStr">
        <is>
          <t>Yes</t>
        </is>
      </c>
      <c r="AR819">
        <f>HYPERLINK("http://catalog.hathitrust.org/Record/004214260","HathiTrust Record")</f>
        <v/>
      </c>
      <c r="AS819">
        <f>HYPERLINK("https://creighton-primo.hosted.exlibrisgroup.com/primo-explore/search?tab=default_tab&amp;search_scope=EVERYTHING&amp;vid=01CRU&amp;lang=en_US&amp;offset=0&amp;query=any,contains,991003888249702656","Catalog Record")</f>
        <v/>
      </c>
      <c r="AT819">
        <f>HYPERLINK("http://www.worldcat.org/oclc/46574096","WorldCat Record")</f>
        <v/>
      </c>
      <c r="AU819" t="inlineStr">
        <is>
          <t>49296422:eng</t>
        </is>
      </c>
      <c r="AV819" t="inlineStr">
        <is>
          <t>46574096</t>
        </is>
      </c>
      <c r="AW819" t="inlineStr">
        <is>
          <t>991003888249702656</t>
        </is>
      </c>
      <c r="AX819" t="inlineStr">
        <is>
          <t>991003888249702656</t>
        </is>
      </c>
      <c r="AY819" t="inlineStr">
        <is>
          <t>2271474280002656</t>
        </is>
      </c>
      <c r="AZ819" t="inlineStr">
        <is>
          <t>BOOK</t>
        </is>
      </c>
      <c r="BB819" t="inlineStr">
        <is>
          <t>9780313320323</t>
        </is>
      </c>
      <c r="BC819" t="inlineStr">
        <is>
          <t>32285004659404</t>
        </is>
      </c>
      <c r="BD819" t="inlineStr">
        <is>
          <t>893687073</t>
        </is>
      </c>
    </row>
    <row r="820">
      <c r="A820" t="inlineStr">
        <is>
          <t>No</t>
        </is>
      </c>
      <c r="B820" t="inlineStr">
        <is>
          <t>HQ13 .M57 1996</t>
        </is>
      </c>
      <c r="C820" t="inlineStr">
        <is>
          <t>0                      HQ 0013000M  57          1996</t>
        </is>
      </c>
      <c r="D820" t="inlineStr">
        <is>
          <t>Sex and society in Græco-Roman Egypt / Dominic Montserrat.</t>
        </is>
      </c>
      <c r="F820" t="inlineStr">
        <is>
          <t>No</t>
        </is>
      </c>
      <c r="G820" t="inlineStr">
        <is>
          <t>1</t>
        </is>
      </c>
      <c r="H820" t="inlineStr">
        <is>
          <t>No</t>
        </is>
      </c>
      <c r="I820" t="inlineStr">
        <is>
          <t>No</t>
        </is>
      </c>
      <c r="J820" t="inlineStr">
        <is>
          <t>0</t>
        </is>
      </c>
      <c r="K820" t="inlineStr">
        <is>
          <t>Montserrat, Dominic, 1964-</t>
        </is>
      </c>
      <c r="L820" t="inlineStr">
        <is>
          <t>London ; New York : Kegan Paul International ; New York, NY, USA : Distributed by Columbia University Press, 1996.</t>
        </is>
      </c>
      <c r="M820" t="inlineStr">
        <is>
          <t>1996</t>
        </is>
      </c>
      <c r="O820" t="inlineStr">
        <is>
          <t>eng</t>
        </is>
      </c>
      <c r="P820" t="inlineStr">
        <is>
          <t>enk</t>
        </is>
      </c>
      <c r="R820" t="inlineStr">
        <is>
          <t xml:space="preserve">HQ </t>
        </is>
      </c>
      <c r="S820" t="n">
        <v>2</v>
      </c>
      <c r="T820" t="n">
        <v>2</v>
      </c>
      <c r="U820" t="inlineStr">
        <is>
          <t>2003-03-03</t>
        </is>
      </c>
      <c r="V820" t="inlineStr">
        <is>
          <t>2003-03-03</t>
        </is>
      </c>
      <c r="W820" t="inlineStr">
        <is>
          <t>1997-03-11</t>
        </is>
      </c>
      <c r="X820" t="inlineStr">
        <is>
          <t>1997-03-11</t>
        </is>
      </c>
      <c r="Y820" t="n">
        <v>343</v>
      </c>
      <c r="Z820" t="n">
        <v>244</v>
      </c>
      <c r="AA820" t="n">
        <v>877</v>
      </c>
      <c r="AB820" t="n">
        <v>2</v>
      </c>
      <c r="AC820" t="n">
        <v>13</v>
      </c>
      <c r="AD820" t="n">
        <v>14</v>
      </c>
      <c r="AE820" t="n">
        <v>42</v>
      </c>
      <c r="AF820" t="n">
        <v>3</v>
      </c>
      <c r="AG820" t="n">
        <v>13</v>
      </c>
      <c r="AH820" t="n">
        <v>6</v>
      </c>
      <c r="AI820" t="n">
        <v>11</v>
      </c>
      <c r="AJ820" t="n">
        <v>8</v>
      </c>
      <c r="AK820" t="n">
        <v>14</v>
      </c>
      <c r="AL820" t="n">
        <v>1</v>
      </c>
      <c r="AM820" t="n">
        <v>11</v>
      </c>
      <c r="AN820" t="n">
        <v>0</v>
      </c>
      <c r="AO820" t="n">
        <v>1</v>
      </c>
      <c r="AP820" t="inlineStr">
        <is>
          <t>No</t>
        </is>
      </c>
      <c r="AQ820" t="inlineStr">
        <is>
          <t>Yes</t>
        </is>
      </c>
      <c r="AR820">
        <f>HYPERLINK("http://catalog.hathitrust.org/Record/003077952","HathiTrust Record")</f>
        <v/>
      </c>
      <c r="AS820">
        <f>HYPERLINK("https://creighton-primo.hosted.exlibrisgroup.com/primo-explore/search?tab=default_tab&amp;search_scope=EVERYTHING&amp;vid=01CRU&amp;lang=en_US&amp;offset=0&amp;query=any,contains,991002629789702656","Catalog Record")</f>
        <v/>
      </c>
      <c r="AT820">
        <f>HYPERLINK("http://www.worldcat.org/oclc/34475394","WorldCat Record")</f>
        <v/>
      </c>
      <c r="AU820" t="inlineStr">
        <is>
          <t>1069461:eng</t>
        </is>
      </c>
      <c r="AV820" t="inlineStr">
        <is>
          <t>34475394</t>
        </is>
      </c>
      <c r="AW820" t="inlineStr">
        <is>
          <t>991002629789702656</t>
        </is>
      </c>
      <c r="AX820" t="inlineStr">
        <is>
          <t>991002629789702656</t>
        </is>
      </c>
      <c r="AY820" t="inlineStr">
        <is>
          <t>2262114890002656</t>
        </is>
      </c>
      <c r="AZ820" t="inlineStr">
        <is>
          <t>BOOK</t>
        </is>
      </c>
      <c r="BB820" t="inlineStr">
        <is>
          <t>9780710305305</t>
        </is>
      </c>
      <c r="BC820" t="inlineStr">
        <is>
          <t>32285002441417</t>
        </is>
      </c>
      <c r="BD820" t="inlineStr">
        <is>
          <t>893886508</t>
        </is>
      </c>
    </row>
    <row r="821">
      <c r="A821" t="inlineStr">
        <is>
          <t>No</t>
        </is>
      </c>
      <c r="B821" t="inlineStr">
        <is>
          <t>HQ13 .R65</t>
        </is>
      </c>
      <c r="C821" t="inlineStr">
        <is>
          <t>0                      HQ 0013000R  65</t>
        </is>
      </c>
      <c r="D821" t="inlineStr">
        <is>
          <t>Roman morals : a survey of depravity / [compiled] by Harry E. Wedeck.</t>
        </is>
      </c>
      <c r="F821" t="inlineStr">
        <is>
          <t>No</t>
        </is>
      </c>
      <c r="G821" t="inlineStr">
        <is>
          <t>1</t>
        </is>
      </c>
      <c r="H821" t="inlineStr">
        <is>
          <t>No</t>
        </is>
      </c>
      <c r="I821" t="inlineStr">
        <is>
          <t>No</t>
        </is>
      </c>
      <c r="J821" t="inlineStr">
        <is>
          <t>0</t>
        </is>
      </c>
      <c r="L821" t="inlineStr">
        <is>
          <t>Lawrence, Kan. : Coronado, c1980.</t>
        </is>
      </c>
      <c r="M821" t="inlineStr">
        <is>
          <t>1980</t>
        </is>
      </c>
      <c r="O821" t="inlineStr">
        <is>
          <t>eng</t>
        </is>
      </c>
      <c r="P821" t="inlineStr">
        <is>
          <t>ksu</t>
        </is>
      </c>
      <c r="R821" t="inlineStr">
        <is>
          <t xml:space="preserve">HQ </t>
        </is>
      </c>
      <c r="S821" t="n">
        <v>8</v>
      </c>
      <c r="T821" t="n">
        <v>8</v>
      </c>
      <c r="U821" t="inlineStr">
        <is>
          <t>2008-04-09</t>
        </is>
      </c>
      <c r="V821" t="inlineStr">
        <is>
          <t>2008-04-09</t>
        </is>
      </c>
      <c r="W821" t="inlineStr">
        <is>
          <t>1992-10-16</t>
        </is>
      </c>
      <c r="X821" t="inlineStr">
        <is>
          <t>1992-10-16</t>
        </is>
      </c>
      <c r="Y821" t="n">
        <v>70</v>
      </c>
      <c r="Z821" t="n">
        <v>66</v>
      </c>
      <c r="AA821" t="n">
        <v>68</v>
      </c>
      <c r="AB821" t="n">
        <v>1</v>
      </c>
      <c r="AC821" t="n">
        <v>1</v>
      </c>
      <c r="AD821" t="n">
        <v>4</v>
      </c>
      <c r="AE821" t="n">
        <v>4</v>
      </c>
      <c r="AF821" t="n">
        <v>1</v>
      </c>
      <c r="AG821" t="n">
        <v>1</v>
      </c>
      <c r="AH821" t="n">
        <v>2</v>
      </c>
      <c r="AI821" t="n">
        <v>2</v>
      </c>
      <c r="AJ821" t="n">
        <v>3</v>
      </c>
      <c r="AK821" t="n">
        <v>3</v>
      </c>
      <c r="AL821" t="n">
        <v>0</v>
      </c>
      <c r="AM821" t="n">
        <v>0</v>
      </c>
      <c r="AN821" t="n">
        <v>0</v>
      </c>
      <c r="AO821" t="n">
        <v>0</v>
      </c>
      <c r="AP821" t="inlineStr">
        <is>
          <t>No</t>
        </is>
      </c>
      <c r="AQ821" t="inlineStr">
        <is>
          <t>Yes</t>
        </is>
      </c>
      <c r="AR821">
        <f>HYPERLINK("http://catalog.hathitrust.org/Record/010550488","HathiTrust Record")</f>
        <v/>
      </c>
      <c r="AS821">
        <f>HYPERLINK("https://creighton-primo.hosted.exlibrisgroup.com/primo-explore/search?tab=default_tab&amp;search_scope=EVERYTHING&amp;vid=01CRU&amp;lang=en_US&amp;offset=0&amp;query=any,contains,991005074629702656","Catalog Record")</f>
        <v/>
      </c>
      <c r="AT821">
        <f>HYPERLINK("http://www.worldcat.org/oclc/7091836","WorldCat Record")</f>
        <v/>
      </c>
      <c r="AU821" t="inlineStr">
        <is>
          <t>25141855:eng</t>
        </is>
      </c>
      <c r="AV821" t="inlineStr">
        <is>
          <t>7091836</t>
        </is>
      </c>
      <c r="AW821" t="inlineStr">
        <is>
          <t>991005074629702656</t>
        </is>
      </c>
      <c r="AX821" t="inlineStr">
        <is>
          <t>991005074629702656</t>
        </is>
      </c>
      <c r="AY821" t="inlineStr">
        <is>
          <t>2256255310002656</t>
        </is>
      </c>
      <c r="AZ821" t="inlineStr">
        <is>
          <t>BOOK</t>
        </is>
      </c>
      <c r="BB821" t="inlineStr">
        <is>
          <t>9780872911376</t>
        </is>
      </c>
      <c r="BC821" t="inlineStr">
        <is>
          <t>32285001358000</t>
        </is>
      </c>
      <c r="BD821" t="inlineStr">
        <is>
          <t>893688555</t>
        </is>
      </c>
    </row>
    <row r="822">
      <c r="A822" t="inlineStr">
        <is>
          <t>No</t>
        </is>
      </c>
      <c r="B822" t="inlineStr">
        <is>
          <t>HQ13 .T46 1997</t>
        </is>
      </c>
      <c r="C822" t="inlineStr">
        <is>
          <t>0                      HQ 0013000T  46          1997</t>
        </is>
      </c>
      <c r="D822" t="inlineStr">
        <is>
          <t>Eros : the myth of ancient Greek sexuality / Bruce S. Thornton.</t>
        </is>
      </c>
      <c r="F822" t="inlineStr">
        <is>
          <t>No</t>
        </is>
      </c>
      <c r="G822" t="inlineStr">
        <is>
          <t>1</t>
        </is>
      </c>
      <c r="H822" t="inlineStr">
        <is>
          <t>No</t>
        </is>
      </c>
      <c r="I822" t="inlineStr">
        <is>
          <t>No</t>
        </is>
      </c>
      <c r="J822" t="inlineStr">
        <is>
          <t>0</t>
        </is>
      </c>
      <c r="K822" t="inlineStr">
        <is>
          <t>Thornton, Bruce S.</t>
        </is>
      </c>
      <c r="L822" t="inlineStr">
        <is>
          <t>Boulder, Colo. : Westview Press, 1997.</t>
        </is>
      </c>
      <c r="M822" t="inlineStr">
        <is>
          <t>1997</t>
        </is>
      </c>
      <c r="O822" t="inlineStr">
        <is>
          <t>eng</t>
        </is>
      </c>
      <c r="P822" t="inlineStr">
        <is>
          <t>cou</t>
        </is>
      </c>
      <c r="R822" t="inlineStr">
        <is>
          <t xml:space="preserve">HQ </t>
        </is>
      </c>
      <c r="S822" t="n">
        <v>7</v>
      </c>
      <c r="T822" t="n">
        <v>7</v>
      </c>
      <c r="U822" t="inlineStr">
        <is>
          <t>2008-11-22</t>
        </is>
      </c>
      <c r="V822" t="inlineStr">
        <is>
          <t>2008-11-22</t>
        </is>
      </c>
      <c r="W822" t="inlineStr">
        <is>
          <t>1997-10-03</t>
        </is>
      </c>
      <c r="X822" t="inlineStr">
        <is>
          <t>1997-10-03</t>
        </is>
      </c>
      <c r="Y822" t="n">
        <v>561</v>
      </c>
      <c r="Z822" t="n">
        <v>461</v>
      </c>
      <c r="AA822" t="n">
        <v>517</v>
      </c>
      <c r="AB822" t="n">
        <v>2</v>
      </c>
      <c r="AC822" t="n">
        <v>2</v>
      </c>
      <c r="AD822" t="n">
        <v>20</v>
      </c>
      <c r="AE822" t="n">
        <v>20</v>
      </c>
      <c r="AF822" t="n">
        <v>7</v>
      </c>
      <c r="AG822" t="n">
        <v>7</v>
      </c>
      <c r="AH822" t="n">
        <v>4</v>
      </c>
      <c r="AI822" t="n">
        <v>4</v>
      </c>
      <c r="AJ822" t="n">
        <v>18</v>
      </c>
      <c r="AK822" t="n">
        <v>18</v>
      </c>
      <c r="AL822" t="n">
        <v>1</v>
      </c>
      <c r="AM822" t="n">
        <v>1</v>
      </c>
      <c r="AN822" t="n">
        <v>0</v>
      </c>
      <c r="AO822" t="n">
        <v>0</v>
      </c>
      <c r="AP822" t="inlineStr">
        <is>
          <t>No</t>
        </is>
      </c>
      <c r="AQ822" t="inlineStr">
        <is>
          <t>Yes</t>
        </is>
      </c>
      <c r="AR822">
        <f>HYPERLINK("http://catalog.hathitrust.org/Record/003129991","HathiTrust Record")</f>
        <v/>
      </c>
      <c r="AS822">
        <f>HYPERLINK("https://creighton-primo.hosted.exlibrisgroup.com/primo-explore/search?tab=default_tab&amp;search_scope=EVERYTHING&amp;vid=01CRU&amp;lang=en_US&amp;offset=0&amp;query=any,contains,991002719679702656","Catalog Record")</f>
        <v/>
      </c>
      <c r="AT822">
        <f>HYPERLINK("http://www.worldcat.org/oclc/35657839","WorldCat Record")</f>
        <v/>
      </c>
      <c r="AU822" t="inlineStr">
        <is>
          <t>802793521:eng</t>
        </is>
      </c>
      <c r="AV822" t="inlineStr">
        <is>
          <t>35657839</t>
        </is>
      </c>
      <c r="AW822" t="inlineStr">
        <is>
          <t>991002719679702656</t>
        </is>
      </c>
      <c r="AX822" t="inlineStr">
        <is>
          <t>991002719679702656</t>
        </is>
      </c>
      <c r="AY822" t="inlineStr">
        <is>
          <t>2255516300002656</t>
        </is>
      </c>
      <c r="AZ822" t="inlineStr">
        <is>
          <t>BOOK</t>
        </is>
      </c>
      <c r="BB822" t="inlineStr">
        <is>
          <t>9780813332253</t>
        </is>
      </c>
      <c r="BC822" t="inlineStr">
        <is>
          <t>32285003252649</t>
        </is>
      </c>
      <c r="BD822" t="inlineStr">
        <is>
          <t>893233333</t>
        </is>
      </c>
    </row>
    <row r="823">
      <c r="A823" t="inlineStr">
        <is>
          <t>No</t>
        </is>
      </c>
      <c r="B823" t="inlineStr">
        <is>
          <t>HQ1381 .A44 2002</t>
        </is>
      </c>
      <c r="C823" t="inlineStr">
        <is>
          <t>0                      HQ 1381000A  44          2002</t>
        </is>
      </c>
      <c r="D823" t="inlineStr">
        <is>
          <t>Hitting home : feminist ethics, women's work, and the betrayal of "family values" / Gloria H. Albrecht.</t>
        </is>
      </c>
      <c r="F823" t="inlineStr">
        <is>
          <t>No</t>
        </is>
      </c>
      <c r="G823" t="inlineStr">
        <is>
          <t>1</t>
        </is>
      </c>
      <c r="H823" t="inlineStr">
        <is>
          <t>No</t>
        </is>
      </c>
      <c r="I823" t="inlineStr">
        <is>
          <t>No</t>
        </is>
      </c>
      <c r="J823" t="inlineStr">
        <is>
          <t>0</t>
        </is>
      </c>
      <c r="K823" t="inlineStr">
        <is>
          <t>Albrecht, Gloria H.</t>
        </is>
      </c>
      <c r="L823" t="inlineStr">
        <is>
          <t>New York : Continuum, 2002.</t>
        </is>
      </c>
      <c r="M823" t="inlineStr">
        <is>
          <t>2002</t>
        </is>
      </c>
      <c r="O823" t="inlineStr">
        <is>
          <t>eng</t>
        </is>
      </c>
      <c r="P823" t="inlineStr">
        <is>
          <t>nyu</t>
        </is>
      </c>
      <c r="R823" t="inlineStr">
        <is>
          <t xml:space="preserve">HQ </t>
        </is>
      </c>
      <c r="S823" t="n">
        <v>3</v>
      </c>
      <c r="T823" t="n">
        <v>3</v>
      </c>
      <c r="U823" t="inlineStr">
        <is>
          <t>2004-02-29</t>
        </is>
      </c>
      <c r="V823" t="inlineStr">
        <is>
          <t>2004-02-29</t>
        </is>
      </c>
      <c r="W823" t="inlineStr">
        <is>
          <t>2003-01-29</t>
        </is>
      </c>
      <c r="X823" t="inlineStr">
        <is>
          <t>2003-01-29</t>
        </is>
      </c>
      <c r="Y823" t="n">
        <v>376</v>
      </c>
      <c r="Z823" t="n">
        <v>313</v>
      </c>
      <c r="AA823" t="n">
        <v>315</v>
      </c>
      <c r="AB823" t="n">
        <v>3</v>
      </c>
      <c r="AC823" t="n">
        <v>3</v>
      </c>
      <c r="AD823" t="n">
        <v>21</v>
      </c>
      <c r="AE823" t="n">
        <v>21</v>
      </c>
      <c r="AF823" t="n">
        <v>6</v>
      </c>
      <c r="AG823" t="n">
        <v>6</v>
      </c>
      <c r="AH823" t="n">
        <v>6</v>
      </c>
      <c r="AI823" t="n">
        <v>6</v>
      </c>
      <c r="AJ823" t="n">
        <v>12</v>
      </c>
      <c r="AK823" t="n">
        <v>12</v>
      </c>
      <c r="AL823" t="n">
        <v>2</v>
      </c>
      <c r="AM823" t="n">
        <v>2</v>
      </c>
      <c r="AN823" t="n">
        <v>0</v>
      </c>
      <c r="AO823" t="n">
        <v>0</v>
      </c>
      <c r="AP823" t="inlineStr">
        <is>
          <t>No</t>
        </is>
      </c>
      <c r="AQ823" t="inlineStr">
        <is>
          <t>Yes</t>
        </is>
      </c>
      <c r="AR823">
        <f>HYPERLINK("http://catalog.hathitrust.org/Record/004289916","HathiTrust Record")</f>
        <v/>
      </c>
      <c r="AS823">
        <f>HYPERLINK("https://creighton-primo.hosted.exlibrisgroup.com/primo-explore/search?tab=default_tab&amp;search_scope=EVERYTHING&amp;vid=01CRU&amp;lang=en_US&amp;offset=0&amp;query=any,contains,991003968469702656","Catalog Record")</f>
        <v/>
      </c>
      <c r="AT823">
        <f>HYPERLINK("http://www.worldcat.org/oclc/50123409","WorldCat Record")</f>
        <v/>
      </c>
      <c r="AU823" t="inlineStr">
        <is>
          <t>1024206:eng</t>
        </is>
      </c>
      <c r="AV823" t="inlineStr">
        <is>
          <t>50123409</t>
        </is>
      </c>
      <c r="AW823" t="inlineStr">
        <is>
          <t>991003968469702656</t>
        </is>
      </c>
      <c r="AX823" t="inlineStr">
        <is>
          <t>991003968469702656</t>
        </is>
      </c>
      <c r="AY823" t="inlineStr">
        <is>
          <t>2267082910002656</t>
        </is>
      </c>
      <c r="AZ823" t="inlineStr">
        <is>
          <t>BOOK</t>
        </is>
      </c>
      <c r="BB823" t="inlineStr">
        <is>
          <t>9780826414427</t>
        </is>
      </c>
      <c r="BC823" t="inlineStr">
        <is>
          <t>32285004696141</t>
        </is>
      </c>
      <c r="BD823" t="inlineStr">
        <is>
          <t>893894420</t>
        </is>
      </c>
    </row>
    <row r="824">
      <c r="A824" t="inlineStr">
        <is>
          <t>No</t>
        </is>
      </c>
      <c r="B824" t="inlineStr">
        <is>
          <t>HQ1381 .J37 2000</t>
        </is>
      </c>
      <c r="C824" t="inlineStr">
        <is>
          <t>0                      HQ 1381000J  37          2000</t>
        </is>
      </c>
      <c r="D824" t="inlineStr">
        <is>
          <t>Women and economic justice : ethics in feminist liberation theology and feminist economics / Ann-Cathrin Jarl.</t>
        </is>
      </c>
      <c r="F824" t="inlineStr">
        <is>
          <t>No</t>
        </is>
      </c>
      <c r="G824" t="inlineStr">
        <is>
          <t>1</t>
        </is>
      </c>
      <c r="H824" t="inlineStr">
        <is>
          <t>No</t>
        </is>
      </c>
      <c r="I824" t="inlineStr">
        <is>
          <t>No</t>
        </is>
      </c>
      <c r="J824" t="inlineStr">
        <is>
          <t>0</t>
        </is>
      </c>
      <c r="K824" t="inlineStr">
        <is>
          <t>Jarl, Ann-Cathrin.</t>
        </is>
      </c>
      <c r="L824" t="inlineStr">
        <is>
          <t>Uppsala : S. Academiae Ubsaliensis : Uppsala University Library, distributor, 2000.</t>
        </is>
      </c>
      <c r="M824" t="inlineStr">
        <is>
          <t>2000</t>
        </is>
      </c>
      <c r="O824" t="inlineStr">
        <is>
          <t>eng</t>
        </is>
      </c>
      <c r="P824" t="inlineStr">
        <is>
          <t xml:space="preserve">sw </t>
        </is>
      </c>
      <c r="Q824" t="inlineStr">
        <is>
          <t>Acta Universitatis Upsaliensis. Uppsala studies in social ethics, 0346-6507 ; 25</t>
        </is>
      </c>
      <c r="R824" t="inlineStr">
        <is>
          <t xml:space="preserve">HQ </t>
        </is>
      </c>
      <c r="S824" t="n">
        <v>7</v>
      </c>
      <c r="T824" t="n">
        <v>7</v>
      </c>
      <c r="U824" t="inlineStr">
        <is>
          <t>2010-09-28</t>
        </is>
      </c>
      <c r="V824" t="inlineStr">
        <is>
          <t>2010-09-28</t>
        </is>
      </c>
      <c r="W824" t="inlineStr">
        <is>
          <t>2003-01-07</t>
        </is>
      </c>
      <c r="X824" t="inlineStr">
        <is>
          <t>2003-01-07</t>
        </is>
      </c>
      <c r="Y824" t="n">
        <v>83</v>
      </c>
      <c r="Z824" t="n">
        <v>61</v>
      </c>
      <c r="AA824" t="n">
        <v>62</v>
      </c>
      <c r="AB824" t="n">
        <v>1</v>
      </c>
      <c r="AC824" t="n">
        <v>1</v>
      </c>
      <c r="AD824" t="n">
        <v>5</v>
      </c>
      <c r="AE824" t="n">
        <v>5</v>
      </c>
      <c r="AF824" t="n">
        <v>1</v>
      </c>
      <c r="AG824" t="n">
        <v>1</v>
      </c>
      <c r="AH824" t="n">
        <v>2</v>
      </c>
      <c r="AI824" t="n">
        <v>2</v>
      </c>
      <c r="AJ824" t="n">
        <v>3</v>
      </c>
      <c r="AK824" t="n">
        <v>3</v>
      </c>
      <c r="AL824" t="n">
        <v>0</v>
      </c>
      <c r="AM824" t="n">
        <v>0</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HYPERLINK("https://creighton-primo.hosted.exlibrisgroup.com/primo-explore/search?tab=default_tab&amp;search_scope=EVERYTHING&amp;vid=01CRU&amp;lang=en_US&amp;offset=0&amp;query=any,contains,991003917939702656","Catalog Record")</f>
        <v/>
      </c>
      <c r="AT824">
        <f>HYPERLINK("http://www.worldcat.org/oclc/50622322","WorldCat Record")</f>
        <v/>
      </c>
      <c r="AU824" t="inlineStr">
        <is>
          <t>289215974:eng</t>
        </is>
      </c>
      <c r="AV824" t="inlineStr">
        <is>
          <t>50622322</t>
        </is>
      </c>
      <c r="AW824" t="inlineStr">
        <is>
          <t>991003917939702656</t>
        </is>
      </c>
      <c r="AX824" t="inlineStr">
        <is>
          <t>991003917939702656</t>
        </is>
      </c>
      <c r="AY824" t="inlineStr">
        <is>
          <t>2259511990002656</t>
        </is>
      </c>
      <c r="AZ824" t="inlineStr">
        <is>
          <t>BOOK</t>
        </is>
      </c>
      <c r="BB824" t="inlineStr">
        <is>
          <t>9789155447595</t>
        </is>
      </c>
      <c r="BC824" t="inlineStr">
        <is>
          <t>32285004692017</t>
        </is>
      </c>
      <c r="BD824" t="inlineStr">
        <is>
          <t>893617996</t>
        </is>
      </c>
    </row>
    <row r="825">
      <c r="A825" t="inlineStr">
        <is>
          <t>No</t>
        </is>
      </c>
      <c r="B825" t="inlineStr">
        <is>
          <t>HQ1381 .N62 1987</t>
        </is>
      </c>
      <c r="C825" t="inlineStr">
        <is>
          <t>0                      HQ 1381000N  62          1987</t>
        </is>
      </c>
      <c r="D825" t="inlineStr">
        <is>
          <t>The feminization of poverty / compiled by Joan Nordquist.</t>
        </is>
      </c>
      <c r="F825" t="inlineStr">
        <is>
          <t>No</t>
        </is>
      </c>
      <c r="G825" t="inlineStr">
        <is>
          <t>1</t>
        </is>
      </c>
      <c r="H825" t="inlineStr">
        <is>
          <t>No</t>
        </is>
      </c>
      <c r="I825" t="inlineStr">
        <is>
          <t>No</t>
        </is>
      </c>
      <c r="J825" t="inlineStr">
        <is>
          <t>0</t>
        </is>
      </c>
      <c r="K825" t="inlineStr">
        <is>
          <t>Nordquist, Joan.</t>
        </is>
      </c>
      <c r="L825" t="inlineStr">
        <is>
          <t>Santa Cruz, Calif. : Reference and Research Services, 1987.</t>
        </is>
      </c>
      <c r="M825" t="inlineStr">
        <is>
          <t>1987</t>
        </is>
      </c>
      <c r="O825" t="inlineStr">
        <is>
          <t>eng</t>
        </is>
      </c>
      <c r="P825" t="inlineStr">
        <is>
          <t>cau</t>
        </is>
      </c>
      <c r="Q825" t="inlineStr">
        <is>
          <t>Contemporary social issues : a bibliographic series, 0887-3569 ; no. 6</t>
        </is>
      </c>
      <c r="R825" t="inlineStr">
        <is>
          <t xml:space="preserve">HQ </t>
        </is>
      </c>
      <c r="S825" t="n">
        <v>2</v>
      </c>
      <c r="T825" t="n">
        <v>2</v>
      </c>
      <c r="U825" t="inlineStr">
        <is>
          <t>1997-03-20</t>
        </is>
      </c>
      <c r="V825" t="inlineStr">
        <is>
          <t>1997-03-20</t>
        </is>
      </c>
      <c r="W825" t="inlineStr">
        <is>
          <t>1992-04-28</t>
        </is>
      </c>
      <c r="X825" t="inlineStr">
        <is>
          <t>1992-04-28</t>
        </is>
      </c>
      <c r="Y825" t="n">
        <v>273</v>
      </c>
      <c r="Z825" t="n">
        <v>241</v>
      </c>
      <c r="AA825" t="n">
        <v>248</v>
      </c>
      <c r="AB825" t="n">
        <v>2</v>
      </c>
      <c r="AC825" t="n">
        <v>2</v>
      </c>
      <c r="AD825" t="n">
        <v>13</v>
      </c>
      <c r="AE825" t="n">
        <v>13</v>
      </c>
      <c r="AF825" t="n">
        <v>5</v>
      </c>
      <c r="AG825" t="n">
        <v>5</v>
      </c>
      <c r="AH825" t="n">
        <v>1</v>
      </c>
      <c r="AI825" t="n">
        <v>1</v>
      </c>
      <c r="AJ825" t="n">
        <v>10</v>
      </c>
      <c r="AK825" t="n">
        <v>10</v>
      </c>
      <c r="AL825" t="n">
        <v>1</v>
      </c>
      <c r="AM825" t="n">
        <v>1</v>
      </c>
      <c r="AN825" t="n">
        <v>0</v>
      </c>
      <c r="AO825" t="n">
        <v>0</v>
      </c>
      <c r="AP825" t="inlineStr">
        <is>
          <t>No</t>
        </is>
      </c>
      <c r="AQ825" t="inlineStr">
        <is>
          <t>Yes</t>
        </is>
      </c>
      <c r="AR825">
        <f>HYPERLINK("http://catalog.hathitrust.org/Record/000924790","HathiTrust Record")</f>
        <v/>
      </c>
      <c r="AS825">
        <f>HYPERLINK("https://creighton-primo.hosted.exlibrisgroup.com/primo-explore/search?tab=default_tab&amp;search_scope=EVERYTHING&amp;vid=01CRU&amp;lang=en_US&amp;offset=0&amp;query=any,contains,991001123029702656","Catalog Record")</f>
        <v/>
      </c>
      <c r="AT825">
        <f>HYPERLINK("http://www.worldcat.org/oclc/16630657","WorldCat Record")</f>
        <v/>
      </c>
      <c r="AU825" t="inlineStr">
        <is>
          <t>12436998:eng</t>
        </is>
      </c>
      <c r="AV825" t="inlineStr">
        <is>
          <t>16630657</t>
        </is>
      </c>
      <c r="AW825" t="inlineStr">
        <is>
          <t>991001123029702656</t>
        </is>
      </c>
      <c r="AX825" t="inlineStr">
        <is>
          <t>991001123029702656</t>
        </is>
      </c>
      <c r="AY825" t="inlineStr">
        <is>
          <t>2267768220002656</t>
        </is>
      </c>
      <c r="AZ825" t="inlineStr">
        <is>
          <t>BOOK</t>
        </is>
      </c>
      <c r="BB825" t="inlineStr">
        <is>
          <t>9780937855119</t>
        </is>
      </c>
      <c r="BC825" t="inlineStr">
        <is>
          <t>32285001090025</t>
        </is>
      </c>
      <c r="BD825" t="inlineStr">
        <is>
          <t>893420087</t>
        </is>
      </c>
    </row>
    <row r="826">
      <c r="A826" t="inlineStr">
        <is>
          <t>No</t>
        </is>
      </c>
      <c r="B826" t="inlineStr">
        <is>
          <t>HQ1390 .K53 1987</t>
        </is>
      </c>
      <c r="C826" t="inlineStr">
        <is>
          <t>0                      HQ 1390000K  53          1987</t>
        </is>
      </c>
      <c r="D826" t="inlineStr">
        <is>
          <t>Women of the new right / Rebecca E. Klatch.</t>
        </is>
      </c>
      <c r="F826" t="inlineStr">
        <is>
          <t>No</t>
        </is>
      </c>
      <c r="G826" t="inlineStr">
        <is>
          <t>1</t>
        </is>
      </c>
      <c r="H826" t="inlineStr">
        <is>
          <t>No</t>
        </is>
      </c>
      <c r="I826" t="inlineStr">
        <is>
          <t>No</t>
        </is>
      </c>
      <c r="J826" t="inlineStr">
        <is>
          <t>0</t>
        </is>
      </c>
      <c r="K826" t="inlineStr">
        <is>
          <t>Klatch, Rebecca E.</t>
        </is>
      </c>
      <c r="L826" t="inlineStr">
        <is>
          <t>Philadelphia : Temple University Press, 1987.</t>
        </is>
      </c>
      <c r="M826" t="inlineStr">
        <is>
          <t>1987</t>
        </is>
      </c>
      <c r="O826" t="inlineStr">
        <is>
          <t>eng</t>
        </is>
      </c>
      <c r="P826" t="inlineStr">
        <is>
          <t>pau</t>
        </is>
      </c>
      <c r="Q826" t="inlineStr">
        <is>
          <t>Women in the political economy</t>
        </is>
      </c>
      <c r="R826" t="inlineStr">
        <is>
          <t xml:space="preserve">HQ </t>
        </is>
      </c>
      <c r="S826" t="n">
        <v>14</v>
      </c>
      <c r="T826" t="n">
        <v>14</v>
      </c>
      <c r="U826" t="inlineStr">
        <is>
          <t>2004-02-08</t>
        </is>
      </c>
      <c r="V826" t="inlineStr">
        <is>
          <t>2004-02-08</t>
        </is>
      </c>
      <c r="W826" t="inlineStr">
        <is>
          <t>1990-07-05</t>
        </is>
      </c>
      <c r="X826" t="inlineStr">
        <is>
          <t>1990-07-05</t>
        </is>
      </c>
      <c r="Y826" t="n">
        <v>657</v>
      </c>
      <c r="Z826" t="n">
        <v>566</v>
      </c>
      <c r="AA826" t="n">
        <v>753</v>
      </c>
      <c r="AB826" t="n">
        <v>7</v>
      </c>
      <c r="AC826" t="n">
        <v>7</v>
      </c>
      <c r="AD826" t="n">
        <v>33</v>
      </c>
      <c r="AE826" t="n">
        <v>39</v>
      </c>
      <c r="AF826" t="n">
        <v>14</v>
      </c>
      <c r="AG826" t="n">
        <v>19</v>
      </c>
      <c r="AH826" t="n">
        <v>8</v>
      </c>
      <c r="AI826" t="n">
        <v>10</v>
      </c>
      <c r="AJ826" t="n">
        <v>15</v>
      </c>
      <c r="AK826" t="n">
        <v>17</v>
      </c>
      <c r="AL826" t="n">
        <v>5</v>
      </c>
      <c r="AM826" t="n">
        <v>5</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HYPERLINK("https://creighton-primo.hosted.exlibrisgroup.com/primo-explore/search?tab=default_tab&amp;search_scope=EVERYTHING&amp;vid=01CRU&amp;lang=en_US&amp;offset=0&amp;query=any,contains,991000941609702656","Catalog Record")</f>
        <v/>
      </c>
      <c r="AT826">
        <f>HYPERLINK("http://www.worldcat.org/oclc/14413100","WorldCat Record")</f>
        <v/>
      </c>
      <c r="AU826" t="inlineStr">
        <is>
          <t>8357327:eng</t>
        </is>
      </c>
      <c r="AV826" t="inlineStr">
        <is>
          <t>14413100</t>
        </is>
      </c>
      <c r="AW826" t="inlineStr">
        <is>
          <t>991000941609702656</t>
        </is>
      </c>
      <c r="AX826" t="inlineStr">
        <is>
          <t>991000941609702656</t>
        </is>
      </c>
      <c r="AY826" t="inlineStr">
        <is>
          <t>2266375860002656</t>
        </is>
      </c>
      <c r="AZ826" t="inlineStr">
        <is>
          <t>BOOK</t>
        </is>
      </c>
      <c r="BB826" t="inlineStr">
        <is>
          <t>9780877224709</t>
        </is>
      </c>
      <c r="BC826" t="inlineStr">
        <is>
          <t>32285000221381</t>
        </is>
      </c>
      <c r="BD826" t="inlineStr">
        <is>
          <t>893878479</t>
        </is>
      </c>
    </row>
    <row r="827">
      <c r="A827" t="inlineStr">
        <is>
          <t>No</t>
        </is>
      </c>
      <c r="B827" t="inlineStr">
        <is>
          <t>HQ1390 .L578 1995</t>
        </is>
      </c>
      <c r="C827" t="inlineStr">
        <is>
          <t>0                      HQ 1390000L  578         1995</t>
        </is>
      </c>
      <c r="D827" t="inlineStr">
        <is>
          <t>Women world leaders : fifteen great politicians tell their stories / Laura A. Liswood.</t>
        </is>
      </c>
      <c r="F827" t="inlineStr">
        <is>
          <t>No</t>
        </is>
      </c>
      <c r="G827" t="inlineStr">
        <is>
          <t>1</t>
        </is>
      </c>
      <c r="H827" t="inlineStr">
        <is>
          <t>No</t>
        </is>
      </c>
      <c r="I827" t="inlineStr">
        <is>
          <t>No</t>
        </is>
      </c>
      <c r="J827" t="inlineStr">
        <is>
          <t>0</t>
        </is>
      </c>
      <c r="K827" t="inlineStr">
        <is>
          <t>Liswood, Laura A., 1950-</t>
        </is>
      </c>
      <c r="L827" t="inlineStr">
        <is>
          <t>London : Pandora, 1995.</t>
        </is>
      </c>
      <c r="M827" t="inlineStr">
        <is>
          <t>1995</t>
        </is>
      </c>
      <c r="O827" t="inlineStr">
        <is>
          <t>eng</t>
        </is>
      </c>
      <c r="P827" t="inlineStr">
        <is>
          <t>enk</t>
        </is>
      </c>
      <c r="R827" t="inlineStr">
        <is>
          <t xml:space="preserve">HQ </t>
        </is>
      </c>
      <c r="S827" t="n">
        <v>4</v>
      </c>
      <c r="T827" t="n">
        <v>4</v>
      </c>
      <c r="U827" t="inlineStr">
        <is>
          <t>2006-10-12</t>
        </is>
      </c>
      <c r="V827" t="inlineStr">
        <is>
          <t>2006-10-12</t>
        </is>
      </c>
      <c r="W827" t="inlineStr">
        <is>
          <t>1996-04-03</t>
        </is>
      </c>
      <c r="X827" t="inlineStr">
        <is>
          <t>1996-04-03</t>
        </is>
      </c>
      <c r="Y827" t="n">
        <v>478</v>
      </c>
      <c r="Z827" t="n">
        <v>372</v>
      </c>
      <c r="AA827" t="n">
        <v>442</v>
      </c>
      <c r="AB827" t="n">
        <v>4</v>
      </c>
      <c r="AC827" t="n">
        <v>4</v>
      </c>
      <c r="AD827" t="n">
        <v>16</v>
      </c>
      <c r="AE827" t="n">
        <v>19</v>
      </c>
      <c r="AF827" t="n">
        <v>3</v>
      </c>
      <c r="AG827" t="n">
        <v>6</v>
      </c>
      <c r="AH827" t="n">
        <v>4</v>
      </c>
      <c r="AI827" t="n">
        <v>4</v>
      </c>
      <c r="AJ827" t="n">
        <v>8</v>
      </c>
      <c r="AK827" t="n">
        <v>9</v>
      </c>
      <c r="AL827" t="n">
        <v>3</v>
      </c>
      <c r="AM827" t="n">
        <v>3</v>
      </c>
      <c r="AN827" t="n">
        <v>1</v>
      </c>
      <c r="AO827" t="n">
        <v>1</v>
      </c>
      <c r="AP827" t="inlineStr">
        <is>
          <t>No</t>
        </is>
      </c>
      <c r="AQ827" t="inlineStr">
        <is>
          <t>No</t>
        </is>
      </c>
      <c r="AS827">
        <f>HYPERLINK("https://creighton-primo.hosted.exlibrisgroup.com/primo-explore/search?tab=default_tab&amp;search_scope=EVERYTHING&amp;vid=01CRU&amp;lang=en_US&amp;offset=0&amp;query=any,contains,991002570729702656","Catalog Record")</f>
        <v/>
      </c>
      <c r="AT827">
        <f>HYPERLINK("http://www.worldcat.org/oclc/33406322","WorldCat Record")</f>
        <v/>
      </c>
      <c r="AU827" t="inlineStr">
        <is>
          <t>837006647:eng</t>
        </is>
      </c>
      <c r="AV827" t="inlineStr">
        <is>
          <t>33406322</t>
        </is>
      </c>
      <c r="AW827" t="inlineStr">
        <is>
          <t>991002570729702656</t>
        </is>
      </c>
      <c r="AX827" t="inlineStr">
        <is>
          <t>991002570729702656</t>
        </is>
      </c>
      <c r="AY827" t="inlineStr">
        <is>
          <t>2270717150002656</t>
        </is>
      </c>
      <c r="AZ827" t="inlineStr">
        <is>
          <t>BOOK</t>
        </is>
      </c>
      <c r="BB827" t="inlineStr">
        <is>
          <t>9780044409045</t>
        </is>
      </c>
      <c r="BC827" t="inlineStr">
        <is>
          <t>32285002150000</t>
        </is>
      </c>
      <c r="BD827" t="inlineStr">
        <is>
          <t>893498272</t>
        </is>
      </c>
    </row>
    <row r="828">
      <c r="A828" t="inlineStr">
        <is>
          <t>No</t>
        </is>
      </c>
      <c r="B828" t="inlineStr">
        <is>
          <t>HQ1391.U5 A87 1991</t>
        </is>
      </c>
      <c r="C828" t="inlineStr">
        <is>
          <t>0                      HQ 1391000U  5                  A  87          1991</t>
        </is>
      </c>
      <c r="D828" t="inlineStr">
        <is>
          <t>Women of influence, women of vision : a cross-generational study of leaders and social change / Helen S. Astin, Carole Leland ; foreword by Charlotte Bunch.</t>
        </is>
      </c>
      <c r="F828" t="inlineStr">
        <is>
          <t>No</t>
        </is>
      </c>
      <c r="G828" t="inlineStr">
        <is>
          <t>1</t>
        </is>
      </c>
      <c r="H828" t="inlineStr">
        <is>
          <t>No</t>
        </is>
      </c>
      <c r="I828" t="inlineStr">
        <is>
          <t>No</t>
        </is>
      </c>
      <c r="J828" t="inlineStr">
        <is>
          <t>0</t>
        </is>
      </c>
      <c r="K828" t="inlineStr">
        <is>
          <t>Astin, Helen S., 1932-2015.</t>
        </is>
      </c>
      <c r="L828" t="inlineStr">
        <is>
          <t>San Francisco : Jossey-Bass, 1991.</t>
        </is>
      </c>
      <c r="M828" t="inlineStr">
        <is>
          <t>1991</t>
        </is>
      </c>
      <c r="N828" t="inlineStr">
        <is>
          <t>1st ed.</t>
        </is>
      </c>
      <c r="O828" t="inlineStr">
        <is>
          <t>eng</t>
        </is>
      </c>
      <c r="P828" t="inlineStr">
        <is>
          <t>cau</t>
        </is>
      </c>
      <c r="Q828" t="inlineStr">
        <is>
          <t>The Jossey-Bass social and behavioral science series</t>
        </is>
      </c>
      <c r="R828" t="inlineStr">
        <is>
          <t xml:space="preserve">HQ </t>
        </is>
      </c>
      <c r="S828" t="n">
        <v>15</v>
      </c>
      <c r="T828" t="n">
        <v>15</v>
      </c>
      <c r="U828" t="inlineStr">
        <is>
          <t>2003-09-29</t>
        </is>
      </c>
      <c r="V828" t="inlineStr">
        <is>
          <t>2003-09-29</t>
        </is>
      </c>
      <c r="W828" t="inlineStr">
        <is>
          <t>1992-03-11</t>
        </is>
      </c>
      <c r="X828" t="inlineStr">
        <is>
          <t>1992-03-11</t>
        </is>
      </c>
      <c r="Y828" t="n">
        <v>1111</v>
      </c>
      <c r="Z828" t="n">
        <v>995</v>
      </c>
      <c r="AA828" t="n">
        <v>1084</v>
      </c>
      <c r="AB828" t="n">
        <v>13</v>
      </c>
      <c r="AC828" t="n">
        <v>13</v>
      </c>
      <c r="AD828" t="n">
        <v>47</v>
      </c>
      <c r="AE828" t="n">
        <v>48</v>
      </c>
      <c r="AF828" t="n">
        <v>18</v>
      </c>
      <c r="AG828" t="n">
        <v>19</v>
      </c>
      <c r="AH828" t="n">
        <v>11</v>
      </c>
      <c r="AI828" t="n">
        <v>11</v>
      </c>
      <c r="AJ828" t="n">
        <v>22</v>
      </c>
      <c r="AK828" t="n">
        <v>22</v>
      </c>
      <c r="AL828" t="n">
        <v>9</v>
      </c>
      <c r="AM828" t="n">
        <v>9</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HYPERLINK("https://creighton-primo.hosted.exlibrisgroup.com/primo-explore/search?tab=default_tab&amp;search_scope=EVERYTHING&amp;vid=01CRU&amp;lang=en_US&amp;offset=0&amp;query=any,contains,991001856449702656","Catalog Record")</f>
        <v/>
      </c>
      <c r="AT828">
        <f>HYPERLINK("http://www.worldcat.org/oclc/23287335","WorldCat Record")</f>
        <v/>
      </c>
      <c r="AU828" t="inlineStr">
        <is>
          <t>890377525:eng</t>
        </is>
      </c>
      <c r="AV828" t="inlineStr">
        <is>
          <t>23287335</t>
        </is>
      </c>
      <c r="AW828" t="inlineStr">
        <is>
          <t>991001856449702656</t>
        </is>
      </c>
      <c r="AX828" t="inlineStr">
        <is>
          <t>991001856449702656</t>
        </is>
      </c>
      <c r="AY828" t="inlineStr">
        <is>
          <t>2272020860002656</t>
        </is>
      </c>
      <c r="AZ828" t="inlineStr">
        <is>
          <t>BOOK</t>
        </is>
      </c>
      <c r="BB828" t="inlineStr">
        <is>
          <t>9781555423575</t>
        </is>
      </c>
      <c r="BC828" t="inlineStr">
        <is>
          <t>32285000939131</t>
        </is>
      </c>
      <c r="BD828" t="inlineStr">
        <is>
          <t>893334668</t>
        </is>
      </c>
    </row>
    <row r="829">
      <c r="A829" t="inlineStr">
        <is>
          <t>No</t>
        </is>
      </c>
      <c r="B829" t="inlineStr">
        <is>
          <t>HQ1391.U5 B69 1994</t>
        </is>
      </c>
      <c r="C829" t="inlineStr">
        <is>
          <t>0                      HQ 1391000U  5                  B  69          1994</t>
        </is>
      </c>
      <c r="D829" t="inlineStr">
        <is>
          <t>Strangers in the Senate : politics and the new revolution of women in America / Barbara Boxer with Nicole Boxer.</t>
        </is>
      </c>
      <c r="F829" t="inlineStr">
        <is>
          <t>No</t>
        </is>
      </c>
      <c r="G829" t="inlineStr">
        <is>
          <t>1</t>
        </is>
      </c>
      <c r="H829" t="inlineStr">
        <is>
          <t>No</t>
        </is>
      </c>
      <c r="I829" t="inlineStr">
        <is>
          <t>No</t>
        </is>
      </c>
      <c r="J829" t="inlineStr">
        <is>
          <t>0</t>
        </is>
      </c>
      <c r="K829" t="inlineStr">
        <is>
          <t>Boxer, Barbara.</t>
        </is>
      </c>
      <c r="L829" t="inlineStr">
        <is>
          <t>Washington, D.C. : National Press Books, c1994.</t>
        </is>
      </c>
      <c r="M829" t="inlineStr">
        <is>
          <t>1994</t>
        </is>
      </c>
      <c r="O829" t="inlineStr">
        <is>
          <t>eng</t>
        </is>
      </c>
      <c r="P829" t="inlineStr">
        <is>
          <t>dcu</t>
        </is>
      </c>
      <c r="R829" t="inlineStr">
        <is>
          <t xml:space="preserve">HQ </t>
        </is>
      </c>
      <c r="S829" t="n">
        <v>5</v>
      </c>
      <c r="T829" t="n">
        <v>5</v>
      </c>
      <c r="U829" t="inlineStr">
        <is>
          <t>1996-03-24</t>
        </is>
      </c>
      <c r="V829" t="inlineStr">
        <is>
          <t>1996-03-24</t>
        </is>
      </c>
      <c r="W829" t="inlineStr">
        <is>
          <t>1994-05-09</t>
        </is>
      </c>
      <c r="X829" t="inlineStr">
        <is>
          <t>1994-05-09</t>
        </is>
      </c>
      <c r="Y829" t="n">
        <v>636</v>
      </c>
      <c r="Z829" t="n">
        <v>609</v>
      </c>
      <c r="AA829" t="n">
        <v>627</v>
      </c>
      <c r="AB829" t="n">
        <v>4</v>
      </c>
      <c r="AC829" t="n">
        <v>4</v>
      </c>
      <c r="AD829" t="n">
        <v>25</v>
      </c>
      <c r="AE829" t="n">
        <v>25</v>
      </c>
      <c r="AF829" t="n">
        <v>11</v>
      </c>
      <c r="AG829" t="n">
        <v>11</v>
      </c>
      <c r="AH829" t="n">
        <v>6</v>
      </c>
      <c r="AI829" t="n">
        <v>6</v>
      </c>
      <c r="AJ829" t="n">
        <v>12</v>
      </c>
      <c r="AK829" t="n">
        <v>12</v>
      </c>
      <c r="AL829" t="n">
        <v>3</v>
      </c>
      <c r="AM829" t="n">
        <v>3</v>
      </c>
      <c r="AN829" t="n">
        <v>0</v>
      </c>
      <c r="AO829" t="n">
        <v>0</v>
      </c>
      <c r="AP829" t="inlineStr">
        <is>
          <t>No</t>
        </is>
      </c>
      <c r="AQ829" t="inlineStr">
        <is>
          <t>Yes</t>
        </is>
      </c>
      <c r="AR829">
        <f>HYPERLINK("http://catalog.hathitrust.org/Record/002788479","HathiTrust Record")</f>
        <v/>
      </c>
      <c r="AS829">
        <f>HYPERLINK("https://creighton-primo.hosted.exlibrisgroup.com/primo-explore/search?tab=default_tab&amp;search_scope=EVERYTHING&amp;vid=01CRU&amp;lang=en_US&amp;offset=0&amp;query=any,contains,991002245059702656","Catalog Record")</f>
        <v/>
      </c>
      <c r="AT829">
        <f>HYPERLINK("http://www.worldcat.org/oclc/28962947","WorldCat Record")</f>
        <v/>
      </c>
      <c r="AU829" t="inlineStr">
        <is>
          <t>31067133:eng</t>
        </is>
      </c>
      <c r="AV829" t="inlineStr">
        <is>
          <t>28962947</t>
        </is>
      </c>
      <c r="AW829" t="inlineStr">
        <is>
          <t>991002245059702656</t>
        </is>
      </c>
      <c r="AX829" t="inlineStr">
        <is>
          <t>991002245059702656</t>
        </is>
      </c>
      <c r="AY829" t="inlineStr">
        <is>
          <t>2255895430002656</t>
        </is>
      </c>
      <c r="AZ829" t="inlineStr">
        <is>
          <t>BOOK</t>
        </is>
      </c>
      <c r="BB829" t="inlineStr">
        <is>
          <t>9781882605064</t>
        </is>
      </c>
      <c r="BC829" t="inlineStr">
        <is>
          <t>32285001879542</t>
        </is>
      </c>
      <c r="BD829" t="inlineStr">
        <is>
          <t>893316567</t>
        </is>
      </c>
    </row>
    <row r="830">
      <c r="A830" t="inlineStr">
        <is>
          <t>No</t>
        </is>
      </c>
      <c r="B830" t="inlineStr">
        <is>
          <t>HQ1391.U5 D52</t>
        </is>
      </c>
      <c r="C830" t="inlineStr">
        <is>
          <t>0                      HQ 1391000U  5                  D  52</t>
        </is>
      </c>
      <c r="D830" t="inlineStr">
        <is>
          <t>Sex roles in the state house / Irene Diamond.</t>
        </is>
      </c>
      <c r="F830" t="inlineStr">
        <is>
          <t>No</t>
        </is>
      </c>
      <c r="G830" t="inlineStr">
        <is>
          <t>1</t>
        </is>
      </c>
      <c r="H830" t="inlineStr">
        <is>
          <t>Yes</t>
        </is>
      </c>
      <c r="I830" t="inlineStr">
        <is>
          <t>No</t>
        </is>
      </c>
      <c r="J830" t="inlineStr">
        <is>
          <t>0</t>
        </is>
      </c>
      <c r="K830" t="inlineStr">
        <is>
          <t>Diamond, Irene, 1947-</t>
        </is>
      </c>
      <c r="L830" t="inlineStr">
        <is>
          <t>New Haven : Yale University Press, 1977.</t>
        </is>
      </c>
      <c r="M830" t="inlineStr">
        <is>
          <t>1977</t>
        </is>
      </c>
      <c r="O830" t="inlineStr">
        <is>
          <t>eng</t>
        </is>
      </c>
      <c r="P830" t="inlineStr">
        <is>
          <t>ctu</t>
        </is>
      </c>
      <c r="R830" t="inlineStr">
        <is>
          <t xml:space="preserve">HQ </t>
        </is>
      </c>
      <c r="S830" t="n">
        <v>2</v>
      </c>
      <c r="T830" t="n">
        <v>2</v>
      </c>
      <c r="U830" t="inlineStr">
        <is>
          <t>1996-03-17</t>
        </is>
      </c>
      <c r="V830" t="inlineStr">
        <is>
          <t>1996-03-17</t>
        </is>
      </c>
      <c r="W830" t="inlineStr">
        <is>
          <t>1990-07-12</t>
        </is>
      </c>
      <c r="X830" t="inlineStr">
        <is>
          <t>1992-07-21</t>
        </is>
      </c>
      <c r="Y830" t="n">
        <v>708</v>
      </c>
      <c r="Z830" t="n">
        <v>649</v>
      </c>
      <c r="AA830" t="n">
        <v>672</v>
      </c>
      <c r="AB830" t="n">
        <v>8</v>
      </c>
      <c r="AC830" t="n">
        <v>8</v>
      </c>
      <c r="AD830" t="n">
        <v>40</v>
      </c>
      <c r="AE830" t="n">
        <v>41</v>
      </c>
      <c r="AF830" t="n">
        <v>10</v>
      </c>
      <c r="AG830" t="n">
        <v>11</v>
      </c>
      <c r="AH830" t="n">
        <v>8</v>
      </c>
      <c r="AI830" t="n">
        <v>8</v>
      </c>
      <c r="AJ830" t="n">
        <v>12</v>
      </c>
      <c r="AK830" t="n">
        <v>13</v>
      </c>
      <c r="AL830" t="n">
        <v>5</v>
      </c>
      <c r="AM830" t="n">
        <v>5</v>
      </c>
      <c r="AN830" t="n">
        <v>13</v>
      </c>
      <c r="AO830" t="n">
        <v>13</v>
      </c>
      <c r="AP830" t="inlineStr">
        <is>
          <t>No</t>
        </is>
      </c>
      <c r="AQ830" t="inlineStr">
        <is>
          <t>No</t>
        </is>
      </c>
      <c r="AS830">
        <f>HYPERLINK("https://creighton-primo.hosted.exlibrisgroup.com/primo-explore/search?tab=default_tab&amp;search_scope=EVERYTHING&amp;vid=01CRU&amp;lang=en_US&amp;offset=0&amp;query=any,contains,991001768649702656","Catalog Record")</f>
        <v/>
      </c>
      <c r="AT830">
        <f>HYPERLINK("http://www.worldcat.org/oclc/2597120","WorldCat Record")</f>
        <v/>
      </c>
      <c r="AU830" t="inlineStr">
        <is>
          <t>5717001:eng</t>
        </is>
      </c>
      <c r="AV830" t="inlineStr">
        <is>
          <t>2597120</t>
        </is>
      </c>
      <c r="AW830" t="inlineStr">
        <is>
          <t>991001768649702656</t>
        </is>
      </c>
      <c r="AX830" t="inlineStr">
        <is>
          <t>991001768649702656</t>
        </is>
      </c>
      <c r="AY830" t="inlineStr">
        <is>
          <t>2268743360002656</t>
        </is>
      </c>
      <c r="AZ830" t="inlineStr">
        <is>
          <t>BOOK</t>
        </is>
      </c>
      <c r="BB830" t="inlineStr">
        <is>
          <t>9780300021158</t>
        </is>
      </c>
      <c r="BC830" t="inlineStr">
        <is>
          <t>32285000221407</t>
        </is>
      </c>
      <c r="BD830" t="inlineStr">
        <is>
          <t>893866467</t>
        </is>
      </c>
    </row>
    <row r="831">
      <c r="A831" t="inlineStr">
        <is>
          <t>No</t>
        </is>
      </c>
      <c r="B831" t="inlineStr">
        <is>
          <t>HQ1391.U5 F64 1996</t>
        </is>
      </c>
      <c r="C831" t="inlineStr">
        <is>
          <t>0                      HQ 1391000U  5                  F  64          1996</t>
        </is>
      </c>
      <c r="D831" t="inlineStr">
        <is>
          <t>Climbing the Hill : gender conflict in Congress / Karen Foerstel and Herbert N. Foerstel.</t>
        </is>
      </c>
      <c r="F831" t="inlineStr">
        <is>
          <t>No</t>
        </is>
      </c>
      <c r="G831" t="inlineStr">
        <is>
          <t>1</t>
        </is>
      </c>
      <c r="H831" t="inlineStr">
        <is>
          <t>No</t>
        </is>
      </c>
      <c r="I831" t="inlineStr">
        <is>
          <t>No</t>
        </is>
      </c>
      <c r="J831" t="inlineStr">
        <is>
          <t>0</t>
        </is>
      </c>
      <c r="K831" t="inlineStr">
        <is>
          <t>Foerstel, Karen.</t>
        </is>
      </c>
      <c r="L831" t="inlineStr">
        <is>
          <t>Westport, CT : Praeger, 1996.</t>
        </is>
      </c>
      <c r="M831" t="inlineStr">
        <is>
          <t>1996</t>
        </is>
      </c>
      <c r="O831" t="inlineStr">
        <is>
          <t>eng</t>
        </is>
      </c>
      <c r="P831" t="inlineStr">
        <is>
          <t>ctu</t>
        </is>
      </c>
      <c r="R831" t="inlineStr">
        <is>
          <t xml:space="preserve">HQ </t>
        </is>
      </c>
      <c r="S831" t="n">
        <v>3</v>
      </c>
      <c r="T831" t="n">
        <v>3</v>
      </c>
      <c r="U831" t="inlineStr">
        <is>
          <t>2002-04-16</t>
        </is>
      </c>
      <c r="V831" t="inlineStr">
        <is>
          <t>2002-04-16</t>
        </is>
      </c>
      <c r="W831" t="inlineStr">
        <is>
          <t>1997-03-12</t>
        </is>
      </c>
      <c r="X831" t="inlineStr">
        <is>
          <t>1997-03-12</t>
        </is>
      </c>
      <c r="Y831" t="n">
        <v>632</v>
      </c>
      <c r="Z831" t="n">
        <v>587</v>
      </c>
      <c r="AA831" t="n">
        <v>916</v>
      </c>
      <c r="AB831" t="n">
        <v>6</v>
      </c>
      <c r="AC831" t="n">
        <v>8</v>
      </c>
      <c r="AD831" t="n">
        <v>29</v>
      </c>
      <c r="AE831" t="n">
        <v>35</v>
      </c>
      <c r="AF831" t="n">
        <v>8</v>
      </c>
      <c r="AG831" t="n">
        <v>12</v>
      </c>
      <c r="AH831" t="n">
        <v>5</v>
      </c>
      <c r="AI831" t="n">
        <v>6</v>
      </c>
      <c r="AJ831" t="n">
        <v>16</v>
      </c>
      <c r="AK831" t="n">
        <v>17</v>
      </c>
      <c r="AL831" t="n">
        <v>5</v>
      </c>
      <c r="AM831" t="n">
        <v>7</v>
      </c>
      <c r="AN831" t="n">
        <v>4</v>
      </c>
      <c r="AO831" t="n">
        <v>4</v>
      </c>
      <c r="AP831" t="inlineStr">
        <is>
          <t>No</t>
        </is>
      </c>
      <c r="AQ831" t="inlineStr">
        <is>
          <t>Yes</t>
        </is>
      </c>
      <c r="AR831">
        <f>HYPERLINK("http://catalog.hathitrust.org/Record/003048982","HathiTrust Record")</f>
        <v/>
      </c>
      <c r="AS831">
        <f>HYPERLINK("https://creighton-primo.hosted.exlibrisgroup.com/primo-explore/search?tab=default_tab&amp;search_scope=EVERYTHING&amp;vid=01CRU&amp;lang=en_US&amp;offset=0&amp;query=any,contains,991002535609702656","Catalog Record")</f>
        <v/>
      </c>
      <c r="AT831">
        <f>HYPERLINK("http://www.worldcat.org/oclc/32968667","WorldCat Record")</f>
        <v/>
      </c>
      <c r="AU831" t="inlineStr">
        <is>
          <t>198516423:eng</t>
        </is>
      </c>
      <c r="AV831" t="inlineStr">
        <is>
          <t>32968667</t>
        </is>
      </c>
      <c r="AW831" t="inlineStr">
        <is>
          <t>991002535609702656</t>
        </is>
      </c>
      <c r="AX831" t="inlineStr">
        <is>
          <t>991002535609702656</t>
        </is>
      </c>
      <c r="AY831" t="inlineStr">
        <is>
          <t>2262646360002656</t>
        </is>
      </c>
      <c r="AZ831" t="inlineStr">
        <is>
          <t>BOOK</t>
        </is>
      </c>
      <c r="BB831" t="inlineStr">
        <is>
          <t>9780275949143</t>
        </is>
      </c>
      <c r="BC831" t="inlineStr">
        <is>
          <t>32285002441953</t>
        </is>
      </c>
      <c r="BD831" t="inlineStr">
        <is>
          <t>893622403</t>
        </is>
      </c>
    </row>
    <row r="832">
      <c r="A832" t="inlineStr">
        <is>
          <t>No</t>
        </is>
      </c>
      <c r="B832" t="inlineStr">
        <is>
          <t>HQ1391.U5 K57</t>
        </is>
      </c>
      <c r="C832" t="inlineStr">
        <is>
          <t>0                      HQ 1391000U  5                  K  57</t>
        </is>
      </c>
      <c r="D832" t="inlineStr">
        <is>
          <t>Political woman / Jeane J. Kirkpatrick.</t>
        </is>
      </c>
      <c r="F832" t="inlineStr">
        <is>
          <t>No</t>
        </is>
      </c>
      <c r="G832" t="inlineStr">
        <is>
          <t>1</t>
        </is>
      </c>
      <c r="H832" t="inlineStr">
        <is>
          <t>No</t>
        </is>
      </c>
      <c r="I832" t="inlineStr">
        <is>
          <t>No</t>
        </is>
      </c>
      <c r="J832" t="inlineStr">
        <is>
          <t>0</t>
        </is>
      </c>
      <c r="K832" t="inlineStr">
        <is>
          <t>Kirkpatrick, Jeane J.</t>
        </is>
      </c>
      <c r="L832" t="inlineStr">
        <is>
          <t>New York : Basic Books, [1974]</t>
        </is>
      </c>
      <c r="M832" t="inlineStr">
        <is>
          <t>1974</t>
        </is>
      </c>
      <c r="O832" t="inlineStr">
        <is>
          <t>eng</t>
        </is>
      </c>
      <c r="P832" t="inlineStr">
        <is>
          <t>nyu</t>
        </is>
      </c>
      <c r="R832" t="inlineStr">
        <is>
          <t xml:space="preserve">HQ </t>
        </is>
      </c>
      <c r="S832" t="n">
        <v>5</v>
      </c>
      <c r="T832" t="n">
        <v>5</v>
      </c>
      <c r="U832" t="inlineStr">
        <is>
          <t>1999-09-08</t>
        </is>
      </c>
      <c r="V832" t="inlineStr">
        <is>
          <t>1999-09-08</t>
        </is>
      </c>
      <c r="W832" t="inlineStr">
        <is>
          <t>1990-05-18</t>
        </is>
      </c>
      <c r="X832" t="inlineStr">
        <is>
          <t>1990-05-18</t>
        </is>
      </c>
      <c r="Y832" t="n">
        <v>1016</v>
      </c>
      <c r="Z832" t="n">
        <v>923</v>
      </c>
      <c r="AA832" t="n">
        <v>924</v>
      </c>
      <c r="AB832" t="n">
        <v>4</v>
      </c>
      <c r="AC832" t="n">
        <v>4</v>
      </c>
      <c r="AD832" t="n">
        <v>36</v>
      </c>
      <c r="AE832" t="n">
        <v>36</v>
      </c>
      <c r="AF832" t="n">
        <v>14</v>
      </c>
      <c r="AG832" t="n">
        <v>14</v>
      </c>
      <c r="AH832" t="n">
        <v>10</v>
      </c>
      <c r="AI832" t="n">
        <v>10</v>
      </c>
      <c r="AJ832" t="n">
        <v>18</v>
      </c>
      <c r="AK832" t="n">
        <v>18</v>
      </c>
      <c r="AL832" t="n">
        <v>3</v>
      </c>
      <c r="AM832" t="n">
        <v>3</v>
      </c>
      <c r="AN832" t="n">
        <v>3</v>
      </c>
      <c r="AO832" t="n">
        <v>3</v>
      </c>
      <c r="AP832" t="inlineStr">
        <is>
          <t>No</t>
        </is>
      </c>
      <c r="AQ832" t="inlineStr">
        <is>
          <t>Yes</t>
        </is>
      </c>
      <c r="AR832">
        <f>HYPERLINK("http://catalog.hathitrust.org/Record/001116390","HathiTrust Record")</f>
        <v/>
      </c>
      <c r="AS832">
        <f>HYPERLINK("https://creighton-primo.hosted.exlibrisgroup.com/primo-explore/search?tab=default_tab&amp;search_scope=EVERYTHING&amp;vid=01CRU&amp;lang=en_US&amp;offset=0&amp;query=any,contains,991003508709702656","Catalog Record")</f>
        <v/>
      </c>
      <c r="AT832">
        <f>HYPERLINK("http://www.worldcat.org/oclc/1061975","WorldCat Record")</f>
        <v/>
      </c>
      <c r="AU832" t="inlineStr">
        <is>
          <t>487563:eng</t>
        </is>
      </c>
      <c r="AV832" t="inlineStr">
        <is>
          <t>1061975</t>
        </is>
      </c>
      <c r="AW832" t="inlineStr">
        <is>
          <t>991003508709702656</t>
        </is>
      </c>
      <c r="AX832" t="inlineStr">
        <is>
          <t>991003508709702656</t>
        </is>
      </c>
      <c r="AY832" t="inlineStr">
        <is>
          <t>2256370500002656</t>
        </is>
      </c>
      <c r="AZ832" t="inlineStr">
        <is>
          <t>BOOK</t>
        </is>
      </c>
      <c r="BB832" t="inlineStr">
        <is>
          <t>9780465059706</t>
        </is>
      </c>
      <c r="BC832" t="inlineStr">
        <is>
          <t>32285000157239</t>
        </is>
      </c>
      <c r="BD832" t="inlineStr">
        <is>
          <t>893717729</t>
        </is>
      </c>
    </row>
    <row r="833">
      <c r="A833" t="inlineStr">
        <is>
          <t>No</t>
        </is>
      </c>
      <c r="B833" t="inlineStr">
        <is>
          <t>HQ1391.U5 M36</t>
        </is>
      </c>
      <c r="C833" t="inlineStr">
        <is>
          <t>0                      HQ 1391000U  5                  M  36</t>
        </is>
      </c>
      <c r="D833" t="inlineStr">
        <is>
          <t>In the running : the new woman candidate / by Ruth B. Mandel.</t>
        </is>
      </c>
      <c r="F833" t="inlineStr">
        <is>
          <t>No</t>
        </is>
      </c>
      <c r="G833" t="inlineStr">
        <is>
          <t>1</t>
        </is>
      </c>
      <c r="H833" t="inlineStr">
        <is>
          <t>No</t>
        </is>
      </c>
      <c r="I833" t="inlineStr">
        <is>
          <t>No</t>
        </is>
      </c>
      <c r="J833" t="inlineStr">
        <is>
          <t>0</t>
        </is>
      </c>
      <c r="K833" t="inlineStr">
        <is>
          <t>Mandel, Ruth B.</t>
        </is>
      </c>
      <c r="L833" t="inlineStr">
        <is>
          <t>New Haven : Ticknor &amp; Fields, 1981.</t>
        </is>
      </c>
      <c r="M833" t="inlineStr">
        <is>
          <t>1981</t>
        </is>
      </c>
      <c r="O833" t="inlineStr">
        <is>
          <t>eng</t>
        </is>
      </c>
      <c r="P833" t="inlineStr">
        <is>
          <t>ctu</t>
        </is>
      </c>
      <c r="R833" t="inlineStr">
        <is>
          <t xml:space="preserve">HQ </t>
        </is>
      </c>
      <c r="S833" t="n">
        <v>5</v>
      </c>
      <c r="T833" t="n">
        <v>5</v>
      </c>
      <c r="U833" t="inlineStr">
        <is>
          <t>2002-11-16</t>
        </is>
      </c>
      <c r="V833" t="inlineStr">
        <is>
          <t>2002-11-16</t>
        </is>
      </c>
      <c r="W833" t="inlineStr">
        <is>
          <t>1990-07-05</t>
        </is>
      </c>
      <c r="X833" t="inlineStr">
        <is>
          <t>1990-07-05</t>
        </is>
      </c>
      <c r="Y833" t="n">
        <v>636</v>
      </c>
      <c r="Z833" t="n">
        <v>607</v>
      </c>
      <c r="AA833" t="n">
        <v>706</v>
      </c>
      <c r="AB833" t="n">
        <v>3</v>
      </c>
      <c r="AC833" t="n">
        <v>3</v>
      </c>
      <c r="AD833" t="n">
        <v>22</v>
      </c>
      <c r="AE833" t="n">
        <v>24</v>
      </c>
      <c r="AF833" t="n">
        <v>12</v>
      </c>
      <c r="AG833" t="n">
        <v>12</v>
      </c>
      <c r="AH833" t="n">
        <v>5</v>
      </c>
      <c r="AI833" t="n">
        <v>5</v>
      </c>
      <c r="AJ833" t="n">
        <v>12</v>
      </c>
      <c r="AK833" t="n">
        <v>14</v>
      </c>
      <c r="AL833" t="n">
        <v>1</v>
      </c>
      <c r="AM833" t="n">
        <v>1</v>
      </c>
      <c r="AN833" t="n">
        <v>0</v>
      </c>
      <c r="AO833" t="n">
        <v>0</v>
      </c>
      <c r="AP833" t="inlineStr">
        <is>
          <t>No</t>
        </is>
      </c>
      <c r="AQ833" t="inlineStr">
        <is>
          <t>Yes</t>
        </is>
      </c>
      <c r="AR833">
        <f>HYPERLINK("http://catalog.hathitrust.org/Record/000100547","HathiTrust Record")</f>
        <v/>
      </c>
      <c r="AS833">
        <f>HYPERLINK("https://creighton-primo.hosted.exlibrisgroup.com/primo-explore/search?tab=default_tab&amp;search_scope=EVERYTHING&amp;vid=01CRU&amp;lang=en_US&amp;offset=0&amp;query=any,contains,991005044719702656","Catalog Record")</f>
        <v/>
      </c>
      <c r="AT833">
        <f>HYPERLINK("http://www.worldcat.org/oclc/6816031","WorldCat Record")</f>
        <v/>
      </c>
      <c r="AU833" t="inlineStr">
        <is>
          <t>23917269:eng</t>
        </is>
      </c>
      <c r="AV833" t="inlineStr">
        <is>
          <t>6816031</t>
        </is>
      </c>
      <c r="AW833" t="inlineStr">
        <is>
          <t>991005044719702656</t>
        </is>
      </c>
      <c r="AX833" t="inlineStr">
        <is>
          <t>991005044719702656</t>
        </is>
      </c>
      <c r="AY833" t="inlineStr">
        <is>
          <t>2258454110002656</t>
        </is>
      </c>
      <c r="AZ833" t="inlineStr">
        <is>
          <t>BOOK</t>
        </is>
      </c>
      <c r="BB833" t="inlineStr">
        <is>
          <t>9780899190273</t>
        </is>
      </c>
      <c r="BC833" t="inlineStr">
        <is>
          <t>32285000221415</t>
        </is>
      </c>
      <c r="BD833" t="inlineStr">
        <is>
          <t>893437059</t>
        </is>
      </c>
    </row>
    <row r="834">
      <c r="A834" t="inlineStr">
        <is>
          <t>No</t>
        </is>
      </c>
      <c r="B834" t="inlineStr">
        <is>
          <t>HQ1391.U5 R9 1990</t>
        </is>
      </c>
      <c r="C834" t="inlineStr">
        <is>
          <t>0                      HQ 1391000U  5                  R  9           1990</t>
        </is>
      </c>
      <c r="D834" t="inlineStr">
        <is>
          <t>Women in public : between banners and ballots, 1825-1880 / Mary P. Ryan.</t>
        </is>
      </c>
      <c r="F834" t="inlineStr">
        <is>
          <t>No</t>
        </is>
      </c>
      <c r="G834" t="inlineStr">
        <is>
          <t>1</t>
        </is>
      </c>
      <c r="H834" t="inlineStr">
        <is>
          <t>No</t>
        </is>
      </c>
      <c r="I834" t="inlineStr">
        <is>
          <t>No</t>
        </is>
      </c>
      <c r="J834" t="inlineStr">
        <is>
          <t>0</t>
        </is>
      </c>
      <c r="K834" t="inlineStr">
        <is>
          <t>Ryan, Mary P.</t>
        </is>
      </c>
      <c r="L834" t="inlineStr">
        <is>
          <t>Baltimore : Johns Hopkins University Press, c1990.</t>
        </is>
      </c>
      <c r="M834" t="inlineStr">
        <is>
          <t>1990</t>
        </is>
      </c>
      <c r="O834" t="inlineStr">
        <is>
          <t>eng</t>
        </is>
      </c>
      <c r="P834" t="inlineStr">
        <is>
          <t>mdu</t>
        </is>
      </c>
      <c r="Q834" t="inlineStr">
        <is>
          <t>The Johns Hopkins symposia in comparative history ; 15th</t>
        </is>
      </c>
      <c r="R834" t="inlineStr">
        <is>
          <t xml:space="preserve">HQ </t>
        </is>
      </c>
      <c r="S834" t="n">
        <v>2</v>
      </c>
      <c r="T834" t="n">
        <v>2</v>
      </c>
      <c r="U834" t="inlineStr">
        <is>
          <t>1996-05-02</t>
        </is>
      </c>
      <c r="V834" t="inlineStr">
        <is>
          <t>1996-05-02</t>
        </is>
      </c>
      <c r="W834" t="inlineStr">
        <is>
          <t>1992-06-22</t>
        </is>
      </c>
      <c r="X834" t="inlineStr">
        <is>
          <t>1992-06-22</t>
        </is>
      </c>
      <c r="Y834" t="n">
        <v>773</v>
      </c>
      <c r="Z834" t="n">
        <v>671</v>
      </c>
      <c r="AA834" t="n">
        <v>820</v>
      </c>
      <c r="AB834" t="n">
        <v>7</v>
      </c>
      <c r="AC834" t="n">
        <v>9</v>
      </c>
      <c r="AD834" t="n">
        <v>35</v>
      </c>
      <c r="AE834" t="n">
        <v>43</v>
      </c>
      <c r="AF834" t="n">
        <v>12</v>
      </c>
      <c r="AG834" t="n">
        <v>14</v>
      </c>
      <c r="AH834" t="n">
        <v>9</v>
      </c>
      <c r="AI834" t="n">
        <v>10</v>
      </c>
      <c r="AJ834" t="n">
        <v>16</v>
      </c>
      <c r="AK834" t="n">
        <v>20</v>
      </c>
      <c r="AL834" t="n">
        <v>6</v>
      </c>
      <c r="AM834" t="n">
        <v>8</v>
      </c>
      <c r="AN834" t="n">
        <v>2</v>
      </c>
      <c r="AO834" t="n">
        <v>2</v>
      </c>
      <c r="AP834" t="inlineStr">
        <is>
          <t>No</t>
        </is>
      </c>
      <c r="AQ834" t="inlineStr">
        <is>
          <t>Yes</t>
        </is>
      </c>
      <c r="AR834">
        <f>HYPERLINK("http://catalog.hathitrust.org/Record/002169135","HathiTrust Record")</f>
        <v/>
      </c>
      <c r="AS834">
        <f>HYPERLINK("https://creighton-primo.hosted.exlibrisgroup.com/primo-explore/search?tab=default_tab&amp;search_scope=EVERYTHING&amp;vid=01CRU&amp;lang=en_US&amp;offset=0&amp;query=any,contains,991001482229702656","Catalog Record")</f>
        <v/>
      </c>
      <c r="AT834">
        <f>HYPERLINK("http://www.worldcat.org/oclc/19627568","WorldCat Record")</f>
        <v/>
      </c>
      <c r="AU834" t="inlineStr">
        <is>
          <t>836895101:eng</t>
        </is>
      </c>
      <c r="AV834" t="inlineStr">
        <is>
          <t>19627568</t>
        </is>
      </c>
      <c r="AW834" t="inlineStr">
        <is>
          <t>991001482229702656</t>
        </is>
      </c>
      <c r="AX834" t="inlineStr">
        <is>
          <t>991001482229702656</t>
        </is>
      </c>
      <c r="AY834" t="inlineStr">
        <is>
          <t>2266142480002656</t>
        </is>
      </c>
      <c r="AZ834" t="inlineStr">
        <is>
          <t>BOOK</t>
        </is>
      </c>
      <c r="BB834" t="inlineStr">
        <is>
          <t>9780801839085</t>
        </is>
      </c>
      <c r="BC834" t="inlineStr">
        <is>
          <t>32285001155281</t>
        </is>
      </c>
      <c r="BD834" t="inlineStr">
        <is>
          <t>893225879</t>
        </is>
      </c>
    </row>
    <row r="835">
      <c r="A835" t="inlineStr">
        <is>
          <t>No</t>
        </is>
      </c>
      <c r="B835" t="inlineStr">
        <is>
          <t>HQ1391.U5 W58 1994</t>
        </is>
      </c>
      <c r="C835" t="inlineStr">
        <is>
          <t>0                      HQ 1391000U  5                  W  58          1994</t>
        </is>
      </c>
      <c r="D835" t="inlineStr">
        <is>
          <t>Running as a woman : gender and power in American politics / Linda Witt, Karen M. Paget, Glenna Matthews.</t>
        </is>
      </c>
      <c r="F835" t="inlineStr">
        <is>
          <t>No</t>
        </is>
      </c>
      <c r="G835" t="inlineStr">
        <is>
          <t>1</t>
        </is>
      </c>
      <c r="H835" t="inlineStr">
        <is>
          <t>No</t>
        </is>
      </c>
      <c r="I835" t="inlineStr">
        <is>
          <t>No</t>
        </is>
      </c>
      <c r="J835" t="inlineStr">
        <is>
          <t>0</t>
        </is>
      </c>
      <c r="K835" t="inlineStr">
        <is>
          <t>Witt, Linda.</t>
        </is>
      </c>
      <c r="L835" t="inlineStr">
        <is>
          <t>New York : Free Press ; Toronto : Maxwell Macmillan Canada ; New York : Maxwell Macmillan International, c1994.</t>
        </is>
      </c>
      <c r="M835" t="inlineStr">
        <is>
          <t>1994</t>
        </is>
      </c>
      <c r="O835" t="inlineStr">
        <is>
          <t>eng</t>
        </is>
      </c>
      <c r="P835" t="inlineStr">
        <is>
          <t>nyu</t>
        </is>
      </c>
      <c r="R835" t="inlineStr">
        <is>
          <t xml:space="preserve">HQ </t>
        </is>
      </c>
      <c r="S835" t="n">
        <v>9</v>
      </c>
      <c r="T835" t="n">
        <v>9</v>
      </c>
      <c r="U835" t="inlineStr">
        <is>
          <t>2007-10-05</t>
        </is>
      </c>
      <c r="V835" t="inlineStr">
        <is>
          <t>2007-10-05</t>
        </is>
      </c>
      <c r="W835" t="inlineStr">
        <is>
          <t>1994-08-03</t>
        </is>
      </c>
      <c r="X835" t="inlineStr">
        <is>
          <t>1994-08-03</t>
        </is>
      </c>
      <c r="Y835" t="n">
        <v>988</v>
      </c>
      <c r="Z835" t="n">
        <v>914</v>
      </c>
      <c r="AA835" t="n">
        <v>955</v>
      </c>
      <c r="AB835" t="n">
        <v>7</v>
      </c>
      <c r="AC835" t="n">
        <v>7</v>
      </c>
      <c r="AD835" t="n">
        <v>38</v>
      </c>
      <c r="AE835" t="n">
        <v>39</v>
      </c>
      <c r="AF835" t="n">
        <v>13</v>
      </c>
      <c r="AG835" t="n">
        <v>14</v>
      </c>
      <c r="AH835" t="n">
        <v>10</v>
      </c>
      <c r="AI835" t="n">
        <v>10</v>
      </c>
      <c r="AJ835" t="n">
        <v>17</v>
      </c>
      <c r="AK835" t="n">
        <v>18</v>
      </c>
      <c r="AL835" t="n">
        <v>6</v>
      </c>
      <c r="AM835" t="n">
        <v>6</v>
      </c>
      <c r="AN835" t="n">
        <v>2</v>
      </c>
      <c r="AO835" t="n">
        <v>2</v>
      </c>
      <c r="AP835" t="inlineStr">
        <is>
          <t>No</t>
        </is>
      </c>
      <c r="AQ835" t="inlineStr">
        <is>
          <t>Yes</t>
        </is>
      </c>
      <c r="AR835">
        <f>HYPERLINK("http://catalog.hathitrust.org/Record/002790117","HathiTrust Record")</f>
        <v/>
      </c>
      <c r="AS835">
        <f>HYPERLINK("https://creighton-primo.hosted.exlibrisgroup.com/primo-explore/search?tab=default_tab&amp;search_scope=EVERYTHING&amp;vid=01CRU&amp;lang=en_US&amp;offset=0&amp;query=any,contains,991002211659702656","Catalog Record")</f>
        <v/>
      </c>
      <c r="AT835">
        <f>HYPERLINK("http://www.worldcat.org/oclc/28425478","WorldCat Record")</f>
        <v/>
      </c>
      <c r="AU835" t="inlineStr">
        <is>
          <t>20608741:eng</t>
        </is>
      </c>
      <c r="AV835" t="inlineStr">
        <is>
          <t>28425478</t>
        </is>
      </c>
      <c r="AW835" t="inlineStr">
        <is>
          <t>991002211659702656</t>
        </is>
      </c>
      <c r="AX835" t="inlineStr">
        <is>
          <t>991002211659702656</t>
        </is>
      </c>
      <c r="AY835" t="inlineStr">
        <is>
          <t>2266433930002656</t>
        </is>
      </c>
      <c r="AZ835" t="inlineStr">
        <is>
          <t>BOOK</t>
        </is>
      </c>
      <c r="BB835" t="inlineStr">
        <is>
          <t>9780029203156</t>
        </is>
      </c>
      <c r="BC835" t="inlineStr">
        <is>
          <t>32285001941169</t>
        </is>
      </c>
      <c r="BD835" t="inlineStr">
        <is>
          <t>893347241</t>
        </is>
      </c>
    </row>
    <row r="836">
      <c r="A836" t="inlineStr">
        <is>
          <t>No</t>
        </is>
      </c>
      <c r="B836" t="inlineStr">
        <is>
          <t>HQ1391.U5 Y43 1994</t>
        </is>
      </c>
      <c r="C836" t="inlineStr">
        <is>
          <t>0                      HQ 1391000U  5                  Y  43          1994</t>
        </is>
      </c>
      <c r="D836" t="inlineStr">
        <is>
          <t>The Year of the woman : myths and realities / edited by Elizabeth Adell Cook, Sue Thomas, and Clyde Wilcox.</t>
        </is>
      </c>
      <c r="F836" t="inlineStr">
        <is>
          <t>No</t>
        </is>
      </c>
      <c r="G836" t="inlineStr">
        <is>
          <t>1</t>
        </is>
      </c>
      <c r="H836" t="inlineStr">
        <is>
          <t>No</t>
        </is>
      </c>
      <c r="I836" t="inlineStr">
        <is>
          <t>No</t>
        </is>
      </c>
      <c r="J836" t="inlineStr">
        <is>
          <t>0</t>
        </is>
      </c>
      <c r="L836" t="inlineStr">
        <is>
          <t>Boulder : Westview Press, 1994.</t>
        </is>
      </c>
      <c r="M836" t="inlineStr">
        <is>
          <t>1994</t>
        </is>
      </c>
      <c r="O836" t="inlineStr">
        <is>
          <t>eng</t>
        </is>
      </c>
      <c r="P836" t="inlineStr">
        <is>
          <t>cou</t>
        </is>
      </c>
      <c r="Q836" t="inlineStr">
        <is>
          <t>Transforming American politics series</t>
        </is>
      </c>
      <c r="R836" t="inlineStr">
        <is>
          <t xml:space="preserve">HQ </t>
        </is>
      </c>
      <c r="S836" t="n">
        <v>7</v>
      </c>
      <c r="T836" t="n">
        <v>7</v>
      </c>
      <c r="U836" t="inlineStr">
        <is>
          <t>1998-02-23</t>
        </is>
      </c>
      <c r="V836" t="inlineStr">
        <is>
          <t>1998-02-23</t>
        </is>
      </c>
      <c r="W836" t="inlineStr">
        <is>
          <t>1994-08-03</t>
        </is>
      </c>
      <c r="X836" t="inlineStr">
        <is>
          <t>1994-08-03</t>
        </is>
      </c>
      <c r="Y836" t="n">
        <v>310</v>
      </c>
      <c r="Z836" t="n">
        <v>263</v>
      </c>
      <c r="AA836" t="n">
        <v>284</v>
      </c>
      <c r="AB836" t="n">
        <v>5</v>
      </c>
      <c r="AC836" t="n">
        <v>5</v>
      </c>
      <c r="AD836" t="n">
        <v>18</v>
      </c>
      <c r="AE836" t="n">
        <v>18</v>
      </c>
      <c r="AF836" t="n">
        <v>7</v>
      </c>
      <c r="AG836" t="n">
        <v>7</v>
      </c>
      <c r="AH836" t="n">
        <v>5</v>
      </c>
      <c r="AI836" t="n">
        <v>5</v>
      </c>
      <c r="AJ836" t="n">
        <v>7</v>
      </c>
      <c r="AK836" t="n">
        <v>7</v>
      </c>
      <c r="AL836" t="n">
        <v>4</v>
      </c>
      <c r="AM836" t="n">
        <v>4</v>
      </c>
      <c r="AN836" t="n">
        <v>0</v>
      </c>
      <c r="AO836" t="n">
        <v>0</v>
      </c>
      <c r="AP836" t="inlineStr">
        <is>
          <t>No</t>
        </is>
      </c>
      <c r="AQ836" t="inlineStr">
        <is>
          <t>Yes</t>
        </is>
      </c>
      <c r="AR836">
        <f>HYPERLINK("http://catalog.hathitrust.org/Record/002798228","HathiTrust Record")</f>
        <v/>
      </c>
      <c r="AS836">
        <f>HYPERLINK("https://creighton-primo.hosted.exlibrisgroup.com/primo-explore/search?tab=default_tab&amp;search_scope=EVERYTHING&amp;vid=01CRU&amp;lang=en_US&amp;offset=0&amp;query=any,contains,991002255759702656","Catalog Record")</f>
        <v/>
      </c>
      <c r="AT836">
        <f>HYPERLINK("http://www.worldcat.org/oclc/29223521","WorldCat Record")</f>
        <v/>
      </c>
      <c r="AU836" t="inlineStr">
        <is>
          <t>836940021:eng</t>
        </is>
      </c>
      <c r="AV836" t="inlineStr">
        <is>
          <t>29223521</t>
        </is>
      </c>
      <c r="AW836" t="inlineStr">
        <is>
          <t>991002255759702656</t>
        </is>
      </c>
      <c r="AX836" t="inlineStr">
        <is>
          <t>991002255759702656</t>
        </is>
      </c>
      <c r="AY836" t="inlineStr">
        <is>
          <t>2262498210002656</t>
        </is>
      </c>
      <c r="AZ836" t="inlineStr">
        <is>
          <t>BOOK</t>
        </is>
      </c>
      <c r="BB836" t="inlineStr">
        <is>
          <t>9780813319704</t>
        </is>
      </c>
      <c r="BC836" t="inlineStr">
        <is>
          <t>32285001941474</t>
        </is>
      </c>
      <c r="BD836" t="inlineStr">
        <is>
          <t>893341224</t>
        </is>
      </c>
    </row>
    <row r="837">
      <c r="A837" t="inlineStr">
        <is>
          <t>No</t>
        </is>
      </c>
      <c r="B837" t="inlineStr">
        <is>
          <t>HQ1393 .M23 1972</t>
        </is>
      </c>
      <c r="C837" t="inlineStr">
        <is>
          <t>0                      HQ 1393000M  23          1972</t>
        </is>
      </c>
      <c r="D837" t="inlineStr">
        <is>
          <t>What a modern Catholic believes about women / by Sister Albertus Magnus McGrath.</t>
        </is>
      </c>
      <c r="F837" t="inlineStr">
        <is>
          <t>No</t>
        </is>
      </c>
      <c r="G837" t="inlineStr">
        <is>
          <t>1</t>
        </is>
      </c>
      <c r="H837" t="inlineStr">
        <is>
          <t>No</t>
        </is>
      </c>
      <c r="I837" t="inlineStr">
        <is>
          <t>No</t>
        </is>
      </c>
      <c r="J837" t="inlineStr">
        <is>
          <t>0</t>
        </is>
      </c>
      <c r="K837" t="inlineStr">
        <is>
          <t>McGrath, Albertus Magnus, Sister.</t>
        </is>
      </c>
      <c r="L837" t="inlineStr">
        <is>
          <t>Chicago : The Thomas More Press, [1972]</t>
        </is>
      </c>
      <c r="M837" t="inlineStr">
        <is>
          <t>1972</t>
        </is>
      </c>
      <c r="O837" t="inlineStr">
        <is>
          <t>eng</t>
        </is>
      </c>
      <c r="P837" t="inlineStr">
        <is>
          <t xml:space="preserve">xx </t>
        </is>
      </c>
      <c r="R837" t="inlineStr">
        <is>
          <t xml:space="preserve">HQ </t>
        </is>
      </c>
      <c r="S837" t="n">
        <v>6</v>
      </c>
      <c r="T837" t="n">
        <v>6</v>
      </c>
      <c r="U837" t="inlineStr">
        <is>
          <t>1996-09-03</t>
        </is>
      </c>
      <c r="V837" t="inlineStr">
        <is>
          <t>1996-09-03</t>
        </is>
      </c>
      <c r="W837" t="inlineStr">
        <is>
          <t>1990-07-05</t>
        </is>
      </c>
      <c r="X837" t="inlineStr">
        <is>
          <t>1990-07-05</t>
        </is>
      </c>
      <c r="Y837" t="n">
        <v>150</v>
      </c>
      <c r="Z837" t="n">
        <v>135</v>
      </c>
      <c r="AA837" t="n">
        <v>140</v>
      </c>
      <c r="AB837" t="n">
        <v>2</v>
      </c>
      <c r="AC837" t="n">
        <v>2</v>
      </c>
      <c r="AD837" t="n">
        <v>16</v>
      </c>
      <c r="AE837" t="n">
        <v>16</v>
      </c>
      <c r="AF837" t="n">
        <v>3</v>
      </c>
      <c r="AG837" t="n">
        <v>3</v>
      </c>
      <c r="AH837" t="n">
        <v>3</v>
      </c>
      <c r="AI837" t="n">
        <v>3</v>
      </c>
      <c r="AJ837" t="n">
        <v>12</v>
      </c>
      <c r="AK837" t="n">
        <v>12</v>
      </c>
      <c r="AL837" t="n">
        <v>1</v>
      </c>
      <c r="AM837" t="n">
        <v>1</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HYPERLINK("https://creighton-primo.hosted.exlibrisgroup.com/primo-explore/search?tab=default_tab&amp;search_scope=EVERYTHING&amp;vid=01CRU&amp;lang=en_US&amp;offset=0&amp;query=any,contains,991002348139702656","Catalog Record")</f>
        <v/>
      </c>
      <c r="AT837">
        <f>HYPERLINK("http://www.worldcat.org/oclc/324934","WorldCat Record")</f>
        <v/>
      </c>
      <c r="AU837" t="inlineStr">
        <is>
          <t>1412416:eng</t>
        </is>
      </c>
      <c r="AV837" t="inlineStr">
        <is>
          <t>324934</t>
        </is>
      </c>
      <c r="AW837" t="inlineStr">
        <is>
          <t>991002348139702656</t>
        </is>
      </c>
      <c r="AX837" t="inlineStr">
        <is>
          <t>991002348139702656</t>
        </is>
      </c>
      <c r="AY837" t="inlineStr">
        <is>
          <t>2254716340002656</t>
        </is>
      </c>
      <c r="AZ837" t="inlineStr">
        <is>
          <t>BOOK</t>
        </is>
      </c>
      <c r="BC837" t="inlineStr">
        <is>
          <t>32285000221431</t>
        </is>
      </c>
      <c r="BD837" t="inlineStr">
        <is>
          <t>893685256</t>
        </is>
      </c>
    </row>
    <row r="838">
      <c r="A838" t="inlineStr">
        <is>
          <t>No</t>
        </is>
      </c>
      <c r="B838" t="inlineStr">
        <is>
          <t>HQ1394 .J64 1995</t>
        </is>
      </c>
      <c r="C838" t="inlineStr">
        <is>
          <t>0                      HQ 1394000J  64          1995</t>
        </is>
      </c>
      <c r="D838" t="inlineStr">
        <is>
          <t>Women and religion in Britain and Ireland : an annotated bibliography from the Reformation to 1993 / Dale A. Johnson.</t>
        </is>
      </c>
      <c r="F838" t="inlineStr">
        <is>
          <t>No</t>
        </is>
      </c>
      <c r="G838" t="inlineStr">
        <is>
          <t>1</t>
        </is>
      </c>
      <c r="H838" t="inlineStr">
        <is>
          <t>No</t>
        </is>
      </c>
      <c r="I838" t="inlineStr">
        <is>
          <t>No</t>
        </is>
      </c>
      <c r="J838" t="inlineStr">
        <is>
          <t>0</t>
        </is>
      </c>
      <c r="K838" t="inlineStr">
        <is>
          <t>Johnson, Dale A., 1936-</t>
        </is>
      </c>
      <c r="L838" t="inlineStr">
        <is>
          <t>Lanham, Md. : Scarecrow Press, c1995.</t>
        </is>
      </c>
      <c r="M838" t="inlineStr">
        <is>
          <t>1995</t>
        </is>
      </c>
      <c r="O838" t="inlineStr">
        <is>
          <t>eng</t>
        </is>
      </c>
      <c r="P838" t="inlineStr">
        <is>
          <t>mdu</t>
        </is>
      </c>
      <c r="Q838" t="inlineStr">
        <is>
          <t>ATLA bibliography series ; no. 39</t>
        </is>
      </c>
      <c r="R838" t="inlineStr">
        <is>
          <t xml:space="preserve">HQ </t>
        </is>
      </c>
      <c r="S838" t="n">
        <v>1</v>
      </c>
      <c r="T838" t="n">
        <v>1</v>
      </c>
      <c r="U838" t="inlineStr">
        <is>
          <t>2001-03-27</t>
        </is>
      </c>
      <c r="V838" t="inlineStr">
        <is>
          <t>2001-03-27</t>
        </is>
      </c>
      <c r="W838" t="inlineStr">
        <is>
          <t>1998-12-10</t>
        </is>
      </c>
      <c r="X838" t="inlineStr">
        <is>
          <t>1998-12-10</t>
        </is>
      </c>
      <c r="Y838" t="n">
        <v>244</v>
      </c>
      <c r="Z838" t="n">
        <v>201</v>
      </c>
      <c r="AA838" t="n">
        <v>208</v>
      </c>
      <c r="AB838" t="n">
        <v>3</v>
      </c>
      <c r="AC838" t="n">
        <v>3</v>
      </c>
      <c r="AD838" t="n">
        <v>9</v>
      </c>
      <c r="AE838" t="n">
        <v>9</v>
      </c>
      <c r="AF838" t="n">
        <v>3</v>
      </c>
      <c r="AG838" t="n">
        <v>3</v>
      </c>
      <c r="AH838" t="n">
        <v>2</v>
      </c>
      <c r="AI838" t="n">
        <v>2</v>
      </c>
      <c r="AJ838" t="n">
        <v>5</v>
      </c>
      <c r="AK838" t="n">
        <v>5</v>
      </c>
      <c r="AL838" t="n">
        <v>2</v>
      </c>
      <c r="AM838" t="n">
        <v>2</v>
      </c>
      <c r="AN838" t="n">
        <v>0</v>
      </c>
      <c r="AO838" t="n">
        <v>0</v>
      </c>
      <c r="AP838" t="inlineStr">
        <is>
          <t>No</t>
        </is>
      </c>
      <c r="AQ838" t="inlineStr">
        <is>
          <t>Yes</t>
        </is>
      </c>
      <c r="AR838">
        <f>HYPERLINK("http://catalog.hathitrust.org/Record/003049053","HathiTrust Record")</f>
        <v/>
      </c>
      <c r="AS838">
        <f>HYPERLINK("https://creighton-primo.hosted.exlibrisgroup.com/primo-explore/search?tab=default_tab&amp;search_scope=EVERYTHING&amp;vid=01CRU&amp;lang=en_US&amp;offset=0&amp;query=any,contains,991002540909702656","Catalog Record")</f>
        <v/>
      </c>
      <c r="AT838">
        <f>HYPERLINK("http://www.worldcat.org/oclc/33014106","WorldCat Record")</f>
        <v/>
      </c>
      <c r="AU838" t="inlineStr">
        <is>
          <t>371494935:eng</t>
        </is>
      </c>
      <c r="AV838" t="inlineStr">
        <is>
          <t>33014106</t>
        </is>
      </c>
      <c r="AW838" t="inlineStr">
        <is>
          <t>991002540909702656</t>
        </is>
      </c>
      <c r="AX838" t="inlineStr">
        <is>
          <t>991002540909702656</t>
        </is>
      </c>
      <c r="AY838" t="inlineStr">
        <is>
          <t>2255720860002656</t>
        </is>
      </c>
      <c r="AZ838" t="inlineStr">
        <is>
          <t>BOOK</t>
        </is>
      </c>
      <c r="BB838" t="inlineStr">
        <is>
          <t>9780810830639</t>
        </is>
      </c>
      <c r="BC838" t="inlineStr">
        <is>
          <t>32285003505590</t>
        </is>
      </c>
      <c r="BD838" t="inlineStr">
        <is>
          <t>893792583</t>
        </is>
      </c>
    </row>
    <row r="839">
      <c r="A839" t="inlineStr">
        <is>
          <t>No</t>
        </is>
      </c>
      <c r="B839" t="inlineStr">
        <is>
          <t>HQ1397 .K63 1992</t>
        </is>
      </c>
      <c r="C839" t="inlineStr">
        <is>
          <t>0                      HQ 1397000K  63          1992</t>
        </is>
      </c>
      <c r="D839" t="inlineStr">
        <is>
          <t>The Knowledge explosion : generations of feminist scholarship / edited by Cheris Kramarae and Dale Spender.</t>
        </is>
      </c>
      <c r="F839" t="inlineStr">
        <is>
          <t>No</t>
        </is>
      </c>
      <c r="G839" t="inlineStr">
        <is>
          <t>1</t>
        </is>
      </c>
      <c r="H839" t="inlineStr">
        <is>
          <t>No</t>
        </is>
      </c>
      <c r="I839" t="inlineStr">
        <is>
          <t>No</t>
        </is>
      </c>
      <c r="J839" t="inlineStr">
        <is>
          <t>0</t>
        </is>
      </c>
      <c r="L839" t="inlineStr">
        <is>
          <t>New York : Teachers College Press, c1992.</t>
        </is>
      </c>
      <c r="M839" t="inlineStr">
        <is>
          <t>1992</t>
        </is>
      </c>
      <c r="O839" t="inlineStr">
        <is>
          <t>eng</t>
        </is>
      </c>
      <c r="P839" t="inlineStr">
        <is>
          <t>nyu</t>
        </is>
      </c>
      <c r="Q839" t="inlineStr">
        <is>
          <t>Athene series</t>
        </is>
      </c>
      <c r="R839" t="inlineStr">
        <is>
          <t xml:space="preserve">HQ </t>
        </is>
      </c>
      <c r="S839" t="n">
        <v>2</v>
      </c>
      <c r="T839" t="n">
        <v>2</v>
      </c>
      <c r="U839" t="inlineStr">
        <is>
          <t>1996-10-01</t>
        </is>
      </c>
      <c r="V839" t="inlineStr">
        <is>
          <t>1996-10-01</t>
        </is>
      </c>
      <c r="W839" t="inlineStr">
        <is>
          <t>1993-01-04</t>
        </is>
      </c>
      <c r="X839" t="inlineStr">
        <is>
          <t>1993-01-04</t>
        </is>
      </c>
      <c r="Y839" t="n">
        <v>771</v>
      </c>
      <c r="Z839" t="n">
        <v>652</v>
      </c>
      <c r="AA839" t="n">
        <v>654</v>
      </c>
      <c r="AB839" t="n">
        <v>7</v>
      </c>
      <c r="AC839" t="n">
        <v>7</v>
      </c>
      <c r="AD839" t="n">
        <v>43</v>
      </c>
      <c r="AE839" t="n">
        <v>43</v>
      </c>
      <c r="AF839" t="n">
        <v>20</v>
      </c>
      <c r="AG839" t="n">
        <v>20</v>
      </c>
      <c r="AH839" t="n">
        <v>7</v>
      </c>
      <c r="AI839" t="n">
        <v>7</v>
      </c>
      <c r="AJ839" t="n">
        <v>18</v>
      </c>
      <c r="AK839" t="n">
        <v>18</v>
      </c>
      <c r="AL839" t="n">
        <v>6</v>
      </c>
      <c r="AM839" t="n">
        <v>6</v>
      </c>
      <c r="AN839" t="n">
        <v>2</v>
      </c>
      <c r="AO839" t="n">
        <v>2</v>
      </c>
      <c r="AP839" t="inlineStr">
        <is>
          <t>No</t>
        </is>
      </c>
      <c r="AQ839" t="inlineStr">
        <is>
          <t>Yes</t>
        </is>
      </c>
      <c r="AR839">
        <f>HYPERLINK("http://catalog.hathitrust.org/Record/002551416","HathiTrust Record")</f>
        <v/>
      </c>
      <c r="AS839">
        <f>HYPERLINK("https://creighton-primo.hosted.exlibrisgroup.com/primo-explore/search?tab=default_tab&amp;search_scope=EVERYTHING&amp;vid=01CRU&amp;lang=en_US&amp;offset=0&amp;query=any,contains,991001866849702656","Catalog Record")</f>
        <v/>
      </c>
      <c r="AT839">
        <f>HYPERLINK("http://www.worldcat.org/oclc/23463698","WorldCat Record")</f>
        <v/>
      </c>
      <c r="AU839" t="inlineStr">
        <is>
          <t>836736097:eng</t>
        </is>
      </c>
      <c r="AV839" t="inlineStr">
        <is>
          <t>23463698</t>
        </is>
      </c>
      <c r="AW839" t="inlineStr">
        <is>
          <t>991001866849702656</t>
        </is>
      </c>
      <c r="AX839" t="inlineStr">
        <is>
          <t>991001866849702656</t>
        </is>
      </c>
      <c r="AY839" t="inlineStr">
        <is>
          <t>2256138810002656</t>
        </is>
      </c>
      <c r="AZ839" t="inlineStr">
        <is>
          <t>BOOK</t>
        </is>
      </c>
      <c r="BB839" t="inlineStr">
        <is>
          <t>9780080365572</t>
        </is>
      </c>
      <c r="BC839" t="inlineStr">
        <is>
          <t>32285001403376</t>
        </is>
      </c>
      <c r="BD839" t="inlineStr">
        <is>
          <t>893414562</t>
        </is>
      </c>
    </row>
    <row r="840">
      <c r="A840" t="inlineStr">
        <is>
          <t>No</t>
        </is>
      </c>
      <c r="B840" t="inlineStr">
        <is>
          <t>HQ1397 .M2 1964</t>
        </is>
      </c>
      <c r="C840" t="inlineStr">
        <is>
          <t>0                      HQ 1397000M  2           1964</t>
        </is>
      </c>
      <c r="D840" t="inlineStr">
        <is>
          <t>Women and the scientific professions / edited by Jacquelyn A. Mattfeld and Carol G. Van Aken.</t>
        </is>
      </c>
      <c r="F840" t="inlineStr">
        <is>
          <t>No</t>
        </is>
      </c>
      <c r="G840" t="inlineStr">
        <is>
          <t>1</t>
        </is>
      </c>
      <c r="H840" t="inlineStr">
        <is>
          <t>No</t>
        </is>
      </c>
      <c r="I840" t="inlineStr">
        <is>
          <t>No</t>
        </is>
      </c>
      <c r="J840" t="inlineStr">
        <is>
          <t>0</t>
        </is>
      </c>
      <c r="K840" t="inlineStr">
        <is>
          <t>M.I.T. Symposium on American Women in Science and Engineering (1964)</t>
        </is>
      </c>
      <c r="L840" t="inlineStr">
        <is>
          <t>Cambridge : Massachusetts Institute of Technology Press, [1965]</t>
        </is>
      </c>
      <c r="M840" t="inlineStr">
        <is>
          <t>1965</t>
        </is>
      </c>
      <c r="O840" t="inlineStr">
        <is>
          <t>eng</t>
        </is>
      </c>
      <c r="P840" t="inlineStr">
        <is>
          <t>mau</t>
        </is>
      </c>
      <c r="R840" t="inlineStr">
        <is>
          <t xml:space="preserve">HQ </t>
        </is>
      </c>
      <c r="S840" t="n">
        <v>6</v>
      </c>
      <c r="T840" t="n">
        <v>6</v>
      </c>
      <c r="U840" t="inlineStr">
        <is>
          <t>2003-03-23</t>
        </is>
      </c>
      <c r="V840" t="inlineStr">
        <is>
          <t>2003-03-23</t>
        </is>
      </c>
      <c r="W840" t="inlineStr">
        <is>
          <t>1993-04-28</t>
        </is>
      </c>
      <c r="X840" t="inlineStr">
        <is>
          <t>1993-04-28</t>
        </is>
      </c>
      <c r="Y840" t="n">
        <v>733</v>
      </c>
      <c r="Z840" t="n">
        <v>647</v>
      </c>
      <c r="AA840" t="n">
        <v>656</v>
      </c>
      <c r="AB840" t="n">
        <v>5</v>
      </c>
      <c r="AC840" t="n">
        <v>5</v>
      </c>
      <c r="AD840" t="n">
        <v>27</v>
      </c>
      <c r="AE840" t="n">
        <v>27</v>
      </c>
      <c r="AF840" t="n">
        <v>7</v>
      </c>
      <c r="AG840" t="n">
        <v>7</v>
      </c>
      <c r="AH840" t="n">
        <v>6</v>
      </c>
      <c r="AI840" t="n">
        <v>6</v>
      </c>
      <c r="AJ840" t="n">
        <v>14</v>
      </c>
      <c r="AK840" t="n">
        <v>14</v>
      </c>
      <c r="AL840" t="n">
        <v>4</v>
      </c>
      <c r="AM840" t="n">
        <v>4</v>
      </c>
      <c r="AN840" t="n">
        <v>1</v>
      </c>
      <c r="AO840" t="n">
        <v>1</v>
      </c>
      <c r="AP840" t="inlineStr">
        <is>
          <t>No</t>
        </is>
      </c>
      <c r="AQ840" t="inlineStr">
        <is>
          <t>Yes</t>
        </is>
      </c>
      <c r="AR840">
        <f>HYPERLINK("http://catalog.hathitrust.org/Record/001116969","HathiTrust Record")</f>
        <v/>
      </c>
      <c r="AS840">
        <f>HYPERLINK("https://creighton-primo.hosted.exlibrisgroup.com/primo-explore/search?tab=default_tab&amp;search_scope=EVERYTHING&amp;vid=01CRU&amp;lang=en_US&amp;offset=0&amp;query=any,contains,991002037309702656","Catalog Record")</f>
        <v/>
      </c>
      <c r="AT840">
        <f>HYPERLINK("http://www.worldcat.org/oclc/260819","WorldCat Record")</f>
        <v/>
      </c>
      <c r="AU840" t="inlineStr">
        <is>
          <t>5218404620:eng</t>
        </is>
      </c>
      <c r="AV840" t="inlineStr">
        <is>
          <t>260819</t>
        </is>
      </c>
      <c r="AW840" t="inlineStr">
        <is>
          <t>991002037309702656</t>
        </is>
      </c>
      <c r="AX840" t="inlineStr">
        <is>
          <t>991002037309702656</t>
        </is>
      </c>
      <c r="AY840" t="inlineStr">
        <is>
          <t>2262627570002656</t>
        </is>
      </c>
      <c r="AZ840" t="inlineStr">
        <is>
          <t>BOOK</t>
        </is>
      </c>
      <c r="BC840" t="inlineStr">
        <is>
          <t>32285001629632</t>
        </is>
      </c>
      <c r="BD840" t="inlineStr">
        <is>
          <t>893615615</t>
        </is>
      </c>
    </row>
    <row r="841">
      <c r="A841" t="inlineStr">
        <is>
          <t>No</t>
        </is>
      </c>
      <c r="B841" t="inlineStr">
        <is>
          <t>HQ1399 .F46 1994</t>
        </is>
      </c>
      <c r="C841" t="inlineStr">
        <is>
          <t>0                      HQ 1399000F  46          1994</t>
        </is>
      </c>
      <c r="D841" t="inlineStr">
        <is>
          <t>Feminism and peace : special issue / edited by Karen J. Warren and Duane L. Cady.</t>
        </is>
      </c>
      <c r="F841" t="inlineStr">
        <is>
          <t>No</t>
        </is>
      </c>
      <c r="G841" t="inlineStr">
        <is>
          <t>1</t>
        </is>
      </c>
      <c r="H841" t="inlineStr">
        <is>
          <t>No</t>
        </is>
      </c>
      <c r="I841" t="inlineStr">
        <is>
          <t>No</t>
        </is>
      </c>
      <c r="J841" t="inlineStr">
        <is>
          <t>0</t>
        </is>
      </c>
      <c r="L841" t="inlineStr">
        <is>
          <t>[Bloomington, Ind. : Indiana University Press, c1994.</t>
        </is>
      </c>
      <c r="M841" t="inlineStr">
        <is>
          <t>1994</t>
        </is>
      </c>
      <c r="O841" t="inlineStr">
        <is>
          <t>eng</t>
        </is>
      </c>
      <c r="P841" t="inlineStr">
        <is>
          <t>pau</t>
        </is>
      </c>
      <c r="Q841" t="inlineStr">
        <is>
          <t>Hypatia, 0887-5367 ; v. 9, no. 2</t>
        </is>
      </c>
      <c r="R841" t="inlineStr">
        <is>
          <t xml:space="preserve">HQ </t>
        </is>
      </c>
      <c r="S841" t="n">
        <v>6</v>
      </c>
      <c r="T841" t="n">
        <v>6</v>
      </c>
      <c r="U841" t="inlineStr">
        <is>
          <t>2003-08-04</t>
        </is>
      </c>
      <c r="V841" t="inlineStr">
        <is>
          <t>2003-08-04</t>
        </is>
      </c>
      <c r="W841" t="inlineStr">
        <is>
          <t>1996-03-13</t>
        </is>
      </c>
      <c r="X841" t="inlineStr">
        <is>
          <t>1996-03-13</t>
        </is>
      </c>
      <c r="Y841" t="n">
        <v>23</v>
      </c>
      <c r="Z841" t="n">
        <v>18</v>
      </c>
      <c r="AA841" t="n">
        <v>20</v>
      </c>
      <c r="AB841" t="n">
        <v>1</v>
      </c>
      <c r="AC841" t="n">
        <v>1</v>
      </c>
      <c r="AD841" t="n">
        <v>0</v>
      </c>
      <c r="AE841" t="n">
        <v>1</v>
      </c>
      <c r="AF841" t="n">
        <v>0</v>
      </c>
      <c r="AG841" t="n">
        <v>1</v>
      </c>
      <c r="AH841" t="n">
        <v>0</v>
      </c>
      <c r="AI841" t="n">
        <v>0</v>
      </c>
      <c r="AJ841" t="n">
        <v>0</v>
      </c>
      <c r="AK841" t="n">
        <v>0</v>
      </c>
      <c r="AL841" t="n">
        <v>0</v>
      </c>
      <c r="AM841" t="n">
        <v>0</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HYPERLINK("https://creighton-primo.hosted.exlibrisgroup.com/primo-explore/search?tab=default_tab&amp;search_scope=EVERYTHING&amp;vid=01CRU&amp;lang=en_US&amp;offset=0&amp;query=any,contains,991002429919702656","Catalog Record")</f>
        <v/>
      </c>
      <c r="AT841">
        <f>HYPERLINK("http://www.worldcat.org/oclc/31676309","WorldCat Record")</f>
        <v/>
      </c>
      <c r="AU841" t="inlineStr">
        <is>
          <t>104436392:eng</t>
        </is>
      </c>
      <c r="AV841" t="inlineStr">
        <is>
          <t>31676309</t>
        </is>
      </c>
      <c r="AW841" t="inlineStr">
        <is>
          <t>991002429919702656</t>
        </is>
      </c>
      <c r="AX841" t="inlineStr">
        <is>
          <t>991002429919702656</t>
        </is>
      </c>
      <c r="AY841" t="inlineStr">
        <is>
          <t>2256483150002656</t>
        </is>
      </c>
      <c r="AZ841" t="inlineStr">
        <is>
          <t>BOOK</t>
        </is>
      </c>
      <c r="BC841" t="inlineStr">
        <is>
          <t>32285002142189</t>
        </is>
      </c>
      <c r="BD841" t="inlineStr">
        <is>
          <t>893335299</t>
        </is>
      </c>
    </row>
    <row r="842">
      <c r="A842" t="inlineStr">
        <is>
          <t>No</t>
        </is>
      </c>
      <c r="B842" t="inlineStr">
        <is>
          <t>HQ14 .B84 1982</t>
        </is>
      </c>
      <c r="C842" t="inlineStr">
        <is>
          <t>0                      HQ 0014000B  84          1982</t>
        </is>
      </c>
      <c r="D842" t="inlineStr">
        <is>
          <t>Sexual practices &amp; the medieval church / Vern L. Bullough &amp; James Brundage.</t>
        </is>
      </c>
      <c r="F842" t="inlineStr">
        <is>
          <t>No</t>
        </is>
      </c>
      <c r="G842" t="inlineStr">
        <is>
          <t>1</t>
        </is>
      </c>
      <c r="H842" t="inlineStr">
        <is>
          <t>No</t>
        </is>
      </c>
      <c r="I842" t="inlineStr">
        <is>
          <t>No</t>
        </is>
      </c>
      <c r="J842" t="inlineStr">
        <is>
          <t>0</t>
        </is>
      </c>
      <c r="K842" t="inlineStr">
        <is>
          <t>Bullough, Vern L.</t>
        </is>
      </c>
      <c r="L842" t="inlineStr">
        <is>
          <t>Buffalo, N.Y. : Prometheus Books, 1982.</t>
        </is>
      </c>
      <c r="M842" t="inlineStr">
        <is>
          <t>1982</t>
        </is>
      </c>
      <c r="O842" t="inlineStr">
        <is>
          <t>eng</t>
        </is>
      </c>
      <c r="P842" t="inlineStr">
        <is>
          <t>nyu</t>
        </is>
      </c>
      <c r="R842" t="inlineStr">
        <is>
          <t xml:space="preserve">HQ </t>
        </is>
      </c>
      <c r="S842" t="n">
        <v>19</v>
      </c>
      <c r="T842" t="n">
        <v>19</v>
      </c>
      <c r="U842" t="inlineStr">
        <is>
          <t>2008-01-21</t>
        </is>
      </c>
      <c r="V842" t="inlineStr">
        <is>
          <t>2008-01-21</t>
        </is>
      </c>
      <c r="W842" t="inlineStr">
        <is>
          <t>1990-07-24</t>
        </is>
      </c>
      <c r="X842" t="inlineStr">
        <is>
          <t>1990-07-24</t>
        </is>
      </c>
      <c r="Y842" t="n">
        <v>753</v>
      </c>
      <c r="Z842" t="n">
        <v>647</v>
      </c>
      <c r="AA842" t="n">
        <v>671</v>
      </c>
      <c r="AB842" t="n">
        <v>7</v>
      </c>
      <c r="AC842" t="n">
        <v>7</v>
      </c>
      <c r="AD842" t="n">
        <v>37</v>
      </c>
      <c r="AE842" t="n">
        <v>41</v>
      </c>
      <c r="AF842" t="n">
        <v>13</v>
      </c>
      <c r="AG842" t="n">
        <v>16</v>
      </c>
      <c r="AH842" t="n">
        <v>9</v>
      </c>
      <c r="AI842" t="n">
        <v>9</v>
      </c>
      <c r="AJ842" t="n">
        <v>19</v>
      </c>
      <c r="AK842" t="n">
        <v>19</v>
      </c>
      <c r="AL842" t="n">
        <v>6</v>
      </c>
      <c r="AM842" t="n">
        <v>6</v>
      </c>
      <c r="AN842" t="n">
        <v>1</v>
      </c>
      <c r="AO842" t="n">
        <v>2</v>
      </c>
      <c r="AP842" t="inlineStr">
        <is>
          <t>No</t>
        </is>
      </c>
      <c r="AQ842" t="inlineStr">
        <is>
          <t>Yes</t>
        </is>
      </c>
      <c r="AR842">
        <f>HYPERLINK("http://catalog.hathitrust.org/Record/000100778","HathiTrust Record")</f>
        <v/>
      </c>
      <c r="AS842">
        <f>HYPERLINK("https://creighton-primo.hosted.exlibrisgroup.com/primo-explore/search?tab=default_tab&amp;search_scope=EVERYTHING&amp;vid=01CRU&amp;lang=en_US&amp;offset=0&amp;query=any,contains,991005221709702656","Catalog Record")</f>
        <v/>
      </c>
      <c r="AT842">
        <f>HYPERLINK("http://www.worldcat.org/oclc/8228378","WorldCat Record")</f>
        <v/>
      </c>
      <c r="AU842" t="inlineStr">
        <is>
          <t>540313:eng</t>
        </is>
      </c>
      <c r="AV842" t="inlineStr">
        <is>
          <t>8228378</t>
        </is>
      </c>
      <c r="AW842" t="inlineStr">
        <is>
          <t>991005221709702656</t>
        </is>
      </c>
      <c r="AX842" t="inlineStr">
        <is>
          <t>991005221709702656</t>
        </is>
      </c>
      <c r="AY842" t="inlineStr">
        <is>
          <t>2272085950002656</t>
        </is>
      </c>
      <c r="AZ842" t="inlineStr">
        <is>
          <t>BOOK</t>
        </is>
      </c>
      <c r="BB842" t="inlineStr">
        <is>
          <t>9780879751418</t>
        </is>
      </c>
      <c r="BC842" t="inlineStr">
        <is>
          <t>32285000247931</t>
        </is>
      </c>
      <c r="BD842" t="inlineStr">
        <is>
          <t>893443611</t>
        </is>
      </c>
    </row>
    <row r="843">
      <c r="A843" t="inlineStr">
        <is>
          <t>No</t>
        </is>
      </c>
      <c r="B843" t="inlineStr">
        <is>
          <t>HQ14 .H35 2000</t>
        </is>
      </c>
      <c r="C843" t="inlineStr">
        <is>
          <t>0                      HQ 0014000H  35          2000</t>
        </is>
      </c>
      <c r="D843" t="inlineStr">
        <is>
          <t>Handbook of medieval sexuality / edited by Vern L. Bullough and James Brundage.</t>
        </is>
      </c>
      <c r="F843" t="inlineStr">
        <is>
          <t>No</t>
        </is>
      </c>
      <c r="G843" t="inlineStr">
        <is>
          <t>1</t>
        </is>
      </c>
      <c r="H843" t="inlineStr">
        <is>
          <t>No</t>
        </is>
      </c>
      <c r="I843" t="inlineStr">
        <is>
          <t>No</t>
        </is>
      </c>
      <c r="J843" t="inlineStr">
        <is>
          <t>0</t>
        </is>
      </c>
      <c r="L843" t="inlineStr">
        <is>
          <t>New York ; London : Garland, 2000.</t>
        </is>
      </c>
      <c r="M843" t="inlineStr">
        <is>
          <t>2000</t>
        </is>
      </c>
      <c r="O843" t="inlineStr">
        <is>
          <t>eng</t>
        </is>
      </c>
      <c r="P843" t="inlineStr">
        <is>
          <t>nyu</t>
        </is>
      </c>
      <c r="R843" t="inlineStr">
        <is>
          <t xml:space="preserve">HQ </t>
        </is>
      </c>
      <c r="S843" t="n">
        <v>8</v>
      </c>
      <c r="T843" t="n">
        <v>8</v>
      </c>
      <c r="U843" t="inlineStr">
        <is>
          <t>2008-11-06</t>
        </is>
      </c>
      <c r="V843" t="inlineStr">
        <is>
          <t>2008-11-06</t>
        </is>
      </c>
      <c r="W843" t="inlineStr">
        <is>
          <t>2003-10-16</t>
        </is>
      </c>
      <c r="X843" t="inlineStr">
        <is>
          <t>2003-10-16</t>
        </is>
      </c>
      <c r="Y843" t="n">
        <v>140</v>
      </c>
      <c r="Z843" t="n">
        <v>101</v>
      </c>
      <c r="AA843" t="n">
        <v>413</v>
      </c>
      <c r="AB843" t="n">
        <v>3</v>
      </c>
      <c r="AC843" t="n">
        <v>4</v>
      </c>
      <c r="AD843" t="n">
        <v>6</v>
      </c>
      <c r="AE843" t="n">
        <v>27</v>
      </c>
      <c r="AF843" t="n">
        <v>1</v>
      </c>
      <c r="AG843" t="n">
        <v>8</v>
      </c>
      <c r="AH843" t="n">
        <v>1</v>
      </c>
      <c r="AI843" t="n">
        <v>6</v>
      </c>
      <c r="AJ843" t="n">
        <v>3</v>
      </c>
      <c r="AK843" t="n">
        <v>17</v>
      </c>
      <c r="AL843" t="n">
        <v>2</v>
      </c>
      <c r="AM843" t="n">
        <v>3</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HYPERLINK("https://creighton-primo.hosted.exlibrisgroup.com/primo-explore/search?tab=default_tab&amp;search_scope=EVERYTHING&amp;vid=01CRU&amp;lang=en_US&amp;offset=0&amp;query=any,contains,991004153899702656","Catalog Record")</f>
        <v/>
      </c>
      <c r="AT843">
        <f>HYPERLINK("http://www.worldcat.org/oclc/43342087","WorldCat Record")</f>
        <v/>
      </c>
      <c r="AU843" t="inlineStr">
        <is>
          <t>341670739:eng</t>
        </is>
      </c>
      <c r="AV843" t="inlineStr">
        <is>
          <t>43342087</t>
        </is>
      </c>
      <c r="AW843" t="inlineStr">
        <is>
          <t>991004153899702656</t>
        </is>
      </c>
      <c r="AX843" t="inlineStr">
        <is>
          <t>991004153899702656</t>
        </is>
      </c>
      <c r="AY843" t="inlineStr">
        <is>
          <t>2270394950002656</t>
        </is>
      </c>
      <c r="AZ843" t="inlineStr">
        <is>
          <t>BOOK</t>
        </is>
      </c>
      <c r="BB843" t="inlineStr">
        <is>
          <t>9780815336624</t>
        </is>
      </c>
      <c r="BC843" t="inlineStr">
        <is>
          <t>32285004789458</t>
        </is>
      </c>
      <c r="BD843" t="inlineStr">
        <is>
          <t>893442263</t>
        </is>
      </c>
    </row>
    <row r="844">
      <c r="A844" t="inlineStr">
        <is>
          <t>No</t>
        </is>
      </c>
      <c r="B844" t="inlineStr">
        <is>
          <t>HQ1400 .M38 1997</t>
        </is>
      </c>
      <c r="C844" t="inlineStr">
        <is>
          <t>0                      HQ 1400000M  38          1997</t>
        </is>
      </c>
      <c r="D844" t="inlineStr">
        <is>
          <t>Women in the conquest of the Americas / Juan Francisco Maura ; translated from Spanish by John F. Deredita.</t>
        </is>
      </c>
      <c r="F844" t="inlineStr">
        <is>
          <t>No</t>
        </is>
      </c>
      <c r="G844" t="inlineStr">
        <is>
          <t>1</t>
        </is>
      </c>
      <c r="H844" t="inlineStr">
        <is>
          <t>No</t>
        </is>
      </c>
      <c r="I844" t="inlineStr">
        <is>
          <t>No</t>
        </is>
      </c>
      <c r="J844" t="inlineStr">
        <is>
          <t>0</t>
        </is>
      </c>
      <c r="K844" t="inlineStr">
        <is>
          <t>Maura, Juan Francisco.</t>
        </is>
      </c>
      <c r="L844" t="inlineStr">
        <is>
          <t>New York : P. Lang, c1997.</t>
        </is>
      </c>
      <c r="M844" t="inlineStr">
        <is>
          <t>1997</t>
        </is>
      </c>
      <c r="O844" t="inlineStr">
        <is>
          <t>eng</t>
        </is>
      </c>
      <c r="P844" t="inlineStr">
        <is>
          <t>nyu</t>
        </is>
      </c>
      <c r="R844" t="inlineStr">
        <is>
          <t xml:space="preserve">HQ </t>
        </is>
      </c>
      <c r="S844" t="n">
        <v>1</v>
      </c>
      <c r="T844" t="n">
        <v>1</v>
      </c>
      <c r="U844" t="inlineStr">
        <is>
          <t>2000-11-28</t>
        </is>
      </c>
      <c r="V844" t="inlineStr">
        <is>
          <t>2000-11-28</t>
        </is>
      </c>
      <c r="W844" t="inlineStr">
        <is>
          <t>1999-11-09</t>
        </is>
      </c>
      <c r="X844" t="inlineStr">
        <is>
          <t>1999-11-09</t>
        </is>
      </c>
      <c r="Y844" t="n">
        <v>240</v>
      </c>
      <c r="Z844" t="n">
        <v>201</v>
      </c>
      <c r="AA844" t="n">
        <v>203</v>
      </c>
      <c r="AB844" t="n">
        <v>2</v>
      </c>
      <c r="AC844" t="n">
        <v>2</v>
      </c>
      <c r="AD844" t="n">
        <v>14</v>
      </c>
      <c r="AE844" t="n">
        <v>14</v>
      </c>
      <c r="AF844" t="n">
        <v>4</v>
      </c>
      <c r="AG844" t="n">
        <v>4</v>
      </c>
      <c r="AH844" t="n">
        <v>5</v>
      </c>
      <c r="AI844" t="n">
        <v>5</v>
      </c>
      <c r="AJ844" t="n">
        <v>9</v>
      </c>
      <c r="AK844" t="n">
        <v>9</v>
      </c>
      <c r="AL844" t="n">
        <v>1</v>
      </c>
      <c r="AM844" t="n">
        <v>1</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HYPERLINK("https://creighton-primo.hosted.exlibrisgroup.com/primo-explore/search?tab=default_tab&amp;search_scope=EVERYTHING&amp;vid=01CRU&amp;lang=en_US&amp;offset=0&amp;query=any,contains,991002065339702656","Catalog Record")</f>
        <v/>
      </c>
      <c r="AT844">
        <f>HYPERLINK("http://www.worldcat.org/oclc/26402452","WorldCat Record")</f>
        <v/>
      </c>
      <c r="AU844" t="inlineStr">
        <is>
          <t>28616209:eng</t>
        </is>
      </c>
      <c r="AV844" t="inlineStr">
        <is>
          <t>26402452</t>
        </is>
      </c>
      <c r="AW844" t="inlineStr">
        <is>
          <t>991002065339702656</t>
        </is>
      </c>
      <c r="AX844" t="inlineStr">
        <is>
          <t>991002065339702656</t>
        </is>
      </c>
      <c r="AY844" t="inlineStr">
        <is>
          <t>2266451070002656</t>
        </is>
      </c>
      <c r="AZ844" t="inlineStr">
        <is>
          <t>BOOK</t>
        </is>
      </c>
      <c r="BB844" t="inlineStr">
        <is>
          <t>9780820420431</t>
        </is>
      </c>
      <c r="BC844" t="inlineStr">
        <is>
          <t>32285003619912</t>
        </is>
      </c>
      <c r="BD844" t="inlineStr">
        <is>
          <t>893414773</t>
        </is>
      </c>
    </row>
    <row r="845">
      <c r="A845" t="inlineStr">
        <is>
          <t>No</t>
        </is>
      </c>
      <c r="B845" t="inlineStr">
        <is>
          <t>HQ1410 .A46 1991</t>
        </is>
      </c>
      <c r="C845" t="inlineStr">
        <is>
          <t>0                      HQ 1410000A  46          1991</t>
        </is>
      </c>
      <c r="D845" t="inlineStr">
        <is>
          <t>Race, gender, and work : a multicultural economic history of women in the United States / Teresa Amott and Julie Matthaei.</t>
        </is>
      </c>
      <c r="F845" t="inlineStr">
        <is>
          <t>No</t>
        </is>
      </c>
      <c r="G845" t="inlineStr">
        <is>
          <t>1</t>
        </is>
      </c>
      <c r="H845" t="inlineStr">
        <is>
          <t>No</t>
        </is>
      </c>
      <c r="I845" t="inlineStr">
        <is>
          <t>No</t>
        </is>
      </c>
      <c r="J845" t="inlineStr">
        <is>
          <t>0</t>
        </is>
      </c>
      <c r="K845" t="inlineStr">
        <is>
          <t>Amott, Teresa L.</t>
        </is>
      </c>
      <c r="L845" t="inlineStr">
        <is>
          <t>Boston, MA : South End Press, c1991.</t>
        </is>
      </c>
      <c r="M845" t="inlineStr">
        <is>
          <t>1991</t>
        </is>
      </c>
      <c r="O845" t="inlineStr">
        <is>
          <t>eng</t>
        </is>
      </c>
      <c r="P845" t="inlineStr">
        <is>
          <t>mau</t>
        </is>
      </c>
      <c r="R845" t="inlineStr">
        <is>
          <t xml:space="preserve">HQ </t>
        </is>
      </c>
      <c r="S845" t="n">
        <v>6</v>
      </c>
      <c r="T845" t="n">
        <v>6</v>
      </c>
      <c r="U845" t="inlineStr">
        <is>
          <t>1998-12-02</t>
        </is>
      </c>
      <c r="V845" t="inlineStr">
        <is>
          <t>1998-12-02</t>
        </is>
      </c>
      <c r="W845" t="inlineStr">
        <is>
          <t>1991-06-11</t>
        </is>
      </c>
      <c r="X845" t="inlineStr">
        <is>
          <t>1991-06-11</t>
        </is>
      </c>
      <c r="Y845" t="n">
        <v>823</v>
      </c>
      <c r="Z845" t="n">
        <v>735</v>
      </c>
      <c r="AA845" t="n">
        <v>1044</v>
      </c>
      <c r="AB845" t="n">
        <v>7</v>
      </c>
      <c r="AC845" t="n">
        <v>10</v>
      </c>
      <c r="AD845" t="n">
        <v>36</v>
      </c>
      <c r="AE845" t="n">
        <v>48</v>
      </c>
      <c r="AF845" t="n">
        <v>13</v>
      </c>
      <c r="AG845" t="n">
        <v>17</v>
      </c>
      <c r="AH845" t="n">
        <v>7</v>
      </c>
      <c r="AI845" t="n">
        <v>11</v>
      </c>
      <c r="AJ845" t="n">
        <v>13</v>
      </c>
      <c r="AK845" t="n">
        <v>19</v>
      </c>
      <c r="AL845" t="n">
        <v>6</v>
      </c>
      <c r="AM845" t="n">
        <v>9</v>
      </c>
      <c r="AN845" t="n">
        <v>3</v>
      </c>
      <c r="AO845" t="n">
        <v>3</v>
      </c>
      <c r="AP845" t="inlineStr">
        <is>
          <t>No</t>
        </is>
      </c>
      <c r="AQ845" t="inlineStr">
        <is>
          <t>Yes</t>
        </is>
      </c>
      <c r="AR845">
        <f>HYPERLINK("http://catalog.hathitrust.org/Record/002431205","HathiTrust Record")</f>
        <v/>
      </c>
      <c r="AS845">
        <f>HYPERLINK("https://creighton-primo.hosted.exlibrisgroup.com/primo-explore/search?tab=default_tab&amp;search_scope=EVERYTHING&amp;vid=01CRU&amp;lang=en_US&amp;offset=0&amp;query=any,contains,991001782569702656","Catalog Record")</f>
        <v/>
      </c>
      <c r="AT845">
        <f>HYPERLINK("http://www.worldcat.org/oclc/22488419","WorldCat Record")</f>
        <v/>
      </c>
      <c r="AU845" t="inlineStr">
        <is>
          <t>39390818:eng</t>
        </is>
      </c>
      <c r="AV845" t="inlineStr">
        <is>
          <t>22488419</t>
        </is>
      </c>
      <c r="AW845" t="inlineStr">
        <is>
          <t>991001782569702656</t>
        </is>
      </c>
      <c r="AX845" t="inlineStr">
        <is>
          <t>991001782569702656</t>
        </is>
      </c>
      <c r="AY845" t="inlineStr">
        <is>
          <t>2267365130002656</t>
        </is>
      </c>
      <c r="AZ845" t="inlineStr">
        <is>
          <t>BOOK</t>
        </is>
      </c>
      <c r="BB845" t="inlineStr">
        <is>
          <t>9780896083769</t>
        </is>
      </c>
      <c r="BC845" t="inlineStr">
        <is>
          <t>32285000594035</t>
        </is>
      </c>
      <c r="BD845" t="inlineStr">
        <is>
          <t>893226127</t>
        </is>
      </c>
    </row>
    <row r="846">
      <c r="A846" t="inlineStr">
        <is>
          <t>No</t>
        </is>
      </c>
      <c r="B846" t="inlineStr">
        <is>
          <t>HQ1410 .C44 1984</t>
        </is>
      </c>
      <c r="C846" t="inlineStr">
        <is>
          <t>0                      HQ 1410000C  44          1984</t>
        </is>
      </c>
      <c r="D846" t="inlineStr">
        <is>
          <t>The other civil war : American women in the nineteenth century / Catherine Clinton.</t>
        </is>
      </c>
      <c r="F846" t="inlineStr">
        <is>
          <t>No</t>
        </is>
      </c>
      <c r="G846" t="inlineStr">
        <is>
          <t>1</t>
        </is>
      </c>
      <c r="H846" t="inlineStr">
        <is>
          <t>No</t>
        </is>
      </c>
      <c r="I846" t="inlineStr">
        <is>
          <t>No</t>
        </is>
      </c>
      <c r="J846" t="inlineStr">
        <is>
          <t>0</t>
        </is>
      </c>
      <c r="K846" t="inlineStr">
        <is>
          <t>Clinton, Catherine, 1952-</t>
        </is>
      </c>
      <c r="L846" t="inlineStr">
        <is>
          <t>New York : Hill and Wang, 1984.</t>
        </is>
      </c>
      <c r="M846" t="inlineStr">
        <is>
          <t>1984</t>
        </is>
      </c>
      <c r="O846" t="inlineStr">
        <is>
          <t>eng</t>
        </is>
      </c>
      <c r="P846" t="inlineStr">
        <is>
          <t>nyu</t>
        </is>
      </c>
      <c r="Q846" t="inlineStr">
        <is>
          <t>American century series</t>
        </is>
      </c>
      <c r="R846" t="inlineStr">
        <is>
          <t xml:space="preserve">HQ </t>
        </is>
      </c>
      <c r="S846" t="n">
        <v>4</v>
      </c>
      <c r="T846" t="n">
        <v>4</v>
      </c>
      <c r="U846" t="inlineStr">
        <is>
          <t>2004-03-12</t>
        </is>
      </c>
      <c r="V846" t="inlineStr">
        <is>
          <t>2004-03-12</t>
        </is>
      </c>
      <c r="W846" t="inlineStr">
        <is>
          <t>1990-07-05</t>
        </is>
      </c>
      <c r="X846" t="inlineStr">
        <is>
          <t>1990-07-05</t>
        </is>
      </c>
      <c r="Y846" t="n">
        <v>1226</v>
      </c>
      <c r="Z846" t="n">
        <v>1141</v>
      </c>
      <c r="AA846" t="n">
        <v>1293</v>
      </c>
      <c r="AB846" t="n">
        <v>8</v>
      </c>
      <c r="AC846" t="n">
        <v>8</v>
      </c>
      <c r="AD846" t="n">
        <v>35</v>
      </c>
      <c r="AE846" t="n">
        <v>43</v>
      </c>
      <c r="AF846" t="n">
        <v>12</v>
      </c>
      <c r="AG846" t="n">
        <v>17</v>
      </c>
      <c r="AH846" t="n">
        <v>9</v>
      </c>
      <c r="AI846" t="n">
        <v>11</v>
      </c>
      <c r="AJ846" t="n">
        <v>18</v>
      </c>
      <c r="AK846" t="n">
        <v>22</v>
      </c>
      <c r="AL846" t="n">
        <v>6</v>
      </c>
      <c r="AM846" t="n">
        <v>6</v>
      </c>
      <c r="AN846" t="n">
        <v>1</v>
      </c>
      <c r="AO846" t="n">
        <v>1</v>
      </c>
      <c r="AP846" t="inlineStr">
        <is>
          <t>No</t>
        </is>
      </c>
      <c r="AQ846" t="inlineStr">
        <is>
          <t>No</t>
        </is>
      </c>
      <c r="AS846">
        <f>HYPERLINK("https://creighton-primo.hosted.exlibrisgroup.com/primo-explore/search?tab=default_tab&amp;search_scope=EVERYTHING&amp;vid=01CRU&amp;lang=en_US&amp;offset=0&amp;query=any,contains,991000357739702656","Catalog Record")</f>
        <v/>
      </c>
      <c r="AT846">
        <f>HYPERLINK("http://www.worldcat.org/oclc/10348440","WorldCat Record")</f>
        <v/>
      </c>
      <c r="AU846" t="inlineStr">
        <is>
          <t>3684004:eng</t>
        </is>
      </c>
      <c r="AV846" t="inlineStr">
        <is>
          <t>10348440</t>
        </is>
      </c>
      <c r="AW846" t="inlineStr">
        <is>
          <t>991000357739702656</t>
        </is>
      </c>
      <c r="AX846" t="inlineStr">
        <is>
          <t>991000357739702656</t>
        </is>
      </c>
      <c r="AY846" t="inlineStr">
        <is>
          <t>2264253780002656</t>
        </is>
      </c>
      <c r="AZ846" t="inlineStr">
        <is>
          <t>BOOK</t>
        </is>
      </c>
      <c r="BB846" t="inlineStr">
        <is>
          <t>9780809001569</t>
        </is>
      </c>
      <c r="BC846" t="inlineStr">
        <is>
          <t>32285000221472</t>
        </is>
      </c>
      <c r="BD846" t="inlineStr">
        <is>
          <t>893339481</t>
        </is>
      </c>
    </row>
    <row r="847">
      <c r="A847" t="inlineStr">
        <is>
          <t>No</t>
        </is>
      </c>
      <c r="B847" t="inlineStr">
        <is>
          <t>HQ1410 .C65 1976</t>
        </is>
      </c>
      <c r="C847" t="inlineStr">
        <is>
          <t>0                      HQ 1410000C  65          1976</t>
        </is>
      </c>
      <c r="D847" t="inlineStr">
        <is>
          <t>Clio was a woman : studies in the history of American women / edited by Mabel E. Deutrich and Virginia C. Purdy.</t>
        </is>
      </c>
      <c r="F847" t="inlineStr">
        <is>
          <t>No</t>
        </is>
      </c>
      <c r="G847" t="inlineStr">
        <is>
          <t>1</t>
        </is>
      </c>
      <c r="H847" t="inlineStr">
        <is>
          <t>No</t>
        </is>
      </c>
      <c r="I847" t="inlineStr">
        <is>
          <t>No</t>
        </is>
      </c>
      <c r="J847" t="inlineStr">
        <is>
          <t>0</t>
        </is>
      </c>
      <c r="K847" t="inlineStr">
        <is>
          <t>Conference on Women's History (1976 : Washington, D.C.)</t>
        </is>
      </c>
      <c r="L847" t="inlineStr">
        <is>
          <t>Washington : Howard University Press, 1980.</t>
        </is>
      </c>
      <c r="M847" t="inlineStr">
        <is>
          <t>1980</t>
        </is>
      </c>
      <c r="O847" t="inlineStr">
        <is>
          <t>eng</t>
        </is>
      </c>
      <c r="P847" t="inlineStr">
        <is>
          <t>dcu</t>
        </is>
      </c>
      <c r="Q847" t="inlineStr">
        <is>
          <t>National Archives conferences ; v. 16</t>
        </is>
      </c>
      <c r="R847" t="inlineStr">
        <is>
          <t xml:space="preserve">HQ </t>
        </is>
      </c>
      <c r="S847" t="n">
        <v>4</v>
      </c>
      <c r="T847" t="n">
        <v>4</v>
      </c>
      <c r="U847" t="inlineStr">
        <is>
          <t>1993-11-29</t>
        </is>
      </c>
      <c r="V847" t="inlineStr">
        <is>
          <t>1993-11-29</t>
        </is>
      </c>
      <c r="W847" t="inlineStr">
        <is>
          <t>1990-07-05</t>
        </is>
      </c>
      <c r="X847" t="inlineStr">
        <is>
          <t>1990-07-05</t>
        </is>
      </c>
      <c r="Y847" t="n">
        <v>529</v>
      </c>
      <c r="Z847" t="n">
        <v>474</v>
      </c>
      <c r="AA847" t="n">
        <v>486</v>
      </c>
      <c r="AB847" t="n">
        <v>3</v>
      </c>
      <c r="AC847" t="n">
        <v>3</v>
      </c>
      <c r="AD847" t="n">
        <v>18</v>
      </c>
      <c r="AE847" t="n">
        <v>18</v>
      </c>
      <c r="AF847" t="n">
        <v>5</v>
      </c>
      <c r="AG847" t="n">
        <v>5</v>
      </c>
      <c r="AH847" t="n">
        <v>5</v>
      </c>
      <c r="AI847" t="n">
        <v>5</v>
      </c>
      <c r="AJ847" t="n">
        <v>10</v>
      </c>
      <c r="AK847" t="n">
        <v>10</v>
      </c>
      <c r="AL847" t="n">
        <v>2</v>
      </c>
      <c r="AM847" t="n">
        <v>2</v>
      </c>
      <c r="AN847" t="n">
        <v>0</v>
      </c>
      <c r="AO847" t="n">
        <v>0</v>
      </c>
      <c r="AP847" t="inlineStr">
        <is>
          <t>No</t>
        </is>
      </c>
      <c r="AQ847" t="inlineStr">
        <is>
          <t>Yes</t>
        </is>
      </c>
      <c r="AR847">
        <f>HYPERLINK("http://catalog.hathitrust.org/Record/000729041","HathiTrust Record")</f>
        <v/>
      </c>
      <c r="AS847">
        <f>HYPERLINK("https://creighton-primo.hosted.exlibrisgroup.com/primo-explore/search?tab=default_tab&amp;search_scope=EVERYTHING&amp;vid=01CRU&amp;lang=en_US&amp;offset=0&amp;query=any,contains,991004765949702656","Catalog Record")</f>
        <v/>
      </c>
      <c r="AT847">
        <f>HYPERLINK("http://www.worldcat.org/oclc/5029275","WorldCat Record")</f>
        <v/>
      </c>
      <c r="AU847" t="inlineStr">
        <is>
          <t>235570003:eng</t>
        </is>
      </c>
      <c r="AV847" t="inlineStr">
        <is>
          <t>5029275</t>
        </is>
      </c>
      <c r="AW847" t="inlineStr">
        <is>
          <t>991004765949702656</t>
        </is>
      </c>
      <c r="AX847" t="inlineStr">
        <is>
          <t>991004765949702656</t>
        </is>
      </c>
      <c r="AY847" t="inlineStr">
        <is>
          <t>2271541870002656</t>
        </is>
      </c>
      <c r="AZ847" t="inlineStr">
        <is>
          <t>BOOK</t>
        </is>
      </c>
      <c r="BB847" t="inlineStr">
        <is>
          <t>9780882580777</t>
        </is>
      </c>
      <c r="BC847" t="inlineStr">
        <is>
          <t>32285000222025</t>
        </is>
      </c>
      <c r="BD847" t="inlineStr">
        <is>
          <t>893776405</t>
        </is>
      </c>
    </row>
    <row r="848">
      <c r="A848" t="inlineStr">
        <is>
          <t>No</t>
        </is>
      </c>
      <c r="B848" t="inlineStr">
        <is>
          <t>HQ1410 .E15 1992</t>
        </is>
      </c>
      <c r="C848" t="inlineStr">
        <is>
          <t>0                      HQ 1410000E  15          1992</t>
        </is>
      </c>
      <c r="D848" t="inlineStr">
        <is>
          <t>Early American women : a documentary history, 1600-1900 / [edited by] Nancy Woloch.</t>
        </is>
      </c>
      <c r="F848" t="inlineStr">
        <is>
          <t>No</t>
        </is>
      </c>
      <c r="G848" t="inlineStr">
        <is>
          <t>1</t>
        </is>
      </c>
      <c r="H848" t="inlineStr">
        <is>
          <t>No</t>
        </is>
      </c>
      <c r="I848" t="inlineStr">
        <is>
          <t>No</t>
        </is>
      </c>
      <c r="J848" t="inlineStr">
        <is>
          <t>0</t>
        </is>
      </c>
      <c r="L848" t="inlineStr">
        <is>
          <t>Belmont, Calif. : Wadsworth, c1992.</t>
        </is>
      </c>
      <c r="M848" t="inlineStr">
        <is>
          <t>1992</t>
        </is>
      </c>
      <c r="O848" t="inlineStr">
        <is>
          <t>eng</t>
        </is>
      </c>
      <c r="P848" t="inlineStr">
        <is>
          <t>cau</t>
        </is>
      </c>
      <c r="R848" t="inlineStr">
        <is>
          <t xml:space="preserve">HQ </t>
        </is>
      </c>
      <c r="S848" t="n">
        <v>15</v>
      </c>
      <c r="T848" t="n">
        <v>15</v>
      </c>
      <c r="U848" t="inlineStr">
        <is>
          <t>2007-11-19</t>
        </is>
      </c>
      <c r="V848" t="inlineStr">
        <is>
          <t>2007-11-19</t>
        </is>
      </c>
      <c r="W848" t="inlineStr">
        <is>
          <t>1992-04-02</t>
        </is>
      </c>
      <c r="X848" t="inlineStr">
        <is>
          <t>1992-04-02</t>
        </is>
      </c>
      <c r="Y848" t="n">
        <v>336</v>
      </c>
      <c r="Z848" t="n">
        <v>289</v>
      </c>
      <c r="AA848" t="n">
        <v>558</v>
      </c>
      <c r="AB848" t="n">
        <v>2</v>
      </c>
      <c r="AC848" t="n">
        <v>3</v>
      </c>
      <c r="AD848" t="n">
        <v>9</v>
      </c>
      <c r="AE848" t="n">
        <v>20</v>
      </c>
      <c r="AF848" t="n">
        <v>2</v>
      </c>
      <c r="AG848" t="n">
        <v>7</v>
      </c>
      <c r="AH848" t="n">
        <v>3</v>
      </c>
      <c r="AI848" t="n">
        <v>4</v>
      </c>
      <c r="AJ848" t="n">
        <v>5</v>
      </c>
      <c r="AK848" t="n">
        <v>13</v>
      </c>
      <c r="AL848" t="n">
        <v>1</v>
      </c>
      <c r="AM848" t="n">
        <v>2</v>
      </c>
      <c r="AN848" t="n">
        <v>0</v>
      </c>
      <c r="AO848" t="n">
        <v>0</v>
      </c>
      <c r="AP848" t="inlineStr">
        <is>
          <t>No</t>
        </is>
      </c>
      <c r="AQ848" t="inlineStr">
        <is>
          <t>Yes</t>
        </is>
      </c>
      <c r="AR848">
        <f>HYPERLINK("http://catalog.hathitrust.org/Record/007109962","HathiTrust Record")</f>
        <v/>
      </c>
      <c r="AS848">
        <f>HYPERLINK("https://creighton-primo.hosted.exlibrisgroup.com/primo-explore/search?tab=default_tab&amp;search_scope=EVERYTHING&amp;vid=01CRU&amp;lang=en_US&amp;offset=0&amp;query=any,contains,991001877409702656","Catalog Record")</f>
        <v/>
      </c>
      <c r="AT848">
        <f>HYPERLINK("http://www.worldcat.org/oclc/23690557","WorldCat Record")</f>
        <v/>
      </c>
      <c r="AU848" t="inlineStr">
        <is>
          <t>796464907:eng</t>
        </is>
      </c>
      <c r="AV848" t="inlineStr">
        <is>
          <t>23690557</t>
        </is>
      </c>
      <c r="AW848" t="inlineStr">
        <is>
          <t>991001877409702656</t>
        </is>
      </c>
      <c r="AX848" t="inlineStr">
        <is>
          <t>991001877409702656</t>
        </is>
      </c>
      <c r="AY848" t="inlineStr">
        <is>
          <t>2258312180002656</t>
        </is>
      </c>
      <c r="AZ848" t="inlineStr">
        <is>
          <t>BOOK</t>
        </is>
      </c>
      <c r="BB848" t="inlineStr">
        <is>
          <t>9780534151027</t>
        </is>
      </c>
      <c r="BC848" t="inlineStr">
        <is>
          <t>32285001008159</t>
        </is>
      </c>
      <c r="BD848" t="inlineStr">
        <is>
          <t>893866549</t>
        </is>
      </c>
    </row>
    <row r="849">
      <c r="A849" t="inlineStr">
        <is>
          <t>No</t>
        </is>
      </c>
      <c r="B849" t="inlineStr">
        <is>
          <t>HQ1410 .F45</t>
        </is>
      </c>
      <c r="C849" t="inlineStr">
        <is>
          <t>0                      HQ 1410000F  45</t>
        </is>
      </c>
      <c r="D849" t="inlineStr">
        <is>
          <t>The Female experience : an American documentary / [edited by] Gerda Lerner.</t>
        </is>
      </c>
      <c r="F849" t="inlineStr">
        <is>
          <t>No</t>
        </is>
      </c>
      <c r="G849" t="inlineStr">
        <is>
          <t>1</t>
        </is>
      </c>
      <c r="H849" t="inlineStr">
        <is>
          <t>No</t>
        </is>
      </c>
      <c r="I849" t="inlineStr">
        <is>
          <t>No</t>
        </is>
      </c>
      <c r="J849" t="inlineStr">
        <is>
          <t>0</t>
        </is>
      </c>
      <c r="L849" t="inlineStr">
        <is>
          <t>Indianapolis : Bobbs-Merrill Educational Pub., c1977.</t>
        </is>
      </c>
      <c r="M849" t="inlineStr">
        <is>
          <t>1977</t>
        </is>
      </c>
      <c r="N849" t="inlineStr">
        <is>
          <t>1st ed.</t>
        </is>
      </c>
      <c r="O849" t="inlineStr">
        <is>
          <t>eng</t>
        </is>
      </c>
      <c r="P849" t="inlineStr">
        <is>
          <t>inu</t>
        </is>
      </c>
      <c r="Q849" t="inlineStr">
        <is>
          <t>The American heritage series</t>
        </is>
      </c>
      <c r="R849" t="inlineStr">
        <is>
          <t xml:space="preserve">HQ </t>
        </is>
      </c>
      <c r="S849" t="n">
        <v>6</v>
      </c>
      <c r="T849" t="n">
        <v>6</v>
      </c>
      <c r="U849" t="inlineStr">
        <is>
          <t>1996-03-11</t>
        </is>
      </c>
      <c r="V849" t="inlineStr">
        <is>
          <t>1996-03-11</t>
        </is>
      </c>
      <c r="W849" t="inlineStr">
        <is>
          <t>1993-12-08</t>
        </is>
      </c>
      <c r="X849" t="inlineStr">
        <is>
          <t>1993-12-08</t>
        </is>
      </c>
      <c r="Y849" t="n">
        <v>1342</v>
      </c>
      <c r="Z849" t="n">
        <v>1226</v>
      </c>
      <c r="AA849" t="n">
        <v>1459</v>
      </c>
      <c r="AB849" t="n">
        <v>8</v>
      </c>
      <c r="AC849" t="n">
        <v>11</v>
      </c>
      <c r="AD849" t="n">
        <v>39</v>
      </c>
      <c r="AE849" t="n">
        <v>49</v>
      </c>
      <c r="AF849" t="n">
        <v>14</v>
      </c>
      <c r="AG849" t="n">
        <v>19</v>
      </c>
      <c r="AH849" t="n">
        <v>10</v>
      </c>
      <c r="AI849" t="n">
        <v>10</v>
      </c>
      <c r="AJ849" t="n">
        <v>20</v>
      </c>
      <c r="AK849" t="n">
        <v>23</v>
      </c>
      <c r="AL849" t="n">
        <v>5</v>
      </c>
      <c r="AM849" t="n">
        <v>8</v>
      </c>
      <c r="AN849" t="n">
        <v>0</v>
      </c>
      <c r="AO849" t="n">
        <v>1</v>
      </c>
      <c r="AP849" t="inlineStr">
        <is>
          <t>No</t>
        </is>
      </c>
      <c r="AQ849" t="inlineStr">
        <is>
          <t>Yes</t>
        </is>
      </c>
      <c r="AR849">
        <f>HYPERLINK("http://catalog.hathitrust.org/Record/000171977","HathiTrust Record")</f>
        <v/>
      </c>
      <c r="AS849">
        <f>HYPERLINK("https://creighton-primo.hosted.exlibrisgroup.com/primo-explore/search?tab=default_tab&amp;search_scope=EVERYTHING&amp;vid=01CRU&amp;lang=en_US&amp;offset=0&amp;query=any,contains,991004230709702656","Catalog Record")</f>
        <v/>
      </c>
      <c r="AT849">
        <f>HYPERLINK("http://www.worldcat.org/oclc/2745868","WorldCat Record")</f>
        <v/>
      </c>
      <c r="AU849" t="inlineStr">
        <is>
          <t>1047354922:eng</t>
        </is>
      </c>
      <c r="AV849" t="inlineStr">
        <is>
          <t>2745868</t>
        </is>
      </c>
      <c r="AW849" t="inlineStr">
        <is>
          <t>991004230709702656</t>
        </is>
      </c>
      <c r="AX849" t="inlineStr">
        <is>
          <t>991004230709702656</t>
        </is>
      </c>
      <c r="AY849" t="inlineStr">
        <is>
          <t>2258491160002656</t>
        </is>
      </c>
      <c r="AZ849" t="inlineStr">
        <is>
          <t>BOOK</t>
        </is>
      </c>
      <c r="BB849" t="inlineStr">
        <is>
          <t>9780672515552</t>
        </is>
      </c>
      <c r="BC849" t="inlineStr">
        <is>
          <t>32285001806958</t>
        </is>
      </c>
      <c r="BD849" t="inlineStr">
        <is>
          <t>893263157</t>
        </is>
      </c>
    </row>
    <row r="850">
      <c r="A850" t="inlineStr">
        <is>
          <t>No</t>
        </is>
      </c>
      <c r="B850" t="inlineStr">
        <is>
          <t>HQ1410 .F6</t>
        </is>
      </c>
      <c r="C850" t="inlineStr">
        <is>
          <t>0                      HQ 1410000F  6</t>
        </is>
      </c>
      <c r="D850" t="inlineStr">
        <is>
          <t>Century of struggle; the woman's rights movement in the United States.</t>
        </is>
      </c>
      <c r="F850" t="inlineStr">
        <is>
          <t>No</t>
        </is>
      </c>
      <c r="G850" t="inlineStr">
        <is>
          <t>1</t>
        </is>
      </c>
      <c r="H850" t="inlineStr">
        <is>
          <t>No</t>
        </is>
      </c>
      <c r="I850" t="inlineStr">
        <is>
          <t>No</t>
        </is>
      </c>
      <c r="J850" t="inlineStr">
        <is>
          <t>0</t>
        </is>
      </c>
      <c r="K850" t="inlineStr">
        <is>
          <t>Flexner, Eleanor, 1908-1995.</t>
        </is>
      </c>
      <c r="L850" t="inlineStr">
        <is>
          <t>Cambridge, Belknap Press of Harvard University Press, 1959.</t>
        </is>
      </c>
      <c r="M850" t="inlineStr">
        <is>
          <t>1959</t>
        </is>
      </c>
      <c r="O850" t="inlineStr">
        <is>
          <t>eng</t>
        </is>
      </c>
      <c r="P850" t="inlineStr">
        <is>
          <t>mau</t>
        </is>
      </c>
      <c r="R850" t="inlineStr">
        <is>
          <t xml:space="preserve">HQ </t>
        </is>
      </c>
      <c r="S850" t="n">
        <v>4</v>
      </c>
      <c r="T850" t="n">
        <v>4</v>
      </c>
      <c r="U850" t="inlineStr">
        <is>
          <t>1999-10-05</t>
        </is>
      </c>
      <c r="V850" t="inlineStr">
        <is>
          <t>1999-10-05</t>
        </is>
      </c>
      <c r="W850" t="inlineStr">
        <is>
          <t>1997-08-15</t>
        </is>
      </c>
      <c r="X850" t="inlineStr">
        <is>
          <t>1997-08-15</t>
        </is>
      </c>
      <c r="Y850" t="n">
        <v>1104</v>
      </c>
      <c r="Z850" t="n">
        <v>978</v>
      </c>
      <c r="AA850" t="n">
        <v>2318</v>
      </c>
      <c r="AB850" t="n">
        <v>7</v>
      </c>
      <c r="AC850" t="n">
        <v>19</v>
      </c>
      <c r="AD850" t="n">
        <v>27</v>
      </c>
      <c r="AE850" t="n">
        <v>75</v>
      </c>
      <c r="AF850" t="n">
        <v>8</v>
      </c>
      <c r="AG850" t="n">
        <v>25</v>
      </c>
      <c r="AH850" t="n">
        <v>6</v>
      </c>
      <c r="AI850" t="n">
        <v>11</v>
      </c>
      <c r="AJ850" t="n">
        <v>10</v>
      </c>
      <c r="AK850" t="n">
        <v>27</v>
      </c>
      <c r="AL850" t="n">
        <v>4</v>
      </c>
      <c r="AM850" t="n">
        <v>12</v>
      </c>
      <c r="AN850" t="n">
        <v>2</v>
      </c>
      <c r="AO850" t="n">
        <v>14</v>
      </c>
      <c r="AP850" t="inlineStr">
        <is>
          <t>No</t>
        </is>
      </c>
      <c r="AQ850" t="inlineStr">
        <is>
          <t>No</t>
        </is>
      </c>
      <c r="AS850">
        <f>HYPERLINK("https://creighton-primo.hosted.exlibrisgroup.com/primo-explore/search?tab=default_tab&amp;search_scope=EVERYTHING&amp;vid=01CRU&amp;lang=en_US&amp;offset=0&amp;query=any,contains,991001823649702656","Catalog Record")</f>
        <v/>
      </c>
      <c r="AT850">
        <f>HYPERLINK("http://www.worldcat.org/oclc/237236","WorldCat Record")</f>
        <v/>
      </c>
      <c r="AU850" t="inlineStr">
        <is>
          <t>196640115:eng</t>
        </is>
      </c>
      <c r="AV850" t="inlineStr">
        <is>
          <t>237236</t>
        </is>
      </c>
      <c r="AW850" t="inlineStr">
        <is>
          <t>991001823649702656</t>
        </is>
      </c>
      <c r="AX850" t="inlineStr">
        <is>
          <t>991001823649702656</t>
        </is>
      </c>
      <c r="AY850" t="inlineStr">
        <is>
          <t>2254994150002656</t>
        </is>
      </c>
      <c r="AZ850" t="inlineStr">
        <is>
          <t>BOOK</t>
        </is>
      </c>
      <c r="BB850" t="inlineStr">
        <is>
          <t>9780689700729</t>
        </is>
      </c>
      <c r="BC850" t="inlineStr">
        <is>
          <t>32285003104188</t>
        </is>
      </c>
      <c r="BD850" t="inlineStr">
        <is>
          <t>893250536</t>
        </is>
      </c>
    </row>
    <row r="851">
      <c r="A851" t="inlineStr">
        <is>
          <t>No</t>
        </is>
      </c>
      <c r="B851" t="inlineStr">
        <is>
          <t>HQ1410 .H365 1998</t>
        </is>
      </c>
      <c r="C851" t="inlineStr">
        <is>
          <t>0                      HQ 1410000H  365         1998</t>
        </is>
      </c>
      <c r="D851" t="inlineStr">
        <is>
          <t>Feminism : a reference handbook / Judith Harlan.</t>
        </is>
      </c>
      <c r="F851" t="inlineStr">
        <is>
          <t>No</t>
        </is>
      </c>
      <c r="G851" t="inlineStr">
        <is>
          <t>1</t>
        </is>
      </c>
      <c r="H851" t="inlineStr">
        <is>
          <t>No</t>
        </is>
      </c>
      <c r="I851" t="inlineStr">
        <is>
          <t>No</t>
        </is>
      </c>
      <c r="J851" t="inlineStr">
        <is>
          <t>0</t>
        </is>
      </c>
      <c r="K851" t="inlineStr">
        <is>
          <t>Harlan, Judith.</t>
        </is>
      </c>
      <c r="L851" t="inlineStr">
        <is>
          <t>Santa Barbara, Calif. : ABC-CLIO, c1998.</t>
        </is>
      </c>
      <c r="M851" t="inlineStr">
        <is>
          <t>1998</t>
        </is>
      </c>
      <c r="O851" t="inlineStr">
        <is>
          <t>eng</t>
        </is>
      </c>
      <c r="P851" t="inlineStr">
        <is>
          <t>cau</t>
        </is>
      </c>
      <c r="Q851" t="inlineStr">
        <is>
          <t>ABC-CLIO's contemporary world issues series</t>
        </is>
      </c>
      <c r="R851" t="inlineStr">
        <is>
          <t xml:space="preserve">HQ </t>
        </is>
      </c>
      <c r="S851" t="n">
        <v>6</v>
      </c>
      <c r="T851" t="n">
        <v>6</v>
      </c>
      <c r="U851" t="inlineStr">
        <is>
          <t>2004-03-19</t>
        </is>
      </c>
      <c r="V851" t="inlineStr">
        <is>
          <t>2004-03-19</t>
        </is>
      </c>
      <c r="W851" t="inlineStr">
        <is>
          <t>1998-10-21</t>
        </is>
      </c>
      <c r="X851" t="inlineStr">
        <is>
          <t>1998-10-21</t>
        </is>
      </c>
      <c r="Y851" t="n">
        <v>788</v>
      </c>
      <c r="Z851" t="n">
        <v>717</v>
      </c>
      <c r="AA851" t="n">
        <v>1450</v>
      </c>
      <c r="AB851" t="n">
        <v>7</v>
      </c>
      <c r="AC851" t="n">
        <v>9</v>
      </c>
      <c r="AD851" t="n">
        <v>23</v>
      </c>
      <c r="AE851" t="n">
        <v>36</v>
      </c>
      <c r="AF851" t="n">
        <v>6</v>
      </c>
      <c r="AG851" t="n">
        <v>14</v>
      </c>
      <c r="AH851" t="n">
        <v>4</v>
      </c>
      <c r="AI851" t="n">
        <v>7</v>
      </c>
      <c r="AJ851" t="n">
        <v>10</v>
      </c>
      <c r="AK851" t="n">
        <v>15</v>
      </c>
      <c r="AL851" t="n">
        <v>6</v>
      </c>
      <c r="AM851" t="n">
        <v>8</v>
      </c>
      <c r="AN851" t="n">
        <v>0</v>
      </c>
      <c r="AO851" t="n">
        <v>0</v>
      </c>
      <c r="AP851" t="inlineStr">
        <is>
          <t>No</t>
        </is>
      </c>
      <c r="AQ851" t="inlineStr">
        <is>
          <t>Yes</t>
        </is>
      </c>
      <c r="AR851">
        <f>HYPERLINK("http://catalog.hathitrust.org/Record/003297162","HathiTrust Record")</f>
        <v/>
      </c>
      <c r="AS851">
        <f>HYPERLINK("https://creighton-primo.hosted.exlibrisgroup.com/primo-explore/search?tab=default_tab&amp;search_scope=EVERYTHING&amp;vid=01CRU&amp;lang=en_US&amp;offset=0&amp;query=any,contains,991002942929702656","Catalog Record")</f>
        <v/>
      </c>
      <c r="AT851">
        <f>HYPERLINK("http://www.worldcat.org/oclc/38438969","WorldCat Record")</f>
        <v/>
      </c>
      <c r="AU851" t="inlineStr">
        <is>
          <t>641582:eng</t>
        </is>
      </c>
      <c r="AV851" t="inlineStr">
        <is>
          <t>38438969</t>
        </is>
      </c>
      <c r="AW851" t="inlineStr">
        <is>
          <t>991002942929702656</t>
        </is>
      </c>
      <c r="AX851" t="inlineStr">
        <is>
          <t>991002942929702656</t>
        </is>
      </c>
      <c r="AY851" t="inlineStr">
        <is>
          <t>2271452530002656</t>
        </is>
      </c>
      <c r="AZ851" t="inlineStr">
        <is>
          <t>BOOK</t>
        </is>
      </c>
      <c r="BB851" t="inlineStr">
        <is>
          <t>9780874368628</t>
        </is>
      </c>
      <c r="BC851" t="inlineStr">
        <is>
          <t>32285003475851</t>
        </is>
      </c>
      <c r="BD851" t="inlineStr">
        <is>
          <t>893257905</t>
        </is>
      </c>
    </row>
    <row r="852">
      <c r="A852" t="inlineStr">
        <is>
          <t>No</t>
        </is>
      </c>
      <c r="B852" t="inlineStr">
        <is>
          <t>HQ1410 .H377</t>
        </is>
      </c>
      <c r="C852" t="inlineStr">
        <is>
          <t>0                      HQ 1410000H  377</t>
        </is>
      </c>
      <c r="D852" t="inlineStr">
        <is>
          <t>Beyond her sphere : women and the professions in American history / Barbara J. Harris.</t>
        </is>
      </c>
      <c r="F852" t="inlineStr">
        <is>
          <t>No</t>
        </is>
      </c>
      <c r="G852" t="inlineStr">
        <is>
          <t>1</t>
        </is>
      </c>
      <c r="H852" t="inlineStr">
        <is>
          <t>No</t>
        </is>
      </c>
      <c r="I852" t="inlineStr">
        <is>
          <t>No</t>
        </is>
      </c>
      <c r="J852" t="inlineStr">
        <is>
          <t>0</t>
        </is>
      </c>
      <c r="K852" t="inlineStr">
        <is>
          <t>Harris, Barbara J. (Barbara Jean), 1942-</t>
        </is>
      </c>
      <c r="L852" t="inlineStr">
        <is>
          <t>Westport, Conn. : Greenwood Press, 1978.</t>
        </is>
      </c>
      <c r="M852" t="inlineStr">
        <is>
          <t>1978</t>
        </is>
      </c>
      <c r="O852" t="inlineStr">
        <is>
          <t>eng</t>
        </is>
      </c>
      <c r="P852" t="inlineStr">
        <is>
          <t>ctu</t>
        </is>
      </c>
      <c r="Q852" t="inlineStr">
        <is>
          <t>Contributions in women's studies, 0147-104X ; no. 4</t>
        </is>
      </c>
      <c r="R852" t="inlineStr">
        <is>
          <t xml:space="preserve">HQ </t>
        </is>
      </c>
      <c r="S852" t="n">
        <v>1</v>
      </c>
      <c r="T852" t="n">
        <v>1</v>
      </c>
      <c r="U852" t="inlineStr">
        <is>
          <t>1995-10-07</t>
        </is>
      </c>
      <c r="V852" t="inlineStr">
        <is>
          <t>1995-10-07</t>
        </is>
      </c>
      <c r="W852" t="inlineStr">
        <is>
          <t>1990-07-05</t>
        </is>
      </c>
      <c r="X852" t="inlineStr">
        <is>
          <t>1990-07-05</t>
        </is>
      </c>
      <c r="Y852" t="n">
        <v>957</v>
      </c>
      <c r="Z852" t="n">
        <v>845</v>
      </c>
      <c r="AA852" t="n">
        <v>857</v>
      </c>
      <c r="AB852" t="n">
        <v>7</v>
      </c>
      <c r="AC852" t="n">
        <v>7</v>
      </c>
      <c r="AD852" t="n">
        <v>45</v>
      </c>
      <c r="AE852" t="n">
        <v>45</v>
      </c>
      <c r="AF852" t="n">
        <v>16</v>
      </c>
      <c r="AG852" t="n">
        <v>16</v>
      </c>
      <c r="AH852" t="n">
        <v>10</v>
      </c>
      <c r="AI852" t="n">
        <v>10</v>
      </c>
      <c r="AJ852" t="n">
        <v>20</v>
      </c>
      <c r="AK852" t="n">
        <v>20</v>
      </c>
      <c r="AL852" t="n">
        <v>5</v>
      </c>
      <c r="AM852" t="n">
        <v>5</v>
      </c>
      <c r="AN852" t="n">
        <v>5</v>
      </c>
      <c r="AO852" t="n">
        <v>5</v>
      </c>
      <c r="AP852" t="inlineStr">
        <is>
          <t>No</t>
        </is>
      </c>
      <c r="AQ852" t="inlineStr">
        <is>
          <t>Yes</t>
        </is>
      </c>
      <c r="AR852">
        <f>HYPERLINK("http://catalog.hathitrust.org/Record/000028725","HathiTrust Record")</f>
        <v/>
      </c>
      <c r="AS852">
        <f>HYPERLINK("https://creighton-primo.hosted.exlibrisgroup.com/primo-explore/search?tab=default_tab&amp;search_scope=EVERYTHING&amp;vid=01CRU&amp;lang=en_US&amp;offset=0&amp;query=any,contains,991004567469702656","Catalog Record")</f>
        <v/>
      </c>
      <c r="AT852">
        <f>HYPERLINK("http://www.worldcat.org/oclc/4004907","WorldCat Record")</f>
        <v/>
      </c>
      <c r="AU852" t="inlineStr">
        <is>
          <t>445108:eng</t>
        </is>
      </c>
      <c r="AV852" t="inlineStr">
        <is>
          <t>4004907</t>
        </is>
      </c>
      <c r="AW852" t="inlineStr">
        <is>
          <t>991004567469702656</t>
        </is>
      </c>
      <c r="AX852" t="inlineStr">
        <is>
          <t>991004567469702656</t>
        </is>
      </c>
      <c r="AY852" t="inlineStr">
        <is>
          <t>2264940330002656</t>
        </is>
      </c>
      <c r="AZ852" t="inlineStr">
        <is>
          <t>BOOK</t>
        </is>
      </c>
      <c r="BB852" t="inlineStr">
        <is>
          <t>9780313204159</t>
        </is>
      </c>
      <c r="BC852" t="inlineStr">
        <is>
          <t>32285000222033</t>
        </is>
      </c>
      <c r="BD852" t="inlineStr">
        <is>
          <t>893606193</t>
        </is>
      </c>
    </row>
    <row r="853">
      <c r="A853" t="inlineStr">
        <is>
          <t>No</t>
        </is>
      </c>
      <c r="B853" t="inlineStr">
        <is>
          <t>HQ1410 .H95 1978</t>
        </is>
      </c>
      <c r="C853" t="inlineStr">
        <is>
          <t>0                      HQ 1410000H  95          1978</t>
        </is>
      </c>
      <c r="D853" t="inlineStr">
        <is>
          <t>A history of women in America / by Carol Hymowitz and Michaele Weissman ; in cooperation with the Anti-Defamation League of B'nai B'rith.</t>
        </is>
      </c>
      <c r="F853" t="inlineStr">
        <is>
          <t>No</t>
        </is>
      </c>
      <c r="G853" t="inlineStr">
        <is>
          <t>1</t>
        </is>
      </c>
      <c r="H853" t="inlineStr">
        <is>
          <t>No</t>
        </is>
      </c>
      <c r="I853" t="inlineStr">
        <is>
          <t>No</t>
        </is>
      </c>
      <c r="J853" t="inlineStr">
        <is>
          <t>0</t>
        </is>
      </c>
      <c r="K853" t="inlineStr">
        <is>
          <t>Hymowitz, Carol.</t>
        </is>
      </c>
      <c r="M853" t="inlineStr">
        <is>
          <t>1978</t>
        </is>
      </c>
      <c r="O853" t="inlineStr">
        <is>
          <t>eng</t>
        </is>
      </c>
      <c r="P853" t="inlineStr">
        <is>
          <t>nyu</t>
        </is>
      </c>
      <c r="R853" t="inlineStr">
        <is>
          <t xml:space="preserve">HQ </t>
        </is>
      </c>
      <c r="S853" t="n">
        <v>3</v>
      </c>
      <c r="T853" t="n">
        <v>3</v>
      </c>
      <c r="U853" t="inlineStr">
        <is>
          <t>1996-06-27</t>
        </is>
      </c>
      <c r="V853" t="inlineStr">
        <is>
          <t>1996-06-27</t>
        </is>
      </c>
      <c r="W853" t="inlineStr">
        <is>
          <t>1995-12-06</t>
        </is>
      </c>
      <c r="X853" t="inlineStr">
        <is>
          <t>1995-12-06</t>
        </is>
      </c>
      <c r="Y853" t="n">
        <v>986</v>
      </c>
      <c r="Z853" t="n">
        <v>923</v>
      </c>
      <c r="AA853" t="n">
        <v>1139</v>
      </c>
      <c r="AB853" t="n">
        <v>6</v>
      </c>
      <c r="AC853" t="n">
        <v>6</v>
      </c>
      <c r="AD853" t="n">
        <v>20</v>
      </c>
      <c r="AE853" t="n">
        <v>25</v>
      </c>
      <c r="AF853" t="n">
        <v>12</v>
      </c>
      <c r="AG853" t="n">
        <v>14</v>
      </c>
      <c r="AH853" t="n">
        <v>3</v>
      </c>
      <c r="AI853" t="n">
        <v>4</v>
      </c>
      <c r="AJ853" t="n">
        <v>10</v>
      </c>
      <c r="AK853" t="n">
        <v>14</v>
      </c>
      <c r="AL853" t="n">
        <v>2</v>
      </c>
      <c r="AM853" t="n">
        <v>2</v>
      </c>
      <c r="AN853" t="n">
        <v>0</v>
      </c>
      <c r="AO853" t="n">
        <v>0</v>
      </c>
      <c r="AP853" t="inlineStr">
        <is>
          <t>No</t>
        </is>
      </c>
      <c r="AQ853" t="inlineStr">
        <is>
          <t>Yes</t>
        </is>
      </c>
      <c r="AR853">
        <f>HYPERLINK("http://catalog.hathitrust.org/Record/000085238","HathiTrust Record")</f>
        <v/>
      </c>
      <c r="AS853">
        <f>HYPERLINK("https://creighton-primo.hosted.exlibrisgroup.com/primo-explore/search?tab=default_tab&amp;search_scope=EVERYTHING&amp;vid=01CRU&amp;lang=en_US&amp;offset=0&amp;query=any,contains,991002575259702656","Catalog Record")</f>
        <v/>
      </c>
      <c r="AT853">
        <f>HYPERLINK("http://www.worldcat.org/oclc/4633492","WorldCat Record")</f>
        <v/>
      </c>
      <c r="AU853" t="inlineStr">
        <is>
          <t>6828872:eng</t>
        </is>
      </c>
      <c r="AV853" t="inlineStr">
        <is>
          <t>4633492</t>
        </is>
      </c>
      <c r="AW853" t="inlineStr">
        <is>
          <t>991002575259702656</t>
        </is>
      </c>
      <c r="AX853" t="inlineStr">
        <is>
          <t>991002575259702656</t>
        </is>
      </c>
      <c r="AY853" t="inlineStr">
        <is>
          <t>2264573820002656</t>
        </is>
      </c>
      <c r="AZ853" t="inlineStr">
        <is>
          <t>BOOK</t>
        </is>
      </c>
      <c r="BB853" t="inlineStr">
        <is>
          <t>9780553269147</t>
        </is>
      </c>
      <c r="BC853" t="inlineStr">
        <is>
          <t>32285002108925</t>
        </is>
      </c>
      <c r="BD853" t="inlineStr">
        <is>
          <t>893323105</t>
        </is>
      </c>
    </row>
    <row r="854">
      <c r="A854" t="inlineStr">
        <is>
          <t>No</t>
        </is>
      </c>
      <c r="B854" t="inlineStr">
        <is>
          <t>HQ1410 .K444 1997, v...</t>
        </is>
      </c>
      <c r="C854" t="inlineStr">
        <is>
          <t>0                      HQ 1410000K  444         1997                                        v...</t>
        </is>
      </c>
      <c r="D854" t="inlineStr">
        <is>
          <t>Public women, public words : a documentary history of American feminism / edited by Dawn Keetley &amp; John Pettegrew.</t>
        </is>
      </c>
      <c r="E854" t="inlineStr">
        <is>
          <t>V. 2</t>
        </is>
      </c>
      <c r="F854" t="inlineStr">
        <is>
          <t>Yes</t>
        </is>
      </c>
      <c r="G854" t="inlineStr">
        <is>
          <t>1</t>
        </is>
      </c>
      <c r="H854" t="inlineStr">
        <is>
          <t>No</t>
        </is>
      </c>
      <c r="I854" t="inlineStr">
        <is>
          <t>No</t>
        </is>
      </c>
      <c r="J854" t="inlineStr">
        <is>
          <t>0</t>
        </is>
      </c>
      <c r="L854" t="inlineStr">
        <is>
          <t>Madison, Wis. : Madison House, 1997-</t>
        </is>
      </c>
      <c r="M854" t="inlineStr">
        <is>
          <t>1997</t>
        </is>
      </c>
      <c r="O854" t="inlineStr">
        <is>
          <t>eng</t>
        </is>
      </c>
      <c r="P854" t="inlineStr">
        <is>
          <t>wiu</t>
        </is>
      </c>
      <c r="R854" t="inlineStr">
        <is>
          <t xml:space="preserve">HQ </t>
        </is>
      </c>
      <c r="S854" t="n">
        <v>0</v>
      </c>
      <c r="T854" t="n">
        <v>2</v>
      </c>
      <c r="V854" t="inlineStr">
        <is>
          <t>2009-11-17</t>
        </is>
      </c>
      <c r="W854" t="inlineStr">
        <is>
          <t>2005-10-20</t>
        </is>
      </c>
      <c r="X854" t="inlineStr">
        <is>
          <t>2005-11-21</t>
        </is>
      </c>
      <c r="Y854" t="n">
        <v>776</v>
      </c>
      <c r="Z854" t="n">
        <v>715</v>
      </c>
      <c r="AA854" t="n">
        <v>724</v>
      </c>
      <c r="AB854" t="n">
        <v>6</v>
      </c>
      <c r="AC854" t="n">
        <v>6</v>
      </c>
      <c r="AD854" t="n">
        <v>39</v>
      </c>
      <c r="AE854" t="n">
        <v>39</v>
      </c>
      <c r="AF854" t="n">
        <v>16</v>
      </c>
      <c r="AG854" t="n">
        <v>16</v>
      </c>
      <c r="AH854" t="n">
        <v>7</v>
      </c>
      <c r="AI854" t="n">
        <v>7</v>
      </c>
      <c r="AJ854" t="n">
        <v>18</v>
      </c>
      <c r="AK854" t="n">
        <v>18</v>
      </c>
      <c r="AL854" t="n">
        <v>4</v>
      </c>
      <c r="AM854" t="n">
        <v>4</v>
      </c>
      <c r="AN854" t="n">
        <v>3</v>
      </c>
      <c r="AO854" t="n">
        <v>3</v>
      </c>
      <c r="AP854" t="inlineStr">
        <is>
          <t>No</t>
        </is>
      </c>
      <c r="AQ854" t="inlineStr">
        <is>
          <t>Yes</t>
        </is>
      </c>
      <c r="AR854">
        <f>HYPERLINK("http://catalog.hathitrust.org/Record/003154324","HathiTrust Record")</f>
        <v/>
      </c>
      <c r="AS854">
        <f>HYPERLINK("https://creighton-primo.hosted.exlibrisgroup.com/primo-explore/search?tab=default_tab&amp;search_scope=EVERYTHING&amp;vid=01CRU&amp;lang=en_US&amp;offset=0&amp;query=any,contains,991002767579702656","Catalog Record")</f>
        <v/>
      </c>
      <c r="AT854">
        <f>HYPERLINK("http://www.worldcat.org/oclc/36315922","WorldCat Record")</f>
        <v/>
      </c>
      <c r="AU854" t="inlineStr">
        <is>
          <t>4202909843:eng</t>
        </is>
      </c>
      <c r="AV854" t="inlineStr">
        <is>
          <t>36315922</t>
        </is>
      </c>
      <c r="AW854" t="inlineStr">
        <is>
          <t>991002767579702656</t>
        </is>
      </c>
      <c r="AX854" t="inlineStr">
        <is>
          <t>991002767579702656</t>
        </is>
      </c>
      <c r="AY854" t="inlineStr">
        <is>
          <t>2264974770002656</t>
        </is>
      </c>
      <c r="AZ854" t="inlineStr">
        <is>
          <t>BOOK</t>
        </is>
      </c>
      <c r="BB854" t="inlineStr">
        <is>
          <t>9780945612445</t>
        </is>
      </c>
      <c r="BC854" t="inlineStr">
        <is>
          <t>32285004936307</t>
        </is>
      </c>
      <c r="BD854" t="inlineStr">
        <is>
          <t>893805013</t>
        </is>
      </c>
    </row>
    <row r="855">
      <c r="A855" t="inlineStr">
        <is>
          <t>No</t>
        </is>
      </c>
      <c r="B855" t="inlineStr">
        <is>
          <t>HQ1410 .K444 1997, v...</t>
        </is>
      </c>
      <c r="C855" t="inlineStr">
        <is>
          <t>0                      HQ 1410000K  444         1997                                        v...</t>
        </is>
      </c>
      <c r="D855" t="inlineStr">
        <is>
          <t>Public women, public words : a documentary history of American feminism / edited by Dawn Keetley &amp; John Pettegrew.</t>
        </is>
      </c>
      <c r="E855" t="inlineStr">
        <is>
          <t>V. 1</t>
        </is>
      </c>
      <c r="F855" t="inlineStr">
        <is>
          <t>Yes</t>
        </is>
      </c>
      <c r="G855" t="inlineStr">
        <is>
          <t>1</t>
        </is>
      </c>
      <c r="H855" t="inlineStr">
        <is>
          <t>No</t>
        </is>
      </c>
      <c r="I855" t="inlineStr">
        <is>
          <t>No</t>
        </is>
      </c>
      <c r="J855" t="inlineStr">
        <is>
          <t>0</t>
        </is>
      </c>
      <c r="L855" t="inlineStr">
        <is>
          <t>Madison, Wis. : Madison House, 1997-</t>
        </is>
      </c>
      <c r="M855" t="inlineStr">
        <is>
          <t>1997</t>
        </is>
      </c>
      <c r="O855" t="inlineStr">
        <is>
          <t>eng</t>
        </is>
      </c>
      <c r="P855" t="inlineStr">
        <is>
          <t>wiu</t>
        </is>
      </c>
      <c r="R855" t="inlineStr">
        <is>
          <t xml:space="preserve">HQ </t>
        </is>
      </c>
      <c r="S855" t="n">
        <v>1</v>
      </c>
      <c r="T855" t="n">
        <v>2</v>
      </c>
      <c r="V855" t="inlineStr">
        <is>
          <t>2009-11-17</t>
        </is>
      </c>
      <c r="W855" t="inlineStr">
        <is>
          <t>1997-11-20</t>
        </is>
      </c>
      <c r="X855" t="inlineStr">
        <is>
          <t>2005-11-21</t>
        </is>
      </c>
      <c r="Y855" t="n">
        <v>776</v>
      </c>
      <c r="Z855" t="n">
        <v>715</v>
      </c>
      <c r="AA855" t="n">
        <v>724</v>
      </c>
      <c r="AB855" t="n">
        <v>6</v>
      </c>
      <c r="AC855" t="n">
        <v>6</v>
      </c>
      <c r="AD855" t="n">
        <v>39</v>
      </c>
      <c r="AE855" t="n">
        <v>39</v>
      </c>
      <c r="AF855" t="n">
        <v>16</v>
      </c>
      <c r="AG855" t="n">
        <v>16</v>
      </c>
      <c r="AH855" t="n">
        <v>7</v>
      </c>
      <c r="AI855" t="n">
        <v>7</v>
      </c>
      <c r="AJ855" t="n">
        <v>18</v>
      </c>
      <c r="AK855" t="n">
        <v>18</v>
      </c>
      <c r="AL855" t="n">
        <v>4</v>
      </c>
      <c r="AM855" t="n">
        <v>4</v>
      </c>
      <c r="AN855" t="n">
        <v>3</v>
      </c>
      <c r="AO855" t="n">
        <v>3</v>
      </c>
      <c r="AP855" t="inlineStr">
        <is>
          <t>No</t>
        </is>
      </c>
      <c r="AQ855" t="inlineStr">
        <is>
          <t>Yes</t>
        </is>
      </c>
      <c r="AR855">
        <f>HYPERLINK("http://catalog.hathitrust.org/Record/003154324","HathiTrust Record")</f>
        <v/>
      </c>
      <c r="AS855">
        <f>HYPERLINK("https://creighton-primo.hosted.exlibrisgroup.com/primo-explore/search?tab=default_tab&amp;search_scope=EVERYTHING&amp;vid=01CRU&amp;lang=en_US&amp;offset=0&amp;query=any,contains,991002767579702656","Catalog Record")</f>
        <v/>
      </c>
      <c r="AT855">
        <f>HYPERLINK("http://www.worldcat.org/oclc/36315922","WorldCat Record")</f>
        <v/>
      </c>
      <c r="AU855" t="inlineStr">
        <is>
          <t>4202909843:eng</t>
        </is>
      </c>
      <c r="AV855" t="inlineStr">
        <is>
          <t>36315922</t>
        </is>
      </c>
      <c r="AW855" t="inlineStr">
        <is>
          <t>991002767579702656</t>
        </is>
      </c>
      <c r="AX855" t="inlineStr">
        <is>
          <t>991002767579702656</t>
        </is>
      </c>
      <c r="AY855" t="inlineStr">
        <is>
          <t>2264974770002656</t>
        </is>
      </c>
      <c r="AZ855" t="inlineStr">
        <is>
          <t>BOOK</t>
        </is>
      </c>
      <c r="BB855" t="inlineStr">
        <is>
          <t>9780945612445</t>
        </is>
      </c>
      <c r="BC855" t="inlineStr">
        <is>
          <t>32285003272415</t>
        </is>
      </c>
      <c r="BD855" t="inlineStr">
        <is>
          <t>893805012</t>
        </is>
      </c>
    </row>
    <row r="856">
      <c r="A856" t="inlineStr">
        <is>
          <t>No</t>
        </is>
      </c>
      <c r="B856" t="inlineStr">
        <is>
          <t>HQ1410 .K444 1997, v...</t>
        </is>
      </c>
      <c r="C856" t="inlineStr">
        <is>
          <t>0                      HQ 1410000K  444         1997                                        v...</t>
        </is>
      </c>
      <c r="D856" t="inlineStr">
        <is>
          <t>Public women, public words : a documentary history of American feminism / edited by Dawn Keetley &amp; John Pettegrew.</t>
        </is>
      </c>
      <c r="E856" t="inlineStr">
        <is>
          <t>V. 3</t>
        </is>
      </c>
      <c r="F856" t="inlineStr">
        <is>
          <t>Yes</t>
        </is>
      </c>
      <c r="G856" t="inlineStr">
        <is>
          <t>1</t>
        </is>
      </c>
      <c r="H856" t="inlineStr">
        <is>
          <t>No</t>
        </is>
      </c>
      <c r="I856" t="inlineStr">
        <is>
          <t>No</t>
        </is>
      </c>
      <c r="J856" t="inlineStr">
        <is>
          <t>0</t>
        </is>
      </c>
      <c r="L856" t="inlineStr">
        <is>
          <t>Madison, Wis. : Madison House, 1997-</t>
        </is>
      </c>
      <c r="M856" t="inlineStr">
        <is>
          <t>1997</t>
        </is>
      </c>
      <c r="O856" t="inlineStr">
        <is>
          <t>eng</t>
        </is>
      </c>
      <c r="P856" t="inlineStr">
        <is>
          <t>wiu</t>
        </is>
      </c>
      <c r="R856" t="inlineStr">
        <is>
          <t xml:space="preserve">HQ </t>
        </is>
      </c>
      <c r="S856" t="n">
        <v>1</v>
      </c>
      <c r="T856" t="n">
        <v>2</v>
      </c>
      <c r="U856" t="inlineStr">
        <is>
          <t>2009-11-17</t>
        </is>
      </c>
      <c r="V856" t="inlineStr">
        <is>
          <t>2009-11-17</t>
        </is>
      </c>
      <c r="W856" t="inlineStr">
        <is>
          <t>2005-11-21</t>
        </is>
      </c>
      <c r="X856" t="inlineStr">
        <is>
          <t>2005-11-21</t>
        </is>
      </c>
      <c r="Y856" t="n">
        <v>776</v>
      </c>
      <c r="Z856" t="n">
        <v>715</v>
      </c>
      <c r="AA856" t="n">
        <v>724</v>
      </c>
      <c r="AB856" t="n">
        <v>6</v>
      </c>
      <c r="AC856" t="n">
        <v>6</v>
      </c>
      <c r="AD856" t="n">
        <v>39</v>
      </c>
      <c r="AE856" t="n">
        <v>39</v>
      </c>
      <c r="AF856" t="n">
        <v>16</v>
      </c>
      <c r="AG856" t="n">
        <v>16</v>
      </c>
      <c r="AH856" t="n">
        <v>7</v>
      </c>
      <c r="AI856" t="n">
        <v>7</v>
      </c>
      <c r="AJ856" t="n">
        <v>18</v>
      </c>
      <c r="AK856" t="n">
        <v>18</v>
      </c>
      <c r="AL856" t="n">
        <v>4</v>
      </c>
      <c r="AM856" t="n">
        <v>4</v>
      </c>
      <c r="AN856" t="n">
        <v>3</v>
      </c>
      <c r="AO856" t="n">
        <v>3</v>
      </c>
      <c r="AP856" t="inlineStr">
        <is>
          <t>No</t>
        </is>
      </c>
      <c r="AQ856" t="inlineStr">
        <is>
          <t>Yes</t>
        </is>
      </c>
      <c r="AR856">
        <f>HYPERLINK("http://catalog.hathitrust.org/Record/003154324","HathiTrust Record")</f>
        <v/>
      </c>
      <c r="AS856">
        <f>HYPERLINK("https://creighton-primo.hosted.exlibrisgroup.com/primo-explore/search?tab=default_tab&amp;search_scope=EVERYTHING&amp;vid=01CRU&amp;lang=en_US&amp;offset=0&amp;query=any,contains,991002767579702656","Catalog Record")</f>
        <v/>
      </c>
      <c r="AT856">
        <f>HYPERLINK("http://www.worldcat.org/oclc/36315922","WorldCat Record")</f>
        <v/>
      </c>
      <c r="AU856" t="inlineStr">
        <is>
          <t>4202909843:eng</t>
        </is>
      </c>
      <c r="AV856" t="inlineStr">
        <is>
          <t>36315922</t>
        </is>
      </c>
      <c r="AW856" t="inlineStr">
        <is>
          <t>991002767579702656</t>
        </is>
      </c>
      <c r="AX856" t="inlineStr">
        <is>
          <t>991002767579702656</t>
        </is>
      </c>
      <c r="AY856" t="inlineStr">
        <is>
          <t>2264974770002656</t>
        </is>
      </c>
      <c r="AZ856" t="inlineStr">
        <is>
          <t>BOOK</t>
        </is>
      </c>
      <c r="BB856" t="inlineStr">
        <is>
          <t>9780945612445</t>
        </is>
      </c>
      <c r="BC856" t="inlineStr">
        <is>
          <t>32285004936828</t>
        </is>
      </c>
      <c r="BD856" t="inlineStr">
        <is>
          <t>893792884</t>
        </is>
      </c>
    </row>
    <row r="857">
      <c r="A857" t="inlineStr">
        <is>
          <t>No</t>
        </is>
      </c>
      <c r="B857" t="inlineStr">
        <is>
          <t>HQ1410 .K73 1991</t>
        </is>
      </c>
      <c r="C857" t="inlineStr">
        <is>
          <t>0                      HQ 1410000K  73          1991</t>
        </is>
      </c>
      <c r="D857" t="inlineStr">
        <is>
          <t>Grandmothers, mothers, and daughters : oral histories of three generations of ethnic American women / Corinne Azen Krause.</t>
        </is>
      </c>
      <c r="F857" t="inlineStr">
        <is>
          <t>No</t>
        </is>
      </c>
      <c r="G857" t="inlineStr">
        <is>
          <t>1</t>
        </is>
      </c>
      <c r="H857" t="inlineStr">
        <is>
          <t>No</t>
        </is>
      </c>
      <c r="I857" t="inlineStr">
        <is>
          <t>No</t>
        </is>
      </c>
      <c r="J857" t="inlineStr">
        <is>
          <t>0</t>
        </is>
      </c>
      <c r="K857" t="inlineStr">
        <is>
          <t>Krause, Corinne Azen.</t>
        </is>
      </c>
      <c r="L857" t="inlineStr">
        <is>
          <t>Boston : Twayne Publishers, 1991.</t>
        </is>
      </c>
      <c r="M857" t="inlineStr">
        <is>
          <t>1991</t>
        </is>
      </c>
      <c r="O857" t="inlineStr">
        <is>
          <t>eng</t>
        </is>
      </c>
      <c r="P857" t="inlineStr">
        <is>
          <t>mau</t>
        </is>
      </c>
      <c r="Q857" t="inlineStr">
        <is>
          <t>Twayne's oral history series ; no. 6</t>
        </is>
      </c>
      <c r="R857" t="inlineStr">
        <is>
          <t xml:space="preserve">HQ </t>
        </is>
      </c>
      <c r="S857" t="n">
        <v>4</v>
      </c>
      <c r="T857" t="n">
        <v>4</v>
      </c>
      <c r="U857" t="inlineStr">
        <is>
          <t>1999-04-11</t>
        </is>
      </c>
      <c r="V857" t="inlineStr">
        <is>
          <t>1999-04-11</t>
        </is>
      </c>
      <c r="W857" t="inlineStr">
        <is>
          <t>1991-05-01</t>
        </is>
      </c>
      <c r="X857" t="inlineStr">
        <is>
          <t>1991-05-01</t>
        </is>
      </c>
      <c r="Y857" t="n">
        <v>650</v>
      </c>
      <c r="Z857" t="n">
        <v>610</v>
      </c>
      <c r="AA857" t="n">
        <v>628</v>
      </c>
      <c r="AB857" t="n">
        <v>3</v>
      </c>
      <c r="AC857" t="n">
        <v>4</v>
      </c>
      <c r="AD857" t="n">
        <v>23</v>
      </c>
      <c r="AE857" t="n">
        <v>24</v>
      </c>
      <c r="AF857" t="n">
        <v>9</v>
      </c>
      <c r="AG857" t="n">
        <v>10</v>
      </c>
      <c r="AH857" t="n">
        <v>5</v>
      </c>
      <c r="AI857" t="n">
        <v>5</v>
      </c>
      <c r="AJ857" t="n">
        <v>13</v>
      </c>
      <c r="AK857" t="n">
        <v>13</v>
      </c>
      <c r="AL857" t="n">
        <v>1</v>
      </c>
      <c r="AM857" t="n">
        <v>1</v>
      </c>
      <c r="AN857" t="n">
        <v>0</v>
      </c>
      <c r="AO857" t="n">
        <v>0</v>
      </c>
      <c r="AP857" t="inlineStr">
        <is>
          <t>No</t>
        </is>
      </c>
      <c r="AQ857" t="inlineStr">
        <is>
          <t>Yes</t>
        </is>
      </c>
      <c r="AR857">
        <f>HYPERLINK("http://catalog.hathitrust.org/Record/002487461","HathiTrust Record")</f>
        <v/>
      </c>
      <c r="AS857">
        <f>HYPERLINK("https://creighton-primo.hosted.exlibrisgroup.com/primo-explore/search?tab=default_tab&amp;search_scope=EVERYTHING&amp;vid=01CRU&amp;lang=en_US&amp;offset=0&amp;query=any,contains,991001765659702656","Catalog Record")</f>
        <v/>
      </c>
      <c r="AT857">
        <f>HYPERLINK("http://www.worldcat.org/oclc/22308447","WorldCat Record")</f>
        <v/>
      </c>
      <c r="AU857" t="inlineStr">
        <is>
          <t>23985633:eng</t>
        </is>
      </c>
      <c r="AV857" t="inlineStr">
        <is>
          <t>22308447</t>
        </is>
      </c>
      <c r="AW857" t="inlineStr">
        <is>
          <t>991001765659702656</t>
        </is>
      </c>
      <c r="AX857" t="inlineStr">
        <is>
          <t>991001765659702656</t>
        </is>
      </c>
      <c r="AY857" t="inlineStr">
        <is>
          <t>2259034950002656</t>
        </is>
      </c>
      <c r="AZ857" t="inlineStr">
        <is>
          <t>BOOK</t>
        </is>
      </c>
      <c r="BB857" t="inlineStr">
        <is>
          <t>9780805791051</t>
        </is>
      </c>
      <c r="BC857" t="inlineStr">
        <is>
          <t>32285000570993</t>
        </is>
      </c>
      <c r="BD857" t="inlineStr">
        <is>
          <t>893226110</t>
        </is>
      </c>
    </row>
    <row r="858">
      <c r="A858" t="inlineStr">
        <is>
          <t>No</t>
        </is>
      </c>
      <c r="B858" t="inlineStr">
        <is>
          <t>HQ1410 .L39 1977</t>
        </is>
      </c>
      <c r="C858" t="inlineStr">
        <is>
          <t>0                      HQ 1410000L  39          1977</t>
        </is>
      </c>
      <c r="D858" t="inlineStr">
        <is>
          <t>Let them speak for themselves : women in the American West, 1849-1900 / edited and with an introd. by Christiane Fischer.</t>
        </is>
      </c>
      <c r="F858" t="inlineStr">
        <is>
          <t>No</t>
        </is>
      </c>
      <c r="G858" t="inlineStr">
        <is>
          <t>1</t>
        </is>
      </c>
      <c r="H858" t="inlineStr">
        <is>
          <t>No</t>
        </is>
      </c>
      <c r="I858" t="inlineStr">
        <is>
          <t>No</t>
        </is>
      </c>
      <c r="J858" t="inlineStr">
        <is>
          <t>0</t>
        </is>
      </c>
      <c r="L858" t="inlineStr">
        <is>
          <t>Hamden, Conn. : Archon Books, 1977.</t>
        </is>
      </c>
      <c r="M858" t="inlineStr">
        <is>
          <t>1977</t>
        </is>
      </c>
      <c r="O858" t="inlineStr">
        <is>
          <t>eng</t>
        </is>
      </c>
      <c r="P858" t="inlineStr">
        <is>
          <t>ctu</t>
        </is>
      </c>
      <c r="R858" t="inlineStr">
        <is>
          <t xml:space="preserve">HQ </t>
        </is>
      </c>
      <c r="S858" t="n">
        <v>12</v>
      </c>
      <c r="T858" t="n">
        <v>12</v>
      </c>
      <c r="U858" t="inlineStr">
        <is>
          <t>2001-04-12</t>
        </is>
      </c>
      <c r="V858" t="inlineStr">
        <is>
          <t>2001-04-12</t>
        </is>
      </c>
      <c r="W858" t="inlineStr">
        <is>
          <t>1990-07-05</t>
        </is>
      </c>
      <c r="X858" t="inlineStr">
        <is>
          <t>1990-07-05</t>
        </is>
      </c>
      <c r="Y858" t="n">
        <v>981</v>
      </c>
      <c r="Z858" t="n">
        <v>935</v>
      </c>
      <c r="AA858" t="n">
        <v>1095</v>
      </c>
      <c r="AB858" t="n">
        <v>6</v>
      </c>
      <c r="AC858" t="n">
        <v>7</v>
      </c>
      <c r="AD858" t="n">
        <v>26</v>
      </c>
      <c r="AE858" t="n">
        <v>32</v>
      </c>
      <c r="AF858" t="n">
        <v>10</v>
      </c>
      <c r="AG858" t="n">
        <v>13</v>
      </c>
      <c r="AH858" t="n">
        <v>8</v>
      </c>
      <c r="AI858" t="n">
        <v>10</v>
      </c>
      <c r="AJ858" t="n">
        <v>13</v>
      </c>
      <c r="AK858" t="n">
        <v>14</v>
      </c>
      <c r="AL858" t="n">
        <v>3</v>
      </c>
      <c r="AM858" t="n">
        <v>4</v>
      </c>
      <c r="AN858" t="n">
        <v>0</v>
      </c>
      <c r="AO858" t="n">
        <v>0</v>
      </c>
      <c r="AP858" t="inlineStr">
        <is>
          <t>No</t>
        </is>
      </c>
      <c r="AQ858" t="inlineStr">
        <is>
          <t>Yes</t>
        </is>
      </c>
      <c r="AR858">
        <f>HYPERLINK("http://catalog.hathitrust.org/Record/004399658","HathiTrust Record")</f>
        <v/>
      </c>
      <c r="AS858">
        <f>HYPERLINK("https://creighton-primo.hosted.exlibrisgroup.com/primo-explore/search?tab=default_tab&amp;search_scope=EVERYTHING&amp;vid=01CRU&amp;lang=en_US&amp;offset=0&amp;query=any,contains,991004268229702656","Catalog Record")</f>
        <v/>
      </c>
      <c r="AT858">
        <f>HYPERLINK("http://www.worldcat.org/oclc/2873593","WorldCat Record")</f>
        <v/>
      </c>
      <c r="AU858" t="inlineStr">
        <is>
          <t>891611311:eng</t>
        </is>
      </c>
      <c r="AV858" t="inlineStr">
        <is>
          <t>2873593</t>
        </is>
      </c>
      <c r="AW858" t="inlineStr">
        <is>
          <t>991004268229702656</t>
        </is>
      </c>
      <c r="AX858" t="inlineStr">
        <is>
          <t>991004268229702656</t>
        </is>
      </c>
      <c r="AY858" t="inlineStr">
        <is>
          <t>2259381520002656</t>
        </is>
      </c>
      <c r="AZ858" t="inlineStr">
        <is>
          <t>BOOK</t>
        </is>
      </c>
      <c r="BB858" t="inlineStr">
        <is>
          <t>9780208016454</t>
        </is>
      </c>
      <c r="BC858" t="inlineStr">
        <is>
          <t>32285000222041</t>
        </is>
      </c>
      <c r="BD858" t="inlineStr">
        <is>
          <t>893235268</t>
        </is>
      </c>
    </row>
    <row r="859">
      <c r="A859" t="inlineStr">
        <is>
          <t>No</t>
        </is>
      </c>
      <c r="B859" t="inlineStr">
        <is>
          <t>HQ1410 .M34 2003</t>
        </is>
      </c>
      <c r="C859" t="inlineStr">
        <is>
          <t>0                      HQ 1410000M  34          2003</t>
        </is>
      </c>
      <c r="D859" t="inlineStr">
        <is>
          <t>Major problems in American women's history : documents and essays / edited by Mary Beth Norton, Ruth M. Alexander.</t>
        </is>
      </c>
      <c r="F859" t="inlineStr">
        <is>
          <t>No</t>
        </is>
      </c>
      <c r="G859" t="inlineStr">
        <is>
          <t>1</t>
        </is>
      </c>
      <c r="H859" t="inlineStr">
        <is>
          <t>No</t>
        </is>
      </c>
      <c r="I859" t="inlineStr">
        <is>
          <t>No</t>
        </is>
      </c>
      <c r="J859" t="inlineStr">
        <is>
          <t>0</t>
        </is>
      </c>
      <c r="L859" t="inlineStr">
        <is>
          <t>Boston : Houghton Mifflin, c2003.</t>
        </is>
      </c>
      <c r="M859" t="inlineStr">
        <is>
          <t>2003</t>
        </is>
      </c>
      <c r="N859" t="inlineStr">
        <is>
          <t>3rd ed.</t>
        </is>
      </c>
      <c r="O859" t="inlineStr">
        <is>
          <t>eng</t>
        </is>
      </c>
      <c r="P859" t="inlineStr">
        <is>
          <t>mau</t>
        </is>
      </c>
      <c r="Q859" t="inlineStr">
        <is>
          <t>Major problems in American history series</t>
        </is>
      </c>
      <c r="R859" t="inlineStr">
        <is>
          <t xml:space="preserve">HQ </t>
        </is>
      </c>
      <c r="S859" t="n">
        <v>6</v>
      </c>
      <c r="T859" t="n">
        <v>6</v>
      </c>
      <c r="U859" t="inlineStr">
        <is>
          <t>2006-04-23</t>
        </is>
      </c>
      <c r="V859" t="inlineStr">
        <is>
          <t>2006-04-23</t>
        </is>
      </c>
      <c r="W859" t="inlineStr">
        <is>
          <t>2003-12-11</t>
        </is>
      </c>
      <c r="X859" t="inlineStr">
        <is>
          <t>2003-12-11</t>
        </is>
      </c>
      <c r="Y859" t="n">
        <v>168</v>
      </c>
      <c r="Z859" t="n">
        <v>137</v>
      </c>
      <c r="AA859" t="n">
        <v>689</v>
      </c>
      <c r="AB859" t="n">
        <v>2</v>
      </c>
      <c r="AC859" t="n">
        <v>6</v>
      </c>
      <c r="AD859" t="n">
        <v>7</v>
      </c>
      <c r="AE859" t="n">
        <v>28</v>
      </c>
      <c r="AF859" t="n">
        <v>3</v>
      </c>
      <c r="AG859" t="n">
        <v>11</v>
      </c>
      <c r="AH859" t="n">
        <v>0</v>
      </c>
      <c r="AI859" t="n">
        <v>6</v>
      </c>
      <c r="AJ859" t="n">
        <v>5</v>
      </c>
      <c r="AK859" t="n">
        <v>16</v>
      </c>
      <c r="AL859" t="n">
        <v>0</v>
      </c>
      <c r="AM859" t="n">
        <v>3</v>
      </c>
      <c r="AN859" t="n">
        <v>0</v>
      </c>
      <c r="AO859" t="n">
        <v>0</v>
      </c>
      <c r="AP859" t="inlineStr">
        <is>
          <t>No</t>
        </is>
      </c>
      <c r="AQ859" t="inlineStr">
        <is>
          <t>Yes</t>
        </is>
      </c>
      <c r="AR859">
        <f>HYPERLINK("http://catalog.hathitrust.org/Record/007142998","HathiTrust Record")</f>
        <v/>
      </c>
      <c r="AS859">
        <f>HYPERLINK("https://creighton-primo.hosted.exlibrisgroup.com/primo-explore/search?tab=default_tab&amp;search_scope=EVERYTHING&amp;vid=01CRU&amp;lang=en_US&amp;offset=0&amp;query=any,contains,991004179219702656","Catalog Record")</f>
        <v/>
      </c>
      <c r="AT859">
        <f>HYPERLINK("http://www.worldcat.org/oclc/51395547","WorldCat Record")</f>
        <v/>
      </c>
      <c r="AU859" t="inlineStr">
        <is>
          <t>792853591:eng</t>
        </is>
      </c>
      <c r="AV859" t="inlineStr">
        <is>
          <t>51395547</t>
        </is>
      </c>
      <c r="AW859" t="inlineStr">
        <is>
          <t>991004179219702656</t>
        </is>
      </c>
      <c r="AX859" t="inlineStr">
        <is>
          <t>991004179219702656</t>
        </is>
      </c>
      <c r="AY859" t="inlineStr">
        <is>
          <t>2265011180002656</t>
        </is>
      </c>
      <c r="AZ859" t="inlineStr">
        <is>
          <t>BOOK</t>
        </is>
      </c>
      <c r="BB859" t="inlineStr">
        <is>
          <t>9780618122196</t>
        </is>
      </c>
      <c r="BC859" t="inlineStr">
        <is>
          <t>32285004846274</t>
        </is>
      </c>
      <c r="BD859" t="inlineStr">
        <is>
          <t>893337402</t>
        </is>
      </c>
    </row>
    <row r="860">
      <c r="A860" t="inlineStr">
        <is>
          <t>No</t>
        </is>
      </c>
      <c r="B860" t="inlineStr">
        <is>
          <t>HQ1410 .M365 2000</t>
        </is>
      </c>
      <c r="C860" t="inlineStr">
        <is>
          <t>0                      HQ 1410000M  365         2000</t>
        </is>
      </c>
      <c r="D860" t="inlineStr">
        <is>
          <t>True to her nature : changing advice to American women / Maxine L. Margolis.</t>
        </is>
      </c>
      <c r="F860" t="inlineStr">
        <is>
          <t>No</t>
        </is>
      </c>
      <c r="G860" t="inlineStr">
        <is>
          <t>1</t>
        </is>
      </c>
      <c r="H860" t="inlineStr">
        <is>
          <t>No</t>
        </is>
      </c>
      <c r="I860" t="inlineStr">
        <is>
          <t>No</t>
        </is>
      </c>
      <c r="J860" t="inlineStr">
        <is>
          <t>0</t>
        </is>
      </c>
      <c r="K860" t="inlineStr">
        <is>
          <t>Margolis, Maxine L., 1942-</t>
        </is>
      </c>
      <c r="L860" t="inlineStr">
        <is>
          <t>Prospect Heights, Ill. : Waveland Press, c2000.</t>
        </is>
      </c>
      <c r="M860" t="inlineStr">
        <is>
          <t>2000</t>
        </is>
      </c>
      <c r="O860" t="inlineStr">
        <is>
          <t>eng</t>
        </is>
      </c>
      <c r="P860" t="inlineStr">
        <is>
          <t>ilu</t>
        </is>
      </c>
      <c r="R860" t="inlineStr">
        <is>
          <t xml:space="preserve">HQ </t>
        </is>
      </c>
      <c r="S860" t="n">
        <v>8</v>
      </c>
      <c r="T860" t="n">
        <v>8</v>
      </c>
      <c r="U860" t="inlineStr">
        <is>
          <t>2007-11-29</t>
        </is>
      </c>
      <c r="V860" t="inlineStr">
        <is>
          <t>2007-11-29</t>
        </is>
      </c>
      <c r="W860" t="inlineStr">
        <is>
          <t>2001-01-15</t>
        </is>
      </c>
      <c r="X860" t="inlineStr">
        <is>
          <t>2001-01-15</t>
        </is>
      </c>
      <c r="Y860" t="n">
        <v>190</v>
      </c>
      <c r="Z860" t="n">
        <v>173</v>
      </c>
      <c r="AA860" t="n">
        <v>174</v>
      </c>
      <c r="AB860" t="n">
        <v>2</v>
      </c>
      <c r="AC860" t="n">
        <v>2</v>
      </c>
      <c r="AD860" t="n">
        <v>12</v>
      </c>
      <c r="AE860" t="n">
        <v>12</v>
      </c>
      <c r="AF860" t="n">
        <v>6</v>
      </c>
      <c r="AG860" t="n">
        <v>6</v>
      </c>
      <c r="AH860" t="n">
        <v>2</v>
      </c>
      <c r="AI860" t="n">
        <v>2</v>
      </c>
      <c r="AJ860" t="n">
        <v>7</v>
      </c>
      <c r="AK860" t="n">
        <v>7</v>
      </c>
      <c r="AL860" t="n">
        <v>1</v>
      </c>
      <c r="AM860" t="n">
        <v>1</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HYPERLINK("https://creighton-primo.hosted.exlibrisgroup.com/primo-explore/search?tab=default_tab&amp;search_scope=EVERYTHING&amp;vid=01CRU&amp;lang=en_US&amp;offset=0&amp;query=any,contains,991003345069702656","Catalog Record")</f>
        <v/>
      </c>
      <c r="AT860">
        <f>HYPERLINK("http://www.worldcat.org/oclc/44408338","WorldCat Record")</f>
        <v/>
      </c>
      <c r="AU860" t="inlineStr">
        <is>
          <t>56518:eng</t>
        </is>
      </c>
      <c r="AV860" t="inlineStr">
        <is>
          <t>44408338</t>
        </is>
      </c>
      <c r="AW860" t="inlineStr">
        <is>
          <t>991003345069702656</t>
        </is>
      </c>
      <c r="AX860" t="inlineStr">
        <is>
          <t>991003345069702656</t>
        </is>
      </c>
      <c r="AY860" t="inlineStr">
        <is>
          <t>2255571020002656</t>
        </is>
      </c>
      <c r="AZ860" t="inlineStr">
        <is>
          <t>BOOK</t>
        </is>
      </c>
      <c r="BB860" t="inlineStr">
        <is>
          <t>9781577661276</t>
        </is>
      </c>
      <c r="BC860" t="inlineStr">
        <is>
          <t>32285004283007</t>
        </is>
      </c>
      <c r="BD860" t="inlineStr">
        <is>
          <t>893531109</t>
        </is>
      </c>
    </row>
    <row r="861">
      <c r="A861" t="inlineStr">
        <is>
          <t>No</t>
        </is>
      </c>
      <c r="B861" t="inlineStr">
        <is>
          <t>HQ1410 .M37 1982</t>
        </is>
      </c>
      <c r="C861" t="inlineStr">
        <is>
          <t>0                      HQ 1410000M  37          1982</t>
        </is>
      </c>
      <c r="D861" t="inlineStr">
        <is>
          <t>An economic history of women in America : women's work, the sexual division of labor, and the development of capitalism / Julie A. Matthaei.</t>
        </is>
      </c>
      <c r="F861" t="inlineStr">
        <is>
          <t>No</t>
        </is>
      </c>
      <c r="G861" t="inlineStr">
        <is>
          <t>1</t>
        </is>
      </c>
      <c r="H861" t="inlineStr">
        <is>
          <t>No</t>
        </is>
      </c>
      <c r="I861" t="inlineStr">
        <is>
          <t>No</t>
        </is>
      </c>
      <c r="J861" t="inlineStr">
        <is>
          <t>0</t>
        </is>
      </c>
      <c r="K861" t="inlineStr">
        <is>
          <t>Matthaei, Julie A.</t>
        </is>
      </c>
      <c r="L861" t="inlineStr">
        <is>
          <t>New York : Schocken Books ; Brighton, Sussex : Harvester Press, 1982.</t>
        </is>
      </c>
      <c r="M861" t="inlineStr">
        <is>
          <t>1982</t>
        </is>
      </c>
      <c r="O861" t="inlineStr">
        <is>
          <t>eng</t>
        </is>
      </c>
      <c r="P861" t="inlineStr">
        <is>
          <t>nyu</t>
        </is>
      </c>
      <c r="R861" t="inlineStr">
        <is>
          <t xml:space="preserve">HQ </t>
        </is>
      </c>
      <c r="S861" t="n">
        <v>9</v>
      </c>
      <c r="T861" t="n">
        <v>9</v>
      </c>
      <c r="U861" t="inlineStr">
        <is>
          <t>1998-12-02</t>
        </is>
      </c>
      <c r="V861" t="inlineStr">
        <is>
          <t>1998-12-02</t>
        </is>
      </c>
      <c r="W861" t="inlineStr">
        <is>
          <t>1991-01-03</t>
        </is>
      </c>
      <c r="X861" t="inlineStr">
        <is>
          <t>1991-01-03</t>
        </is>
      </c>
      <c r="Y861" t="n">
        <v>1173</v>
      </c>
      <c r="Z861" t="n">
        <v>1015</v>
      </c>
      <c r="AA861" t="n">
        <v>1022</v>
      </c>
      <c r="AB861" t="n">
        <v>10</v>
      </c>
      <c r="AC861" t="n">
        <v>10</v>
      </c>
      <c r="AD861" t="n">
        <v>45</v>
      </c>
      <c r="AE861" t="n">
        <v>45</v>
      </c>
      <c r="AF861" t="n">
        <v>15</v>
      </c>
      <c r="AG861" t="n">
        <v>15</v>
      </c>
      <c r="AH861" t="n">
        <v>11</v>
      </c>
      <c r="AI861" t="n">
        <v>11</v>
      </c>
      <c r="AJ861" t="n">
        <v>22</v>
      </c>
      <c r="AK861" t="n">
        <v>22</v>
      </c>
      <c r="AL861" t="n">
        <v>8</v>
      </c>
      <c r="AM861" t="n">
        <v>8</v>
      </c>
      <c r="AN861" t="n">
        <v>0</v>
      </c>
      <c r="AO861" t="n">
        <v>0</v>
      </c>
      <c r="AP861" t="inlineStr">
        <is>
          <t>No</t>
        </is>
      </c>
      <c r="AQ861" t="inlineStr">
        <is>
          <t>Yes</t>
        </is>
      </c>
      <c r="AR861">
        <f>HYPERLINK("http://catalog.hathitrust.org/Record/000270215","HathiTrust Record")</f>
        <v/>
      </c>
      <c r="AS861">
        <f>HYPERLINK("https://creighton-primo.hosted.exlibrisgroup.com/primo-explore/search?tab=default_tab&amp;search_scope=EVERYTHING&amp;vid=01CRU&amp;lang=en_US&amp;offset=0&amp;query=any,contains,991005183479702656","Catalog Record")</f>
        <v/>
      </c>
      <c r="AT861">
        <f>HYPERLINK("http://www.worldcat.org/oclc/7947981","WorldCat Record")</f>
        <v/>
      </c>
      <c r="AU861" t="inlineStr">
        <is>
          <t>347683399:eng</t>
        </is>
      </c>
      <c r="AV861" t="inlineStr">
        <is>
          <t>7947981</t>
        </is>
      </c>
      <c r="AW861" t="inlineStr">
        <is>
          <t>991005183479702656</t>
        </is>
      </c>
      <c r="AX861" t="inlineStr">
        <is>
          <t>991005183479702656</t>
        </is>
      </c>
      <c r="AY861" t="inlineStr">
        <is>
          <t>2270247660002656</t>
        </is>
      </c>
      <c r="AZ861" t="inlineStr">
        <is>
          <t>BOOK</t>
        </is>
      </c>
      <c r="BB861" t="inlineStr">
        <is>
          <t>9780805207446</t>
        </is>
      </c>
      <c r="BC861" t="inlineStr">
        <is>
          <t>32285000406693</t>
        </is>
      </c>
      <c r="BD861" t="inlineStr">
        <is>
          <t>893412456</t>
        </is>
      </c>
    </row>
    <row r="862">
      <c r="A862" t="inlineStr">
        <is>
          <t>No</t>
        </is>
      </c>
      <c r="B862" t="inlineStr">
        <is>
          <t>HQ1410 .M38 1987</t>
        </is>
      </c>
      <c r="C862" t="inlineStr">
        <is>
          <t>0                      HQ 1410000M  38          1987</t>
        </is>
      </c>
      <c r="D862" t="inlineStr">
        <is>
          <t>"Just a housewife" : the rise and fall of domesticity in America / Glenna Matthews.</t>
        </is>
      </c>
      <c r="F862" t="inlineStr">
        <is>
          <t>No</t>
        </is>
      </c>
      <c r="G862" t="inlineStr">
        <is>
          <t>1</t>
        </is>
      </c>
      <c r="H862" t="inlineStr">
        <is>
          <t>No</t>
        </is>
      </c>
      <c r="I862" t="inlineStr">
        <is>
          <t>No</t>
        </is>
      </c>
      <c r="J862" t="inlineStr">
        <is>
          <t>0</t>
        </is>
      </c>
      <c r="K862" t="inlineStr">
        <is>
          <t>Matthews, Glenna.</t>
        </is>
      </c>
      <c r="L862" t="inlineStr">
        <is>
          <t>New York : Oxford University Press, 1987.</t>
        </is>
      </c>
      <c r="M862" t="inlineStr">
        <is>
          <t>1987</t>
        </is>
      </c>
      <c r="O862" t="inlineStr">
        <is>
          <t>eng</t>
        </is>
      </c>
      <c r="P862" t="inlineStr">
        <is>
          <t>nyu</t>
        </is>
      </c>
      <c r="R862" t="inlineStr">
        <is>
          <t xml:space="preserve">HQ </t>
        </is>
      </c>
      <c r="S862" t="n">
        <v>7</v>
      </c>
      <c r="T862" t="n">
        <v>7</v>
      </c>
      <c r="U862" t="inlineStr">
        <is>
          <t>2006-03-13</t>
        </is>
      </c>
      <c r="V862" t="inlineStr">
        <is>
          <t>2006-03-13</t>
        </is>
      </c>
      <c r="W862" t="inlineStr">
        <is>
          <t>1990-07-05</t>
        </is>
      </c>
      <c r="X862" t="inlineStr">
        <is>
          <t>1990-07-05</t>
        </is>
      </c>
      <c r="Y862" t="n">
        <v>1495</v>
      </c>
      <c r="Z862" t="n">
        <v>1323</v>
      </c>
      <c r="AA862" t="n">
        <v>1609</v>
      </c>
      <c r="AB862" t="n">
        <v>7</v>
      </c>
      <c r="AC862" t="n">
        <v>11</v>
      </c>
      <c r="AD862" t="n">
        <v>36</v>
      </c>
      <c r="AE862" t="n">
        <v>50</v>
      </c>
      <c r="AF862" t="n">
        <v>13</v>
      </c>
      <c r="AG862" t="n">
        <v>19</v>
      </c>
      <c r="AH862" t="n">
        <v>8</v>
      </c>
      <c r="AI862" t="n">
        <v>10</v>
      </c>
      <c r="AJ862" t="n">
        <v>19</v>
      </c>
      <c r="AK862" t="n">
        <v>22</v>
      </c>
      <c r="AL862" t="n">
        <v>4</v>
      </c>
      <c r="AM862" t="n">
        <v>8</v>
      </c>
      <c r="AN862" t="n">
        <v>1</v>
      </c>
      <c r="AO862" t="n">
        <v>2</v>
      </c>
      <c r="AP862" t="inlineStr">
        <is>
          <t>No</t>
        </is>
      </c>
      <c r="AQ862" t="inlineStr">
        <is>
          <t>Yes</t>
        </is>
      </c>
      <c r="AR862">
        <f>HYPERLINK("http://catalog.hathitrust.org/Record/000838995","HathiTrust Record")</f>
        <v/>
      </c>
      <c r="AS862">
        <f>HYPERLINK("https://creighton-primo.hosted.exlibrisgroup.com/primo-explore/search?tab=default_tab&amp;search_scope=EVERYTHING&amp;vid=01CRU&amp;lang=en_US&amp;offset=0&amp;query=any,contains,991000992949702656","Catalog Record")</f>
        <v/>
      </c>
      <c r="AT862">
        <f>HYPERLINK("http://www.worldcat.org/oclc/15109150","WorldCat Record")</f>
        <v/>
      </c>
      <c r="AU862" t="inlineStr">
        <is>
          <t>793989752:eng</t>
        </is>
      </c>
      <c r="AV862" t="inlineStr">
        <is>
          <t>15109150</t>
        </is>
      </c>
      <c r="AW862" t="inlineStr">
        <is>
          <t>991000992949702656</t>
        </is>
      </c>
      <c r="AX862" t="inlineStr">
        <is>
          <t>991000992949702656</t>
        </is>
      </c>
      <c r="AY862" t="inlineStr">
        <is>
          <t>2270609830002656</t>
        </is>
      </c>
      <c r="AZ862" t="inlineStr">
        <is>
          <t>BOOK</t>
        </is>
      </c>
      <c r="BB862" t="inlineStr">
        <is>
          <t>9780195038590</t>
        </is>
      </c>
      <c r="BC862" t="inlineStr">
        <is>
          <t>32285000222066</t>
        </is>
      </c>
      <c r="BD862" t="inlineStr">
        <is>
          <t>893772203</t>
        </is>
      </c>
    </row>
    <row r="863">
      <c r="A863" t="inlineStr">
        <is>
          <t>No</t>
        </is>
      </c>
      <c r="B863" t="inlineStr">
        <is>
          <t>HQ1410 .M63 1989</t>
        </is>
      </c>
      <c r="C863" t="inlineStr">
        <is>
          <t>0                      HQ 1410000M  63          1989</t>
        </is>
      </c>
      <c r="D863" t="inlineStr">
        <is>
          <t>Modern American women : a documentary history / [compiled by] Susan Ware.</t>
        </is>
      </c>
      <c r="F863" t="inlineStr">
        <is>
          <t>No</t>
        </is>
      </c>
      <c r="G863" t="inlineStr">
        <is>
          <t>1</t>
        </is>
      </c>
      <c r="H863" t="inlineStr">
        <is>
          <t>No</t>
        </is>
      </c>
      <c r="I863" t="inlineStr">
        <is>
          <t>No</t>
        </is>
      </c>
      <c r="J863" t="inlineStr">
        <is>
          <t>0</t>
        </is>
      </c>
      <c r="L863" t="inlineStr">
        <is>
          <t>Chicago, Ill. : Dorsey Press, c1989.</t>
        </is>
      </c>
      <c r="M863" t="inlineStr">
        <is>
          <t>1969</t>
        </is>
      </c>
      <c r="O863" t="inlineStr">
        <is>
          <t>eng</t>
        </is>
      </c>
      <c r="P863" t="inlineStr">
        <is>
          <t>ilu</t>
        </is>
      </c>
      <c r="R863" t="inlineStr">
        <is>
          <t xml:space="preserve">HQ </t>
        </is>
      </c>
      <c r="S863" t="n">
        <v>15</v>
      </c>
      <c r="T863" t="n">
        <v>15</v>
      </c>
      <c r="U863" t="inlineStr">
        <is>
          <t>2005-09-11</t>
        </is>
      </c>
      <c r="V863" t="inlineStr">
        <is>
          <t>2005-09-11</t>
        </is>
      </c>
      <c r="W863" t="inlineStr">
        <is>
          <t>1992-04-28</t>
        </is>
      </c>
      <c r="X863" t="inlineStr">
        <is>
          <t>1992-04-28</t>
        </is>
      </c>
      <c r="Y863" t="n">
        <v>298</v>
      </c>
      <c r="Z863" t="n">
        <v>263</v>
      </c>
      <c r="AA863" t="n">
        <v>276</v>
      </c>
      <c r="AB863" t="n">
        <v>2</v>
      </c>
      <c r="AC863" t="n">
        <v>2</v>
      </c>
      <c r="AD863" t="n">
        <v>7</v>
      </c>
      <c r="AE863" t="n">
        <v>7</v>
      </c>
      <c r="AF863" t="n">
        <v>3</v>
      </c>
      <c r="AG863" t="n">
        <v>3</v>
      </c>
      <c r="AH863" t="n">
        <v>0</v>
      </c>
      <c r="AI863" t="n">
        <v>0</v>
      </c>
      <c r="AJ863" t="n">
        <v>3</v>
      </c>
      <c r="AK863" t="n">
        <v>3</v>
      </c>
      <c r="AL863" t="n">
        <v>1</v>
      </c>
      <c r="AM863" t="n">
        <v>1</v>
      </c>
      <c r="AN863" t="n">
        <v>0</v>
      </c>
      <c r="AO863" t="n">
        <v>0</v>
      </c>
      <c r="AP863" t="inlineStr">
        <is>
          <t>No</t>
        </is>
      </c>
      <c r="AQ863" t="inlineStr">
        <is>
          <t>Yes</t>
        </is>
      </c>
      <c r="AR863">
        <f>HYPERLINK("http://catalog.hathitrust.org/Record/001821073","HathiTrust Record")</f>
        <v/>
      </c>
      <c r="AS863">
        <f>HYPERLINK("https://creighton-primo.hosted.exlibrisgroup.com/primo-explore/search?tab=default_tab&amp;search_scope=EVERYTHING&amp;vid=01CRU&amp;lang=en_US&amp;offset=0&amp;query=any,contains,991001288489702656","Catalog Record")</f>
        <v/>
      </c>
      <c r="AT863">
        <f>HYPERLINK("http://www.worldcat.org/oclc/17981443","WorldCat Record")</f>
        <v/>
      </c>
      <c r="AU863" t="inlineStr">
        <is>
          <t>796380445:eng</t>
        </is>
      </c>
      <c r="AV863" t="inlineStr">
        <is>
          <t>17981443</t>
        </is>
      </c>
      <c r="AW863" t="inlineStr">
        <is>
          <t>991001288489702656</t>
        </is>
      </c>
      <c r="AX863" t="inlineStr">
        <is>
          <t>991001288489702656</t>
        </is>
      </c>
      <c r="AY863" t="inlineStr">
        <is>
          <t>2257386430002656</t>
        </is>
      </c>
      <c r="AZ863" t="inlineStr">
        <is>
          <t>BOOK</t>
        </is>
      </c>
      <c r="BB863" t="inlineStr">
        <is>
          <t>9780256071177</t>
        </is>
      </c>
      <c r="BC863" t="inlineStr">
        <is>
          <t>32285001090017</t>
        </is>
      </c>
      <c r="BD863" t="inlineStr">
        <is>
          <t>893231882</t>
        </is>
      </c>
    </row>
    <row r="864">
      <c r="A864" t="inlineStr">
        <is>
          <t>No</t>
        </is>
      </c>
      <c r="B864" t="inlineStr">
        <is>
          <t>HQ1410 .N475 1999</t>
        </is>
      </c>
      <c r="C864" t="inlineStr">
        <is>
          <t>0                      HQ 1410000N  475         1999</t>
        </is>
      </c>
      <c r="D864" t="inlineStr">
        <is>
          <t>White women's rights : the racial origins of feminism in the United States / Lousie Michele Newman.</t>
        </is>
      </c>
      <c r="F864" t="inlineStr">
        <is>
          <t>No</t>
        </is>
      </c>
      <c r="G864" t="inlineStr">
        <is>
          <t>1</t>
        </is>
      </c>
      <c r="H864" t="inlineStr">
        <is>
          <t>No</t>
        </is>
      </c>
      <c r="I864" t="inlineStr">
        <is>
          <t>No</t>
        </is>
      </c>
      <c r="J864" t="inlineStr">
        <is>
          <t>0</t>
        </is>
      </c>
      <c r="K864" t="inlineStr">
        <is>
          <t>Newman, Louise Michele.</t>
        </is>
      </c>
      <c r="L864" t="inlineStr">
        <is>
          <t>New York : Oxford University Press, 1999.</t>
        </is>
      </c>
      <c r="M864" t="inlineStr">
        <is>
          <t>1999</t>
        </is>
      </c>
      <c r="O864" t="inlineStr">
        <is>
          <t>eng</t>
        </is>
      </c>
      <c r="P864" t="inlineStr">
        <is>
          <t>nyu</t>
        </is>
      </c>
      <c r="R864" t="inlineStr">
        <is>
          <t xml:space="preserve">HQ </t>
        </is>
      </c>
      <c r="S864" t="n">
        <v>2</v>
      </c>
      <c r="T864" t="n">
        <v>2</v>
      </c>
      <c r="U864" t="inlineStr">
        <is>
          <t>2009-06-15</t>
        </is>
      </c>
      <c r="V864" t="inlineStr">
        <is>
          <t>2009-06-15</t>
        </is>
      </c>
      <c r="W864" t="inlineStr">
        <is>
          <t>1999-03-09</t>
        </is>
      </c>
      <c r="X864" t="inlineStr">
        <is>
          <t>1999-03-09</t>
        </is>
      </c>
      <c r="Y864" t="n">
        <v>792</v>
      </c>
      <c r="Z864" t="n">
        <v>679</v>
      </c>
      <c r="AA864" t="n">
        <v>952</v>
      </c>
      <c r="AB864" t="n">
        <v>4</v>
      </c>
      <c r="AC864" t="n">
        <v>8</v>
      </c>
      <c r="AD864" t="n">
        <v>36</v>
      </c>
      <c r="AE864" t="n">
        <v>46</v>
      </c>
      <c r="AF864" t="n">
        <v>13</v>
      </c>
      <c r="AG864" t="n">
        <v>16</v>
      </c>
      <c r="AH864" t="n">
        <v>7</v>
      </c>
      <c r="AI864" t="n">
        <v>9</v>
      </c>
      <c r="AJ864" t="n">
        <v>20</v>
      </c>
      <c r="AK864" t="n">
        <v>22</v>
      </c>
      <c r="AL864" t="n">
        <v>3</v>
      </c>
      <c r="AM864" t="n">
        <v>7</v>
      </c>
      <c r="AN864" t="n">
        <v>4</v>
      </c>
      <c r="AO864" t="n">
        <v>4</v>
      </c>
      <c r="AP864" t="inlineStr">
        <is>
          <t>No</t>
        </is>
      </c>
      <c r="AQ864" t="inlineStr">
        <is>
          <t>No</t>
        </is>
      </c>
      <c r="AS864">
        <f>HYPERLINK("https://creighton-primo.hosted.exlibrisgroup.com/primo-explore/search?tab=default_tab&amp;search_scope=EVERYTHING&amp;vid=01CRU&amp;lang=en_US&amp;offset=0&amp;query=any,contains,991002897299702656","Catalog Record")</f>
        <v/>
      </c>
      <c r="AT864">
        <f>HYPERLINK("http://www.worldcat.org/oclc/38180168","WorldCat Record")</f>
        <v/>
      </c>
      <c r="AU864" t="inlineStr">
        <is>
          <t>795117396:eng</t>
        </is>
      </c>
      <c r="AV864" t="inlineStr">
        <is>
          <t>38180168</t>
        </is>
      </c>
      <c r="AW864" t="inlineStr">
        <is>
          <t>991002897299702656</t>
        </is>
      </c>
      <c r="AX864" t="inlineStr">
        <is>
          <t>991002897299702656</t>
        </is>
      </c>
      <c r="AY864" t="inlineStr">
        <is>
          <t>2259593320002656</t>
        </is>
      </c>
      <c r="AZ864" t="inlineStr">
        <is>
          <t>BOOK</t>
        </is>
      </c>
      <c r="BB864" t="inlineStr">
        <is>
          <t>9780195086928</t>
        </is>
      </c>
      <c r="BC864" t="inlineStr">
        <is>
          <t>32285003529772</t>
        </is>
      </c>
      <c r="BD864" t="inlineStr">
        <is>
          <t>893616731</t>
        </is>
      </c>
    </row>
    <row r="865">
      <c r="A865" t="inlineStr">
        <is>
          <t>No</t>
        </is>
      </c>
      <c r="B865" t="inlineStr">
        <is>
          <t>HQ1410 .N6 2000</t>
        </is>
      </c>
      <c r="C865" t="inlineStr">
        <is>
          <t>0                      HQ 1410000N  6           2000</t>
        </is>
      </c>
      <c r="D865" t="inlineStr">
        <is>
          <t>No small courage : a history of women in the United States / edited by Nancy F. Cott.</t>
        </is>
      </c>
      <c r="F865" t="inlineStr">
        <is>
          <t>No</t>
        </is>
      </c>
      <c r="G865" t="inlineStr">
        <is>
          <t>1</t>
        </is>
      </c>
      <c r="H865" t="inlineStr">
        <is>
          <t>No</t>
        </is>
      </c>
      <c r="I865" t="inlineStr">
        <is>
          <t>No</t>
        </is>
      </c>
      <c r="J865" t="inlineStr">
        <is>
          <t>0</t>
        </is>
      </c>
      <c r="L865" t="inlineStr">
        <is>
          <t>Oxford [England] ; New York : Oxford University Press, c2000.</t>
        </is>
      </c>
      <c r="M865" t="inlineStr">
        <is>
          <t>2000</t>
        </is>
      </c>
      <c r="O865" t="inlineStr">
        <is>
          <t>eng</t>
        </is>
      </c>
      <c r="P865" t="inlineStr">
        <is>
          <t>enk</t>
        </is>
      </c>
      <c r="R865" t="inlineStr">
        <is>
          <t xml:space="preserve">HQ </t>
        </is>
      </c>
      <c r="S865" t="n">
        <v>1</v>
      </c>
      <c r="T865" t="n">
        <v>1</v>
      </c>
      <c r="U865" t="inlineStr">
        <is>
          <t>2001-01-04</t>
        </is>
      </c>
      <c r="V865" t="inlineStr">
        <is>
          <t>2001-01-04</t>
        </is>
      </c>
      <c r="W865" t="inlineStr">
        <is>
          <t>2001-01-04</t>
        </is>
      </c>
      <c r="X865" t="inlineStr">
        <is>
          <t>2001-01-04</t>
        </is>
      </c>
      <c r="Y865" t="n">
        <v>1410</v>
      </c>
      <c r="Z865" t="n">
        <v>1296</v>
      </c>
      <c r="AA865" t="n">
        <v>1423</v>
      </c>
      <c r="AB865" t="n">
        <v>7</v>
      </c>
      <c r="AC865" t="n">
        <v>8</v>
      </c>
      <c r="AD865" t="n">
        <v>38</v>
      </c>
      <c r="AE865" t="n">
        <v>39</v>
      </c>
      <c r="AF865" t="n">
        <v>17</v>
      </c>
      <c r="AG865" t="n">
        <v>17</v>
      </c>
      <c r="AH865" t="n">
        <v>9</v>
      </c>
      <c r="AI865" t="n">
        <v>9</v>
      </c>
      <c r="AJ865" t="n">
        <v>17</v>
      </c>
      <c r="AK865" t="n">
        <v>17</v>
      </c>
      <c r="AL865" t="n">
        <v>5</v>
      </c>
      <c r="AM865" t="n">
        <v>6</v>
      </c>
      <c r="AN865" t="n">
        <v>0</v>
      </c>
      <c r="AO865" t="n">
        <v>0</v>
      </c>
      <c r="AP865" t="inlineStr">
        <is>
          <t>No</t>
        </is>
      </c>
      <c r="AQ865" t="inlineStr">
        <is>
          <t>Yes</t>
        </is>
      </c>
      <c r="AR865">
        <f>HYPERLINK("http://catalog.hathitrust.org/Record/004129606","HathiTrust Record")</f>
        <v/>
      </c>
      <c r="AS865">
        <f>HYPERLINK("https://creighton-primo.hosted.exlibrisgroup.com/primo-explore/search?tab=default_tab&amp;search_scope=EVERYTHING&amp;vid=01CRU&amp;lang=en_US&amp;offset=0&amp;query=any,contains,991003358559702656","Catalog Record")</f>
        <v/>
      </c>
      <c r="AT865">
        <f>HYPERLINK("http://www.worldcat.org/oclc/43328919","WorldCat Record")</f>
        <v/>
      </c>
      <c r="AU865" t="inlineStr">
        <is>
          <t>837051813:eng</t>
        </is>
      </c>
      <c r="AV865" t="inlineStr">
        <is>
          <t>43328919</t>
        </is>
      </c>
      <c r="AW865" t="inlineStr">
        <is>
          <t>991003358559702656</t>
        </is>
      </c>
      <c r="AX865" t="inlineStr">
        <is>
          <t>991003358559702656</t>
        </is>
      </c>
      <c r="AY865" t="inlineStr">
        <is>
          <t>2256054660002656</t>
        </is>
      </c>
      <c r="AZ865" t="inlineStr">
        <is>
          <t>BOOK</t>
        </is>
      </c>
      <c r="BB865" t="inlineStr">
        <is>
          <t>9780195139464</t>
        </is>
      </c>
      <c r="BC865" t="inlineStr">
        <is>
          <t>32285004279658</t>
        </is>
      </c>
      <c r="BD865" t="inlineStr">
        <is>
          <t>893705153</t>
        </is>
      </c>
    </row>
    <row r="866">
      <c r="A866" t="inlineStr">
        <is>
          <t>No</t>
        </is>
      </c>
      <c r="B866" t="inlineStr">
        <is>
          <t>HQ1410 .O36 1986</t>
        </is>
      </c>
      <c r="C866" t="inlineStr">
        <is>
          <t>0                      HQ 1410000O  36          1986</t>
        </is>
      </c>
      <c r="D866" t="inlineStr">
        <is>
          <t>The great American housewife : from helpmate to wage earner, 1776-1986 / Annegret S. Ogden.</t>
        </is>
      </c>
      <c r="F866" t="inlineStr">
        <is>
          <t>No</t>
        </is>
      </c>
      <c r="G866" t="inlineStr">
        <is>
          <t>1</t>
        </is>
      </c>
      <c r="H866" t="inlineStr">
        <is>
          <t>No</t>
        </is>
      </c>
      <c r="I866" t="inlineStr">
        <is>
          <t>No</t>
        </is>
      </c>
      <c r="J866" t="inlineStr">
        <is>
          <t>0</t>
        </is>
      </c>
      <c r="K866" t="inlineStr">
        <is>
          <t>Ogden, Annegret S.</t>
        </is>
      </c>
      <c r="L866" t="inlineStr">
        <is>
          <t>Westport, Conn. : Greenwood Press, 1986.</t>
        </is>
      </c>
      <c r="M866" t="inlineStr">
        <is>
          <t>1986</t>
        </is>
      </c>
      <c r="O866" t="inlineStr">
        <is>
          <t>eng</t>
        </is>
      </c>
      <c r="P866" t="inlineStr">
        <is>
          <t>ctu</t>
        </is>
      </c>
      <c r="Q866" t="inlineStr">
        <is>
          <t>Contributions in women's studies, 0147-104X ; no. 61</t>
        </is>
      </c>
      <c r="R866" t="inlineStr">
        <is>
          <t xml:space="preserve">HQ </t>
        </is>
      </c>
      <c r="S866" t="n">
        <v>6</v>
      </c>
      <c r="T866" t="n">
        <v>6</v>
      </c>
      <c r="U866" t="inlineStr">
        <is>
          <t>2004-02-17</t>
        </is>
      </c>
      <c r="V866" t="inlineStr">
        <is>
          <t>2004-02-17</t>
        </is>
      </c>
      <c r="W866" t="inlineStr">
        <is>
          <t>1990-07-05</t>
        </is>
      </c>
      <c r="X866" t="inlineStr">
        <is>
          <t>1990-07-05</t>
        </is>
      </c>
      <c r="Y866" t="n">
        <v>676</v>
      </c>
      <c r="Z866" t="n">
        <v>597</v>
      </c>
      <c r="AA866" t="n">
        <v>599</v>
      </c>
      <c r="AB866" t="n">
        <v>5</v>
      </c>
      <c r="AC866" t="n">
        <v>5</v>
      </c>
      <c r="AD866" t="n">
        <v>21</v>
      </c>
      <c r="AE866" t="n">
        <v>21</v>
      </c>
      <c r="AF866" t="n">
        <v>7</v>
      </c>
      <c r="AG866" t="n">
        <v>7</v>
      </c>
      <c r="AH866" t="n">
        <v>5</v>
      </c>
      <c r="AI866" t="n">
        <v>5</v>
      </c>
      <c r="AJ866" t="n">
        <v>12</v>
      </c>
      <c r="AK866" t="n">
        <v>12</v>
      </c>
      <c r="AL866" t="n">
        <v>4</v>
      </c>
      <c r="AM866" t="n">
        <v>4</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HYPERLINK("https://creighton-primo.hosted.exlibrisgroup.com/primo-explore/search?tab=default_tab&amp;search_scope=EVERYTHING&amp;vid=01CRU&amp;lang=en_US&amp;offset=0&amp;query=any,contains,991000632399702656","Catalog Record")</f>
        <v/>
      </c>
      <c r="AT866">
        <f>HYPERLINK("http://www.worldcat.org/oclc/12053667","WorldCat Record")</f>
        <v/>
      </c>
      <c r="AU866" t="inlineStr">
        <is>
          <t>199114354:eng</t>
        </is>
      </c>
      <c r="AV866" t="inlineStr">
        <is>
          <t>12053667</t>
        </is>
      </c>
      <c r="AW866" t="inlineStr">
        <is>
          <t>991000632399702656</t>
        </is>
      </c>
      <c r="AX866" t="inlineStr">
        <is>
          <t>991000632399702656</t>
        </is>
      </c>
      <c r="AY866" t="inlineStr">
        <is>
          <t>2261264900002656</t>
        </is>
      </c>
      <c r="AZ866" t="inlineStr">
        <is>
          <t>BOOK</t>
        </is>
      </c>
      <c r="BB866" t="inlineStr">
        <is>
          <t>9780313247521</t>
        </is>
      </c>
      <c r="BC866" t="inlineStr">
        <is>
          <t>32285000221498</t>
        </is>
      </c>
      <c r="BD866" t="inlineStr">
        <is>
          <t>893315110</t>
        </is>
      </c>
    </row>
    <row r="867">
      <c r="A867" t="inlineStr">
        <is>
          <t>No</t>
        </is>
      </c>
      <c r="B867" t="inlineStr">
        <is>
          <t>HQ1410 .P66 1985</t>
        </is>
      </c>
      <c r="C867" t="inlineStr">
        <is>
          <t>0                      HQ 1410000P  66          1985</t>
        </is>
      </c>
      <c r="D867" t="inlineStr">
        <is>
          <t>Women, public opinion, and politics : the changing political attitudes of American women / Keith T. Poole, L. Harmon Zeigler.</t>
        </is>
      </c>
      <c r="F867" t="inlineStr">
        <is>
          <t>No</t>
        </is>
      </c>
      <c r="G867" t="inlineStr">
        <is>
          <t>1</t>
        </is>
      </c>
      <c r="H867" t="inlineStr">
        <is>
          <t>No</t>
        </is>
      </c>
      <c r="I867" t="inlineStr">
        <is>
          <t>No</t>
        </is>
      </c>
      <c r="J867" t="inlineStr">
        <is>
          <t>0</t>
        </is>
      </c>
      <c r="K867" t="inlineStr">
        <is>
          <t>Poole, Keith T.</t>
        </is>
      </c>
      <c r="L867" t="inlineStr">
        <is>
          <t>New York : Longman, c1985.</t>
        </is>
      </c>
      <c r="M867" t="inlineStr">
        <is>
          <t>1985</t>
        </is>
      </c>
      <c r="O867" t="inlineStr">
        <is>
          <t>eng</t>
        </is>
      </c>
      <c r="P867" t="inlineStr">
        <is>
          <t>nyu</t>
        </is>
      </c>
      <c r="R867" t="inlineStr">
        <is>
          <t xml:space="preserve">HQ </t>
        </is>
      </c>
      <c r="S867" t="n">
        <v>11</v>
      </c>
      <c r="T867" t="n">
        <v>11</v>
      </c>
      <c r="U867" t="inlineStr">
        <is>
          <t>2006-10-12</t>
        </is>
      </c>
      <c r="V867" t="inlineStr">
        <is>
          <t>2006-10-12</t>
        </is>
      </c>
      <c r="W867" t="inlineStr">
        <is>
          <t>1990-05-24</t>
        </is>
      </c>
      <c r="X867" t="inlineStr">
        <is>
          <t>1990-05-24</t>
        </is>
      </c>
      <c r="Y867" t="n">
        <v>414</v>
      </c>
      <c r="Z867" t="n">
        <v>370</v>
      </c>
      <c r="AA867" t="n">
        <v>372</v>
      </c>
      <c r="AB867" t="n">
        <v>4</v>
      </c>
      <c r="AC867" t="n">
        <v>4</v>
      </c>
      <c r="AD867" t="n">
        <v>20</v>
      </c>
      <c r="AE867" t="n">
        <v>20</v>
      </c>
      <c r="AF867" t="n">
        <v>7</v>
      </c>
      <c r="AG867" t="n">
        <v>7</v>
      </c>
      <c r="AH867" t="n">
        <v>4</v>
      </c>
      <c r="AI867" t="n">
        <v>4</v>
      </c>
      <c r="AJ867" t="n">
        <v>13</v>
      </c>
      <c r="AK867" t="n">
        <v>13</v>
      </c>
      <c r="AL867" t="n">
        <v>3</v>
      </c>
      <c r="AM867" t="n">
        <v>3</v>
      </c>
      <c r="AN867" t="n">
        <v>0</v>
      </c>
      <c r="AO867" t="n">
        <v>0</v>
      </c>
      <c r="AP867" t="inlineStr">
        <is>
          <t>No</t>
        </is>
      </c>
      <c r="AQ867" t="inlineStr">
        <is>
          <t>Yes</t>
        </is>
      </c>
      <c r="AR867">
        <f>HYPERLINK("http://catalog.hathitrust.org/Record/000364657","HathiTrust Record")</f>
        <v/>
      </c>
      <c r="AS867">
        <f>HYPERLINK("https://creighton-primo.hosted.exlibrisgroup.com/primo-explore/search?tab=default_tab&amp;search_scope=EVERYTHING&amp;vid=01CRU&amp;lang=en_US&amp;offset=0&amp;query=any,contains,991000408799702656","Catalog Record")</f>
        <v/>
      </c>
      <c r="AT867">
        <f>HYPERLINK("http://www.worldcat.org/oclc/10696767","WorldCat Record")</f>
        <v/>
      </c>
      <c r="AU867" t="inlineStr">
        <is>
          <t>197454575:eng</t>
        </is>
      </c>
      <c r="AV867" t="inlineStr">
        <is>
          <t>10696767</t>
        </is>
      </c>
      <c r="AW867" t="inlineStr">
        <is>
          <t>991000408799702656</t>
        </is>
      </c>
      <c r="AX867" t="inlineStr">
        <is>
          <t>991000408799702656</t>
        </is>
      </c>
      <c r="AY867" t="inlineStr">
        <is>
          <t>2269242960002656</t>
        </is>
      </c>
      <c r="AZ867" t="inlineStr">
        <is>
          <t>BOOK</t>
        </is>
      </c>
      <c r="BB867" t="inlineStr">
        <is>
          <t>9780582282735</t>
        </is>
      </c>
      <c r="BC867" t="inlineStr">
        <is>
          <t>32285000165430</t>
        </is>
      </c>
      <c r="BD867" t="inlineStr">
        <is>
          <t>893777905</t>
        </is>
      </c>
    </row>
    <row r="868">
      <c r="A868" t="inlineStr">
        <is>
          <t>No</t>
        </is>
      </c>
      <c r="B868" t="inlineStr">
        <is>
          <t>HQ1410 .P68 2000</t>
        </is>
      </c>
      <c r="C868" t="inlineStr">
        <is>
          <t>0                      HQ 1410000P  68          2000</t>
        </is>
      </c>
      <c r="D868" t="inlineStr">
        <is>
          <t>The Routledge historical atlas of women in America / Sandra Opdycke.</t>
        </is>
      </c>
      <c r="F868" t="inlineStr">
        <is>
          <t>No</t>
        </is>
      </c>
      <c r="G868" t="inlineStr">
        <is>
          <t>1</t>
        </is>
      </c>
      <c r="H868" t="inlineStr">
        <is>
          <t>No</t>
        </is>
      </c>
      <c r="I868" t="inlineStr">
        <is>
          <t>No</t>
        </is>
      </c>
      <c r="J868" t="inlineStr">
        <is>
          <t>0</t>
        </is>
      </c>
      <c r="K868" t="inlineStr">
        <is>
          <t>Opdycke, Sandra.</t>
        </is>
      </c>
      <c r="L868" t="inlineStr">
        <is>
          <t>New York : Routledge, 2000.</t>
        </is>
      </c>
      <c r="M868" t="inlineStr">
        <is>
          <t>2000</t>
        </is>
      </c>
      <c r="O868" t="inlineStr">
        <is>
          <t>eng</t>
        </is>
      </c>
      <c r="P868" t="inlineStr">
        <is>
          <t>nyu</t>
        </is>
      </c>
      <c r="Q868" t="inlineStr">
        <is>
          <t>Routledge atlases of American history</t>
        </is>
      </c>
      <c r="R868" t="inlineStr">
        <is>
          <t xml:space="preserve">HQ </t>
        </is>
      </c>
      <c r="S868" t="n">
        <v>2</v>
      </c>
      <c r="T868" t="n">
        <v>2</v>
      </c>
      <c r="U868" t="inlineStr">
        <is>
          <t>2001-01-25</t>
        </is>
      </c>
      <c r="V868" t="inlineStr">
        <is>
          <t>2001-01-25</t>
        </is>
      </c>
      <c r="W868" t="inlineStr">
        <is>
          <t>2001-01-25</t>
        </is>
      </c>
      <c r="X868" t="inlineStr">
        <is>
          <t>2001-01-25</t>
        </is>
      </c>
      <c r="Y868" t="n">
        <v>721</v>
      </c>
      <c r="Z868" t="n">
        <v>668</v>
      </c>
      <c r="AA868" t="n">
        <v>728</v>
      </c>
      <c r="AB868" t="n">
        <v>7</v>
      </c>
      <c r="AC868" t="n">
        <v>8</v>
      </c>
      <c r="AD868" t="n">
        <v>23</v>
      </c>
      <c r="AE868" t="n">
        <v>25</v>
      </c>
      <c r="AF868" t="n">
        <v>7</v>
      </c>
      <c r="AG868" t="n">
        <v>7</v>
      </c>
      <c r="AH868" t="n">
        <v>5</v>
      </c>
      <c r="AI868" t="n">
        <v>6</v>
      </c>
      <c r="AJ868" t="n">
        <v>12</v>
      </c>
      <c r="AK868" t="n">
        <v>13</v>
      </c>
      <c r="AL868" t="n">
        <v>4</v>
      </c>
      <c r="AM868" t="n">
        <v>5</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HYPERLINK("https://creighton-primo.hosted.exlibrisgroup.com/primo-explore/search?tab=default_tab&amp;search_scope=EVERYTHING&amp;vid=01CRU&amp;lang=en_US&amp;offset=0&amp;query=any,contains,991003359769702656","Catalog Record")</f>
        <v/>
      </c>
      <c r="AT868">
        <f>HYPERLINK("http://www.worldcat.org/oclc/42772072","WorldCat Record")</f>
        <v/>
      </c>
      <c r="AU868" t="inlineStr">
        <is>
          <t>28011164:eng</t>
        </is>
      </c>
      <c r="AV868" t="inlineStr">
        <is>
          <t>42772072</t>
        </is>
      </c>
      <c r="AW868" t="inlineStr">
        <is>
          <t>991003359769702656</t>
        </is>
      </c>
      <c r="AX868" t="inlineStr">
        <is>
          <t>991003359769702656</t>
        </is>
      </c>
      <c r="AY868" t="inlineStr">
        <is>
          <t>2271017010002656</t>
        </is>
      </c>
      <c r="AZ868" t="inlineStr">
        <is>
          <t>BOOK</t>
        </is>
      </c>
      <c r="BB868" t="inlineStr">
        <is>
          <t>9780415921329</t>
        </is>
      </c>
      <c r="BC868" t="inlineStr">
        <is>
          <t>32285004292479</t>
        </is>
      </c>
      <c r="BD868" t="inlineStr">
        <is>
          <t>893592458</t>
        </is>
      </c>
    </row>
    <row r="869">
      <c r="A869" t="inlineStr">
        <is>
          <t>No</t>
        </is>
      </c>
      <c r="B869" t="inlineStr">
        <is>
          <t>HQ1410 .R52</t>
        </is>
      </c>
      <c r="C869" t="inlineStr">
        <is>
          <t>0                      HQ 1410000R  52</t>
        </is>
      </c>
      <c r="D869" t="inlineStr">
        <is>
          <t>American women; a story of social change [by] Robert E. Riegel.</t>
        </is>
      </c>
      <c r="F869" t="inlineStr">
        <is>
          <t>No</t>
        </is>
      </c>
      <c r="G869" t="inlineStr">
        <is>
          <t>1</t>
        </is>
      </c>
      <c r="H869" t="inlineStr">
        <is>
          <t>No</t>
        </is>
      </c>
      <c r="I869" t="inlineStr">
        <is>
          <t>No</t>
        </is>
      </c>
      <c r="J869" t="inlineStr">
        <is>
          <t>0</t>
        </is>
      </c>
      <c r="K869" t="inlineStr">
        <is>
          <t>Riegel, Robert E., 1897-1983.</t>
        </is>
      </c>
      <c r="L869" t="inlineStr">
        <is>
          <t>Rutherford, Fairleigh Dickinson University Press [1970]</t>
        </is>
      </c>
      <c r="M869" t="inlineStr">
        <is>
          <t>1970</t>
        </is>
      </c>
      <c r="O869" t="inlineStr">
        <is>
          <t>eng</t>
        </is>
      </c>
      <c r="P869" t="inlineStr">
        <is>
          <t>nju</t>
        </is>
      </c>
      <c r="R869" t="inlineStr">
        <is>
          <t xml:space="preserve">HQ </t>
        </is>
      </c>
      <c r="S869" t="n">
        <v>1</v>
      </c>
      <c r="T869" t="n">
        <v>1</v>
      </c>
      <c r="U869" t="inlineStr">
        <is>
          <t>2001-11-15</t>
        </is>
      </c>
      <c r="V869" t="inlineStr">
        <is>
          <t>2001-11-15</t>
        </is>
      </c>
      <c r="W869" t="inlineStr">
        <is>
          <t>1997-08-15</t>
        </is>
      </c>
      <c r="X869" t="inlineStr">
        <is>
          <t>1997-08-15</t>
        </is>
      </c>
      <c r="Y869" t="n">
        <v>694</v>
      </c>
      <c r="Z869" t="n">
        <v>630</v>
      </c>
      <c r="AA869" t="n">
        <v>633</v>
      </c>
      <c r="AB869" t="n">
        <v>8</v>
      </c>
      <c r="AC869" t="n">
        <v>8</v>
      </c>
      <c r="AD869" t="n">
        <v>25</v>
      </c>
      <c r="AE869" t="n">
        <v>25</v>
      </c>
      <c r="AF869" t="n">
        <v>10</v>
      </c>
      <c r="AG869" t="n">
        <v>10</v>
      </c>
      <c r="AH869" t="n">
        <v>4</v>
      </c>
      <c r="AI869" t="n">
        <v>4</v>
      </c>
      <c r="AJ869" t="n">
        <v>8</v>
      </c>
      <c r="AK869" t="n">
        <v>8</v>
      </c>
      <c r="AL869" t="n">
        <v>6</v>
      </c>
      <c r="AM869" t="n">
        <v>6</v>
      </c>
      <c r="AN869" t="n">
        <v>1</v>
      </c>
      <c r="AO869" t="n">
        <v>1</v>
      </c>
      <c r="AP869" t="inlineStr">
        <is>
          <t>No</t>
        </is>
      </c>
      <c r="AQ869" t="inlineStr">
        <is>
          <t>Yes</t>
        </is>
      </c>
      <c r="AR869">
        <f>HYPERLINK("http://catalog.hathitrust.org/Record/001063675","HathiTrust Record")</f>
        <v/>
      </c>
      <c r="AS869">
        <f>HYPERLINK("https://creighton-primo.hosted.exlibrisgroup.com/primo-explore/search?tab=default_tab&amp;search_scope=EVERYTHING&amp;vid=01CRU&amp;lang=en_US&amp;offset=0&amp;query=any,contains,991000518909702656","Catalog Record")</f>
        <v/>
      </c>
      <c r="AT869">
        <f>HYPERLINK("http://www.worldcat.org/oclc/87287","WorldCat Record")</f>
        <v/>
      </c>
      <c r="AU869" t="inlineStr">
        <is>
          <t>3901107252:eng</t>
        </is>
      </c>
      <c r="AV869" t="inlineStr">
        <is>
          <t>87287</t>
        </is>
      </c>
      <c r="AW869" t="inlineStr">
        <is>
          <t>991000518909702656</t>
        </is>
      </c>
      <c r="AX869" t="inlineStr">
        <is>
          <t>991000518909702656</t>
        </is>
      </c>
      <c r="AY869" t="inlineStr">
        <is>
          <t>2268835410002656</t>
        </is>
      </c>
      <c r="AZ869" t="inlineStr">
        <is>
          <t>BOOK</t>
        </is>
      </c>
      <c r="BB869" t="inlineStr">
        <is>
          <t>9780838676158</t>
        </is>
      </c>
      <c r="BC869" t="inlineStr">
        <is>
          <t>32285003104238</t>
        </is>
      </c>
      <c r="BD869" t="inlineStr">
        <is>
          <t>893695901</t>
        </is>
      </c>
    </row>
    <row r="870">
      <c r="A870" t="inlineStr">
        <is>
          <t>No</t>
        </is>
      </c>
      <c r="B870" t="inlineStr">
        <is>
          <t>HQ1410 .R55 1986, v...</t>
        </is>
      </c>
      <c r="C870" t="inlineStr">
        <is>
          <t>0                      HQ 1410000R  55          1986                                        v...</t>
        </is>
      </c>
      <c r="D870" t="inlineStr">
        <is>
          <t>Inventing the American woman : a perspective on women's history / Glenda Riley.</t>
        </is>
      </c>
      <c r="E870" t="inlineStr">
        <is>
          <t>V.1</t>
        </is>
      </c>
      <c r="F870" t="inlineStr">
        <is>
          <t>Yes</t>
        </is>
      </c>
      <c r="G870" t="inlineStr">
        <is>
          <t>1</t>
        </is>
      </c>
      <c r="H870" t="inlineStr">
        <is>
          <t>No</t>
        </is>
      </c>
      <c r="I870" t="inlineStr">
        <is>
          <t>No</t>
        </is>
      </c>
      <c r="J870" t="inlineStr">
        <is>
          <t>0</t>
        </is>
      </c>
      <c r="K870" t="inlineStr">
        <is>
          <t>Riley, Glenda, 1938-</t>
        </is>
      </c>
      <c r="L870" t="inlineStr">
        <is>
          <t>Arlington Heights, Ill. : Harlan Davidson, c1986-</t>
        </is>
      </c>
      <c r="M870" t="inlineStr">
        <is>
          <t>1986</t>
        </is>
      </c>
      <c r="O870" t="inlineStr">
        <is>
          <t>eng</t>
        </is>
      </c>
      <c r="P870" t="inlineStr">
        <is>
          <t>ilu</t>
        </is>
      </c>
      <c r="R870" t="inlineStr">
        <is>
          <t xml:space="preserve">HQ </t>
        </is>
      </c>
      <c r="S870" t="n">
        <v>12</v>
      </c>
      <c r="T870" t="n">
        <v>19</v>
      </c>
      <c r="U870" t="inlineStr">
        <is>
          <t>2002-11-24</t>
        </is>
      </c>
      <c r="V870" t="inlineStr">
        <is>
          <t>2003-07-03</t>
        </is>
      </c>
      <c r="W870" t="inlineStr">
        <is>
          <t>1990-03-28</t>
        </is>
      </c>
      <c r="X870" t="inlineStr">
        <is>
          <t>1990-03-28</t>
        </is>
      </c>
      <c r="Y870" t="n">
        <v>316</v>
      </c>
      <c r="Z870" t="n">
        <v>291</v>
      </c>
      <c r="AA870" t="n">
        <v>591</v>
      </c>
      <c r="AB870" t="n">
        <v>6</v>
      </c>
      <c r="AC870" t="n">
        <v>8</v>
      </c>
      <c r="AD870" t="n">
        <v>16</v>
      </c>
      <c r="AE870" t="n">
        <v>27</v>
      </c>
      <c r="AF870" t="n">
        <v>5</v>
      </c>
      <c r="AG870" t="n">
        <v>8</v>
      </c>
      <c r="AH870" t="n">
        <v>4</v>
      </c>
      <c r="AI870" t="n">
        <v>6</v>
      </c>
      <c r="AJ870" t="n">
        <v>6</v>
      </c>
      <c r="AK870" t="n">
        <v>13</v>
      </c>
      <c r="AL870" t="n">
        <v>5</v>
      </c>
      <c r="AM870" t="n">
        <v>7</v>
      </c>
      <c r="AN870" t="n">
        <v>0</v>
      </c>
      <c r="AO870" t="n">
        <v>0</v>
      </c>
      <c r="AP870" t="inlineStr">
        <is>
          <t>No</t>
        </is>
      </c>
      <c r="AQ870" t="inlineStr">
        <is>
          <t>Yes</t>
        </is>
      </c>
      <c r="AR870">
        <f>HYPERLINK("http://catalog.hathitrust.org/Record/004399765","HathiTrust Record")</f>
        <v/>
      </c>
      <c r="AS870">
        <f>HYPERLINK("https://creighton-primo.hosted.exlibrisgroup.com/primo-explore/search?tab=default_tab&amp;search_scope=EVERYTHING&amp;vid=01CRU&amp;lang=en_US&amp;offset=0&amp;query=any,contains,991000707979702656","Catalog Record")</f>
        <v/>
      </c>
      <c r="AT870">
        <f>HYPERLINK("http://www.worldcat.org/oclc/12558602","WorldCat Record")</f>
        <v/>
      </c>
      <c r="AU870" t="inlineStr">
        <is>
          <t>4949226:eng</t>
        </is>
      </c>
      <c r="AV870" t="inlineStr">
        <is>
          <t>12558602</t>
        </is>
      </c>
      <c r="AW870" t="inlineStr">
        <is>
          <t>991000707979702656</t>
        </is>
      </c>
      <c r="AX870" t="inlineStr">
        <is>
          <t>991000707979702656</t>
        </is>
      </c>
      <c r="AY870" t="inlineStr">
        <is>
          <t>2257027440002656</t>
        </is>
      </c>
      <c r="AZ870" t="inlineStr">
        <is>
          <t>BOOK</t>
        </is>
      </c>
      <c r="BB870" t="inlineStr">
        <is>
          <t>9780882958385</t>
        </is>
      </c>
      <c r="BC870" t="inlineStr">
        <is>
          <t>32285000105840</t>
        </is>
      </c>
      <c r="BD870" t="inlineStr">
        <is>
          <t>893702362</t>
        </is>
      </c>
    </row>
    <row r="871">
      <c r="A871" t="inlineStr">
        <is>
          <t>No</t>
        </is>
      </c>
      <c r="B871" t="inlineStr">
        <is>
          <t>HQ1410 .R55 1986, v...</t>
        </is>
      </c>
      <c r="C871" t="inlineStr">
        <is>
          <t>0                      HQ 1410000R  55          1986                                        v...</t>
        </is>
      </c>
      <c r="D871" t="inlineStr">
        <is>
          <t>Inventing the American woman : a perspective on women's history / Glenda Riley.</t>
        </is>
      </c>
      <c r="E871" t="inlineStr">
        <is>
          <t>V.2</t>
        </is>
      </c>
      <c r="F871" t="inlineStr">
        <is>
          <t>Yes</t>
        </is>
      </c>
      <c r="G871" t="inlineStr">
        <is>
          <t>1</t>
        </is>
      </c>
      <c r="H871" t="inlineStr">
        <is>
          <t>No</t>
        </is>
      </c>
      <c r="I871" t="inlineStr">
        <is>
          <t>No</t>
        </is>
      </c>
      <c r="J871" t="inlineStr">
        <is>
          <t>0</t>
        </is>
      </c>
      <c r="K871" t="inlineStr">
        <is>
          <t>Riley, Glenda, 1938-</t>
        </is>
      </c>
      <c r="L871" t="inlineStr">
        <is>
          <t>Arlington Heights, Ill. : Harlan Davidson, c1986-</t>
        </is>
      </c>
      <c r="M871" t="inlineStr">
        <is>
          <t>1986</t>
        </is>
      </c>
      <c r="O871" t="inlineStr">
        <is>
          <t>eng</t>
        </is>
      </c>
      <c r="P871" t="inlineStr">
        <is>
          <t>ilu</t>
        </is>
      </c>
      <c r="R871" t="inlineStr">
        <is>
          <t xml:space="preserve">HQ </t>
        </is>
      </c>
      <c r="S871" t="n">
        <v>7</v>
      </c>
      <c r="T871" t="n">
        <v>19</v>
      </c>
      <c r="U871" t="inlineStr">
        <is>
          <t>2003-07-03</t>
        </is>
      </c>
      <c r="V871" t="inlineStr">
        <is>
          <t>2003-07-03</t>
        </is>
      </c>
      <c r="W871" t="inlineStr">
        <is>
          <t>1990-03-28</t>
        </is>
      </c>
      <c r="X871" t="inlineStr">
        <is>
          <t>1990-03-28</t>
        </is>
      </c>
      <c r="Y871" t="n">
        <v>316</v>
      </c>
      <c r="Z871" t="n">
        <v>291</v>
      </c>
      <c r="AA871" t="n">
        <v>591</v>
      </c>
      <c r="AB871" t="n">
        <v>6</v>
      </c>
      <c r="AC871" t="n">
        <v>8</v>
      </c>
      <c r="AD871" t="n">
        <v>16</v>
      </c>
      <c r="AE871" t="n">
        <v>27</v>
      </c>
      <c r="AF871" t="n">
        <v>5</v>
      </c>
      <c r="AG871" t="n">
        <v>8</v>
      </c>
      <c r="AH871" t="n">
        <v>4</v>
      </c>
      <c r="AI871" t="n">
        <v>6</v>
      </c>
      <c r="AJ871" t="n">
        <v>6</v>
      </c>
      <c r="AK871" t="n">
        <v>13</v>
      </c>
      <c r="AL871" t="n">
        <v>5</v>
      </c>
      <c r="AM871" t="n">
        <v>7</v>
      </c>
      <c r="AN871" t="n">
        <v>0</v>
      </c>
      <c r="AO871" t="n">
        <v>0</v>
      </c>
      <c r="AP871" t="inlineStr">
        <is>
          <t>No</t>
        </is>
      </c>
      <c r="AQ871" t="inlineStr">
        <is>
          <t>Yes</t>
        </is>
      </c>
      <c r="AR871">
        <f>HYPERLINK("http://catalog.hathitrust.org/Record/004399765","HathiTrust Record")</f>
        <v/>
      </c>
      <c r="AS871">
        <f>HYPERLINK("https://creighton-primo.hosted.exlibrisgroup.com/primo-explore/search?tab=default_tab&amp;search_scope=EVERYTHING&amp;vid=01CRU&amp;lang=en_US&amp;offset=0&amp;query=any,contains,991000707979702656","Catalog Record")</f>
        <v/>
      </c>
      <c r="AT871">
        <f>HYPERLINK("http://www.worldcat.org/oclc/12558602","WorldCat Record")</f>
        <v/>
      </c>
      <c r="AU871" t="inlineStr">
        <is>
          <t>4949226:eng</t>
        </is>
      </c>
      <c r="AV871" t="inlineStr">
        <is>
          <t>12558602</t>
        </is>
      </c>
      <c r="AW871" t="inlineStr">
        <is>
          <t>991000707979702656</t>
        </is>
      </c>
      <c r="AX871" t="inlineStr">
        <is>
          <t>991000707979702656</t>
        </is>
      </c>
      <c r="AY871" t="inlineStr">
        <is>
          <t>2257027440002656</t>
        </is>
      </c>
      <c r="AZ871" t="inlineStr">
        <is>
          <t>BOOK</t>
        </is>
      </c>
      <c r="BB871" t="inlineStr">
        <is>
          <t>9780882958385</t>
        </is>
      </c>
      <c r="BC871" t="inlineStr">
        <is>
          <t>32285000105857</t>
        </is>
      </c>
      <c r="BD871" t="inlineStr">
        <is>
          <t>893702361</t>
        </is>
      </c>
    </row>
    <row r="872">
      <c r="A872" t="inlineStr">
        <is>
          <t>No</t>
        </is>
      </c>
      <c r="B872" t="inlineStr">
        <is>
          <t>HQ1410 .S3</t>
        </is>
      </c>
      <c r="C872" t="inlineStr">
        <is>
          <t>0                      HQ 1410000S  3</t>
        </is>
      </c>
      <c r="D872" t="inlineStr">
        <is>
          <t>The American woman: who was she?</t>
        </is>
      </c>
      <c r="F872" t="inlineStr">
        <is>
          <t>No</t>
        </is>
      </c>
      <c r="G872" t="inlineStr">
        <is>
          <t>1</t>
        </is>
      </c>
      <c r="H872" t="inlineStr">
        <is>
          <t>No</t>
        </is>
      </c>
      <c r="I872" t="inlineStr">
        <is>
          <t>No</t>
        </is>
      </c>
      <c r="J872" t="inlineStr">
        <is>
          <t>0</t>
        </is>
      </c>
      <c r="K872" t="inlineStr">
        <is>
          <t>Scott, Anne Firor, 1921-2019 compiler.</t>
        </is>
      </c>
      <c r="L872" t="inlineStr">
        <is>
          <t>Englewood Cliffs, N.J., Prentice-Hall [1971]</t>
        </is>
      </c>
      <c r="M872" t="inlineStr">
        <is>
          <t>1971</t>
        </is>
      </c>
      <c r="O872" t="inlineStr">
        <is>
          <t>eng</t>
        </is>
      </c>
      <c r="P872" t="inlineStr">
        <is>
          <t>nju</t>
        </is>
      </c>
      <c r="Q872" t="inlineStr">
        <is>
          <t>A Spectrum book.</t>
        </is>
      </c>
      <c r="R872" t="inlineStr">
        <is>
          <t xml:space="preserve">HQ </t>
        </is>
      </c>
      <c r="S872" t="n">
        <v>4</v>
      </c>
      <c r="T872" t="n">
        <v>4</v>
      </c>
      <c r="U872" t="inlineStr">
        <is>
          <t>2005-03-21</t>
        </is>
      </c>
      <c r="V872" t="inlineStr">
        <is>
          <t>2005-03-21</t>
        </is>
      </c>
      <c r="W872" t="inlineStr">
        <is>
          <t>1997-08-15</t>
        </is>
      </c>
      <c r="X872" t="inlineStr">
        <is>
          <t>1997-08-15</t>
        </is>
      </c>
      <c r="Y872" t="n">
        <v>975</v>
      </c>
      <c r="Z872" t="n">
        <v>896</v>
      </c>
      <c r="AA872" t="n">
        <v>901</v>
      </c>
      <c r="AB872" t="n">
        <v>7</v>
      </c>
      <c r="AC872" t="n">
        <v>7</v>
      </c>
      <c r="AD872" t="n">
        <v>32</v>
      </c>
      <c r="AE872" t="n">
        <v>32</v>
      </c>
      <c r="AF872" t="n">
        <v>14</v>
      </c>
      <c r="AG872" t="n">
        <v>14</v>
      </c>
      <c r="AH872" t="n">
        <v>6</v>
      </c>
      <c r="AI872" t="n">
        <v>6</v>
      </c>
      <c r="AJ872" t="n">
        <v>16</v>
      </c>
      <c r="AK872" t="n">
        <v>16</v>
      </c>
      <c r="AL872" t="n">
        <v>4</v>
      </c>
      <c r="AM872" t="n">
        <v>4</v>
      </c>
      <c r="AN872" t="n">
        <v>1</v>
      </c>
      <c r="AO872" t="n">
        <v>1</v>
      </c>
      <c r="AP872" t="inlineStr">
        <is>
          <t>No</t>
        </is>
      </c>
      <c r="AQ872" t="inlineStr">
        <is>
          <t>Yes</t>
        </is>
      </c>
      <c r="AR872">
        <f>HYPERLINK("http://catalog.hathitrust.org/Record/001116406","HathiTrust Record")</f>
        <v/>
      </c>
      <c r="AS872">
        <f>HYPERLINK("https://creighton-primo.hosted.exlibrisgroup.com/primo-explore/search?tab=default_tab&amp;search_scope=EVERYTHING&amp;vid=01CRU&amp;lang=en_US&amp;offset=0&amp;query=any,contains,991000658379702656","Catalog Record")</f>
        <v/>
      </c>
      <c r="AT872">
        <f>HYPERLINK("http://www.worldcat.org/oclc/116512","WorldCat Record")</f>
        <v/>
      </c>
      <c r="AU872" t="inlineStr">
        <is>
          <t>374043555:eng</t>
        </is>
      </c>
      <c r="AV872" t="inlineStr">
        <is>
          <t>116512</t>
        </is>
      </c>
      <c r="AW872" t="inlineStr">
        <is>
          <t>991000658379702656</t>
        </is>
      </c>
      <c r="AX872" t="inlineStr">
        <is>
          <t>991000658379702656</t>
        </is>
      </c>
      <c r="AY872" t="inlineStr">
        <is>
          <t>2260500710002656</t>
        </is>
      </c>
      <c r="AZ872" t="inlineStr">
        <is>
          <t>BOOK</t>
        </is>
      </c>
      <c r="BB872" t="inlineStr">
        <is>
          <t>9780130322432</t>
        </is>
      </c>
      <c r="BC872" t="inlineStr">
        <is>
          <t>32285003104246</t>
        </is>
      </c>
      <c r="BD872" t="inlineStr">
        <is>
          <t>893237497</t>
        </is>
      </c>
    </row>
    <row r="873">
      <c r="A873" t="inlineStr">
        <is>
          <t>No</t>
        </is>
      </c>
      <c r="B873" t="inlineStr">
        <is>
          <t>HQ1410 .V36 1988</t>
        </is>
      </c>
      <c r="C873" t="inlineStr">
        <is>
          <t>0                      HQ 1410000V  36          1988</t>
        </is>
      </c>
      <c r="D873" t="inlineStr">
        <is>
          <t>Women, work, and fertility, 1900-1986 / Susan Householder Van Horn.</t>
        </is>
      </c>
      <c r="F873" t="inlineStr">
        <is>
          <t>No</t>
        </is>
      </c>
      <c r="G873" t="inlineStr">
        <is>
          <t>1</t>
        </is>
      </c>
      <c r="H873" t="inlineStr">
        <is>
          <t>No</t>
        </is>
      </c>
      <c r="I873" t="inlineStr">
        <is>
          <t>No</t>
        </is>
      </c>
      <c r="J873" t="inlineStr">
        <is>
          <t>0</t>
        </is>
      </c>
      <c r="K873" t="inlineStr">
        <is>
          <t>Van Horn, Susan Householder, 1934-</t>
        </is>
      </c>
      <c r="L873" t="inlineStr">
        <is>
          <t>New York : New York University Press, c1988.</t>
        </is>
      </c>
      <c r="M873" t="inlineStr">
        <is>
          <t>1988</t>
        </is>
      </c>
      <c r="O873" t="inlineStr">
        <is>
          <t>eng</t>
        </is>
      </c>
      <c r="P873" t="inlineStr">
        <is>
          <t>nyu</t>
        </is>
      </c>
      <c r="Q873" t="inlineStr">
        <is>
          <t>The American social experience series ; 9</t>
        </is>
      </c>
      <c r="R873" t="inlineStr">
        <is>
          <t xml:space="preserve">HQ </t>
        </is>
      </c>
      <c r="S873" t="n">
        <v>10</v>
      </c>
      <c r="T873" t="n">
        <v>10</v>
      </c>
      <c r="U873" t="inlineStr">
        <is>
          <t>2009-02-13</t>
        </is>
      </c>
      <c r="V873" t="inlineStr">
        <is>
          <t>2009-02-13</t>
        </is>
      </c>
      <c r="W873" t="inlineStr">
        <is>
          <t>1990-07-05</t>
        </is>
      </c>
      <c r="X873" t="inlineStr">
        <is>
          <t>1990-07-05</t>
        </is>
      </c>
      <c r="Y873" t="n">
        <v>568</v>
      </c>
      <c r="Z873" t="n">
        <v>451</v>
      </c>
      <c r="AA873" t="n">
        <v>456</v>
      </c>
      <c r="AB873" t="n">
        <v>6</v>
      </c>
      <c r="AC873" t="n">
        <v>6</v>
      </c>
      <c r="AD873" t="n">
        <v>25</v>
      </c>
      <c r="AE873" t="n">
        <v>25</v>
      </c>
      <c r="AF873" t="n">
        <v>7</v>
      </c>
      <c r="AG873" t="n">
        <v>7</v>
      </c>
      <c r="AH873" t="n">
        <v>7</v>
      </c>
      <c r="AI873" t="n">
        <v>7</v>
      </c>
      <c r="AJ873" t="n">
        <v>11</v>
      </c>
      <c r="AK873" t="n">
        <v>11</v>
      </c>
      <c r="AL873" t="n">
        <v>5</v>
      </c>
      <c r="AM873" t="n">
        <v>5</v>
      </c>
      <c r="AN873" t="n">
        <v>1</v>
      </c>
      <c r="AO873" t="n">
        <v>1</v>
      </c>
      <c r="AP873" t="inlineStr">
        <is>
          <t>No</t>
        </is>
      </c>
      <c r="AQ873" t="inlineStr">
        <is>
          <t>No</t>
        </is>
      </c>
      <c r="AS873">
        <f>HYPERLINK("https://creighton-primo.hosted.exlibrisgroup.com/primo-explore/search?tab=default_tab&amp;search_scope=EVERYTHING&amp;vid=01CRU&amp;lang=en_US&amp;offset=0&amp;query=any,contains,991001121319702656","Catalog Record")</f>
        <v/>
      </c>
      <c r="AT873">
        <f>HYPERLINK("http://www.worldcat.org/oclc/16581219","WorldCat Record")</f>
        <v/>
      </c>
      <c r="AU873" t="inlineStr">
        <is>
          <t>139786338:eng</t>
        </is>
      </c>
      <c r="AV873" t="inlineStr">
        <is>
          <t>16581219</t>
        </is>
      </c>
      <c r="AW873" t="inlineStr">
        <is>
          <t>991001121319702656</t>
        </is>
      </c>
      <c r="AX873" t="inlineStr">
        <is>
          <t>991001121319702656</t>
        </is>
      </c>
      <c r="AY873" t="inlineStr">
        <is>
          <t>2261044790002656</t>
        </is>
      </c>
      <c r="AZ873" t="inlineStr">
        <is>
          <t>BOOK</t>
        </is>
      </c>
      <c r="BB873" t="inlineStr">
        <is>
          <t>9780814787595</t>
        </is>
      </c>
      <c r="BC873" t="inlineStr">
        <is>
          <t>32285000221514</t>
        </is>
      </c>
      <c r="BD873" t="inlineStr">
        <is>
          <t>893897534</t>
        </is>
      </c>
    </row>
    <row r="874">
      <c r="A874" t="inlineStr">
        <is>
          <t>No</t>
        </is>
      </c>
      <c r="B874" t="inlineStr">
        <is>
          <t>HQ1410 .W64</t>
        </is>
      </c>
      <c r="C874" t="inlineStr">
        <is>
          <t>0                      HQ 1410000W  64</t>
        </is>
      </c>
      <c r="D874" t="inlineStr">
        <is>
          <t>Women's history sources : a guide to archives and manuscript collections in the United States / edited by Andrea Hinding, Ames Sheldon Bower, associate editor, Clark A. Chambers, consulting editor ; in association with the University of Minnesota.</t>
        </is>
      </c>
      <c r="E874" t="inlineStr">
        <is>
          <t>V.1</t>
        </is>
      </c>
      <c r="F874" t="inlineStr">
        <is>
          <t>Yes</t>
        </is>
      </c>
      <c r="G874" t="inlineStr">
        <is>
          <t>1</t>
        </is>
      </c>
      <c r="H874" t="inlineStr">
        <is>
          <t>No</t>
        </is>
      </c>
      <c r="I874" t="inlineStr">
        <is>
          <t>No</t>
        </is>
      </c>
      <c r="J874" t="inlineStr">
        <is>
          <t>0</t>
        </is>
      </c>
      <c r="L874" t="inlineStr">
        <is>
          <t>New York : Bowker, 1979.</t>
        </is>
      </c>
      <c r="M874" t="inlineStr">
        <is>
          <t>1979</t>
        </is>
      </c>
      <c r="O874" t="inlineStr">
        <is>
          <t>eng</t>
        </is>
      </c>
      <c r="P874" t="inlineStr">
        <is>
          <t>nyu</t>
        </is>
      </c>
      <c r="R874" t="inlineStr">
        <is>
          <t xml:space="preserve">HQ </t>
        </is>
      </c>
      <c r="S874" t="n">
        <v>0</v>
      </c>
      <c r="T874" t="n">
        <v>2</v>
      </c>
      <c r="U874" t="inlineStr">
        <is>
          <t>2003-04-03</t>
        </is>
      </c>
      <c r="V874" t="inlineStr">
        <is>
          <t>2003-04-03</t>
        </is>
      </c>
      <c r="W874" t="inlineStr">
        <is>
          <t>1996-12-20</t>
        </is>
      </c>
      <c r="X874" t="inlineStr">
        <is>
          <t>1996-12-20</t>
        </is>
      </c>
      <c r="Y874" t="n">
        <v>613</v>
      </c>
      <c r="Z874" t="n">
        <v>557</v>
      </c>
      <c r="AA874" t="n">
        <v>566</v>
      </c>
      <c r="AB874" t="n">
        <v>5</v>
      </c>
      <c r="AC874" t="n">
        <v>5</v>
      </c>
      <c r="AD874" t="n">
        <v>19</v>
      </c>
      <c r="AE874" t="n">
        <v>19</v>
      </c>
      <c r="AF874" t="n">
        <v>5</v>
      </c>
      <c r="AG874" t="n">
        <v>5</v>
      </c>
      <c r="AH874" t="n">
        <v>6</v>
      </c>
      <c r="AI874" t="n">
        <v>6</v>
      </c>
      <c r="AJ874" t="n">
        <v>8</v>
      </c>
      <c r="AK874" t="n">
        <v>8</v>
      </c>
      <c r="AL874" t="n">
        <v>3</v>
      </c>
      <c r="AM874" t="n">
        <v>3</v>
      </c>
      <c r="AN874" t="n">
        <v>0</v>
      </c>
      <c r="AO874" t="n">
        <v>0</v>
      </c>
      <c r="AP874" t="inlineStr">
        <is>
          <t>No</t>
        </is>
      </c>
      <c r="AQ874" t="inlineStr">
        <is>
          <t>Yes</t>
        </is>
      </c>
      <c r="AR874">
        <f>HYPERLINK("http://catalog.hathitrust.org/Record/000169825","HathiTrust Record")</f>
        <v/>
      </c>
      <c r="AS874">
        <f>HYPERLINK("https://creighton-primo.hosted.exlibrisgroup.com/primo-explore/search?tab=default_tab&amp;search_scope=EVERYTHING&amp;vid=01CRU&amp;lang=en_US&amp;offset=0&amp;query=any,contains,991004579729702656","Catalog Record")</f>
        <v/>
      </c>
      <c r="AT874">
        <f>HYPERLINK("http://www.worldcat.org/oclc/4056376","WorldCat Record")</f>
        <v/>
      </c>
      <c r="AU874" t="inlineStr">
        <is>
          <t>836714390:eng</t>
        </is>
      </c>
      <c r="AV874" t="inlineStr">
        <is>
          <t>4056376</t>
        </is>
      </c>
      <c r="AW874" t="inlineStr">
        <is>
          <t>991004579729702656</t>
        </is>
      </c>
      <c r="AX874" t="inlineStr">
        <is>
          <t>991004579729702656</t>
        </is>
      </c>
      <c r="AY874" t="inlineStr">
        <is>
          <t>2272020040002656</t>
        </is>
      </c>
      <c r="AZ874" t="inlineStr">
        <is>
          <t>BOOK</t>
        </is>
      </c>
      <c r="BB874" t="inlineStr">
        <is>
          <t>9780835211031</t>
        </is>
      </c>
      <c r="BC874" t="inlineStr">
        <is>
          <t>32285002401445</t>
        </is>
      </c>
      <c r="BD874" t="inlineStr">
        <is>
          <t>893888906</t>
        </is>
      </c>
    </row>
    <row r="875">
      <c r="A875" t="inlineStr">
        <is>
          <t>No</t>
        </is>
      </c>
      <c r="B875" t="inlineStr">
        <is>
          <t>HQ1410 .W64</t>
        </is>
      </c>
      <c r="C875" t="inlineStr">
        <is>
          <t>0                      HQ 1410000W  64</t>
        </is>
      </c>
      <c r="D875" t="inlineStr">
        <is>
          <t>Women's history sources : a guide to archives and manuscript collections in the United States / edited by Andrea Hinding, Ames Sheldon Bower, associate editor, Clark A. Chambers, consulting editor ; in association with the University of Minnesota.</t>
        </is>
      </c>
      <c r="E875" t="inlineStr">
        <is>
          <t>V.2</t>
        </is>
      </c>
      <c r="F875" t="inlineStr">
        <is>
          <t>Yes</t>
        </is>
      </c>
      <c r="G875" t="inlineStr">
        <is>
          <t>1</t>
        </is>
      </c>
      <c r="H875" t="inlineStr">
        <is>
          <t>No</t>
        </is>
      </c>
      <c r="I875" t="inlineStr">
        <is>
          <t>No</t>
        </is>
      </c>
      <c r="J875" t="inlineStr">
        <is>
          <t>0</t>
        </is>
      </c>
      <c r="L875" t="inlineStr">
        <is>
          <t>New York : Bowker, 1979.</t>
        </is>
      </c>
      <c r="M875" t="inlineStr">
        <is>
          <t>1979</t>
        </is>
      </c>
      <c r="O875" t="inlineStr">
        <is>
          <t>eng</t>
        </is>
      </c>
      <c r="P875" t="inlineStr">
        <is>
          <t>nyu</t>
        </is>
      </c>
      <c r="R875" t="inlineStr">
        <is>
          <t xml:space="preserve">HQ </t>
        </is>
      </c>
      <c r="S875" t="n">
        <v>2</v>
      </c>
      <c r="T875" t="n">
        <v>2</v>
      </c>
      <c r="U875" t="inlineStr">
        <is>
          <t>2003-04-03</t>
        </is>
      </c>
      <c r="V875" t="inlineStr">
        <is>
          <t>2003-04-03</t>
        </is>
      </c>
      <c r="W875" t="inlineStr">
        <is>
          <t>1996-12-20</t>
        </is>
      </c>
      <c r="X875" t="inlineStr">
        <is>
          <t>1996-12-20</t>
        </is>
      </c>
      <c r="Y875" t="n">
        <v>613</v>
      </c>
      <c r="Z875" t="n">
        <v>557</v>
      </c>
      <c r="AA875" t="n">
        <v>566</v>
      </c>
      <c r="AB875" t="n">
        <v>5</v>
      </c>
      <c r="AC875" t="n">
        <v>5</v>
      </c>
      <c r="AD875" t="n">
        <v>19</v>
      </c>
      <c r="AE875" t="n">
        <v>19</v>
      </c>
      <c r="AF875" t="n">
        <v>5</v>
      </c>
      <c r="AG875" t="n">
        <v>5</v>
      </c>
      <c r="AH875" t="n">
        <v>6</v>
      </c>
      <c r="AI875" t="n">
        <v>6</v>
      </c>
      <c r="AJ875" t="n">
        <v>8</v>
      </c>
      <c r="AK875" t="n">
        <v>8</v>
      </c>
      <c r="AL875" t="n">
        <v>3</v>
      </c>
      <c r="AM875" t="n">
        <v>3</v>
      </c>
      <c r="AN875" t="n">
        <v>0</v>
      </c>
      <c r="AO875" t="n">
        <v>0</v>
      </c>
      <c r="AP875" t="inlineStr">
        <is>
          <t>No</t>
        </is>
      </c>
      <c r="AQ875" t="inlineStr">
        <is>
          <t>Yes</t>
        </is>
      </c>
      <c r="AR875">
        <f>HYPERLINK("http://catalog.hathitrust.org/Record/000169825","HathiTrust Record")</f>
        <v/>
      </c>
      <c r="AS875">
        <f>HYPERLINK("https://creighton-primo.hosted.exlibrisgroup.com/primo-explore/search?tab=default_tab&amp;search_scope=EVERYTHING&amp;vid=01CRU&amp;lang=en_US&amp;offset=0&amp;query=any,contains,991004579729702656","Catalog Record")</f>
        <v/>
      </c>
      <c r="AT875">
        <f>HYPERLINK("http://www.worldcat.org/oclc/4056376","WorldCat Record")</f>
        <v/>
      </c>
      <c r="AU875" t="inlineStr">
        <is>
          <t>836714390:eng</t>
        </is>
      </c>
      <c r="AV875" t="inlineStr">
        <is>
          <t>4056376</t>
        </is>
      </c>
      <c r="AW875" t="inlineStr">
        <is>
          <t>991004579729702656</t>
        </is>
      </c>
      <c r="AX875" t="inlineStr">
        <is>
          <t>991004579729702656</t>
        </is>
      </c>
      <c r="AY875" t="inlineStr">
        <is>
          <t>2272020040002656</t>
        </is>
      </c>
      <c r="AZ875" t="inlineStr">
        <is>
          <t>BOOK</t>
        </is>
      </c>
      <c r="BB875" t="inlineStr">
        <is>
          <t>9780835211031</t>
        </is>
      </c>
      <c r="BC875" t="inlineStr">
        <is>
          <t>32285002401452</t>
        </is>
      </c>
      <c r="BD875" t="inlineStr">
        <is>
          <t>893888905</t>
        </is>
      </c>
    </row>
    <row r="876">
      <c r="A876" t="inlineStr">
        <is>
          <t>No</t>
        </is>
      </c>
      <c r="B876" t="inlineStr">
        <is>
          <t>HQ1410 .W64 2005</t>
        </is>
      </c>
      <c r="C876" t="inlineStr">
        <is>
          <t>0                      HQ 1410000W  64          2005</t>
        </is>
      </c>
      <c r="D876" t="inlineStr">
        <is>
          <t>A day in the life of the American woman : how we see ourselves / created by Sharon J. Wohlmuth, Carol Saline, and Dawn Sheggeby.</t>
        </is>
      </c>
      <c r="F876" t="inlineStr">
        <is>
          <t>No</t>
        </is>
      </c>
      <c r="G876" t="inlineStr">
        <is>
          <t>1</t>
        </is>
      </c>
      <c r="H876" t="inlineStr">
        <is>
          <t>No</t>
        </is>
      </c>
      <c r="I876" t="inlineStr">
        <is>
          <t>No</t>
        </is>
      </c>
      <c r="J876" t="inlineStr">
        <is>
          <t>0</t>
        </is>
      </c>
      <c r="K876" t="inlineStr">
        <is>
          <t>Wohlmuth, Sharon J.</t>
        </is>
      </c>
      <c r="L876" t="inlineStr">
        <is>
          <t>New York, N.Y. : Bulfinch Press, c2005.</t>
        </is>
      </c>
      <c r="M876" t="inlineStr">
        <is>
          <t>2005</t>
        </is>
      </c>
      <c r="N876" t="inlineStr">
        <is>
          <t>1st ed.</t>
        </is>
      </c>
      <c r="O876" t="inlineStr">
        <is>
          <t>eng</t>
        </is>
      </c>
      <c r="P876" t="inlineStr">
        <is>
          <t>nyu</t>
        </is>
      </c>
      <c r="R876" t="inlineStr">
        <is>
          <t xml:space="preserve">HQ </t>
        </is>
      </c>
      <c r="S876" t="n">
        <v>1</v>
      </c>
      <c r="T876" t="n">
        <v>1</v>
      </c>
      <c r="U876" t="inlineStr">
        <is>
          <t>2006-01-26</t>
        </is>
      </c>
      <c r="V876" t="inlineStr">
        <is>
          <t>2006-01-26</t>
        </is>
      </c>
      <c r="W876" t="inlineStr">
        <is>
          <t>2006-01-26</t>
        </is>
      </c>
      <c r="X876" t="inlineStr">
        <is>
          <t>2006-01-26</t>
        </is>
      </c>
      <c r="Y876" t="n">
        <v>524</v>
      </c>
      <c r="Z876" t="n">
        <v>518</v>
      </c>
      <c r="AA876" t="n">
        <v>523</v>
      </c>
      <c r="AB876" t="n">
        <v>5</v>
      </c>
      <c r="AC876" t="n">
        <v>5</v>
      </c>
      <c r="AD876" t="n">
        <v>6</v>
      </c>
      <c r="AE876" t="n">
        <v>6</v>
      </c>
      <c r="AF876" t="n">
        <v>1</v>
      </c>
      <c r="AG876" t="n">
        <v>1</v>
      </c>
      <c r="AH876" t="n">
        <v>2</v>
      </c>
      <c r="AI876" t="n">
        <v>2</v>
      </c>
      <c r="AJ876" t="n">
        <v>2</v>
      </c>
      <c r="AK876" t="n">
        <v>2</v>
      </c>
      <c r="AL876" t="n">
        <v>2</v>
      </c>
      <c r="AM876" t="n">
        <v>2</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HYPERLINK("https://creighton-primo.hosted.exlibrisgroup.com/primo-explore/search?tab=default_tab&amp;search_scope=EVERYTHING&amp;vid=01CRU&amp;lang=en_US&amp;offset=0&amp;query=any,contains,991004719169702656","Catalog Record")</f>
        <v/>
      </c>
      <c r="AT876">
        <f>HYPERLINK("http://www.worldcat.org/oclc/61822301","WorldCat Record")</f>
        <v/>
      </c>
      <c r="AU876" t="inlineStr">
        <is>
          <t>4837255926:eng</t>
        </is>
      </c>
      <c r="AV876" t="inlineStr">
        <is>
          <t>61822301</t>
        </is>
      </c>
      <c r="AW876" t="inlineStr">
        <is>
          <t>991004719169702656</t>
        </is>
      </c>
      <c r="AX876" t="inlineStr">
        <is>
          <t>991004719169702656</t>
        </is>
      </c>
      <c r="AY876" t="inlineStr">
        <is>
          <t>2271911290002656</t>
        </is>
      </c>
      <c r="AZ876" t="inlineStr">
        <is>
          <t>BOOK</t>
        </is>
      </c>
      <c r="BB876" t="inlineStr">
        <is>
          <t>9780821257067</t>
        </is>
      </c>
      <c r="BC876" t="inlineStr">
        <is>
          <t>32285005156624</t>
        </is>
      </c>
      <c r="BD876" t="inlineStr">
        <is>
          <t>893325694</t>
        </is>
      </c>
    </row>
    <row r="877">
      <c r="A877" t="inlineStr">
        <is>
          <t>No</t>
        </is>
      </c>
      <c r="B877" t="inlineStr">
        <is>
          <t>HQ1410 .W65</t>
        </is>
      </c>
      <c r="C877" t="inlineStr">
        <is>
          <t>0                      HQ 1410000W  65</t>
        </is>
      </c>
      <c r="D877" t="inlineStr">
        <is>
          <t>Women of America : a history / Carol Ruth Berkin, Mary Beth Norton.</t>
        </is>
      </c>
      <c r="F877" t="inlineStr">
        <is>
          <t>No</t>
        </is>
      </c>
      <c r="G877" t="inlineStr">
        <is>
          <t>1</t>
        </is>
      </c>
      <c r="H877" t="inlineStr">
        <is>
          <t>No</t>
        </is>
      </c>
      <c r="I877" t="inlineStr">
        <is>
          <t>No</t>
        </is>
      </c>
      <c r="J877" t="inlineStr">
        <is>
          <t>0</t>
        </is>
      </c>
      <c r="L877" t="inlineStr">
        <is>
          <t>Boston : Houghton Mifflin Co., c1979.</t>
        </is>
      </c>
      <c r="M877" t="inlineStr">
        <is>
          <t>1979</t>
        </is>
      </c>
      <c r="O877" t="inlineStr">
        <is>
          <t>eng</t>
        </is>
      </c>
      <c r="P877" t="inlineStr">
        <is>
          <t>mau</t>
        </is>
      </c>
      <c r="R877" t="inlineStr">
        <is>
          <t xml:space="preserve">HQ </t>
        </is>
      </c>
      <c r="S877" t="n">
        <v>26</v>
      </c>
      <c r="T877" t="n">
        <v>26</v>
      </c>
      <c r="U877" t="inlineStr">
        <is>
          <t>1998-11-22</t>
        </is>
      </c>
      <c r="V877" t="inlineStr">
        <is>
          <t>1998-11-22</t>
        </is>
      </c>
      <c r="W877" t="inlineStr">
        <is>
          <t>1990-07-05</t>
        </is>
      </c>
      <c r="X877" t="inlineStr">
        <is>
          <t>1990-07-05</t>
        </is>
      </c>
      <c r="Y877" t="n">
        <v>1031</v>
      </c>
      <c r="Z877" t="n">
        <v>893</v>
      </c>
      <c r="AA877" t="n">
        <v>900</v>
      </c>
      <c r="AB877" t="n">
        <v>7</v>
      </c>
      <c r="AC877" t="n">
        <v>7</v>
      </c>
      <c r="AD877" t="n">
        <v>33</v>
      </c>
      <c r="AE877" t="n">
        <v>34</v>
      </c>
      <c r="AF877" t="n">
        <v>12</v>
      </c>
      <c r="AG877" t="n">
        <v>13</v>
      </c>
      <c r="AH877" t="n">
        <v>7</v>
      </c>
      <c r="AI877" t="n">
        <v>7</v>
      </c>
      <c r="AJ877" t="n">
        <v>16</v>
      </c>
      <c r="AK877" t="n">
        <v>17</v>
      </c>
      <c r="AL877" t="n">
        <v>6</v>
      </c>
      <c r="AM877" t="n">
        <v>6</v>
      </c>
      <c r="AN877" t="n">
        <v>0</v>
      </c>
      <c r="AO877" t="n">
        <v>0</v>
      </c>
      <c r="AP877" t="inlineStr">
        <is>
          <t>No</t>
        </is>
      </c>
      <c r="AQ877" t="inlineStr">
        <is>
          <t>Yes</t>
        </is>
      </c>
      <c r="AR877">
        <f>HYPERLINK("http://catalog.hathitrust.org/Record/000140502","HathiTrust Record")</f>
        <v/>
      </c>
      <c r="AS877">
        <f>HYPERLINK("https://creighton-primo.hosted.exlibrisgroup.com/primo-explore/search?tab=default_tab&amp;search_scope=EVERYTHING&amp;vid=01CRU&amp;lang=en_US&amp;offset=0&amp;query=any,contains,991004682099702656","Catalog Record")</f>
        <v/>
      </c>
      <c r="AT877">
        <f>HYPERLINK("http://www.worldcat.org/oclc/4571364","WorldCat Record")</f>
        <v/>
      </c>
      <c r="AU877" t="inlineStr">
        <is>
          <t>908960379:eng</t>
        </is>
      </c>
      <c r="AV877" t="inlineStr">
        <is>
          <t>4571364</t>
        </is>
      </c>
      <c r="AW877" t="inlineStr">
        <is>
          <t>991004682099702656</t>
        </is>
      </c>
      <c r="AX877" t="inlineStr">
        <is>
          <t>991004682099702656</t>
        </is>
      </c>
      <c r="AY877" t="inlineStr">
        <is>
          <t>2267733240002656</t>
        </is>
      </c>
      <c r="AZ877" t="inlineStr">
        <is>
          <t>BOOK</t>
        </is>
      </c>
      <c r="BB877" t="inlineStr">
        <is>
          <t>9780395270677</t>
        </is>
      </c>
      <c r="BC877" t="inlineStr">
        <is>
          <t>32285000221522</t>
        </is>
      </c>
      <c r="BD877" t="inlineStr">
        <is>
          <t>893882796</t>
        </is>
      </c>
    </row>
    <row r="878">
      <c r="A878" t="inlineStr">
        <is>
          <t>No</t>
        </is>
      </c>
      <c r="B878" t="inlineStr">
        <is>
          <t>HQ1412 .C35 1979</t>
        </is>
      </c>
      <c r="C878" t="inlineStr">
        <is>
          <t>0                      HQ 1412000C  35          1979</t>
        </is>
      </c>
      <c r="D878" t="inlineStr">
        <is>
          <t>The "liberated" woman of 1914 : prominent women in the progressive era / by Barbara Kuhn Campbell.</t>
        </is>
      </c>
      <c r="F878" t="inlineStr">
        <is>
          <t>No</t>
        </is>
      </c>
      <c r="G878" t="inlineStr">
        <is>
          <t>1</t>
        </is>
      </c>
      <c r="H878" t="inlineStr">
        <is>
          <t>No</t>
        </is>
      </c>
      <c r="I878" t="inlineStr">
        <is>
          <t>No</t>
        </is>
      </c>
      <c r="J878" t="inlineStr">
        <is>
          <t>0</t>
        </is>
      </c>
      <c r="K878" t="inlineStr">
        <is>
          <t>Campbell, Barbara Kuhn, 1946-</t>
        </is>
      </c>
      <c r="L878" t="inlineStr">
        <is>
          <t>Ann Arbor, Mich. : UMI Research Press, 1979.</t>
        </is>
      </c>
      <c r="M878" t="inlineStr">
        <is>
          <t>1978</t>
        </is>
      </c>
      <c r="O878" t="inlineStr">
        <is>
          <t>eng</t>
        </is>
      </c>
      <c r="P878" t="inlineStr">
        <is>
          <t>miu</t>
        </is>
      </c>
      <c r="Q878" t="inlineStr">
        <is>
          <t>Studies in American history and culture ; no. 6</t>
        </is>
      </c>
      <c r="R878" t="inlineStr">
        <is>
          <t xml:space="preserve">HQ </t>
        </is>
      </c>
      <c r="S878" t="n">
        <v>2</v>
      </c>
      <c r="T878" t="n">
        <v>2</v>
      </c>
      <c r="U878" t="inlineStr">
        <is>
          <t>1998-11-22</t>
        </is>
      </c>
      <c r="V878" t="inlineStr">
        <is>
          <t>1998-11-22</t>
        </is>
      </c>
      <c r="W878" t="inlineStr">
        <is>
          <t>1993-04-28</t>
        </is>
      </c>
      <c r="X878" t="inlineStr">
        <is>
          <t>1993-04-28</t>
        </is>
      </c>
      <c r="Y878" t="n">
        <v>396</v>
      </c>
      <c r="Z878" t="n">
        <v>347</v>
      </c>
      <c r="AA878" t="n">
        <v>358</v>
      </c>
      <c r="AB878" t="n">
        <v>3</v>
      </c>
      <c r="AC878" t="n">
        <v>3</v>
      </c>
      <c r="AD878" t="n">
        <v>15</v>
      </c>
      <c r="AE878" t="n">
        <v>15</v>
      </c>
      <c r="AF878" t="n">
        <v>2</v>
      </c>
      <c r="AG878" t="n">
        <v>2</v>
      </c>
      <c r="AH878" t="n">
        <v>5</v>
      </c>
      <c r="AI878" t="n">
        <v>5</v>
      </c>
      <c r="AJ878" t="n">
        <v>8</v>
      </c>
      <c r="AK878" t="n">
        <v>8</v>
      </c>
      <c r="AL878" t="n">
        <v>2</v>
      </c>
      <c r="AM878" t="n">
        <v>2</v>
      </c>
      <c r="AN878" t="n">
        <v>0</v>
      </c>
      <c r="AO878" t="n">
        <v>0</v>
      </c>
      <c r="AP878" t="inlineStr">
        <is>
          <t>No</t>
        </is>
      </c>
      <c r="AQ878" t="inlineStr">
        <is>
          <t>Yes</t>
        </is>
      </c>
      <c r="AR878">
        <f>HYPERLINK("http://catalog.hathitrust.org/Record/000257427","HathiTrust Record")</f>
        <v/>
      </c>
      <c r="AS878">
        <f>HYPERLINK("https://creighton-primo.hosted.exlibrisgroup.com/primo-explore/search?tab=default_tab&amp;search_scope=EVERYTHING&amp;vid=01CRU&amp;lang=en_US&amp;offset=0&amp;query=any,contains,991004668869702656","Catalog Record")</f>
        <v/>
      </c>
      <c r="AT878">
        <f>HYPERLINK("http://www.worldcat.org/oclc/4514959","WorldCat Record")</f>
        <v/>
      </c>
      <c r="AU878" t="inlineStr">
        <is>
          <t>425119048:eng</t>
        </is>
      </c>
      <c r="AV878" t="inlineStr">
        <is>
          <t>4514959</t>
        </is>
      </c>
      <c r="AW878" t="inlineStr">
        <is>
          <t>991004668869702656</t>
        </is>
      </c>
      <c r="AX878" t="inlineStr">
        <is>
          <t>991004668869702656</t>
        </is>
      </c>
      <c r="AY878" t="inlineStr">
        <is>
          <t>2265991260002656</t>
        </is>
      </c>
      <c r="AZ878" t="inlineStr">
        <is>
          <t>BOOK</t>
        </is>
      </c>
      <c r="BB878" t="inlineStr">
        <is>
          <t>9780835709804</t>
        </is>
      </c>
      <c r="BC878" t="inlineStr">
        <is>
          <t>32285001629681</t>
        </is>
      </c>
      <c r="BD878" t="inlineStr">
        <is>
          <t>893532662</t>
        </is>
      </c>
    </row>
    <row r="879">
      <c r="A879" t="inlineStr">
        <is>
          <t>No</t>
        </is>
      </c>
      <c r="B879" t="inlineStr">
        <is>
          <t>HQ1412 .C64 1978</t>
        </is>
      </c>
      <c r="C879" t="inlineStr">
        <is>
          <t>0                      HQ 1412000C  64          1978</t>
        </is>
      </c>
      <c r="D879" t="inlineStr">
        <is>
          <t>Women of crisis : lives of struggle and hope / Robert Coles and Jane Hallowell Coles. --</t>
        </is>
      </c>
      <c r="F879" t="inlineStr">
        <is>
          <t>No</t>
        </is>
      </c>
      <c r="G879" t="inlineStr">
        <is>
          <t>1</t>
        </is>
      </c>
      <c r="H879" t="inlineStr">
        <is>
          <t>No</t>
        </is>
      </c>
      <c r="I879" t="inlineStr">
        <is>
          <t>No</t>
        </is>
      </c>
      <c r="J879" t="inlineStr">
        <is>
          <t>0</t>
        </is>
      </c>
      <c r="K879" t="inlineStr">
        <is>
          <t>Coles, Robert.</t>
        </is>
      </c>
      <c r="L879" t="inlineStr">
        <is>
          <t>New York : Delacorte Press/S. Lawrence, c1978.</t>
        </is>
      </c>
      <c r="M879" t="inlineStr">
        <is>
          <t>1978</t>
        </is>
      </c>
      <c r="O879" t="inlineStr">
        <is>
          <t>eng</t>
        </is>
      </c>
      <c r="P879" t="inlineStr">
        <is>
          <t>nyu</t>
        </is>
      </c>
      <c r="Q879" t="inlineStr">
        <is>
          <t>Radcliffe biography series</t>
        </is>
      </c>
      <c r="R879" t="inlineStr">
        <is>
          <t xml:space="preserve">HQ </t>
        </is>
      </c>
      <c r="S879" t="n">
        <v>2</v>
      </c>
      <c r="T879" t="n">
        <v>2</v>
      </c>
      <c r="U879" t="inlineStr">
        <is>
          <t>2001-04-09</t>
        </is>
      </c>
      <c r="V879" t="inlineStr">
        <is>
          <t>2001-04-09</t>
        </is>
      </c>
      <c r="W879" t="inlineStr">
        <is>
          <t>1990-07-05</t>
        </is>
      </c>
      <c r="X879" t="inlineStr">
        <is>
          <t>1990-07-05</t>
        </is>
      </c>
      <c r="Y879" t="n">
        <v>1219</v>
      </c>
      <c r="Z879" t="n">
        <v>1152</v>
      </c>
      <c r="AA879" t="n">
        <v>1291</v>
      </c>
      <c r="AB879" t="n">
        <v>3</v>
      </c>
      <c r="AC879" t="n">
        <v>5</v>
      </c>
      <c r="AD879" t="n">
        <v>26</v>
      </c>
      <c r="AE879" t="n">
        <v>37</v>
      </c>
      <c r="AF879" t="n">
        <v>9</v>
      </c>
      <c r="AG879" t="n">
        <v>14</v>
      </c>
      <c r="AH879" t="n">
        <v>7</v>
      </c>
      <c r="AI879" t="n">
        <v>7</v>
      </c>
      <c r="AJ879" t="n">
        <v>16</v>
      </c>
      <c r="AK879" t="n">
        <v>21</v>
      </c>
      <c r="AL879" t="n">
        <v>1</v>
      </c>
      <c r="AM879" t="n">
        <v>3</v>
      </c>
      <c r="AN879" t="n">
        <v>1</v>
      </c>
      <c r="AO879" t="n">
        <v>2</v>
      </c>
      <c r="AP879" t="inlineStr">
        <is>
          <t>No</t>
        </is>
      </c>
      <c r="AQ879" t="inlineStr">
        <is>
          <t>Yes</t>
        </is>
      </c>
      <c r="AR879">
        <f>HYPERLINK("http://catalog.hathitrust.org/Record/000133471","HathiTrust Record")</f>
        <v/>
      </c>
      <c r="AS879">
        <f>HYPERLINK("https://creighton-primo.hosted.exlibrisgroup.com/primo-explore/search?tab=default_tab&amp;search_scope=EVERYTHING&amp;vid=01CRU&amp;lang=en_US&amp;offset=0&amp;query=any,contains,991004512139702656","Catalog Record")</f>
        <v/>
      </c>
      <c r="AT879">
        <f>HYPERLINK("http://www.worldcat.org/oclc/3770762","WorldCat Record")</f>
        <v/>
      </c>
      <c r="AU879" t="inlineStr">
        <is>
          <t>3955360:eng</t>
        </is>
      </c>
      <c r="AV879" t="inlineStr">
        <is>
          <t>3770762</t>
        </is>
      </c>
      <c r="AW879" t="inlineStr">
        <is>
          <t>991004512139702656</t>
        </is>
      </c>
      <c r="AX879" t="inlineStr">
        <is>
          <t>991004512139702656</t>
        </is>
      </c>
      <c r="AY879" t="inlineStr">
        <is>
          <t>2260784590002656</t>
        </is>
      </c>
      <c r="AZ879" t="inlineStr">
        <is>
          <t>BOOK</t>
        </is>
      </c>
      <c r="BB879" t="inlineStr">
        <is>
          <t>9780440095361</t>
        </is>
      </c>
      <c r="BC879" t="inlineStr">
        <is>
          <t>32285000221555</t>
        </is>
      </c>
      <c r="BD879" t="inlineStr">
        <is>
          <t>893869801</t>
        </is>
      </c>
    </row>
    <row r="880">
      <c r="A880" t="inlineStr">
        <is>
          <t>No</t>
        </is>
      </c>
      <c r="B880" t="inlineStr">
        <is>
          <t>HQ1412 .G36 1988</t>
        </is>
      </c>
      <c r="C880" t="inlineStr">
        <is>
          <t>0                      HQ 1412000G  36          1988</t>
        </is>
      </c>
      <c r="D880" t="inlineStr">
        <is>
          <t>Women activists : challenging the abuse of power / Anne Witte Garland ; foreword by Ralph Nader ; introduction by Frances T. Farenthold.</t>
        </is>
      </c>
      <c r="F880" t="inlineStr">
        <is>
          <t>No</t>
        </is>
      </c>
      <c r="G880" t="inlineStr">
        <is>
          <t>1</t>
        </is>
      </c>
      <c r="H880" t="inlineStr">
        <is>
          <t>No</t>
        </is>
      </c>
      <c r="I880" t="inlineStr">
        <is>
          <t>No</t>
        </is>
      </c>
      <c r="J880" t="inlineStr">
        <is>
          <t>0</t>
        </is>
      </c>
      <c r="K880" t="inlineStr">
        <is>
          <t>Garland, Anne Witte.</t>
        </is>
      </c>
      <c r="L880" t="inlineStr">
        <is>
          <t>New York : The Feminist Press at the City University of New York : Distributed by the Talman Co., c1988.</t>
        </is>
      </c>
      <c r="M880" t="inlineStr">
        <is>
          <t>1988</t>
        </is>
      </c>
      <c r="O880" t="inlineStr">
        <is>
          <t>eng</t>
        </is>
      </c>
      <c r="P880" t="inlineStr">
        <is>
          <t>nyu</t>
        </is>
      </c>
      <c r="R880" t="inlineStr">
        <is>
          <t xml:space="preserve">HQ </t>
        </is>
      </c>
      <c r="S880" t="n">
        <v>3</v>
      </c>
      <c r="T880" t="n">
        <v>3</v>
      </c>
      <c r="U880" t="inlineStr">
        <is>
          <t>1993-08-27</t>
        </is>
      </c>
      <c r="V880" t="inlineStr">
        <is>
          <t>1993-08-27</t>
        </is>
      </c>
      <c r="W880" t="inlineStr">
        <is>
          <t>1990-07-05</t>
        </is>
      </c>
      <c r="X880" t="inlineStr">
        <is>
          <t>1990-07-05</t>
        </is>
      </c>
      <c r="Y880" t="n">
        <v>640</v>
      </c>
      <c r="Z880" t="n">
        <v>576</v>
      </c>
      <c r="AA880" t="n">
        <v>582</v>
      </c>
      <c r="AB880" t="n">
        <v>6</v>
      </c>
      <c r="AC880" t="n">
        <v>6</v>
      </c>
      <c r="AD880" t="n">
        <v>24</v>
      </c>
      <c r="AE880" t="n">
        <v>24</v>
      </c>
      <c r="AF880" t="n">
        <v>9</v>
      </c>
      <c r="AG880" t="n">
        <v>9</v>
      </c>
      <c r="AH880" t="n">
        <v>6</v>
      </c>
      <c r="AI880" t="n">
        <v>6</v>
      </c>
      <c r="AJ880" t="n">
        <v>13</v>
      </c>
      <c r="AK880" t="n">
        <v>13</v>
      </c>
      <c r="AL880" t="n">
        <v>4</v>
      </c>
      <c r="AM880" t="n">
        <v>4</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HYPERLINK("https://creighton-primo.hosted.exlibrisgroup.com/primo-explore/search?tab=default_tab&amp;search_scope=EVERYTHING&amp;vid=01CRU&amp;lang=en_US&amp;offset=0&amp;query=any,contains,991001213329702656","Catalog Record")</f>
        <v/>
      </c>
      <c r="AT880">
        <f>HYPERLINK("http://www.worldcat.org/oclc/17412248","WorldCat Record")</f>
        <v/>
      </c>
      <c r="AU880" t="inlineStr">
        <is>
          <t>198542103:eng</t>
        </is>
      </c>
      <c r="AV880" t="inlineStr">
        <is>
          <t>17412248</t>
        </is>
      </c>
      <c r="AW880" t="inlineStr">
        <is>
          <t>991001213329702656</t>
        </is>
      </c>
      <c r="AX880" t="inlineStr">
        <is>
          <t>991001213329702656</t>
        </is>
      </c>
      <c r="AY880" t="inlineStr">
        <is>
          <t>2264603100002656</t>
        </is>
      </c>
      <c r="AZ880" t="inlineStr">
        <is>
          <t>BOOK</t>
        </is>
      </c>
      <c r="BB880" t="inlineStr">
        <is>
          <t>9780935312799</t>
        </is>
      </c>
      <c r="BC880" t="inlineStr">
        <is>
          <t>32285000221571</t>
        </is>
      </c>
      <c r="BD880" t="inlineStr">
        <is>
          <t>893626605</t>
        </is>
      </c>
    </row>
    <row r="881">
      <c r="A881" t="inlineStr">
        <is>
          <t>No</t>
        </is>
      </c>
      <c r="B881" t="inlineStr">
        <is>
          <t>HQ1412 .G37 1984</t>
        </is>
      </c>
      <c r="C881" t="inlineStr">
        <is>
          <t>0                      HQ 1412000G  37          1984</t>
        </is>
      </c>
      <c r="D881" t="inlineStr">
        <is>
          <t>Women of Fair Hope / Paul M. Gaston.</t>
        </is>
      </c>
      <c r="F881" t="inlineStr">
        <is>
          <t>No</t>
        </is>
      </c>
      <c r="G881" t="inlineStr">
        <is>
          <t>1</t>
        </is>
      </c>
      <c r="H881" t="inlineStr">
        <is>
          <t>No</t>
        </is>
      </c>
      <c r="I881" t="inlineStr">
        <is>
          <t>No</t>
        </is>
      </c>
      <c r="J881" t="inlineStr">
        <is>
          <t>0</t>
        </is>
      </c>
      <c r="K881" t="inlineStr">
        <is>
          <t>Gaston, Paul M., 1928-2019.</t>
        </is>
      </c>
      <c r="L881" t="inlineStr">
        <is>
          <t>Athens : University of Georgia Press, c1984.</t>
        </is>
      </c>
      <c r="M881" t="inlineStr">
        <is>
          <t>1984</t>
        </is>
      </c>
      <c r="O881" t="inlineStr">
        <is>
          <t>eng</t>
        </is>
      </c>
      <c r="P881" t="inlineStr">
        <is>
          <t>gau</t>
        </is>
      </c>
      <c r="Q881" t="inlineStr">
        <is>
          <t>Mercer University Lamar memorial lectures ; no. 25</t>
        </is>
      </c>
      <c r="R881" t="inlineStr">
        <is>
          <t xml:space="preserve">HQ </t>
        </is>
      </c>
      <c r="S881" t="n">
        <v>2</v>
      </c>
      <c r="T881" t="n">
        <v>2</v>
      </c>
      <c r="U881" t="inlineStr">
        <is>
          <t>1993-11-01</t>
        </is>
      </c>
      <c r="V881" t="inlineStr">
        <is>
          <t>1993-11-01</t>
        </is>
      </c>
      <c r="W881" t="inlineStr">
        <is>
          <t>1993-04-28</t>
        </is>
      </c>
      <c r="X881" t="inlineStr">
        <is>
          <t>1993-04-28</t>
        </is>
      </c>
      <c r="Y881" t="n">
        <v>370</v>
      </c>
      <c r="Z881" t="n">
        <v>337</v>
      </c>
      <c r="AA881" t="n">
        <v>367</v>
      </c>
      <c r="AB881" t="n">
        <v>2</v>
      </c>
      <c r="AC881" t="n">
        <v>2</v>
      </c>
      <c r="AD881" t="n">
        <v>14</v>
      </c>
      <c r="AE881" t="n">
        <v>15</v>
      </c>
      <c r="AF881" t="n">
        <v>4</v>
      </c>
      <c r="AG881" t="n">
        <v>5</v>
      </c>
      <c r="AH881" t="n">
        <v>3</v>
      </c>
      <c r="AI881" t="n">
        <v>4</v>
      </c>
      <c r="AJ881" t="n">
        <v>10</v>
      </c>
      <c r="AK881" t="n">
        <v>10</v>
      </c>
      <c r="AL881" t="n">
        <v>1</v>
      </c>
      <c r="AM881" t="n">
        <v>1</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HYPERLINK("https://creighton-primo.hosted.exlibrisgroup.com/primo-explore/search?tab=default_tab&amp;search_scope=EVERYTHING&amp;vid=01CRU&amp;lang=en_US&amp;offset=0&amp;query=any,contains,991000372229702656","Catalog Record")</f>
        <v/>
      </c>
      <c r="AT881">
        <f>HYPERLINK("http://www.worldcat.org/oclc/10432475","WorldCat Record")</f>
        <v/>
      </c>
      <c r="AU881" t="inlineStr">
        <is>
          <t>3464556:eng</t>
        </is>
      </c>
      <c r="AV881" t="inlineStr">
        <is>
          <t>10432475</t>
        </is>
      </c>
      <c r="AW881" t="inlineStr">
        <is>
          <t>991000372229702656</t>
        </is>
      </c>
      <c r="AX881" t="inlineStr">
        <is>
          <t>991000372229702656</t>
        </is>
      </c>
      <c r="AY881" t="inlineStr">
        <is>
          <t>2262813610002656</t>
        </is>
      </c>
      <c r="AZ881" t="inlineStr">
        <is>
          <t>BOOK</t>
        </is>
      </c>
      <c r="BB881" t="inlineStr">
        <is>
          <t>9780820307183</t>
        </is>
      </c>
      <c r="BC881" t="inlineStr">
        <is>
          <t>32285001629707</t>
        </is>
      </c>
      <c r="BD881" t="inlineStr">
        <is>
          <t>893884315</t>
        </is>
      </c>
    </row>
    <row r="882">
      <c r="A882" t="inlineStr">
        <is>
          <t>No</t>
        </is>
      </c>
      <c r="B882" t="inlineStr">
        <is>
          <t>HQ1412 .G73</t>
        </is>
      </c>
      <c r="C882" t="inlineStr">
        <is>
          <t>0                      HQ 1412000G  73</t>
        </is>
      </c>
      <c r="D882" t="inlineStr">
        <is>
          <t>Women of the West / Dorothy Gray.</t>
        </is>
      </c>
      <c r="F882" t="inlineStr">
        <is>
          <t>No</t>
        </is>
      </c>
      <c r="G882" t="inlineStr">
        <is>
          <t>1</t>
        </is>
      </c>
      <c r="H882" t="inlineStr">
        <is>
          <t>No</t>
        </is>
      </c>
      <c r="I882" t="inlineStr">
        <is>
          <t>No</t>
        </is>
      </c>
      <c r="J882" t="inlineStr">
        <is>
          <t>0</t>
        </is>
      </c>
      <c r="K882" t="inlineStr">
        <is>
          <t>Gray, Dorothy, 1936-</t>
        </is>
      </c>
      <c r="L882" t="inlineStr">
        <is>
          <t>Millbrae, Calif. : Les Femmes Pub., c1976.</t>
        </is>
      </c>
      <c r="M882" t="inlineStr">
        <is>
          <t>1976</t>
        </is>
      </c>
      <c r="O882" t="inlineStr">
        <is>
          <t>eng</t>
        </is>
      </c>
      <c r="P882" t="inlineStr">
        <is>
          <t>cau</t>
        </is>
      </c>
      <c r="R882" t="inlineStr">
        <is>
          <t xml:space="preserve">HQ </t>
        </is>
      </c>
      <c r="S882" t="n">
        <v>5</v>
      </c>
      <c r="T882" t="n">
        <v>5</v>
      </c>
      <c r="U882" t="inlineStr">
        <is>
          <t>2001-04-12</t>
        </is>
      </c>
      <c r="V882" t="inlineStr">
        <is>
          <t>2001-04-12</t>
        </is>
      </c>
      <c r="W882" t="inlineStr">
        <is>
          <t>1990-07-05</t>
        </is>
      </c>
      <c r="X882" t="inlineStr">
        <is>
          <t>1990-07-05</t>
        </is>
      </c>
      <c r="Y882" t="n">
        <v>597</v>
      </c>
      <c r="Z882" t="n">
        <v>579</v>
      </c>
      <c r="AA882" t="n">
        <v>732</v>
      </c>
      <c r="AB882" t="n">
        <v>8</v>
      </c>
      <c r="AC882" t="n">
        <v>12</v>
      </c>
      <c r="AD882" t="n">
        <v>11</v>
      </c>
      <c r="AE882" t="n">
        <v>16</v>
      </c>
      <c r="AF882" t="n">
        <v>2</v>
      </c>
      <c r="AG882" t="n">
        <v>3</v>
      </c>
      <c r="AH882" t="n">
        <v>1</v>
      </c>
      <c r="AI882" t="n">
        <v>3</v>
      </c>
      <c r="AJ882" t="n">
        <v>6</v>
      </c>
      <c r="AK882" t="n">
        <v>8</v>
      </c>
      <c r="AL882" t="n">
        <v>2</v>
      </c>
      <c r="AM882" t="n">
        <v>3</v>
      </c>
      <c r="AN882" t="n">
        <v>1</v>
      </c>
      <c r="AO882" t="n">
        <v>1</v>
      </c>
      <c r="AP882" t="inlineStr">
        <is>
          <t>No</t>
        </is>
      </c>
      <c r="AQ882" t="inlineStr">
        <is>
          <t>No</t>
        </is>
      </c>
      <c r="AS882">
        <f>HYPERLINK("https://creighton-primo.hosted.exlibrisgroup.com/primo-explore/search?tab=default_tab&amp;search_scope=EVERYTHING&amp;vid=01CRU&amp;lang=en_US&amp;offset=0&amp;query=any,contains,991004020439702656","Catalog Record")</f>
        <v/>
      </c>
      <c r="AT882">
        <f>HYPERLINK("http://www.worldcat.org/oclc/2121001","WorldCat Record")</f>
        <v/>
      </c>
      <c r="AU882" t="inlineStr">
        <is>
          <t>3372626738:eng</t>
        </is>
      </c>
      <c r="AV882" t="inlineStr">
        <is>
          <t>2121001</t>
        </is>
      </c>
      <c r="AW882" t="inlineStr">
        <is>
          <t>991004020439702656</t>
        </is>
      </c>
      <c r="AX882" t="inlineStr">
        <is>
          <t>991004020439702656</t>
        </is>
      </c>
      <c r="AY882" t="inlineStr">
        <is>
          <t>2267021050002656</t>
        </is>
      </c>
      <c r="AZ882" t="inlineStr">
        <is>
          <t>BOOK</t>
        </is>
      </c>
      <c r="BB882" t="inlineStr">
        <is>
          <t>9780890879115</t>
        </is>
      </c>
      <c r="BC882" t="inlineStr">
        <is>
          <t>32285000221589</t>
        </is>
      </c>
      <c r="BD882" t="inlineStr">
        <is>
          <t>893234956</t>
        </is>
      </c>
    </row>
    <row r="883">
      <c r="A883" t="inlineStr">
        <is>
          <t>No</t>
        </is>
      </c>
      <c r="B883" t="inlineStr">
        <is>
          <t>HQ1412 .L33</t>
        </is>
      </c>
      <c r="C883" t="inlineStr">
        <is>
          <t>0                      HQ 1412000L  33</t>
        </is>
      </c>
      <c r="D883" t="inlineStr">
        <is>
          <t>A generation of women : education in the lives of progressive reformers / Ellen Condliffe Lagemann.</t>
        </is>
      </c>
      <c r="F883" t="inlineStr">
        <is>
          <t>No</t>
        </is>
      </c>
      <c r="G883" t="inlineStr">
        <is>
          <t>1</t>
        </is>
      </c>
      <c r="H883" t="inlineStr">
        <is>
          <t>No</t>
        </is>
      </c>
      <c r="I883" t="inlineStr">
        <is>
          <t>No</t>
        </is>
      </c>
      <c r="J883" t="inlineStr">
        <is>
          <t>0</t>
        </is>
      </c>
      <c r="K883" t="inlineStr">
        <is>
          <t>Lagemann, Ellen Condliffe, 1945-</t>
        </is>
      </c>
      <c r="L883" t="inlineStr">
        <is>
          <t>Cambridge, Mass. : Harvard University Press, 1979.</t>
        </is>
      </c>
      <c r="M883" t="inlineStr">
        <is>
          <t>1979</t>
        </is>
      </c>
      <c r="O883" t="inlineStr">
        <is>
          <t>eng</t>
        </is>
      </c>
      <c r="P883" t="inlineStr">
        <is>
          <t>mau</t>
        </is>
      </c>
      <c r="R883" t="inlineStr">
        <is>
          <t xml:space="preserve">HQ </t>
        </is>
      </c>
      <c r="S883" t="n">
        <v>2</v>
      </c>
      <c r="T883" t="n">
        <v>2</v>
      </c>
      <c r="U883" t="inlineStr">
        <is>
          <t>2005-11-10</t>
        </is>
      </c>
      <c r="V883" t="inlineStr">
        <is>
          <t>2005-11-10</t>
        </is>
      </c>
      <c r="W883" t="inlineStr">
        <is>
          <t>1990-07-05</t>
        </is>
      </c>
      <c r="X883" t="inlineStr">
        <is>
          <t>1990-07-05</t>
        </is>
      </c>
      <c r="Y883" t="n">
        <v>692</v>
      </c>
      <c r="Z883" t="n">
        <v>604</v>
      </c>
      <c r="AA883" t="n">
        <v>616</v>
      </c>
      <c r="AB883" t="n">
        <v>5</v>
      </c>
      <c r="AC883" t="n">
        <v>5</v>
      </c>
      <c r="AD883" t="n">
        <v>30</v>
      </c>
      <c r="AE883" t="n">
        <v>30</v>
      </c>
      <c r="AF883" t="n">
        <v>11</v>
      </c>
      <c r="AG883" t="n">
        <v>11</v>
      </c>
      <c r="AH883" t="n">
        <v>7</v>
      </c>
      <c r="AI883" t="n">
        <v>7</v>
      </c>
      <c r="AJ883" t="n">
        <v>14</v>
      </c>
      <c r="AK883" t="n">
        <v>14</v>
      </c>
      <c r="AL883" t="n">
        <v>4</v>
      </c>
      <c r="AM883" t="n">
        <v>4</v>
      </c>
      <c r="AN883" t="n">
        <v>0</v>
      </c>
      <c r="AO883" t="n">
        <v>0</v>
      </c>
      <c r="AP883" t="inlineStr">
        <is>
          <t>No</t>
        </is>
      </c>
      <c r="AQ883" t="inlineStr">
        <is>
          <t>Yes</t>
        </is>
      </c>
      <c r="AR883">
        <f>HYPERLINK("http://catalog.hathitrust.org/Record/000301591","HathiTrust Record")</f>
        <v/>
      </c>
      <c r="AS883">
        <f>HYPERLINK("https://creighton-primo.hosted.exlibrisgroup.com/primo-explore/search?tab=default_tab&amp;search_scope=EVERYTHING&amp;vid=01CRU&amp;lang=en_US&amp;offset=0&amp;query=any,contains,991004758579702656","Catalog Record")</f>
        <v/>
      </c>
      <c r="AT883">
        <f>HYPERLINK("http://www.worldcat.org/oclc/4983292","WorldCat Record")</f>
        <v/>
      </c>
      <c r="AU883" t="inlineStr">
        <is>
          <t>375475245:eng</t>
        </is>
      </c>
      <c r="AV883" t="inlineStr">
        <is>
          <t>4983292</t>
        </is>
      </c>
      <c r="AW883" t="inlineStr">
        <is>
          <t>991004758579702656</t>
        </is>
      </c>
      <c r="AX883" t="inlineStr">
        <is>
          <t>991004758579702656</t>
        </is>
      </c>
      <c r="AY883" t="inlineStr">
        <is>
          <t>2265975220002656</t>
        </is>
      </c>
      <c r="AZ883" t="inlineStr">
        <is>
          <t>BOOK</t>
        </is>
      </c>
      <c r="BB883" t="inlineStr">
        <is>
          <t>9780674344716</t>
        </is>
      </c>
      <c r="BC883" t="inlineStr">
        <is>
          <t>32285000221597</t>
        </is>
      </c>
      <c r="BD883" t="inlineStr">
        <is>
          <t>893344219</t>
        </is>
      </c>
    </row>
    <row r="884">
      <c r="A884" t="inlineStr">
        <is>
          <t>No</t>
        </is>
      </c>
      <c r="B884" t="inlineStr">
        <is>
          <t>HQ1412 .V67 1983</t>
        </is>
      </c>
      <c r="C884" t="inlineStr">
        <is>
          <t>0                      HQ 1412000V  67          1983</t>
        </is>
      </c>
      <c r="D884" t="inlineStr">
        <is>
          <t>Women in the New Eden / Anne Voth.</t>
        </is>
      </c>
      <c r="F884" t="inlineStr">
        <is>
          <t>No</t>
        </is>
      </c>
      <c r="G884" t="inlineStr">
        <is>
          <t>1</t>
        </is>
      </c>
      <c r="H884" t="inlineStr">
        <is>
          <t>No</t>
        </is>
      </c>
      <c r="I884" t="inlineStr">
        <is>
          <t>No</t>
        </is>
      </c>
      <c r="J884" t="inlineStr">
        <is>
          <t>0</t>
        </is>
      </c>
      <c r="K884" t="inlineStr">
        <is>
          <t>Voth, Anne.</t>
        </is>
      </c>
      <c r="L884" t="inlineStr">
        <is>
          <t>Washington, D.C. : University Press of America, c1983.</t>
        </is>
      </c>
      <c r="M884" t="inlineStr">
        <is>
          <t>1983</t>
        </is>
      </c>
      <c r="O884" t="inlineStr">
        <is>
          <t>eng</t>
        </is>
      </c>
      <c r="P884" t="inlineStr">
        <is>
          <t>dcu</t>
        </is>
      </c>
      <c r="R884" t="inlineStr">
        <is>
          <t xml:space="preserve">HQ </t>
        </is>
      </c>
      <c r="S884" t="n">
        <v>5</v>
      </c>
      <c r="T884" t="n">
        <v>5</v>
      </c>
      <c r="U884" t="inlineStr">
        <is>
          <t>1997-02-03</t>
        </is>
      </c>
      <c r="V884" t="inlineStr">
        <is>
          <t>1997-02-03</t>
        </is>
      </c>
      <c r="W884" t="inlineStr">
        <is>
          <t>1993-04-28</t>
        </is>
      </c>
      <c r="X884" t="inlineStr">
        <is>
          <t>1993-04-28</t>
        </is>
      </c>
      <c r="Y884" t="n">
        <v>212</v>
      </c>
      <c r="Z884" t="n">
        <v>185</v>
      </c>
      <c r="AA884" t="n">
        <v>186</v>
      </c>
      <c r="AB884" t="n">
        <v>3</v>
      </c>
      <c r="AC884" t="n">
        <v>3</v>
      </c>
      <c r="AD884" t="n">
        <v>9</v>
      </c>
      <c r="AE884" t="n">
        <v>9</v>
      </c>
      <c r="AF884" t="n">
        <v>2</v>
      </c>
      <c r="AG884" t="n">
        <v>2</v>
      </c>
      <c r="AH884" t="n">
        <v>2</v>
      </c>
      <c r="AI884" t="n">
        <v>2</v>
      </c>
      <c r="AJ884" t="n">
        <v>4</v>
      </c>
      <c r="AK884" t="n">
        <v>4</v>
      </c>
      <c r="AL884" t="n">
        <v>2</v>
      </c>
      <c r="AM884" t="n">
        <v>2</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HYPERLINK("https://creighton-primo.hosted.exlibrisgroup.com/primo-explore/search?tab=default_tab&amp;search_scope=EVERYTHING&amp;vid=01CRU&amp;lang=en_US&amp;offset=0&amp;query=any,contains,991000139939702656","Catalog Record")</f>
        <v/>
      </c>
      <c r="AT884">
        <f>HYPERLINK("http://www.worldcat.org/oclc/9154316","WorldCat Record")</f>
        <v/>
      </c>
      <c r="AU884" t="inlineStr">
        <is>
          <t>42888715:eng</t>
        </is>
      </c>
      <c r="AV884" t="inlineStr">
        <is>
          <t>9154316</t>
        </is>
      </c>
      <c r="AW884" t="inlineStr">
        <is>
          <t>991000139939702656</t>
        </is>
      </c>
      <c r="AX884" t="inlineStr">
        <is>
          <t>991000139939702656</t>
        </is>
      </c>
      <c r="AY884" t="inlineStr">
        <is>
          <t>2264523940002656</t>
        </is>
      </c>
      <c r="AZ884" t="inlineStr">
        <is>
          <t>BOOK</t>
        </is>
      </c>
      <c r="BB884" t="inlineStr">
        <is>
          <t>9780819129185</t>
        </is>
      </c>
      <c r="BC884" t="inlineStr">
        <is>
          <t>32285001629723</t>
        </is>
      </c>
      <c r="BD884" t="inlineStr">
        <is>
          <t>893425465</t>
        </is>
      </c>
    </row>
    <row r="885">
      <c r="A885" t="inlineStr">
        <is>
          <t>No</t>
        </is>
      </c>
      <c r="B885" t="inlineStr">
        <is>
          <t>HQ1412 .W36 1999</t>
        </is>
      </c>
      <c r="C885" t="inlineStr">
        <is>
          <t>0                      HQ 1412000W  36          1999</t>
        </is>
      </c>
      <c r="D885" t="inlineStr">
        <is>
          <t>Not for ourselves alone : the story of Elizabeth Cady Stanton and Susan B. Anthony : an illustrated history / by Geoffrey C. Ward ; based on a documentary film by Ken Burns and Paul Barnes, written by Geoffrey C. Ward ; with a preface by Ken Burns ; introduction by Paul Barnes ; and contributions by Martha Saxton, Ann D. Gordon, Ellen Carol DuBois.</t>
        </is>
      </c>
      <c r="F885" t="inlineStr">
        <is>
          <t>No</t>
        </is>
      </c>
      <c r="G885" t="inlineStr">
        <is>
          <t>1</t>
        </is>
      </c>
      <c r="H885" t="inlineStr">
        <is>
          <t>No</t>
        </is>
      </c>
      <c r="I885" t="inlineStr">
        <is>
          <t>No</t>
        </is>
      </c>
      <c r="J885" t="inlineStr">
        <is>
          <t>0</t>
        </is>
      </c>
      <c r="K885" t="inlineStr">
        <is>
          <t>Ward, Geoffrey C.</t>
        </is>
      </c>
      <c r="L885" t="inlineStr">
        <is>
          <t>New York : A.A. Knopf, 1999.</t>
        </is>
      </c>
      <c r="M885" t="inlineStr">
        <is>
          <t>1999</t>
        </is>
      </c>
      <c r="N885" t="inlineStr">
        <is>
          <t>1st ed.</t>
        </is>
      </c>
      <c r="O885" t="inlineStr">
        <is>
          <t>eng</t>
        </is>
      </c>
      <c r="P885" t="inlineStr">
        <is>
          <t>nyu</t>
        </is>
      </c>
      <c r="R885" t="inlineStr">
        <is>
          <t xml:space="preserve">HQ </t>
        </is>
      </c>
      <c r="S885" t="n">
        <v>9</v>
      </c>
      <c r="T885" t="n">
        <v>9</v>
      </c>
      <c r="U885" t="inlineStr">
        <is>
          <t>2007-11-04</t>
        </is>
      </c>
      <c r="V885" t="inlineStr">
        <is>
          <t>2007-11-04</t>
        </is>
      </c>
      <c r="W885" t="inlineStr">
        <is>
          <t>1999-10-26</t>
        </is>
      </c>
      <c r="X885" t="inlineStr">
        <is>
          <t>1999-10-26</t>
        </is>
      </c>
      <c r="Y885" t="n">
        <v>2166</v>
      </c>
      <c r="Z885" t="n">
        <v>2099</v>
      </c>
      <c r="AA885" t="n">
        <v>2156</v>
      </c>
      <c r="AB885" t="n">
        <v>21</v>
      </c>
      <c r="AC885" t="n">
        <v>21</v>
      </c>
      <c r="AD885" t="n">
        <v>42</v>
      </c>
      <c r="AE885" t="n">
        <v>42</v>
      </c>
      <c r="AF885" t="n">
        <v>20</v>
      </c>
      <c r="AG885" t="n">
        <v>20</v>
      </c>
      <c r="AH885" t="n">
        <v>5</v>
      </c>
      <c r="AI885" t="n">
        <v>5</v>
      </c>
      <c r="AJ885" t="n">
        <v>19</v>
      </c>
      <c r="AK885" t="n">
        <v>19</v>
      </c>
      <c r="AL885" t="n">
        <v>8</v>
      </c>
      <c r="AM885" t="n">
        <v>8</v>
      </c>
      <c r="AN885" t="n">
        <v>1</v>
      </c>
      <c r="AO885" t="n">
        <v>1</v>
      </c>
      <c r="AP885" t="inlineStr">
        <is>
          <t>No</t>
        </is>
      </c>
      <c r="AQ885" t="inlineStr">
        <is>
          <t>Yes</t>
        </is>
      </c>
      <c r="AR885">
        <f>HYPERLINK("http://catalog.hathitrust.org/Record/004058631","HathiTrust Record")</f>
        <v/>
      </c>
      <c r="AS885">
        <f>HYPERLINK("https://creighton-primo.hosted.exlibrisgroup.com/primo-explore/search?tab=default_tab&amp;search_scope=EVERYTHING&amp;vid=01CRU&amp;lang=en_US&amp;offset=0&amp;query=any,contains,991003023889702656","Catalog Record")</f>
        <v/>
      </c>
      <c r="AT885">
        <f>HYPERLINK("http://www.worldcat.org/oclc/41273246","WorldCat Record")</f>
        <v/>
      </c>
      <c r="AU885" t="inlineStr">
        <is>
          <t>14438506:eng</t>
        </is>
      </c>
      <c r="AV885" t="inlineStr">
        <is>
          <t>41273246</t>
        </is>
      </c>
      <c r="AW885" t="inlineStr">
        <is>
          <t>991003023889702656</t>
        </is>
      </c>
      <c r="AX885" t="inlineStr">
        <is>
          <t>991003023889702656</t>
        </is>
      </c>
      <c r="AY885" t="inlineStr">
        <is>
          <t>2271586080002656</t>
        </is>
      </c>
      <c r="AZ885" t="inlineStr">
        <is>
          <t>BOOK</t>
        </is>
      </c>
      <c r="BB885" t="inlineStr">
        <is>
          <t>9780375405600</t>
        </is>
      </c>
      <c r="BC885" t="inlineStr">
        <is>
          <t>32285003613501</t>
        </is>
      </c>
      <c r="BD885" t="inlineStr">
        <is>
          <t>893774306</t>
        </is>
      </c>
    </row>
    <row r="886">
      <c r="A886" t="inlineStr">
        <is>
          <t>No</t>
        </is>
      </c>
      <c r="B886" t="inlineStr">
        <is>
          <t>HQ1412 .W66 1990</t>
        </is>
      </c>
      <c r="C886" t="inlineStr">
        <is>
          <t>0                      HQ 1412000W  66          1990</t>
        </is>
      </c>
      <c r="D886" t="inlineStr">
        <is>
          <t>Women of valor : the struggle against the great depression as told in their own life stories / edited with commentary by Bernard Sternsher and Judith Sealander.</t>
        </is>
      </c>
      <c r="F886" t="inlineStr">
        <is>
          <t>No</t>
        </is>
      </c>
      <c r="G886" t="inlineStr">
        <is>
          <t>1</t>
        </is>
      </c>
      <c r="H886" t="inlineStr">
        <is>
          <t>No</t>
        </is>
      </c>
      <c r="I886" t="inlineStr">
        <is>
          <t>No</t>
        </is>
      </c>
      <c r="J886" t="inlineStr">
        <is>
          <t>0</t>
        </is>
      </c>
      <c r="L886" t="inlineStr">
        <is>
          <t>Chicago : I.R. Dee, 1990.</t>
        </is>
      </c>
      <c r="M886" t="inlineStr">
        <is>
          <t>1990</t>
        </is>
      </c>
      <c r="O886" t="inlineStr">
        <is>
          <t>eng</t>
        </is>
      </c>
      <c r="P886" t="inlineStr">
        <is>
          <t>ilu</t>
        </is>
      </c>
      <c r="R886" t="inlineStr">
        <is>
          <t xml:space="preserve">HQ </t>
        </is>
      </c>
      <c r="S886" t="n">
        <v>4</v>
      </c>
      <c r="T886" t="n">
        <v>4</v>
      </c>
      <c r="U886" t="inlineStr">
        <is>
          <t>2010-02-13</t>
        </is>
      </c>
      <c r="V886" t="inlineStr">
        <is>
          <t>2010-02-13</t>
        </is>
      </c>
      <c r="W886" t="inlineStr">
        <is>
          <t>2001-01-15</t>
        </is>
      </c>
      <c r="X886" t="inlineStr">
        <is>
          <t>2001-01-15</t>
        </is>
      </c>
      <c r="Y886" t="n">
        <v>666</v>
      </c>
      <c r="Z886" t="n">
        <v>636</v>
      </c>
      <c r="AA886" t="n">
        <v>637</v>
      </c>
      <c r="AB886" t="n">
        <v>4</v>
      </c>
      <c r="AC886" t="n">
        <v>4</v>
      </c>
      <c r="AD886" t="n">
        <v>22</v>
      </c>
      <c r="AE886" t="n">
        <v>22</v>
      </c>
      <c r="AF886" t="n">
        <v>7</v>
      </c>
      <c r="AG886" t="n">
        <v>7</v>
      </c>
      <c r="AH886" t="n">
        <v>7</v>
      </c>
      <c r="AI886" t="n">
        <v>7</v>
      </c>
      <c r="AJ886" t="n">
        <v>11</v>
      </c>
      <c r="AK886" t="n">
        <v>11</v>
      </c>
      <c r="AL886" t="n">
        <v>3</v>
      </c>
      <c r="AM886" t="n">
        <v>3</v>
      </c>
      <c r="AN886" t="n">
        <v>0</v>
      </c>
      <c r="AO886" t="n">
        <v>0</v>
      </c>
      <c r="AP886" t="inlineStr">
        <is>
          <t>No</t>
        </is>
      </c>
      <c r="AQ886" t="inlineStr">
        <is>
          <t>Yes</t>
        </is>
      </c>
      <c r="AR886">
        <f>HYPERLINK("http://catalog.hathitrust.org/Record/002210284","HathiTrust Record")</f>
        <v/>
      </c>
      <c r="AS886">
        <f>HYPERLINK("https://creighton-primo.hosted.exlibrisgroup.com/primo-explore/search?tab=default_tab&amp;search_scope=EVERYTHING&amp;vid=01CRU&amp;lang=en_US&amp;offset=0&amp;query=any,contains,991003345579702656","Catalog Record")</f>
        <v/>
      </c>
      <c r="AT886">
        <f>HYPERLINK("http://www.worldcat.org/oclc/21559424","WorldCat Record")</f>
        <v/>
      </c>
      <c r="AU886" t="inlineStr">
        <is>
          <t>433505353:eng</t>
        </is>
      </c>
      <c r="AV886" t="inlineStr">
        <is>
          <t>21559424</t>
        </is>
      </c>
      <c r="AW886" t="inlineStr">
        <is>
          <t>991003345579702656</t>
        </is>
      </c>
      <c r="AX886" t="inlineStr">
        <is>
          <t>991003345579702656</t>
        </is>
      </c>
      <c r="AY886" t="inlineStr">
        <is>
          <t>2272438860002656</t>
        </is>
      </c>
      <c r="AZ886" t="inlineStr">
        <is>
          <t>BOOK</t>
        </is>
      </c>
      <c r="BB886" t="inlineStr">
        <is>
          <t>9780929587349</t>
        </is>
      </c>
      <c r="BC886" t="inlineStr">
        <is>
          <t>32285004283577</t>
        </is>
      </c>
      <c r="BD886" t="inlineStr">
        <is>
          <t>893610939</t>
        </is>
      </c>
    </row>
    <row r="887">
      <c r="A887" t="inlineStr">
        <is>
          <t>No</t>
        </is>
      </c>
      <c r="B887" t="inlineStr">
        <is>
          <t>HQ1413 .F455 1999</t>
        </is>
      </c>
      <c r="C887" t="inlineStr">
        <is>
          <t>0                      HQ 1413000F  455         1999</t>
        </is>
      </c>
      <c r="D887" t="inlineStr">
        <is>
          <t>Betty Friedan : her life / Judith Hennessee.</t>
        </is>
      </c>
      <c r="F887" t="inlineStr">
        <is>
          <t>No</t>
        </is>
      </c>
      <c r="G887" t="inlineStr">
        <is>
          <t>1</t>
        </is>
      </c>
      <c r="H887" t="inlineStr">
        <is>
          <t>No</t>
        </is>
      </c>
      <c r="I887" t="inlineStr">
        <is>
          <t>No</t>
        </is>
      </c>
      <c r="J887" t="inlineStr">
        <is>
          <t>0</t>
        </is>
      </c>
      <c r="K887" t="inlineStr">
        <is>
          <t>Hennessee, Judith Adler.</t>
        </is>
      </c>
      <c r="L887" t="inlineStr">
        <is>
          <t>New York : Random House, c1999.</t>
        </is>
      </c>
      <c r="M887" t="inlineStr">
        <is>
          <t>1999</t>
        </is>
      </c>
      <c r="N887" t="inlineStr">
        <is>
          <t>1st ed.</t>
        </is>
      </c>
      <c r="O887" t="inlineStr">
        <is>
          <t>eng</t>
        </is>
      </c>
      <c r="P887" t="inlineStr">
        <is>
          <t>nyu</t>
        </is>
      </c>
      <c r="R887" t="inlineStr">
        <is>
          <t xml:space="preserve">HQ </t>
        </is>
      </c>
      <c r="S887" t="n">
        <v>3</v>
      </c>
      <c r="T887" t="n">
        <v>3</v>
      </c>
      <c r="U887" t="inlineStr">
        <is>
          <t>2000-04-10</t>
        </is>
      </c>
      <c r="V887" t="inlineStr">
        <is>
          <t>2000-04-10</t>
        </is>
      </c>
      <c r="W887" t="inlineStr">
        <is>
          <t>1999-04-26</t>
        </is>
      </c>
      <c r="X887" t="inlineStr">
        <is>
          <t>1999-04-26</t>
        </is>
      </c>
      <c r="Y887" t="n">
        <v>885</v>
      </c>
      <c r="Z887" t="n">
        <v>829</v>
      </c>
      <c r="AA887" t="n">
        <v>853</v>
      </c>
      <c r="AB887" t="n">
        <v>5</v>
      </c>
      <c r="AC887" t="n">
        <v>5</v>
      </c>
      <c r="AD887" t="n">
        <v>33</v>
      </c>
      <c r="AE887" t="n">
        <v>33</v>
      </c>
      <c r="AF887" t="n">
        <v>13</v>
      </c>
      <c r="AG887" t="n">
        <v>13</v>
      </c>
      <c r="AH887" t="n">
        <v>9</v>
      </c>
      <c r="AI887" t="n">
        <v>9</v>
      </c>
      <c r="AJ887" t="n">
        <v>15</v>
      </c>
      <c r="AK887" t="n">
        <v>15</v>
      </c>
      <c r="AL887" t="n">
        <v>4</v>
      </c>
      <c r="AM887" t="n">
        <v>4</v>
      </c>
      <c r="AN887" t="n">
        <v>0</v>
      </c>
      <c r="AO887" t="n">
        <v>0</v>
      </c>
      <c r="AP887" t="inlineStr">
        <is>
          <t>No</t>
        </is>
      </c>
      <c r="AQ887" t="inlineStr">
        <is>
          <t>Yes</t>
        </is>
      </c>
      <c r="AR887">
        <f>HYPERLINK("http://catalog.hathitrust.org/Record/004023121","HathiTrust Record")</f>
        <v/>
      </c>
      <c r="AS887">
        <f>HYPERLINK("https://creighton-primo.hosted.exlibrisgroup.com/primo-explore/search?tab=default_tab&amp;search_scope=EVERYTHING&amp;vid=01CRU&amp;lang=en_US&amp;offset=0&amp;query=any,contains,991002940159702656","Catalog Record")</f>
        <v/>
      </c>
      <c r="AT887">
        <f>HYPERLINK("http://www.worldcat.org/oclc/39122819","WorldCat Record")</f>
        <v/>
      </c>
      <c r="AU887" t="inlineStr">
        <is>
          <t>25599266:eng</t>
        </is>
      </c>
      <c r="AV887" t="inlineStr">
        <is>
          <t>39122819</t>
        </is>
      </c>
      <c r="AW887" t="inlineStr">
        <is>
          <t>991002940159702656</t>
        </is>
      </c>
      <c r="AX887" t="inlineStr">
        <is>
          <t>991002940159702656</t>
        </is>
      </c>
      <c r="AY887" t="inlineStr">
        <is>
          <t>2262447970002656</t>
        </is>
      </c>
      <c r="AZ887" t="inlineStr">
        <is>
          <t>BOOK</t>
        </is>
      </c>
      <c r="BB887" t="inlineStr">
        <is>
          <t>9780679432036</t>
        </is>
      </c>
      <c r="BC887" t="inlineStr">
        <is>
          <t>32285003555629</t>
        </is>
      </c>
      <c r="BD887" t="inlineStr">
        <is>
          <t>893233628</t>
        </is>
      </c>
    </row>
    <row r="888">
      <c r="A888" t="inlineStr">
        <is>
          <t>No</t>
        </is>
      </c>
      <c r="B888" t="inlineStr">
        <is>
          <t>HQ1413.B39 A4 1991</t>
        </is>
      </c>
      <c r="C888" t="inlineStr">
        <is>
          <t>0                      HQ 1413000B  39                 A  4           1991</t>
        </is>
      </c>
      <c r="D888" t="inlineStr">
        <is>
          <t>A woman making history : Mary Ritter Beard through her letters / edited and with an introduction by Nancy F. Cott.</t>
        </is>
      </c>
      <c r="F888" t="inlineStr">
        <is>
          <t>No</t>
        </is>
      </c>
      <c r="G888" t="inlineStr">
        <is>
          <t>1</t>
        </is>
      </c>
      <c r="H888" t="inlineStr">
        <is>
          <t>No</t>
        </is>
      </c>
      <c r="I888" t="inlineStr">
        <is>
          <t>No</t>
        </is>
      </c>
      <c r="J888" t="inlineStr">
        <is>
          <t>0</t>
        </is>
      </c>
      <c r="K888" t="inlineStr">
        <is>
          <t>Beard, Mary Ritter, 1876-1958.</t>
        </is>
      </c>
      <c r="L888" t="inlineStr">
        <is>
          <t>New Haven : Yale University Press, c1991.</t>
        </is>
      </c>
      <c r="M888" t="inlineStr">
        <is>
          <t>1991</t>
        </is>
      </c>
      <c r="O888" t="inlineStr">
        <is>
          <t>eng</t>
        </is>
      </c>
      <c r="P888" t="inlineStr">
        <is>
          <t>ctu</t>
        </is>
      </c>
      <c r="R888" t="inlineStr">
        <is>
          <t xml:space="preserve">HQ </t>
        </is>
      </c>
      <c r="S888" t="n">
        <v>2</v>
      </c>
      <c r="T888" t="n">
        <v>2</v>
      </c>
      <c r="U888" t="inlineStr">
        <is>
          <t>1993-03-01</t>
        </is>
      </c>
      <c r="V888" t="inlineStr">
        <is>
          <t>1993-03-01</t>
        </is>
      </c>
      <c r="W888" t="inlineStr">
        <is>
          <t>1991-04-09</t>
        </is>
      </c>
      <c r="X888" t="inlineStr">
        <is>
          <t>1991-04-09</t>
        </is>
      </c>
      <c r="Y888" t="n">
        <v>702</v>
      </c>
      <c r="Z888" t="n">
        <v>620</v>
      </c>
      <c r="AA888" t="n">
        <v>766</v>
      </c>
      <c r="AB888" t="n">
        <v>5</v>
      </c>
      <c r="AC888" t="n">
        <v>5</v>
      </c>
      <c r="AD888" t="n">
        <v>30</v>
      </c>
      <c r="AE888" t="n">
        <v>36</v>
      </c>
      <c r="AF888" t="n">
        <v>10</v>
      </c>
      <c r="AG888" t="n">
        <v>14</v>
      </c>
      <c r="AH888" t="n">
        <v>7</v>
      </c>
      <c r="AI888" t="n">
        <v>10</v>
      </c>
      <c r="AJ888" t="n">
        <v>18</v>
      </c>
      <c r="AK888" t="n">
        <v>20</v>
      </c>
      <c r="AL888" t="n">
        <v>4</v>
      </c>
      <c r="AM888" t="n">
        <v>4</v>
      </c>
      <c r="AN888" t="n">
        <v>0</v>
      </c>
      <c r="AO888" t="n">
        <v>0</v>
      </c>
      <c r="AP888" t="inlineStr">
        <is>
          <t>No</t>
        </is>
      </c>
      <c r="AQ888" t="inlineStr">
        <is>
          <t>No</t>
        </is>
      </c>
      <c r="AS888">
        <f>HYPERLINK("https://creighton-primo.hosted.exlibrisgroup.com/primo-explore/search?tab=default_tab&amp;search_scope=EVERYTHING&amp;vid=01CRU&amp;lang=en_US&amp;offset=0&amp;query=any,contains,991001723539702656","Catalog Record")</f>
        <v/>
      </c>
      <c r="AT888">
        <f>HYPERLINK("http://www.worldcat.org/oclc/21871534","WorldCat Record")</f>
        <v/>
      </c>
      <c r="AU888" t="inlineStr">
        <is>
          <t>21011160:eng</t>
        </is>
      </c>
      <c r="AV888" t="inlineStr">
        <is>
          <t>21871534</t>
        </is>
      </c>
      <c r="AW888" t="inlineStr">
        <is>
          <t>991001723539702656</t>
        </is>
      </c>
      <c r="AX888" t="inlineStr">
        <is>
          <t>991001723539702656</t>
        </is>
      </c>
      <c r="AY888" t="inlineStr">
        <is>
          <t>2271678240002656</t>
        </is>
      </c>
      <c r="AZ888" t="inlineStr">
        <is>
          <t>BOOK</t>
        </is>
      </c>
      <c r="BB888" t="inlineStr">
        <is>
          <t>9780300048254</t>
        </is>
      </c>
      <c r="BC888" t="inlineStr">
        <is>
          <t>32285000566546</t>
        </is>
      </c>
      <c r="BD888" t="inlineStr">
        <is>
          <t>893696980</t>
        </is>
      </c>
    </row>
    <row r="889">
      <c r="A889" t="inlineStr">
        <is>
          <t>No</t>
        </is>
      </c>
      <c r="B889" t="inlineStr">
        <is>
          <t>HQ1413.C45 C55 1992</t>
        </is>
      </c>
      <c r="C889" t="inlineStr">
        <is>
          <t>0                      HQ 1413000C  45                 C  55          1992</t>
        </is>
      </c>
      <c r="D889" t="inlineStr">
        <is>
          <t>Crusader for freedom : a life of Lydia Maria Child / Deborah Pickman Clifford.</t>
        </is>
      </c>
      <c r="F889" t="inlineStr">
        <is>
          <t>No</t>
        </is>
      </c>
      <c r="G889" t="inlineStr">
        <is>
          <t>1</t>
        </is>
      </c>
      <c r="H889" t="inlineStr">
        <is>
          <t>No</t>
        </is>
      </c>
      <c r="I889" t="inlineStr">
        <is>
          <t>No</t>
        </is>
      </c>
      <c r="J889" t="inlineStr">
        <is>
          <t>0</t>
        </is>
      </c>
      <c r="K889" t="inlineStr">
        <is>
          <t>Clifford, Deborah Pickman.</t>
        </is>
      </c>
      <c r="L889" t="inlineStr">
        <is>
          <t>Boston : Beacon Press, c1992.</t>
        </is>
      </c>
      <c r="M889" t="inlineStr">
        <is>
          <t>1992</t>
        </is>
      </c>
      <c r="O889" t="inlineStr">
        <is>
          <t>eng</t>
        </is>
      </c>
      <c r="P889" t="inlineStr">
        <is>
          <t>mau</t>
        </is>
      </c>
      <c r="R889" t="inlineStr">
        <is>
          <t xml:space="preserve">HQ </t>
        </is>
      </c>
      <c r="S889" t="n">
        <v>5</v>
      </c>
      <c r="T889" t="n">
        <v>5</v>
      </c>
      <c r="U889" t="inlineStr">
        <is>
          <t>2007-12-14</t>
        </is>
      </c>
      <c r="V889" t="inlineStr">
        <is>
          <t>2007-12-14</t>
        </is>
      </c>
      <c r="W889" t="inlineStr">
        <is>
          <t>1993-10-16</t>
        </is>
      </c>
      <c r="X889" t="inlineStr">
        <is>
          <t>1993-10-16</t>
        </is>
      </c>
      <c r="Y889" t="n">
        <v>498</v>
      </c>
      <c r="Z889" t="n">
        <v>460</v>
      </c>
      <c r="AA889" t="n">
        <v>466</v>
      </c>
      <c r="AB889" t="n">
        <v>4</v>
      </c>
      <c r="AC889" t="n">
        <v>4</v>
      </c>
      <c r="AD889" t="n">
        <v>23</v>
      </c>
      <c r="AE889" t="n">
        <v>23</v>
      </c>
      <c r="AF889" t="n">
        <v>7</v>
      </c>
      <c r="AG889" t="n">
        <v>7</v>
      </c>
      <c r="AH889" t="n">
        <v>6</v>
      </c>
      <c r="AI889" t="n">
        <v>6</v>
      </c>
      <c r="AJ889" t="n">
        <v>13</v>
      </c>
      <c r="AK889" t="n">
        <v>13</v>
      </c>
      <c r="AL889" t="n">
        <v>3</v>
      </c>
      <c r="AM889" t="n">
        <v>3</v>
      </c>
      <c r="AN889" t="n">
        <v>0</v>
      </c>
      <c r="AO889" t="n">
        <v>0</v>
      </c>
      <c r="AP889" t="inlineStr">
        <is>
          <t>No</t>
        </is>
      </c>
      <c r="AQ889" t="inlineStr">
        <is>
          <t>Yes</t>
        </is>
      </c>
      <c r="AR889">
        <f>HYPERLINK("http://catalog.hathitrust.org/Record/002553046","HathiTrust Record")</f>
        <v/>
      </c>
      <c r="AS889">
        <f>HYPERLINK("https://creighton-primo.hosted.exlibrisgroup.com/primo-explore/search?tab=default_tab&amp;search_scope=EVERYTHING&amp;vid=01CRU&amp;lang=en_US&amp;offset=0&amp;query=any,contains,991001946199702656","Catalog Record")</f>
        <v/>
      </c>
      <c r="AT889">
        <f>HYPERLINK("http://www.worldcat.org/oclc/24590374","WorldCat Record")</f>
        <v/>
      </c>
      <c r="AU889" t="inlineStr">
        <is>
          <t>141668537:eng</t>
        </is>
      </c>
      <c r="AV889" t="inlineStr">
        <is>
          <t>24590374</t>
        </is>
      </c>
      <c r="AW889" t="inlineStr">
        <is>
          <t>991001946199702656</t>
        </is>
      </c>
      <c r="AX889" t="inlineStr">
        <is>
          <t>991001946199702656</t>
        </is>
      </c>
      <c r="AY889" t="inlineStr">
        <is>
          <t>2272772230002656</t>
        </is>
      </c>
      <c r="AZ889" t="inlineStr">
        <is>
          <t>BOOK</t>
        </is>
      </c>
      <c r="BB889" t="inlineStr">
        <is>
          <t>9780807070505</t>
        </is>
      </c>
      <c r="BC889" t="inlineStr">
        <is>
          <t>32285001786374</t>
        </is>
      </c>
      <c r="BD889" t="inlineStr">
        <is>
          <t>893334747</t>
        </is>
      </c>
    </row>
    <row r="890">
      <c r="A890" t="inlineStr">
        <is>
          <t>No</t>
        </is>
      </c>
      <c r="B890" t="inlineStr">
        <is>
          <t>HQ1413.G54 H54</t>
        </is>
      </c>
      <c r="C890" t="inlineStr">
        <is>
          <t>0                      HQ 1413000G  54                 H  54</t>
        </is>
      </c>
      <c r="D890" t="inlineStr">
        <is>
          <t>Charlotte Perkins Gilman : the making of a radical feminist, 1860-1896 / Mary A. Hill.</t>
        </is>
      </c>
      <c r="F890" t="inlineStr">
        <is>
          <t>No</t>
        </is>
      </c>
      <c r="G890" t="inlineStr">
        <is>
          <t>1</t>
        </is>
      </c>
      <c r="H890" t="inlineStr">
        <is>
          <t>No</t>
        </is>
      </c>
      <c r="I890" t="inlineStr">
        <is>
          <t>No</t>
        </is>
      </c>
      <c r="J890" t="inlineStr">
        <is>
          <t>0</t>
        </is>
      </c>
      <c r="K890" t="inlineStr">
        <is>
          <t>Hill, Mary Armfield.</t>
        </is>
      </c>
      <c r="L890" t="inlineStr">
        <is>
          <t>Philadelphia : Temple University Press, c1980.</t>
        </is>
      </c>
      <c r="M890" t="inlineStr">
        <is>
          <t>1979</t>
        </is>
      </c>
      <c r="O890" t="inlineStr">
        <is>
          <t>eng</t>
        </is>
      </c>
      <c r="P890" t="inlineStr">
        <is>
          <t>pau</t>
        </is>
      </c>
      <c r="R890" t="inlineStr">
        <is>
          <t xml:space="preserve">HQ </t>
        </is>
      </c>
      <c r="S890" t="n">
        <v>4</v>
      </c>
      <c r="T890" t="n">
        <v>4</v>
      </c>
      <c r="U890" t="inlineStr">
        <is>
          <t>1998-05-04</t>
        </is>
      </c>
      <c r="V890" t="inlineStr">
        <is>
          <t>1998-05-04</t>
        </is>
      </c>
      <c r="W890" t="inlineStr">
        <is>
          <t>1990-07-05</t>
        </is>
      </c>
      <c r="X890" t="inlineStr">
        <is>
          <t>1990-07-05</t>
        </is>
      </c>
      <c r="Y890" t="n">
        <v>1127</v>
      </c>
      <c r="Z890" t="n">
        <v>1011</v>
      </c>
      <c r="AA890" t="n">
        <v>1023</v>
      </c>
      <c r="AB890" t="n">
        <v>5</v>
      </c>
      <c r="AC890" t="n">
        <v>5</v>
      </c>
      <c r="AD890" t="n">
        <v>37</v>
      </c>
      <c r="AE890" t="n">
        <v>37</v>
      </c>
      <c r="AF890" t="n">
        <v>16</v>
      </c>
      <c r="AG890" t="n">
        <v>16</v>
      </c>
      <c r="AH890" t="n">
        <v>11</v>
      </c>
      <c r="AI890" t="n">
        <v>11</v>
      </c>
      <c r="AJ890" t="n">
        <v>17</v>
      </c>
      <c r="AK890" t="n">
        <v>17</v>
      </c>
      <c r="AL890" t="n">
        <v>4</v>
      </c>
      <c r="AM890" t="n">
        <v>4</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HYPERLINK("https://creighton-primo.hosted.exlibrisgroup.com/primo-explore/search?tab=default_tab&amp;search_scope=EVERYTHING&amp;vid=01CRU&amp;lang=en_US&amp;offset=0&amp;query=any,contains,991004845249702656","Catalog Record")</f>
        <v/>
      </c>
      <c r="AT890">
        <f>HYPERLINK("http://www.worldcat.org/oclc/5563994","WorldCat Record")</f>
        <v/>
      </c>
      <c r="AU890" t="inlineStr">
        <is>
          <t>864119755:eng</t>
        </is>
      </c>
      <c r="AV890" t="inlineStr">
        <is>
          <t>5563994</t>
        </is>
      </c>
      <c r="AW890" t="inlineStr">
        <is>
          <t>991004845249702656</t>
        </is>
      </c>
      <c r="AX890" t="inlineStr">
        <is>
          <t>991004845249702656</t>
        </is>
      </c>
      <c r="AY890" t="inlineStr">
        <is>
          <t>2268037820002656</t>
        </is>
      </c>
      <c r="AZ890" t="inlineStr">
        <is>
          <t>BOOK</t>
        </is>
      </c>
      <c r="BB890" t="inlineStr">
        <is>
          <t>9780877221609</t>
        </is>
      </c>
      <c r="BC890" t="inlineStr">
        <is>
          <t>32285000221639</t>
        </is>
      </c>
      <c r="BD890" t="inlineStr">
        <is>
          <t>893412014</t>
        </is>
      </c>
    </row>
    <row r="891">
      <c r="A891" t="inlineStr">
        <is>
          <t>No</t>
        </is>
      </c>
      <c r="B891" t="inlineStr">
        <is>
          <t>HQ1413.I74 A3 1996</t>
        </is>
      </c>
      <c r="C891" t="inlineStr">
        <is>
          <t>0                      HQ 1413000I  74                 A  3           1996</t>
        </is>
      </c>
      <c r="D891" t="inlineStr">
        <is>
          <t>What women want / Patricia Ireland.</t>
        </is>
      </c>
      <c r="F891" t="inlineStr">
        <is>
          <t>No</t>
        </is>
      </c>
      <c r="G891" t="inlineStr">
        <is>
          <t>1</t>
        </is>
      </c>
      <c r="H891" t="inlineStr">
        <is>
          <t>No</t>
        </is>
      </c>
      <c r="I891" t="inlineStr">
        <is>
          <t>No</t>
        </is>
      </c>
      <c r="J891" t="inlineStr">
        <is>
          <t>0</t>
        </is>
      </c>
      <c r="K891" t="inlineStr">
        <is>
          <t>Ireland, Patricia.</t>
        </is>
      </c>
      <c r="L891" t="inlineStr">
        <is>
          <t>New York : Dutton, c1996.</t>
        </is>
      </c>
      <c r="M891" t="inlineStr">
        <is>
          <t>1996</t>
        </is>
      </c>
      <c r="O891" t="inlineStr">
        <is>
          <t>eng</t>
        </is>
      </c>
      <c r="P891" t="inlineStr">
        <is>
          <t>nyu</t>
        </is>
      </c>
      <c r="R891" t="inlineStr">
        <is>
          <t xml:space="preserve">HQ </t>
        </is>
      </c>
      <c r="S891" t="n">
        <v>5</v>
      </c>
      <c r="T891" t="n">
        <v>5</v>
      </c>
      <c r="U891" t="inlineStr">
        <is>
          <t>2000-04-10</t>
        </is>
      </c>
      <c r="V891" t="inlineStr">
        <is>
          <t>2000-04-10</t>
        </is>
      </c>
      <c r="W891" t="inlineStr">
        <is>
          <t>1996-09-24</t>
        </is>
      </c>
      <c r="X891" t="inlineStr">
        <is>
          <t>1996-09-24</t>
        </is>
      </c>
      <c r="Y891" t="n">
        <v>800</v>
      </c>
      <c r="Z891" t="n">
        <v>754</v>
      </c>
      <c r="AA891" t="n">
        <v>806</v>
      </c>
      <c r="AB891" t="n">
        <v>6</v>
      </c>
      <c r="AC891" t="n">
        <v>6</v>
      </c>
      <c r="AD891" t="n">
        <v>22</v>
      </c>
      <c r="AE891" t="n">
        <v>25</v>
      </c>
      <c r="AF891" t="n">
        <v>6</v>
      </c>
      <c r="AG891" t="n">
        <v>7</v>
      </c>
      <c r="AH891" t="n">
        <v>5</v>
      </c>
      <c r="AI891" t="n">
        <v>6</v>
      </c>
      <c r="AJ891" t="n">
        <v>12</v>
      </c>
      <c r="AK891" t="n">
        <v>12</v>
      </c>
      <c r="AL891" t="n">
        <v>4</v>
      </c>
      <c r="AM891" t="n">
        <v>4</v>
      </c>
      <c r="AN891" t="n">
        <v>1</v>
      </c>
      <c r="AO891" t="n">
        <v>2</v>
      </c>
      <c r="AP891" t="inlineStr">
        <is>
          <t>No</t>
        </is>
      </c>
      <c r="AQ891" t="inlineStr">
        <is>
          <t>No</t>
        </is>
      </c>
      <c r="AS891">
        <f>HYPERLINK("https://creighton-primo.hosted.exlibrisgroup.com/primo-explore/search?tab=default_tab&amp;search_scope=EVERYTHING&amp;vid=01CRU&amp;lang=en_US&amp;offset=0&amp;query=any,contains,991002619709702656","Catalog Record")</f>
        <v/>
      </c>
      <c r="AT891">
        <f>HYPERLINK("http://www.worldcat.org/oclc/34323206","WorldCat Record")</f>
        <v/>
      </c>
      <c r="AU891" t="inlineStr">
        <is>
          <t>547562:eng</t>
        </is>
      </c>
      <c r="AV891" t="inlineStr">
        <is>
          <t>34323206</t>
        </is>
      </c>
      <c r="AW891" t="inlineStr">
        <is>
          <t>991002619709702656</t>
        </is>
      </c>
      <c r="AX891" t="inlineStr">
        <is>
          <t>991002619709702656</t>
        </is>
      </c>
      <c r="AY891" t="inlineStr">
        <is>
          <t>2255009330002656</t>
        </is>
      </c>
      <c r="AZ891" t="inlineStr">
        <is>
          <t>BOOK</t>
        </is>
      </c>
      <c r="BB891" t="inlineStr">
        <is>
          <t>9780525938576</t>
        </is>
      </c>
      <c r="BC891" t="inlineStr">
        <is>
          <t>32285002318862</t>
        </is>
      </c>
      <c r="BD891" t="inlineStr">
        <is>
          <t>893415429</t>
        </is>
      </c>
    </row>
    <row r="892">
      <c r="A892" t="inlineStr">
        <is>
          <t>No</t>
        </is>
      </c>
      <c r="B892" t="inlineStr">
        <is>
          <t>HQ1413.L87 S77 2001</t>
        </is>
      </c>
      <c r="C892" t="inlineStr">
        <is>
          <t>0                      HQ 1413000L  87                 S  77          2001</t>
        </is>
      </c>
      <c r="D892" t="inlineStr">
        <is>
          <t>Political woman : Florence Luscomb and the legacy of radical reform / Sharon Hartman Strom.</t>
        </is>
      </c>
      <c r="F892" t="inlineStr">
        <is>
          <t>No</t>
        </is>
      </c>
      <c r="G892" t="inlineStr">
        <is>
          <t>1</t>
        </is>
      </c>
      <c r="H892" t="inlineStr">
        <is>
          <t>No</t>
        </is>
      </c>
      <c r="I892" t="inlineStr">
        <is>
          <t>No</t>
        </is>
      </c>
      <c r="J892" t="inlineStr">
        <is>
          <t>0</t>
        </is>
      </c>
      <c r="K892" t="inlineStr">
        <is>
          <t>Strom, Sharon Hartman.</t>
        </is>
      </c>
      <c r="L892" t="inlineStr">
        <is>
          <t>Philadelphia : Temple University Press, c2001.</t>
        </is>
      </c>
      <c r="M892" t="inlineStr">
        <is>
          <t>2001</t>
        </is>
      </c>
      <c r="O892" t="inlineStr">
        <is>
          <t>eng</t>
        </is>
      </c>
      <c r="P892" t="inlineStr">
        <is>
          <t>pau</t>
        </is>
      </c>
      <c r="Q892" t="inlineStr">
        <is>
          <t>Critical perspectives on the past</t>
        </is>
      </c>
      <c r="R892" t="inlineStr">
        <is>
          <t xml:space="preserve">HQ </t>
        </is>
      </c>
      <c r="S892" t="n">
        <v>1</v>
      </c>
      <c r="T892" t="n">
        <v>1</v>
      </c>
      <c r="U892" t="inlineStr">
        <is>
          <t>2001-07-03</t>
        </is>
      </c>
      <c r="V892" t="inlineStr">
        <is>
          <t>2001-07-03</t>
        </is>
      </c>
      <c r="W892" t="inlineStr">
        <is>
          <t>2001-07-03</t>
        </is>
      </c>
      <c r="X892" t="inlineStr">
        <is>
          <t>2001-07-03</t>
        </is>
      </c>
      <c r="Y892" t="n">
        <v>256</v>
      </c>
      <c r="Z892" t="n">
        <v>236</v>
      </c>
      <c r="AA892" t="n">
        <v>236</v>
      </c>
      <c r="AB892" t="n">
        <v>2</v>
      </c>
      <c r="AC892" t="n">
        <v>2</v>
      </c>
      <c r="AD892" t="n">
        <v>15</v>
      </c>
      <c r="AE892" t="n">
        <v>15</v>
      </c>
      <c r="AF892" t="n">
        <v>5</v>
      </c>
      <c r="AG892" t="n">
        <v>5</v>
      </c>
      <c r="AH892" t="n">
        <v>5</v>
      </c>
      <c r="AI892" t="n">
        <v>5</v>
      </c>
      <c r="AJ892" t="n">
        <v>9</v>
      </c>
      <c r="AK892" t="n">
        <v>9</v>
      </c>
      <c r="AL892" t="n">
        <v>1</v>
      </c>
      <c r="AM892" t="n">
        <v>1</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HYPERLINK("https://creighton-primo.hosted.exlibrisgroup.com/primo-explore/search?tab=default_tab&amp;search_scope=EVERYTHING&amp;vid=01CRU&amp;lang=en_US&amp;offset=0&amp;query=any,contains,991003537189702656","Catalog Record")</f>
        <v/>
      </c>
      <c r="AT892">
        <f>HYPERLINK("http://www.worldcat.org/oclc/44026122","WorldCat Record")</f>
        <v/>
      </c>
      <c r="AU892" t="inlineStr">
        <is>
          <t>341001317:eng</t>
        </is>
      </c>
      <c r="AV892" t="inlineStr">
        <is>
          <t>44026122</t>
        </is>
      </c>
      <c r="AW892" t="inlineStr">
        <is>
          <t>991003537189702656</t>
        </is>
      </c>
      <c r="AX892" t="inlineStr">
        <is>
          <t>991003537189702656</t>
        </is>
      </c>
      <c r="AY892" t="inlineStr">
        <is>
          <t>2266932490002656</t>
        </is>
      </c>
      <c r="AZ892" t="inlineStr">
        <is>
          <t>BOOK</t>
        </is>
      </c>
      <c r="BB892" t="inlineStr">
        <is>
          <t>9781566398183</t>
        </is>
      </c>
      <c r="BC892" t="inlineStr">
        <is>
          <t>32285004329883</t>
        </is>
      </c>
      <c r="BD892" t="inlineStr">
        <is>
          <t>893505671</t>
        </is>
      </c>
    </row>
    <row r="893">
      <c r="A893" t="inlineStr">
        <is>
          <t>No</t>
        </is>
      </c>
      <c r="B893" t="inlineStr">
        <is>
          <t>HQ1413.M68 F54 2003</t>
        </is>
      </c>
      <c r="C893" t="inlineStr">
        <is>
          <t>0                      HQ 1413000M  68                 F  54          2003</t>
        </is>
      </c>
      <c r="D893" t="inlineStr">
        <is>
          <t>Katharine Dexter McCormick : pioneer for women's rights / Armond Fields.</t>
        </is>
      </c>
      <c r="F893" t="inlineStr">
        <is>
          <t>No</t>
        </is>
      </c>
      <c r="G893" t="inlineStr">
        <is>
          <t>1</t>
        </is>
      </c>
      <c r="H893" t="inlineStr">
        <is>
          <t>No</t>
        </is>
      </c>
      <c r="I893" t="inlineStr">
        <is>
          <t>No</t>
        </is>
      </c>
      <c r="J893" t="inlineStr">
        <is>
          <t>0</t>
        </is>
      </c>
      <c r="K893" t="inlineStr">
        <is>
          <t>Fields, Armond, 1930-</t>
        </is>
      </c>
      <c r="L893" t="inlineStr">
        <is>
          <t>Westport, Conn. : Praeger, 2003.</t>
        </is>
      </c>
      <c r="M893" t="inlineStr">
        <is>
          <t>2003</t>
        </is>
      </c>
      <c r="O893" t="inlineStr">
        <is>
          <t>eng</t>
        </is>
      </c>
      <c r="P893" t="inlineStr">
        <is>
          <t>ctu</t>
        </is>
      </c>
      <c r="R893" t="inlineStr">
        <is>
          <t xml:space="preserve">HQ </t>
        </is>
      </c>
      <c r="S893" t="n">
        <v>4</v>
      </c>
      <c r="T893" t="n">
        <v>4</v>
      </c>
      <c r="U893" t="inlineStr">
        <is>
          <t>2005-04-10</t>
        </is>
      </c>
      <c r="V893" t="inlineStr">
        <is>
          <t>2005-04-10</t>
        </is>
      </c>
      <c r="W893" t="inlineStr">
        <is>
          <t>2004-04-07</t>
        </is>
      </c>
      <c r="X893" t="inlineStr">
        <is>
          <t>2004-04-07</t>
        </is>
      </c>
      <c r="Y893" t="n">
        <v>475</v>
      </c>
      <c r="Z893" t="n">
        <v>451</v>
      </c>
      <c r="AA893" t="n">
        <v>455</v>
      </c>
      <c r="AB893" t="n">
        <v>4</v>
      </c>
      <c r="AC893" t="n">
        <v>4</v>
      </c>
      <c r="AD893" t="n">
        <v>26</v>
      </c>
      <c r="AE893" t="n">
        <v>26</v>
      </c>
      <c r="AF893" t="n">
        <v>13</v>
      </c>
      <c r="AG893" t="n">
        <v>13</v>
      </c>
      <c r="AH893" t="n">
        <v>5</v>
      </c>
      <c r="AI893" t="n">
        <v>5</v>
      </c>
      <c r="AJ893" t="n">
        <v>11</v>
      </c>
      <c r="AK893" t="n">
        <v>11</v>
      </c>
      <c r="AL893" t="n">
        <v>3</v>
      </c>
      <c r="AM893" t="n">
        <v>3</v>
      </c>
      <c r="AN893" t="n">
        <v>0</v>
      </c>
      <c r="AO893" t="n">
        <v>0</v>
      </c>
      <c r="AP893" t="inlineStr">
        <is>
          <t>No</t>
        </is>
      </c>
      <c r="AQ893" t="inlineStr">
        <is>
          <t>Yes</t>
        </is>
      </c>
      <c r="AR893">
        <f>HYPERLINK("http://catalog.hathitrust.org/Record/004335203","HathiTrust Record")</f>
        <v/>
      </c>
      <c r="AS893">
        <f>HYPERLINK("https://creighton-primo.hosted.exlibrisgroup.com/primo-explore/search?tab=default_tab&amp;search_scope=EVERYTHING&amp;vid=01CRU&amp;lang=en_US&amp;offset=0&amp;query=any,contains,991004256629702656","Catalog Record")</f>
        <v/>
      </c>
      <c r="AT893">
        <f>HYPERLINK("http://www.worldcat.org/oclc/51210582","WorldCat Record")</f>
        <v/>
      </c>
      <c r="AU893" t="inlineStr">
        <is>
          <t>308220357:eng</t>
        </is>
      </c>
      <c r="AV893" t="inlineStr">
        <is>
          <t>51210582</t>
        </is>
      </c>
      <c r="AW893" t="inlineStr">
        <is>
          <t>991004256629702656</t>
        </is>
      </c>
      <c r="AX893" t="inlineStr">
        <is>
          <t>991004256629702656</t>
        </is>
      </c>
      <c r="AY893" t="inlineStr">
        <is>
          <t>2259296000002656</t>
        </is>
      </c>
      <c r="AZ893" t="inlineStr">
        <is>
          <t>BOOK</t>
        </is>
      </c>
      <c r="BB893" t="inlineStr">
        <is>
          <t>9780275980047</t>
        </is>
      </c>
      <c r="BC893" t="inlineStr">
        <is>
          <t>32285004898473</t>
        </is>
      </c>
      <c r="BD893" t="inlineStr">
        <is>
          <t>893247359</t>
        </is>
      </c>
    </row>
    <row r="894">
      <c r="A894" t="inlineStr">
        <is>
          <t>No</t>
        </is>
      </c>
      <c r="B894" t="inlineStr">
        <is>
          <t>HQ1413.N53 E53 2006</t>
        </is>
      </c>
      <c r="C894" t="inlineStr">
        <is>
          <t>0                      HQ 1413000N  53                 E  53          2006</t>
        </is>
      </c>
      <c r="D894" t="inlineStr">
        <is>
          <t>Revolutionary heart : the life of Clarina Nichols and the pioneering crusade for women's rights / Diane Eickhoff.</t>
        </is>
      </c>
      <c r="F894" t="inlineStr">
        <is>
          <t>No</t>
        </is>
      </c>
      <c r="G894" t="inlineStr">
        <is>
          <t>1</t>
        </is>
      </c>
      <c r="H894" t="inlineStr">
        <is>
          <t>No</t>
        </is>
      </c>
      <c r="I894" t="inlineStr">
        <is>
          <t>No</t>
        </is>
      </c>
      <c r="J894" t="inlineStr">
        <is>
          <t>0</t>
        </is>
      </c>
      <c r="K894" t="inlineStr">
        <is>
          <t>Eickhoff, Diane.</t>
        </is>
      </c>
      <c r="L894" t="inlineStr">
        <is>
          <t>Kansas City, Kan. : Quindaro press, 2006.</t>
        </is>
      </c>
      <c r="M894" t="inlineStr">
        <is>
          <t>2006</t>
        </is>
      </c>
      <c r="O894" t="inlineStr">
        <is>
          <t>eng</t>
        </is>
      </c>
      <c r="P894" t="inlineStr">
        <is>
          <t>ksu</t>
        </is>
      </c>
      <c r="R894" t="inlineStr">
        <is>
          <t xml:space="preserve">HQ </t>
        </is>
      </c>
      <c r="S894" t="n">
        <v>2</v>
      </c>
      <c r="T894" t="n">
        <v>2</v>
      </c>
      <c r="U894" t="inlineStr">
        <is>
          <t>2007-09-23</t>
        </is>
      </c>
      <c r="V894" t="inlineStr">
        <is>
          <t>2007-09-23</t>
        </is>
      </c>
      <c r="W894" t="inlineStr">
        <is>
          <t>2006-03-07</t>
        </is>
      </c>
      <c r="X894" t="inlineStr">
        <is>
          <t>2006-03-07</t>
        </is>
      </c>
      <c r="Y894" t="n">
        <v>400</v>
      </c>
      <c r="Z894" t="n">
        <v>388</v>
      </c>
      <c r="AA894" t="n">
        <v>392</v>
      </c>
      <c r="AB894" t="n">
        <v>4</v>
      </c>
      <c r="AC894" t="n">
        <v>4</v>
      </c>
      <c r="AD894" t="n">
        <v>8</v>
      </c>
      <c r="AE894" t="n">
        <v>8</v>
      </c>
      <c r="AF894" t="n">
        <v>3</v>
      </c>
      <c r="AG894" t="n">
        <v>3</v>
      </c>
      <c r="AH894" t="n">
        <v>1</v>
      </c>
      <c r="AI894" t="n">
        <v>1</v>
      </c>
      <c r="AJ894" t="n">
        <v>2</v>
      </c>
      <c r="AK894" t="n">
        <v>2</v>
      </c>
      <c r="AL894" t="n">
        <v>2</v>
      </c>
      <c r="AM894" t="n">
        <v>2</v>
      </c>
      <c r="AN894" t="n">
        <v>0</v>
      </c>
      <c r="AO894" t="n">
        <v>0</v>
      </c>
      <c r="AP894" t="inlineStr">
        <is>
          <t>No</t>
        </is>
      </c>
      <c r="AQ894" t="inlineStr">
        <is>
          <t>Yes</t>
        </is>
      </c>
      <c r="AR894">
        <f>HYPERLINK("http://catalog.hathitrust.org/Record/005246710","HathiTrust Record")</f>
        <v/>
      </c>
      <c r="AS894">
        <f>HYPERLINK("https://creighton-primo.hosted.exlibrisgroup.com/primo-explore/search?tab=default_tab&amp;search_scope=EVERYTHING&amp;vid=01CRU&amp;lang=en_US&amp;offset=0&amp;query=any,contains,991004761469702656","Catalog Record")</f>
        <v/>
      </c>
      <c r="AT894">
        <f>HYPERLINK("http://www.worldcat.org/oclc/64575230","WorldCat Record")</f>
        <v/>
      </c>
      <c r="AU894" t="inlineStr">
        <is>
          <t>48519796:eng</t>
        </is>
      </c>
      <c r="AV894" t="inlineStr">
        <is>
          <t>64575230</t>
        </is>
      </c>
      <c r="AW894" t="inlineStr">
        <is>
          <t>991004761469702656</t>
        </is>
      </c>
      <c r="AX894" t="inlineStr">
        <is>
          <t>991004761469702656</t>
        </is>
      </c>
      <c r="AY894" t="inlineStr">
        <is>
          <t>2258064440002656</t>
        </is>
      </c>
      <c r="AZ894" t="inlineStr">
        <is>
          <t>BOOK</t>
        </is>
      </c>
      <c r="BB894" t="inlineStr">
        <is>
          <t>9780976443445</t>
        </is>
      </c>
      <c r="BC894" t="inlineStr">
        <is>
          <t>32285005185417</t>
        </is>
      </c>
      <c r="BD894" t="inlineStr">
        <is>
          <t>893606440</t>
        </is>
      </c>
    </row>
    <row r="895">
      <c r="A895" t="inlineStr">
        <is>
          <t>No</t>
        </is>
      </c>
      <c r="B895" t="inlineStr">
        <is>
          <t>HQ1413.S67 B35</t>
        </is>
      </c>
      <c r="C895" t="inlineStr">
        <is>
          <t>0                      HQ 1413000S  67                 B  35</t>
        </is>
      </c>
      <c r="D895" t="inlineStr">
        <is>
          <t>Elizabeth Cady Stanton, a radical for woman's rights / Lois W. Banner.</t>
        </is>
      </c>
      <c r="F895" t="inlineStr">
        <is>
          <t>No</t>
        </is>
      </c>
      <c r="G895" t="inlineStr">
        <is>
          <t>1</t>
        </is>
      </c>
      <c r="H895" t="inlineStr">
        <is>
          <t>No</t>
        </is>
      </c>
      <c r="I895" t="inlineStr">
        <is>
          <t>No</t>
        </is>
      </c>
      <c r="J895" t="inlineStr">
        <is>
          <t>0</t>
        </is>
      </c>
      <c r="K895" t="inlineStr">
        <is>
          <t>Banner, Lois W.</t>
        </is>
      </c>
      <c r="L895" t="inlineStr">
        <is>
          <t>Boston : Little, Brown, c1980.</t>
        </is>
      </c>
      <c r="M895" t="inlineStr">
        <is>
          <t>1980</t>
        </is>
      </c>
      <c r="O895" t="inlineStr">
        <is>
          <t>eng</t>
        </is>
      </c>
      <c r="P895" t="inlineStr">
        <is>
          <t>mau</t>
        </is>
      </c>
      <c r="Q895" t="inlineStr">
        <is>
          <t>The library of American biography</t>
        </is>
      </c>
      <c r="R895" t="inlineStr">
        <is>
          <t xml:space="preserve">HQ </t>
        </is>
      </c>
      <c r="S895" t="n">
        <v>17</v>
      </c>
      <c r="T895" t="n">
        <v>17</v>
      </c>
      <c r="U895" t="inlineStr">
        <is>
          <t>2007-11-04</t>
        </is>
      </c>
      <c r="V895" t="inlineStr">
        <is>
          <t>2007-11-04</t>
        </is>
      </c>
      <c r="W895" t="inlineStr">
        <is>
          <t>1990-07-05</t>
        </is>
      </c>
      <c r="X895" t="inlineStr">
        <is>
          <t>1990-07-05</t>
        </is>
      </c>
      <c r="Y895" t="n">
        <v>1682</v>
      </c>
      <c r="Z895" t="n">
        <v>1589</v>
      </c>
      <c r="AA895" t="n">
        <v>1722</v>
      </c>
      <c r="AB895" t="n">
        <v>13</v>
      </c>
      <c r="AC895" t="n">
        <v>13</v>
      </c>
      <c r="AD895" t="n">
        <v>45</v>
      </c>
      <c r="AE895" t="n">
        <v>49</v>
      </c>
      <c r="AF895" t="n">
        <v>16</v>
      </c>
      <c r="AG895" t="n">
        <v>17</v>
      </c>
      <c r="AH895" t="n">
        <v>7</v>
      </c>
      <c r="AI895" t="n">
        <v>8</v>
      </c>
      <c r="AJ895" t="n">
        <v>14</v>
      </c>
      <c r="AK895" t="n">
        <v>17</v>
      </c>
      <c r="AL895" t="n">
        <v>11</v>
      </c>
      <c r="AM895" t="n">
        <v>11</v>
      </c>
      <c r="AN895" t="n">
        <v>4</v>
      </c>
      <c r="AO895" t="n">
        <v>4</v>
      </c>
      <c r="AP895" t="inlineStr">
        <is>
          <t>No</t>
        </is>
      </c>
      <c r="AQ895" t="inlineStr">
        <is>
          <t>Yes</t>
        </is>
      </c>
      <c r="AR895">
        <f>HYPERLINK("http://catalog.hathitrust.org/Record/000702687","HathiTrust Record")</f>
        <v/>
      </c>
      <c r="AS895">
        <f>HYPERLINK("https://creighton-primo.hosted.exlibrisgroup.com/primo-explore/search?tab=default_tab&amp;search_scope=EVERYTHING&amp;vid=01CRU&amp;lang=en_US&amp;offset=0&amp;query=any,contains,991004928029702656","Catalog Record")</f>
        <v/>
      </c>
      <c r="AT895">
        <f>HYPERLINK("http://www.worldcat.org/oclc/6087710","WorldCat Record")</f>
        <v/>
      </c>
      <c r="AU895" t="inlineStr">
        <is>
          <t>520612:eng</t>
        </is>
      </c>
      <c r="AV895" t="inlineStr">
        <is>
          <t>6087710</t>
        </is>
      </c>
      <c r="AW895" t="inlineStr">
        <is>
          <t>991004928029702656</t>
        </is>
      </c>
      <c r="AX895" t="inlineStr">
        <is>
          <t>991004928029702656</t>
        </is>
      </c>
      <c r="AY895" t="inlineStr">
        <is>
          <t>2259698580002656</t>
        </is>
      </c>
      <c r="AZ895" t="inlineStr">
        <is>
          <t>BOOK</t>
        </is>
      </c>
      <c r="BB895" t="inlineStr">
        <is>
          <t>9780316080309</t>
        </is>
      </c>
      <c r="BC895" t="inlineStr">
        <is>
          <t>32285000221654</t>
        </is>
      </c>
      <c r="BD895" t="inlineStr">
        <is>
          <t>893594242</t>
        </is>
      </c>
    </row>
    <row r="896">
      <c r="A896" t="inlineStr">
        <is>
          <t>No</t>
        </is>
      </c>
      <c r="B896" t="inlineStr">
        <is>
          <t>HQ1413.S67 E55 2007</t>
        </is>
      </c>
      <c r="C896" t="inlineStr">
        <is>
          <t>0                      HQ 1413000S  67                 E  55          2007</t>
        </is>
      </c>
      <c r="D896" t="inlineStr">
        <is>
          <t>Elizabeth Cady Stanton, feminist as thinker : a reader in documents and essays / edited by Ellen Carol DuBois and Richard Cándida Smith.</t>
        </is>
      </c>
      <c r="F896" t="inlineStr">
        <is>
          <t>No</t>
        </is>
      </c>
      <c r="G896" t="inlineStr">
        <is>
          <t>1</t>
        </is>
      </c>
      <c r="H896" t="inlineStr">
        <is>
          <t>No</t>
        </is>
      </c>
      <c r="I896" t="inlineStr">
        <is>
          <t>No</t>
        </is>
      </c>
      <c r="J896" t="inlineStr">
        <is>
          <t>0</t>
        </is>
      </c>
      <c r="L896" t="inlineStr">
        <is>
          <t>New York : New York University Press, c2007.</t>
        </is>
      </c>
      <c r="M896" t="inlineStr">
        <is>
          <t>2007</t>
        </is>
      </c>
      <c r="O896" t="inlineStr">
        <is>
          <t>eng</t>
        </is>
      </c>
      <c r="P896" t="inlineStr">
        <is>
          <t>nyu</t>
        </is>
      </c>
      <c r="R896" t="inlineStr">
        <is>
          <t xml:space="preserve">HQ </t>
        </is>
      </c>
      <c r="S896" t="n">
        <v>1</v>
      </c>
      <c r="T896" t="n">
        <v>1</v>
      </c>
      <c r="U896" t="inlineStr">
        <is>
          <t>2008-09-09</t>
        </is>
      </c>
      <c r="V896" t="inlineStr">
        <is>
          <t>2008-09-09</t>
        </is>
      </c>
      <c r="W896" t="inlineStr">
        <is>
          <t>2008-09-09</t>
        </is>
      </c>
      <c r="X896" t="inlineStr">
        <is>
          <t>2008-09-09</t>
        </is>
      </c>
      <c r="Y896" t="n">
        <v>551</v>
      </c>
      <c r="Z896" t="n">
        <v>502</v>
      </c>
      <c r="AA896" t="n">
        <v>847</v>
      </c>
      <c r="AB896" t="n">
        <v>2</v>
      </c>
      <c r="AC896" t="n">
        <v>5</v>
      </c>
      <c r="AD896" t="n">
        <v>26</v>
      </c>
      <c r="AE896" t="n">
        <v>43</v>
      </c>
      <c r="AF896" t="n">
        <v>10</v>
      </c>
      <c r="AG896" t="n">
        <v>16</v>
      </c>
      <c r="AH896" t="n">
        <v>7</v>
      </c>
      <c r="AI896" t="n">
        <v>11</v>
      </c>
      <c r="AJ896" t="n">
        <v>13</v>
      </c>
      <c r="AK896" t="n">
        <v>19</v>
      </c>
      <c r="AL896" t="n">
        <v>1</v>
      </c>
      <c r="AM896" t="n">
        <v>4</v>
      </c>
      <c r="AN896" t="n">
        <v>1</v>
      </c>
      <c r="AO896" t="n">
        <v>2</v>
      </c>
      <c r="AP896" t="inlineStr">
        <is>
          <t>No</t>
        </is>
      </c>
      <c r="AQ896" t="inlineStr">
        <is>
          <t>No</t>
        </is>
      </c>
      <c r="AS896">
        <f>HYPERLINK("https://creighton-primo.hosted.exlibrisgroup.com/primo-explore/search?tab=default_tab&amp;search_scope=EVERYTHING&amp;vid=01CRU&amp;lang=en_US&amp;offset=0&amp;query=any,contains,991005256479702656","Catalog Record")</f>
        <v/>
      </c>
      <c r="AT896">
        <f>HYPERLINK("http://www.worldcat.org/oclc/74915656","WorldCat Record")</f>
        <v/>
      </c>
      <c r="AU896" t="inlineStr">
        <is>
          <t>859340158:eng</t>
        </is>
      </c>
      <c r="AV896" t="inlineStr">
        <is>
          <t>74915656</t>
        </is>
      </c>
      <c r="AW896" t="inlineStr">
        <is>
          <t>991005256479702656</t>
        </is>
      </c>
      <c r="AX896" t="inlineStr">
        <is>
          <t>991005256479702656</t>
        </is>
      </c>
      <c r="AY896" t="inlineStr">
        <is>
          <t>2272101900002656</t>
        </is>
      </c>
      <c r="AZ896" t="inlineStr">
        <is>
          <t>BOOK</t>
        </is>
      </c>
      <c r="BB896" t="inlineStr">
        <is>
          <t>9780814719817</t>
        </is>
      </c>
      <c r="BC896" t="inlineStr">
        <is>
          <t>32285005457436</t>
        </is>
      </c>
      <c r="BD896" t="inlineStr">
        <is>
          <t>893350992</t>
        </is>
      </c>
    </row>
    <row r="897">
      <c r="A897" t="inlineStr">
        <is>
          <t>No</t>
        </is>
      </c>
      <c r="B897" t="inlineStr">
        <is>
          <t>HQ1413.S67 G67 2005</t>
        </is>
      </c>
      <c r="C897" t="inlineStr">
        <is>
          <t>0                      HQ 1413000S  67                 G  67          2005</t>
        </is>
      </c>
      <c r="D897" t="inlineStr">
        <is>
          <t>The solitude of self : thinking about Elizabeth Cady Stanton / Vivian Gornick.</t>
        </is>
      </c>
      <c r="F897" t="inlineStr">
        <is>
          <t>No</t>
        </is>
      </c>
      <c r="G897" t="inlineStr">
        <is>
          <t>1</t>
        </is>
      </c>
      <c r="H897" t="inlineStr">
        <is>
          <t>No</t>
        </is>
      </c>
      <c r="I897" t="inlineStr">
        <is>
          <t>No</t>
        </is>
      </c>
      <c r="J897" t="inlineStr">
        <is>
          <t>0</t>
        </is>
      </c>
      <c r="K897" t="inlineStr">
        <is>
          <t>Gornick, Vivian.</t>
        </is>
      </c>
      <c r="L897" t="inlineStr">
        <is>
          <t>New York : Farrar, Straus and Giroux, 2005.</t>
        </is>
      </c>
      <c r="M897" t="inlineStr">
        <is>
          <t>2005</t>
        </is>
      </c>
      <c r="N897" t="inlineStr">
        <is>
          <t>1st ed.</t>
        </is>
      </c>
      <c r="O897" t="inlineStr">
        <is>
          <t>eng</t>
        </is>
      </c>
      <c r="P897" t="inlineStr">
        <is>
          <t>nyu</t>
        </is>
      </c>
      <c r="R897" t="inlineStr">
        <is>
          <t xml:space="preserve">HQ </t>
        </is>
      </c>
      <c r="S897" t="n">
        <v>4</v>
      </c>
      <c r="T897" t="n">
        <v>4</v>
      </c>
      <c r="U897" t="inlineStr">
        <is>
          <t>2005-12-20</t>
        </is>
      </c>
      <c r="V897" t="inlineStr">
        <is>
          <t>2005-12-20</t>
        </is>
      </c>
      <c r="W897" t="inlineStr">
        <is>
          <t>2005-09-26</t>
        </is>
      </c>
      <c r="X897" t="inlineStr">
        <is>
          <t>2005-09-26</t>
        </is>
      </c>
      <c r="Y897" t="n">
        <v>796</v>
      </c>
      <c r="Z897" t="n">
        <v>750</v>
      </c>
      <c r="AA897" t="n">
        <v>800</v>
      </c>
      <c r="AB897" t="n">
        <v>6</v>
      </c>
      <c r="AC897" t="n">
        <v>6</v>
      </c>
      <c r="AD897" t="n">
        <v>27</v>
      </c>
      <c r="AE897" t="n">
        <v>29</v>
      </c>
      <c r="AF897" t="n">
        <v>9</v>
      </c>
      <c r="AG897" t="n">
        <v>10</v>
      </c>
      <c r="AH897" t="n">
        <v>8</v>
      </c>
      <c r="AI897" t="n">
        <v>8</v>
      </c>
      <c r="AJ897" t="n">
        <v>14</v>
      </c>
      <c r="AK897" t="n">
        <v>15</v>
      </c>
      <c r="AL897" t="n">
        <v>3</v>
      </c>
      <c r="AM897" t="n">
        <v>3</v>
      </c>
      <c r="AN897" t="n">
        <v>1</v>
      </c>
      <c r="AO897" t="n">
        <v>1</v>
      </c>
      <c r="AP897" t="inlineStr">
        <is>
          <t>No</t>
        </is>
      </c>
      <c r="AQ897" t="inlineStr">
        <is>
          <t>No</t>
        </is>
      </c>
      <c r="AS897">
        <f>HYPERLINK("https://creighton-primo.hosted.exlibrisgroup.com/primo-explore/search?tab=default_tab&amp;search_scope=EVERYTHING&amp;vid=01CRU&amp;lang=en_US&amp;offset=0&amp;query=any,contains,991004600419702656","Catalog Record")</f>
        <v/>
      </c>
      <c r="AT897">
        <f>HYPERLINK("http://www.worldcat.org/oclc/57208325","WorldCat Record")</f>
        <v/>
      </c>
      <c r="AU897" t="inlineStr">
        <is>
          <t>944981641:eng</t>
        </is>
      </c>
      <c r="AV897" t="inlineStr">
        <is>
          <t>57208325</t>
        </is>
      </c>
      <c r="AW897" t="inlineStr">
        <is>
          <t>991004600419702656</t>
        </is>
      </c>
      <c r="AX897" t="inlineStr">
        <is>
          <t>991004600419702656</t>
        </is>
      </c>
      <c r="AY897" t="inlineStr">
        <is>
          <t>2260691980002656</t>
        </is>
      </c>
      <c r="AZ897" t="inlineStr">
        <is>
          <t>BOOK</t>
        </is>
      </c>
      <c r="BB897" t="inlineStr">
        <is>
          <t>9780374299545</t>
        </is>
      </c>
      <c r="BC897" t="inlineStr">
        <is>
          <t>32285005085328</t>
        </is>
      </c>
      <c r="BD897" t="inlineStr">
        <is>
          <t>893430250</t>
        </is>
      </c>
    </row>
    <row r="898">
      <c r="A898" t="inlineStr">
        <is>
          <t>No</t>
        </is>
      </c>
      <c r="B898" t="inlineStr">
        <is>
          <t>HQ1413.S675 H44 1995</t>
        </is>
      </c>
      <c r="C898" t="inlineStr">
        <is>
          <t>0                      HQ 1413000S  675                H  44          1995</t>
        </is>
      </c>
      <c r="D898" t="inlineStr">
        <is>
          <t>The education of a woman : the life of Gloria Steinem / Carolyn G. Heilbrun.</t>
        </is>
      </c>
      <c r="F898" t="inlineStr">
        <is>
          <t>No</t>
        </is>
      </c>
      <c r="G898" t="inlineStr">
        <is>
          <t>1</t>
        </is>
      </c>
      <c r="H898" t="inlineStr">
        <is>
          <t>No</t>
        </is>
      </c>
      <c r="I898" t="inlineStr">
        <is>
          <t>No</t>
        </is>
      </c>
      <c r="J898" t="inlineStr">
        <is>
          <t>0</t>
        </is>
      </c>
      <c r="K898" t="inlineStr">
        <is>
          <t>Heilbrun, Carolyn G., 1926-2003.</t>
        </is>
      </c>
      <c r="L898" t="inlineStr">
        <is>
          <t>New York : Dial Press, 1995.</t>
        </is>
      </c>
      <c r="M898" t="inlineStr">
        <is>
          <t>1995</t>
        </is>
      </c>
      <c r="O898" t="inlineStr">
        <is>
          <t>eng</t>
        </is>
      </c>
      <c r="P898" t="inlineStr">
        <is>
          <t>nyu</t>
        </is>
      </c>
      <c r="R898" t="inlineStr">
        <is>
          <t xml:space="preserve">HQ </t>
        </is>
      </c>
      <c r="S898" t="n">
        <v>3</v>
      </c>
      <c r="T898" t="n">
        <v>3</v>
      </c>
      <c r="U898" t="inlineStr">
        <is>
          <t>1999-02-17</t>
        </is>
      </c>
      <c r="V898" t="inlineStr">
        <is>
          <t>1999-02-17</t>
        </is>
      </c>
      <c r="W898" t="inlineStr">
        <is>
          <t>1995-10-24</t>
        </is>
      </c>
      <c r="X898" t="inlineStr">
        <is>
          <t>1995-10-24</t>
        </is>
      </c>
      <c r="Y898" t="n">
        <v>1352</v>
      </c>
      <c r="Z898" t="n">
        <v>1244</v>
      </c>
      <c r="AA898" t="n">
        <v>1357</v>
      </c>
      <c r="AB898" t="n">
        <v>11</v>
      </c>
      <c r="AC898" t="n">
        <v>12</v>
      </c>
      <c r="AD898" t="n">
        <v>36</v>
      </c>
      <c r="AE898" t="n">
        <v>38</v>
      </c>
      <c r="AF898" t="n">
        <v>13</v>
      </c>
      <c r="AG898" t="n">
        <v>15</v>
      </c>
      <c r="AH898" t="n">
        <v>9</v>
      </c>
      <c r="AI898" t="n">
        <v>9</v>
      </c>
      <c r="AJ898" t="n">
        <v>16</v>
      </c>
      <c r="AK898" t="n">
        <v>17</v>
      </c>
      <c r="AL898" t="n">
        <v>7</v>
      </c>
      <c r="AM898" t="n">
        <v>7</v>
      </c>
      <c r="AN898" t="n">
        <v>0</v>
      </c>
      <c r="AO898" t="n">
        <v>0</v>
      </c>
      <c r="AP898" t="inlineStr">
        <is>
          <t>No</t>
        </is>
      </c>
      <c r="AQ898" t="inlineStr">
        <is>
          <t>Yes</t>
        </is>
      </c>
      <c r="AR898">
        <f>HYPERLINK("http://catalog.hathitrust.org/Record/003013483","HathiTrust Record")</f>
        <v/>
      </c>
      <c r="AS898">
        <f>HYPERLINK("https://creighton-primo.hosted.exlibrisgroup.com/primo-explore/search?tab=default_tab&amp;search_scope=EVERYTHING&amp;vid=01CRU&amp;lang=en_US&amp;offset=0&amp;query=any,contains,991002509819702656","Catalog Record")</f>
        <v/>
      </c>
      <c r="AT898">
        <f>HYPERLINK("http://www.worldcat.org/oclc/32627684","WorldCat Record")</f>
        <v/>
      </c>
      <c r="AU898" t="inlineStr">
        <is>
          <t>792530568:eng</t>
        </is>
      </c>
      <c r="AV898" t="inlineStr">
        <is>
          <t>32627684</t>
        </is>
      </c>
      <c r="AW898" t="inlineStr">
        <is>
          <t>991002509819702656</t>
        </is>
      </c>
      <c r="AX898" t="inlineStr">
        <is>
          <t>991002509819702656</t>
        </is>
      </c>
      <c r="AY898" t="inlineStr">
        <is>
          <t>2270466650002656</t>
        </is>
      </c>
      <c r="AZ898" t="inlineStr">
        <is>
          <t>BOOK</t>
        </is>
      </c>
      <c r="BB898" t="inlineStr">
        <is>
          <t>9780385313711</t>
        </is>
      </c>
      <c r="BC898" t="inlineStr">
        <is>
          <t>32285002097797</t>
        </is>
      </c>
      <c r="BD898" t="inlineStr">
        <is>
          <t>893329175</t>
        </is>
      </c>
    </row>
    <row r="899">
      <c r="A899" t="inlineStr">
        <is>
          <t>No</t>
        </is>
      </c>
      <c r="B899" t="inlineStr">
        <is>
          <t>HQ1413.W66 U53 1995</t>
        </is>
      </c>
      <c r="C899" t="inlineStr">
        <is>
          <t>0                      HQ 1413000W  66                 U  53          1995</t>
        </is>
      </c>
      <c r="D899" t="inlineStr">
        <is>
          <t>The woman who ran for president : the many lives of Victoria Woodhull / Lois Beachy Underhill.</t>
        </is>
      </c>
      <c r="F899" t="inlineStr">
        <is>
          <t>No</t>
        </is>
      </c>
      <c r="G899" t="inlineStr">
        <is>
          <t>1</t>
        </is>
      </c>
      <c r="H899" t="inlineStr">
        <is>
          <t>No</t>
        </is>
      </c>
      <c r="I899" t="inlineStr">
        <is>
          <t>No</t>
        </is>
      </c>
      <c r="J899" t="inlineStr">
        <is>
          <t>0</t>
        </is>
      </c>
      <c r="K899" t="inlineStr">
        <is>
          <t>Underhill, Lois Beachy, 1935-</t>
        </is>
      </c>
      <c r="L899" t="inlineStr">
        <is>
          <t>Bridgehampton, N.Y. : Bridge Works Pub. ; Lanham, Md. : Distributed by National Book Network, 1995.</t>
        </is>
      </c>
      <c r="M899" t="inlineStr">
        <is>
          <t>1995</t>
        </is>
      </c>
      <c r="N899" t="inlineStr">
        <is>
          <t>1st ed.</t>
        </is>
      </c>
      <c r="O899" t="inlineStr">
        <is>
          <t>eng</t>
        </is>
      </c>
      <c r="P899" t="inlineStr">
        <is>
          <t>nyu</t>
        </is>
      </c>
      <c r="R899" t="inlineStr">
        <is>
          <t xml:space="preserve">HQ </t>
        </is>
      </c>
      <c r="S899" t="n">
        <v>5</v>
      </c>
      <c r="T899" t="n">
        <v>5</v>
      </c>
      <c r="U899" t="inlineStr">
        <is>
          <t>2010-03-21</t>
        </is>
      </c>
      <c r="V899" t="inlineStr">
        <is>
          <t>2010-03-21</t>
        </is>
      </c>
      <c r="W899" t="inlineStr">
        <is>
          <t>1995-11-27</t>
        </is>
      </c>
      <c r="X899" t="inlineStr">
        <is>
          <t>1995-11-27</t>
        </is>
      </c>
      <c r="Y899" t="n">
        <v>1008</v>
      </c>
      <c r="Z899" t="n">
        <v>976</v>
      </c>
      <c r="AA899" t="n">
        <v>1090</v>
      </c>
      <c r="AB899" t="n">
        <v>12</v>
      </c>
      <c r="AC899" t="n">
        <v>12</v>
      </c>
      <c r="AD899" t="n">
        <v>23</v>
      </c>
      <c r="AE899" t="n">
        <v>26</v>
      </c>
      <c r="AF899" t="n">
        <v>6</v>
      </c>
      <c r="AG899" t="n">
        <v>8</v>
      </c>
      <c r="AH899" t="n">
        <v>6</v>
      </c>
      <c r="AI899" t="n">
        <v>7</v>
      </c>
      <c r="AJ899" t="n">
        <v>12</v>
      </c>
      <c r="AK899" t="n">
        <v>13</v>
      </c>
      <c r="AL899" t="n">
        <v>5</v>
      </c>
      <c r="AM899" t="n">
        <v>5</v>
      </c>
      <c r="AN899" t="n">
        <v>0</v>
      </c>
      <c r="AO899" t="n">
        <v>0</v>
      </c>
      <c r="AP899" t="inlineStr">
        <is>
          <t>No</t>
        </is>
      </c>
      <c r="AQ899" t="inlineStr">
        <is>
          <t>Yes</t>
        </is>
      </c>
      <c r="AR899">
        <f>HYPERLINK("http://catalog.hathitrust.org/Record/002999421","HathiTrust Record")</f>
        <v/>
      </c>
      <c r="AS899">
        <f>HYPERLINK("https://creighton-primo.hosted.exlibrisgroup.com/primo-explore/search?tab=default_tab&amp;search_scope=EVERYTHING&amp;vid=01CRU&amp;lang=en_US&amp;offset=0&amp;query=any,contains,991002442339702656","Catalog Record")</f>
        <v/>
      </c>
      <c r="AT899">
        <f>HYPERLINK("http://www.worldcat.org/oclc/31865246","WorldCat Record")</f>
        <v/>
      </c>
      <c r="AU899" t="inlineStr">
        <is>
          <t>33879304:eng</t>
        </is>
      </c>
      <c r="AV899" t="inlineStr">
        <is>
          <t>31865246</t>
        </is>
      </c>
      <c r="AW899" t="inlineStr">
        <is>
          <t>991002442339702656</t>
        </is>
      </c>
      <c r="AX899" t="inlineStr">
        <is>
          <t>991002442339702656</t>
        </is>
      </c>
      <c r="AY899" t="inlineStr">
        <is>
          <t>2259241960002656</t>
        </is>
      </c>
      <c r="AZ899" t="inlineStr">
        <is>
          <t>BOOK</t>
        </is>
      </c>
      <c r="BB899" t="inlineStr">
        <is>
          <t>9781882593101</t>
        </is>
      </c>
      <c r="BC899" t="inlineStr">
        <is>
          <t>32285002105889</t>
        </is>
      </c>
      <c r="BD899" t="inlineStr">
        <is>
          <t>893792475</t>
        </is>
      </c>
    </row>
    <row r="900">
      <c r="A900" t="inlineStr">
        <is>
          <t>No</t>
        </is>
      </c>
      <c r="B900" t="inlineStr">
        <is>
          <t>HQ1416 .S65 1972</t>
        </is>
      </c>
      <c r="C900" t="inlineStr">
        <is>
          <t>0                      HQ 1416000S  65          1972</t>
        </is>
      </c>
      <c r="D900" t="inlineStr">
        <is>
          <t>Women's life and work in the Southern colonies / by Julia Cherry Spruill ; with an introd. to the Norton library ed. by Anne Firor Scott.</t>
        </is>
      </c>
      <c r="F900" t="inlineStr">
        <is>
          <t>No</t>
        </is>
      </c>
      <c r="G900" t="inlineStr">
        <is>
          <t>1</t>
        </is>
      </c>
      <c r="H900" t="inlineStr">
        <is>
          <t>No</t>
        </is>
      </c>
      <c r="I900" t="inlineStr">
        <is>
          <t>No</t>
        </is>
      </c>
      <c r="J900" t="inlineStr">
        <is>
          <t>0</t>
        </is>
      </c>
      <c r="K900" t="inlineStr">
        <is>
          <t>Spruill, Julia Cherry.</t>
        </is>
      </c>
      <c r="L900" t="inlineStr">
        <is>
          <t>New York : Norton, c1972.</t>
        </is>
      </c>
      <c r="M900" t="inlineStr">
        <is>
          <t>1972</t>
        </is>
      </c>
      <c r="O900" t="inlineStr">
        <is>
          <t>eng</t>
        </is>
      </c>
      <c r="P900" t="inlineStr">
        <is>
          <t>nyu</t>
        </is>
      </c>
      <c r="Q900" t="inlineStr">
        <is>
          <t>The Norton library, N662</t>
        </is>
      </c>
      <c r="R900" t="inlineStr">
        <is>
          <t xml:space="preserve">HQ </t>
        </is>
      </c>
      <c r="S900" t="n">
        <v>2</v>
      </c>
      <c r="T900" t="n">
        <v>2</v>
      </c>
      <c r="U900" t="inlineStr">
        <is>
          <t>1997-07-13</t>
        </is>
      </c>
      <c r="V900" t="inlineStr">
        <is>
          <t>1997-07-13</t>
        </is>
      </c>
      <c r="W900" t="inlineStr">
        <is>
          <t>1990-05-24</t>
        </is>
      </c>
      <c r="X900" t="inlineStr">
        <is>
          <t>1990-05-24</t>
        </is>
      </c>
      <c r="Y900" t="n">
        <v>613</v>
      </c>
      <c r="Z900" t="n">
        <v>581</v>
      </c>
      <c r="AA900" t="n">
        <v>1186</v>
      </c>
      <c r="AB900" t="n">
        <v>5</v>
      </c>
      <c r="AC900" t="n">
        <v>7</v>
      </c>
      <c r="AD900" t="n">
        <v>18</v>
      </c>
      <c r="AE900" t="n">
        <v>39</v>
      </c>
      <c r="AF900" t="n">
        <v>3</v>
      </c>
      <c r="AG900" t="n">
        <v>13</v>
      </c>
      <c r="AH900" t="n">
        <v>5</v>
      </c>
      <c r="AI900" t="n">
        <v>10</v>
      </c>
      <c r="AJ900" t="n">
        <v>9</v>
      </c>
      <c r="AK900" t="n">
        <v>19</v>
      </c>
      <c r="AL900" t="n">
        <v>4</v>
      </c>
      <c r="AM900" t="n">
        <v>6</v>
      </c>
      <c r="AN900" t="n">
        <v>0</v>
      </c>
      <c r="AO900" t="n">
        <v>0</v>
      </c>
      <c r="AP900" t="inlineStr">
        <is>
          <t>No</t>
        </is>
      </c>
      <c r="AQ900" t="inlineStr">
        <is>
          <t>No</t>
        </is>
      </c>
      <c r="AS900">
        <f>HYPERLINK("https://creighton-primo.hosted.exlibrisgroup.com/primo-explore/search?tab=default_tab&amp;search_scope=EVERYTHING&amp;vid=01CRU&amp;lang=en_US&amp;offset=0&amp;query=any,contains,991002615149702656","Catalog Record")</f>
        <v/>
      </c>
      <c r="AT900">
        <f>HYPERLINK("http://www.worldcat.org/oclc/379319","WorldCat Record")</f>
        <v/>
      </c>
      <c r="AU900" t="inlineStr">
        <is>
          <t>1137526:eng</t>
        </is>
      </c>
      <c r="AV900" t="inlineStr">
        <is>
          <t>379319</t>
        </is>
      </c>
      <c r="AW900" t="inlineStr">
        <is>
          <t>991002615149702656</t>
        </is>
      </c>
      <c r="AX900" t="inlineStr">
        <is>
          <t>991002615149702656</t>
        </is>
      </c>
      <c r="AY900" t="inlineStr">
        <is>
          <t>2265044990002656</t>
        </is>
      </c>
      <c r="AZ900" t="inlineStr">
        <is>
          <t>BOOK</t>
        </is>
      </c>
      <c r="BB900" t="inlineStr">
        <is>
          <t>9780393006629</t>
        </is>
      </c>
      <c r="BC900" t="inlineStr">
        <is>
          <t>32285000165448</t>
        </is>
      </c>
      <c r="BD900" t="inlineStr">
        <is>
          <t>893347706</t>
        </is>
      </c>
    </row>
    <row r="901">
      <c r="A901" t="inlineStr">
        <is>
          <t>No</t>
        </is>
      </c>
      <c r="B901" t="inlineStr">
        <is>
          <t>HQ1416 .W65 1997</t>
        </is>
      </c>
      <c r="C901" t="inlineStr">
        <is>
          <t>0                      HQ 1416000W  65          1997</t>
        </is>
      </c>
      <c r="D901" t="inlineStr">
        <is>
          <t>Women and freedom in early America / edited by Larry D. Eldridge.</t>
        </is>
      </c>
      <c r="F901" t="inlineStr">
        <is>
          <t>No</t>
        </is>
      </c>
      <c r="G901" t="inlineStr">
        <is>
          <t>1</t>
        </is>
      </c>
      <c r="H901" t="inlineStr">
        <is>
          <t>No</t>
        </is>
      </c>
      <c r="I901" t="inlineStr">
        <is>
          <t>No</t>
        </is>
      </c>
      <c r="J901" t="inlineStr">
        <is>
          <t>0</t>
        </is>
      </c>
      <c r="L901" t="inlineStr">
        <is>
          <t>New York : New York University Press, c1997.</t>
        </is>
      </c>
      <c r="M901" t="inlineStr">
        <is>
          <t>1997</t>
        </is>
      </c>
      <c r="O901" t="inlineStr">
        <is>
          <t>eng</t>
        </is>
      </c>
      <c r="P901" t="inlineStr">
        <is>
          <t>nyu</t>
        </is>
      </c>
      <c r="R901" t="inlineStr">
        <is>
          <t xml:space="preserve">HQ </t>
        </is>
      </c>
      <c r="S901" t="n">
        <v>1</v>
      </c>
      <c r="T901" t="n">
        <v>1</v>
      </c>
      <c r="U901" t="inlineStr">
        <is>
          <t>2003-11-15</t>
        </is>
      </c>
      <c r="V901" t="inlineStr">
        <is>
          <t>2003-11-15</t>
        </is>
      </c>
      <c r="W901" t="inlineStr">
        <is>
          <t>1997-11-03</t>
        </is>
      </c>
      <c r="X901" t="inlineStr">
        <is>
          <t>1997-11-03</t>
        </is>
      </c>
      <c r="Y901" t="n">
        <v>518</v>
      </c>
      <c r="Z901" t="n">
        <v>439</v>
      </c>
      <c r="AA901" t="n">
        <v>1544</v>
      </c>
      <c r="AB901" t="n">
        <v>3</v>
      </c>
      <c r="AC901" t="n">
        <v>22</v>
      </c>
      <c r="AD901" t="n">
        <v>25</v>
      </c>
      <c r="AE901" t="n">
        <v>54</v>
      </c>
      <c r="AF901" t="n">
        <v>8</v>
      </c>
      <c r="AG901" t="n">
        <v>20</v>
      </c>
      <c r="AH901" t="n">
        <v>6</v>
      </c>
      <c r="AI901" t="n">
        <v>10</v>
      </c>
      <c r="AJ901" t="n">
        <v>13</v>
      </c>
      <c r="AK901" t="n">
        <v>18</v>
      </c>
      <c r="AL901" t="n">
        <v>2</v>
      </c>
      <c r="AM901" t="n">
        <v>14</v>
      </c>
      <c r="AN901" t="n">
        <v>3</v>
      </c>
      <c r="AO901" t="n">
        <v>3</v>
      </c>
      <c r="AP901" t="inlineStr">
        <is>
          <t>No</t>
        </is>
      </c>
      <c r="AQ901" t="inlineStr">
        <is>
          <t>No</t>
        </is>
      </c>
      <c r="AS901">
        <f>HYPERLINK("https://creighton-primo.hosted.exlibrisgroup.com/primo-explore/search?tab=default_tab&amp;search_scope=EVERYTHING&amp;vid=01CRU&amp;lang=en_US&amp;offset=0&amp;query=any,contains,991002676839702656","Catalog Record")</f>
        <v/>
      </c>
      <c r="AT901">
        <f>HYPERLINK("http://www.worldcat.org/oclc/34996106","WorldCat Record")</f>
        <v/>
      </c>
      <c r="AU901" t="inlineStr">
        <is>
          <t>412814509:eng</t>
        </is>
      </c>
      <c r="AV901" t="inlineStr">
        <is>
          <t>34996106</t>
        </is>
      </c>
      <c r="AW901" t="inlineStr">
        <is>
          <t>991002676839702656</t>
        </is>
      </c>
      <c r="AX901" t="inlineStr">
        <is>
          <t>991002676839702656</t>
        </is>
      </c>
      <c r="AY901" t="inlineStr">
        <is>
          <t>2267645720002656</t>
        </is>
      </c>
      <c r="AZ901" t="inlineStr">
        <is>
          <t>BOOK</t>
        </is>
      </c>
      <c r="BB901" t="inlineStr">
        <is>
          <t>9780814721933</t>
        </is>
      </c>
      <c r="BC901" t="inlineStr">
        <is>
          <t>32285003259180</t>
        </is>
      </c>
      <c r="BD901" t="inlineStr">
        <is>
          <t>893710544</t>
        </is>
      </c>
    </row>
    <row r="902">
      <c r="A902" t="inlineStr">
        <is>
          <t>No</t>
        </is>
      </c>
      <c r="B902" t="inlineStr">
        <is>
          <t>HQ1418 .A87 1999</t>
        </is>
      </c>
      <c r="C902" t="inlineStr">
        <is>
          <t>0                      HQ 1418000A  87          1999</t>
        </is>
      </c>
      <c r="D902" t="inlineStr">
        <is>
          <t>Creating the new Soviet woman : women's magazines as engineers of female identity, 1922-53 / Lynne Attwood.</t>
        </is>
      </c>
      <c r="F902" t="inlineStr">
        <is>
          <t>No</t>
        </is>
      </c>
      <c r="G902" t="inlineStr">
        <is>
          <t>1</t>
        </is>
      </c>
      <c r="H902" t="inlineStr">
        <is>
          <t>No</t>
        </is>
      </c>
      <c r="I902" t="inlineStr">
        <is>
          <t>No</t>
        </is>
      </c>
      <c r="J902" t="inlineStr">
        <is>
          <t>0</t>
        </is>
      </c>
      <c r="K902" t="inlineStr">
        <is>
          <t>Attwood, Lynne.</t>
        </is>
      </c>
      <c r="L902" t="inlineStr">
        <is>
          <t>New York : St. Martin's Press in association with Centre for Russian and East European Studies, University of Birmingham, c1999.</t>
        </is>
      </c>
      <c r="M902" t="inlineStr">
        <is>
          <t>1999</t>
        </is>
      </c>
      <c r="O902" t="inlineStr">
        <is>
          <t>eng</t>
        </is>
      </c>
      <c r="P902" t="inlineStr">
        <is>
          <t>nyu</t>
        </is>
      </c>
      <c r="Q902" t="inlineStr">
        <is>
          <t>Studies in Russian and East European history and society</t>
        </is>
      </c>
      <c r="R902" t="inlineStr">
        <is>
          <t xml:space="preserve">HQ </t>
        </is>
      </c>
      <c r="S902" t="n">
        <v>2</v>
      </c>
      <c r="T902" t="n">
        <v>2</v>
      </c>
      <c r="U902" t="inlineStr">
        <is>
          <t>2001-05-10</t>
        </is>
      </c>
      <c r="V902" t="inlineStr">
        <is>
          <t>2001-05-10</t>
        </is>
      </c>
      <c r="W902" t="inlineStr">
        <is>
          <t>2001-05-09</t>
        </is>
      </c>
      <c r="X902" t="inlineStr">
        <is>
          <t>2001-05-09</t>
        </is>
      </c>
      <c r="Y902" t="n">
        <v>237</v>
      </c>
      <c r="Z902" t="n">
        <v>219</v>
      </c>
      <c r="AA902" t="n">
        <v>308</v>
      </c>
      <c r="AB902" t="n">
        <v>2</v>
      </c>
      <c r="AC902" t="n">
        <v>3</v>
      </c>
      <c r="AD902" t="n">
        <v>14</v>
      </c>
      <c r="AE902" t="n">
        <v>18</v>
      </c>
      <c r="AF902" t="n">
        <v>4</v>
      </c>
      <c r="AG902" t="n">
        <v>6</v>
      </c>
      <c r="AH902" t="n">
        <v>4</v>
      </c>
      <c r="AI902" t="n">
        <v>5</v>
      </c>
      <c r="AJ902" t="n">
        <v>9</v>
      </c>
      <c r="AK902" t="n">
        <v>11</v>
      </c>
      <c r="AL902" t="n">
        <v>1</v>
      </c>
      <c r="AM902" t="n">
        <v>2</v>
      </c>
      <c r="AN902" t="n">
        <v>0</v>
      </c>
      <c r="AO902" t="n">
        <v>0</v>
      </c>
      <c r="AP902" t="inlineStr">
        <is>
          <t>No</t>
        </is>
      </c>
      <c r="AQ902" t="inlineStr">
        <is>
          <t>No</t>
        </is>
      </c>
      <c r="AS902">
        <f>HYPERLINK("https://creighton-primo.hosted.exlibrisgroup.com/primo-explore/search?tab=default_tab&amp;search_scope=EVERYTHING&amp;vid=01CRU&amp;lang=en_US&amp;offset=0&amp;query=any,contains,991003532379702656","Catalog Record")</f>
        <v/>
      </c>
      <c r="AT902">
        <f>HYPERLINK("http://www.worldcat.org/oclc/41090748","WorldCat Record")</f>
        <v/>
      </c>
      <c r="AU902" t="inlineStr">
        <is>
          <t>793846069:eng</t>
        </is>
      </c>
      <c r="AV902" t="inlineStr">
        <is>
          <t>41090748</t>
        </is>
      </c>
      <c r="AW902" t="inlineStr">
        <is>
          <t>991003532379702656</t>
        </is>
      </c>
      <c r="AX902" t="inlineStr">
        <is>
          <t>991003532379702656</t>
        </is>
      </c>
      <c r="AY902" t="inlineStr">
        <is>
          <t>2265812860002656</t>
        </is>
      </c>
      <c r="AZ902" t="inlineStr">
        <is>
          <t>BOOK</t>
        </is>
      </c>
      <c r="BB902" t="inlineStr">
        <is>
          <t>9780312225445</t>
        </is>
      </c>
      <c r="BC902" t="inlineStr">
        <is>
          <t>32285004316922</t>
        </is>
      </c>
      <c r="BD902" t="inlineStr">
        <is>
          <t>893598670</t>
        </is>
      </c>
    </row>
    <row r="903">
      <c r="A903" t="inlineStr">
        <is>
          <t>No</t>
        </is>
      </c>
      <c r="B903" t="inlineStr">
        <is>
          <t>HQ1418 .B37 1994</t>
        </is>
      </c>
      <c r="C903" t="inlineStr">
        <is>
          <t>0                      HQ 1418000B  37          1994</t>
        </is>
      </c>
      <c r="D903" t="inlineStr">
        <is>
          <t>Liberty, equality, sorority : the origins and interpretation of American feminist thought : Frances Wright, Sarah Grimke, and Margaret Fuller / Elizabeth Ann Bartlett.</t>
        </is>
      </c>
      <c r="F903" t="inlineStr">
        <is>
          <t>No</t>
        </is>
      </c>
      <c r="G903" t="inlineStr">
        <is>
          <t>1</t>
        </is>
      </c>
      <c r="H903" t="inlineStr">
        <is>
          <t>No</t>
        </is>
      </c>
      <c r="I903" t="inlineStr">
        <is>
          <t>No</t>
        </is>
      </c>
      <c r="J903" t="inlineStr">
        <is>
          <t>0</t>
        </is>
      </c>
      <c r="K903" t="inlineStr">
        <is>
          <t>Bartlett, Elizabeth Ann.</t>
        </is>
      </c>
      <c r="L903" t="inlineStr">
        <is>
          <t>Brooklyn, N.Y. : Carlson Pub., 1994.</t>
        </is>
      </c>
      <c r="M903" t="inlineStr">
        <is>
          <t>1994</t>
        </is>
      </c>
      <c r="O903" t="inlineStr">
        <is>
          <t>eng</t>
        </is>
      </c>
      <c r="P903" t="inlineStr">
        <is>
          <t>nyu</t>
        </is>
      </c>
      <c r="Q903" t="inlineStr">
        <is>
          <t>Scholarship in women's history ; v. 1</t>
        </is>
      </c>
      <c r="R903" t="inlineStr">
        <is>
          <t xml:space="preserve">HQ </t>
        </is>
      </c>
      <c r="S903" t="n">
        <v>11</v>
      </c>
      <c r="T903" t="n">
        <v>11</v>
      </c>
      <c r="U903" t="inlineStr">
        <is>
          <t>2009-12-01</t>
        </is>
      </c>
      <c r="V903" t="inlineStr">
        <is>
          <t>2009-12-01</t>
        </is>
      </c>
      <c r="W903" t="inlineStr">
        <is>
          <t>1996-09-04</t>
        </is>
      </c>
      <c r="X903" t="inlineStr">
        <is>
          <t>1996-09-04</t>
        </is>
      </c>
      <c r="Y903" t="n">
        <v>424</v>
      </c>
      <c r="Z903" t="n">
        <v>385</v>
      </c>
      <c r="AA903" t="n">
        <v>386</v>
      </c>
      <c r="AB903" t="n">
        <v>4</v>
      </c>
      <c r="AC903" t="n">
        <v>4</v>
      </c>
      <c r="AD903" t="n">
        <v>25</v>
      </c>
      <c r="AE903" t="n">
        <v>25</v>
      </c>
      <c r="AF903" t="n">
        <v>10</v>
      </c>
      <c r="AG903" t="n">
        <v>10</v>
      </c>
      <c r="AH903" t="n">
        <v>8</v>
      </c>
      <c r="AI903" t="n">
        <v>8</v>
      </c>
      <c r="AJ903" t="n">
        <v>12</v>
      </c>
      <c r="AK903" t="n">
        <v>12</v>
      </c>
      <c r="AL903" t="n">
        <v>3</v>
      </c>
      <c r="AM903" t="n">
        <v>3</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HYPERLINK("https://creighton-primo.hosted.exlibrisgroup.com/primo-explore/search?tab=default_tab&amp;search_scope=EVERYTHING&amp;vid=01CRU&amp;lang=en_US&amp;offset=0&amp;query=any,contains,991002344589702656","Catalog Record")</f>
        <v/>
      </c>
      <c r="AT903">
        <f>HYPERLINK("http://www.worldcat.org/oclc/30518547","WorldCat Record")</f>
        <v/>
      </c>
      <c r="AU903" t="inlineStr">
        <is>
          <t>32342385:eng</t>
        </is>
      </c>
      <c r="AV903" t="inlineStr">
        <is>
          <t>30518547</t>
        </is>
      </c>
      <c r="AW903" t="inlineStr">
        <is>
          <t>991002344589702656</t>
        </is>
      </c>
      <c r="AX903" t="inlineStr">
        <is>
          <t>991002344589702656</t>
        </is>
      </c>
      <c r="AY903" t="inlineStr">
        <is>
          <t>2267362910002656</t>
        </is>
      </c>
      <c r="AZ903" t="inlineStr">
        <is>
          <t>BOOK</t>
        </is>
      </c>
      <c r="BB903" t="inlineStr">
        <is>
          <t>9780926019621</t>
        </is>
      </c>
      <c r="BC903" t="inlineStr">
        <is>
          <t>32285002294196</t>
        </is>
      </c>
      <c r="BD903" t="inlineStr">
        <is>
          <t>893529854</t>
        </is>
      </c>
    </row>
    <row r="904">
      <c r="A904" t="inlineStr">
        <is>
          <t>No</t>
        </is>
      </c>
      <c r="B904" t="inlineStr">
        <is>
          <t>HQ1418 .B5</t>
        </is>
      </c>
      <c r="C904" t="inlineStr">
        <is>
          <t>0                      HQ 1418000B  5</t>
        </is>
      </c>
      <c r="D904" t="inlineStr">
        <is>
          <t>The remembered gate : origins of American feminism : the woman and the city, 1800-1860 / Barbara J. Berg.</t>
        </is>
      </c>
      <c r="F904" t="inlineStr">
        <is>
          <t>No</t>
        </is>
      </c>
      <c r="G904" t="inlineStr">
        <is>
          <t>1</t>
        </is>
      </c>
      <c r="H904" t="inlineStr">
        <is>
          <t>No</t>
        </is>
      </c>
      <c r="I904" t="inlineStr">
        <is>
          <t>No</t>
        </is>
      </c>
      <c r="J904" t="inlineStr">
        <is>
          <t>0</t>
        </is>
      </c>
      <c r="K904" t="inlineStr">
        <is>
          <t>Berg, Barbara J.</t>
        </is>
      </c>
      <c r="L904" t="inlineStr">
        <is>
          <t>New York : Oxford University Press, 1978.</t>
        </is>
      </c>
      <c r="M904" t="inlineStr">
        <is>
          <t>1978</t>
        </is>
      </c>
      <c r="O904" t="inlineStr">
        <is>
          <t>eng</t>
        </is>
      </c>
      <c r="P904" t="inlineStr">
        <is>
          <t>nyu</t>
        </is>
      </c>
      <c r="Q904" t="inlineStr">
        <is>
          <t>The Urban life in America series</t>
        </is>
      </c>
      <c r="R904" t="inlineStr">
        <is>
          <t xml:space="preserve">HQ </t>
        </is>
      </c>
      <c r="S904" t="n">
        <v>6</v>
      </c>
      <c r="T904" t="n">
        <v>6</v>
      </c>
      <c r="U904" t="inlineStr">
        <is>
          <t>2006-11-12</t>
        </is>
      </c>
      <c r="V904" t="inlineStr">
        <is>
          <t>2006-11-12</t>
        </is>
      </c>
      <c r="W904" t="inlineStr">
        <is>
          <t>1993-04-28</t>
        </is>
      </c>
      <c r="X904" t="inlineStr">
        <is>
          <t>1993-04-28</t>
        </is>
      </c>
      <c r="Y904" t="n">
        <v>1225</v>
      </c>
      <c r="Z904" t="n">
        <v>1080</v>
      </c>
      <c r="AA904" t="n">
        <v>1157</v>
      </c>
      <c r="AB904" t="n">
        <v>5</v>
      </c>
      <c r="AC904" t="n">
        <v>5</v>
      </c>
      <c r="AD904" t="n">
        <v>38</v>
      </c>
      <c r="AE904" t="n">
        <v>40</v>
      </c>
      <c r="AF904" t="n">
        <v>17</v>
      </c>
      <c r="AG904" t="n">
        <v>18</v>
      </c>
      <c r="AH904" t="n">
        <v>11</v>
      </c>
      <c r="AI904" t="n">
        <v>11</v>
      </c>
      <c r="AJ904" t="n">
        <v>18</v>
      </c>
      <c r="AK904" t="n">
        <v>20</v>
      </c>
      <c r="AL904" t="n">
        <v>4</v>
      </c>
      <c r="AM904" t="n">
        <v>4</v>
      </c>
      <c r="AN904" t="n">
        <v>0</v>
      </c>
      <c r="AO904" t="n">
        <v>0</v>
      </c>
      <c r="AP904" t="inlineStr">
        <is>
          <t>No</t>
        </is>
      </c>
      <c r="AQ904" t="inlineStr">
        <is>
          <t>Yes</t>
        </is>
      </c>
      <c r="AR904">
        <f>HYPERLINK("http://catalog.hathitrust.org/Record/000252327","HathiTrust Record")</f>
        <v/>
      </c>
      <c r="AS904">
        <f>HYPERLINK("https://creighton-primo.hosted.exlibrisgroup.com/primo-explore/search?tab=default_tab&amp;search_scope=EVERYTHING&amp;vid=01CRU&amp;lang=en_US&amp;offset=0&amp;query=any,contains,991004324779702656","Catalog Record")</f>
        <v/>
      </c>
      <c r="AT904">
        <f>HYPERLINK("http://www.worldcat.org/oclc/3033488","WorldCat Record")</f>
        <v/>
      </c>
      <c r="AU904" t="inlineStr">
        <is>
          <t>414950:eng</t>
        </is>
      </c>
      <c r="AV904" t="inlineStr">
        <is>
          <t>3033488</t>
        </is>
      </c>
      <c r="AW904" t="inlineStr">
        <is>
          <t>991004324779702656</t>
        </is>
      </c>
      <c r="AX904" t="inlineStr">
        <is>
          <t>991004324779702656</t>
        </is>
      </c>
      <c r="AY904" t="inlineStr">
        <is>
          <t>2264051000002656</t>
        </is>
      </c>
      <c r="AZ904" t="inlineStr">
        <is>
          <t>BOOK</t>
        </is>
      </c>
      <c r="BB904" t="inlineStr">
        <is>
          <t>9780195022803</t>
        </is>
      </c>
      <c r="BC904" t="inlineStr">
        <is>
          <t>32285001629764</t>
        </is>
      </c>
      <c r="BD904" t="inlineStr">
        <is>
          <t>893888564</t>
        </is>
      </c>
    </row>
    <row r="905">
      <c r="A905" t="inlineStr">
        <is>
          <t>No</t>
        </is>
      </c>
      <c r="B905" t="inlineStr">
        <is>
          <t>HQ1418 .D46 1976</t>
        </is>
      </c>
      <c r="C905" t="inlineStr">
        <is>
          <t>0                      HQ 1418000D  46          1976</t>
        </is>
      </c>
      <c r="D905" t="inlineStr">
        <is>
          <t>Remember the ladies : women in America, 1750-1815 / Linda Grant de Pauw, Conover Hunt, with the assistance of Miriam Schneir.</t>
        </is>
      </c>
      <c r="F905" t="inlineStr">
        <is>
          <t>No</t>
        </is>
      </c>
      <c r="G905" t="inlineStr">
        <is>
          <t>1</t>
        </is>
      </c>
      <c r="H905" t="inlineStr">
        <is>
          <t>No</t>
        </is>
      </c>
      <c r="I905" t="inlineStr">
        <is>
          <t>No</t>
        </is>
      </c>
      <c r="J905" t="inlineStr">
        <is>
          <t>0</t>
        </is>
      </c>
      <c r="K905" t="inlineStr">
        <is>
          <t>De Pauw, Linda Grant.</t>
        </is>
      </c>
      <c r="L905" t="inlineStr">
        <is>
          <t>New York : Viking Press, 1976.</t>
        </is>
      </c>
      <c r="M905" t="inlineStr">
        <is>
          <t>1976</t>
        </is>
      </c>
      <c r="O905" t="inlineStr">
        <is>
          <t>eng</t>
        </is>
      </c>
      <c r="P905" t="inlineStr">
        <is>
          <t>nyu</t>
        </is>
      </c>
      <c r="Q905" t="inlineStr">
        <is>
          <t>A Studio book</t>
        </is>
      </c>
      <c r="R905" t="inlineStr">
        <is>
          <t xml:space="preserve">HQ </t>
        </is>
      </c>
      <c r="S905" t="n">
        <v>5</v>
      </c>
      <c r="T905" t="n">
        <v>5</v>
      </c>
      <c r="U905" t="inlineStr">
        <is>
          <t>1993-10-27</t>
        </is>
      </c>
      <c r="V905" t="inlineStr">
        <is>
          <t>1993-10-27</t>
        </is>
      </c>
      <c r="W905" t="inlineStr">
        <is>
          <t>1990-07-05</t>
        </is>
      </c>
      <c r="X905" t="inlineStr">
        <is>
          <t>1990-07-05</t>
        </is>
      </c>
      <c r="Y905" t="n">
        <v>833</v>
      </c>
      <c r="Z905" t="n">
        <v>798</v>
      </c>
      <c r="AA905" t="n">
        <v>807</v>
      </c>
      <c r="AB905" t="n">
        <v>7</v>
      </c>
      <c r="AC905" t="n">
        <v>7</v>
      </c>
      <c r="AD905" t="n">
        <v>22</v>
      </c>
      <c r="AE905" t="n">
        <v>22</v>
      </c>
      <c r="AF905" t="n">
        <v>6</v>
      </c>
      <c r="AG905" t="n">
        <v>6</v>
      </c>
      <c r="AH905" t="n">
        <v>5</v>
      </c>
      <c r="AI905" t="n">
        <v>5</v>
      </c>
      <c r="AJ905" t="n">
        <v>10</v>
      </c>
      <c r="AK905" t="n">
        <v>10</v>
      </c>
      <c r="AL905" t="n">
        <v>5</v>
      </c>
      <c r="AM905" t="n">
        <v>5</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HYPERLINK("https://creighton-primo.hosted.exlibrisgroup.com/primo-explore/search?tab=default_tab&amp;search_scope=EVERYTHING&amp;vid=01CRU&amp;lang=en_US&amp;offset=0&amp;query=any,contains,991004065709702656","Catalog Record")</f>
        <v/>
      </c>
      <c r="AT905">
        <f>HYPERLINK("http://www.worldcat.org/oclc/2283912","WorldCat Record")</f>
        <v/>
      </c>
      <c r="AU905" t="inlineStr">
        <is>
          <t>235520992:eng</t>
        </is>
      </c>
      <c r="AV905" t="inlineStr">
        <is>
          <t>2283912</t>
        </is>
      </c>
      <c r="AW905" t="inlineStr">
        <is>
          <t>991004065709702656</t>
        </is>
      </c>
      <c r="AX905" t="inlineStr">
        <is>
          <t>991004065709702656</t>
        </is>
      </c>
      <c r="AY905" t="inlineStr">
        <is>
          <t>2266962420002656</t>
        </is>
      </c>
      <c r="AZ905" t="inlineStr">
        <is>
          <t>BOOK</t>
        </is>
      </c>
      <c r="BB905" t="inlineStr">
        <is>
          <t>9780670593620</t>
        </is>
      </c>
      <c r="BC905" t="inlineStr">
        <is>
          <t>32285000221696</t>
        </is>
      </c>
      <c r="BD905" t="inlineStr">
        <is>
          <t>893900758</t>
        </is>
      </c>
    </row>
    <row r="906">
      <c r="A906" t="inlineStr">
        <is>
          <t>No</t>
        </is>
      </c>
      <c r="B906" t="inlineStr">
        <is>
          <t>HQ1418 .G56 1990</t>
        </is>
      </c>
      <c r="C906" t="inlineStr">
        <is>
          <t>0                      HQ 1418000G  56          1990</t>
        </is>
      </c>
      <c r="D906" t="inlineStr">
        <is>
          <t>Women and the work of benevolence : morality, politics, and class in the nineteenth-century United States / Lori D. Ginzberg.</t>
        </is>
      </c>
      <c r="F906" t="inlineStr">
        <is>
          <t>No</t>
        </is>
      </c>
      <c r="G906" t="inlineStr">
        <is>
          <t>1</t>
        </is>
      </c>
      <c r="H906" t="inlineStr">
        <is>
          <t>No</t>
        </is>
      </c>
      <c r="I906" t="inlineStr">
        <is>
          <t>No</t>
        </is>
      </c>
      <c r="J906" t="inlineStr">
        <is>
          <t>0</t>
        </is>
      </c>
      <c r="K906" t="inlineStr">
        <is>
          <t>Ginzberg, Lori D.</t>
        </is>
      </c>
      <c r="L906" t="inlineStr">
        <is>
          <t>New Haven : Yale University Press, c1990.</t>
        </is>
      </c>
      <c r="M906" t="inlineStr">
        <is>
          <t>1990</t>
        </is>
      </c>
      <c r="O906" t="inlineStr">
        <is>
          <t>eng</t>
        </is>
      </c>
      <c r="P906" t="inlineStr">
        <is>
          <t>ctu</t>
        </is>
      </c>
      <c r="Q906" t="inlineStr">
        <is>
          <t>Yale historical publications</t>
        </is>
      </c>
      <c r="R906" t="inlineStr">
        <is>
          <t xml:space="preserve">HQ </t>
        </is>
      </c>
      <c r="S906" t="n">
        <v>3</v>
      </c>
      <c r="T906" t="n">
        <v>3</v>
      </c>
      <c r="U906" t="inlineStr">
        <is>
          <t>2006-12-22</t>
        </is>
      </c>
      <c r="V906" t="inlineStr">
        <is>
          <t>2006-12-22</t>
        </is>
      </c>
      <c r="W906" t="inlineStr">
        <is>
          <t>1990-10-12</t>
        </is>
      </c>
      <c r="X906" t="inlineStr">
        <is>
          <t>1990-10-12</t>
        </is>
      </c>
      <c r="Y906" t="n">
        <v>917</v>
      </c>
      <c r="Z906" t="n">
        <v>793</v>
      </c>
      <c r="AA906" t="n">
        <v>794</v>
      </c>
      <c r="AB906" t="n">
        <v>5</v>
      </c>
      <c r="AC906" t="n">
        <v>5</v>
      </c>
      <c r="AD906" t="n">
        <v>40</v>
      </c>
      <c r="AE906" t="n">
        <v>40</v>
      </c>
      <c r="AF906" t="n">
        <v>16</v>
      </c>
      <c r="AG906" t="n">
        <v>16</v>
      </c>
      <c r="AH906" t="n">
        <v>10</v>
      </c>
      <c r="AI906" t="n">
        <v>10</v>
      </c>
      <c r="AJ906" t="n">
        <v>19</v>
      </c>
      <c r="AK906" t="n">
        <v>19</v>
      </c>
      <c r="AL906" t="n">
        <v>4</v>
      </c>
      <c r="AM906" t="n">
        <v>4</v>
      </c>
      <c r="AN906" t="n">
        <v>1</v>
      </c>
      <c r="AO906" t="n">
        <v>1</v>
      </c>
      <c r="AP906" t="inlineStr">
        <is>
          <t>No</t>
        </is>
      </c>
      <c r="AQ906" t="inlineStr">
        <is>
          <t>No</t>
        </is>
      </c>
      <c r="AS906">
        <f>HYPERLINK("https://creighton-primo.hosted.exlibrisgroup.com/primo-explore/search?tab=default_tab&amp;search_scope=EVERYTHING&amp;vid=01CRU&amp;lang=en_US&amp;offset=0&amp;query=any,contains,991001580589702656","Catalog Record")</f>
        <v/>
      </c>
      <c r="AT906">
        <f>HYPERLINK("http://www.worldcat.org/oclc/20489414","WorldCat Record")</f>
        <v/>
      </c>
      <c r="AU906" t="inlineStr">
        <is>
          <t>22614433:eng</t>
        </is>
      </c>
      <c r="AV906" t="inlineStr">
        <is>
          <t>20489414</t>
        </is>
      </c>
      <c r="AW906" t="inlineStr">
        <is>
          <t>991001580589702656</t>
        </is>
      </c>
      <c r="AX906" t="inlineStr">
        <is>
          <t>991001580589702656</t>
        </is>
      </c>
      <c r="AY906" t="inlineStr">
        <is>
          <t>2269705560002656</t>
        </is>
      </c>
      <c r="AZ906" t="inlineStr">
        <is>
          <t>BOOK</t>
        </is>
      </c>
      <c r="BB906" t="inlineStr">
        <is>
          <t>9780300047042</t>
        </is>
      </c>
      <c r="BC906" t="inlineStr">
        <is>
          <t>32285000310226</t>
        </is>
      </c>
      <c r="BD906" t="inlineStr">
        <is>
          <t>893785195</t>
        </is>
      </c>
    </row>
    <row r="907">
      <c r="A907" t="inlineStr">
        <is>
          <t>No</t>
        </is>
      </c>
      <c r="B907" t="inlineStr">
        <is>
          <t>HQ1418 .G65 1998</t>
        </is>
      </c>
      <c r="C907" t="inlineStr">
        <is>
          <t>0                      HQ 1418000G  65          1998</t>
        </is>
      </c>
      <c r="D907" t="inlineStr">
        <is>
          <t>Breaking new ground : American women, 1800-1848 / Michael Goldberg.</t>
        </is>
      </c>
      <c r="F907" t="inlineStr">
        <is>
          <t>No</t>
        </is>
      </c>
      <c r="G907" t="inlineStr">
        <is>
          <t>1</t>
        </is>
      </c>
      <c r="H907" t="inlineStr">
        <is>
          <t>No</t>
        </is>
      </c>
      <c r="I907" t="inlineStr">
        <is>
          <t>Yes</t>
        </is>
      </c>
      <c r="J907" t="inlineStr">
        <is>
          <t>0</t>
        </is>
      </c>
      <c r="K907" t="inlineStr">
        <is>
          <t>Goldberg, Michael L., 1959-</t>
        </is>
      </c>
      <c r="L907" t="inlineStr">
        <is>
          <t>New York : Oxford University Press, 1998.</t>
        </is>
      </c>
      <c r="M907" t="inlineStr">
        <is>
          <t>1998</t>
        </is>
      </c>
      <c r="O907" t="inlineStr">
        <is>
          <t>eng</t>
        </is>
      </c>
      <c r="P907" t="inlineStr">
        <is>
          <t>nyu</t>
        </is>
      </c>
      <c r="Q907" t="inlineStr">
        <is>
          <t>The young Oxford history of women in the United States ; v. 4</t>
        </is>
      </c>
      <c r="R907" t="inlineStr">
        <is>
          <t xml:space="preserve">HQ </t>
        </is>
      </c>
      <c r="S907" t="n">
        <v>2</v>
      </c>
      <c r="T907" t="n">
        <v>2</v>
      </c>
      <c r="U907" t="inlineStr">
        <is>
          <t>2001-02-14</t>
        </is>
      </c>
      <c r="V907" t="inlineStr">
        <is>
          <t>2001-02-14</t>
        </is>
      </c>
      <c r="W907" t="inlineStr">
        <is>
          <t>1998-10-26</t>
        </is>
      </c>
      <c r="X907" t="inlineStr">
        <is>
          <t>1998-10-26</t>
        </is>
      </c>
      <c r="Y907" t="n">
        <v>50</v>
      </c>
      <c r="Z907" t="n">
        <v>49</v>
      </c>
      <c r="AA907" t="n">
        <v>417</v>
      </c>
      <c r="AB907" t="n">
        <v>1</v>
      </c>
      <c r="AC907" t="n">
        <v>4</v>
      </c>
      <c r="AD907" t="n">
        <v>0</v>
      </c>
      <c r="AE907" t="n">
        <v>4</v>
      </c>
      <c r="AF907" t="n">
        <v>0</v>
      </c>
      <c r="AG907" t="n">
        <v>2</v>
      </c>
      <c r="AH907" t="n">
        <v>0</v>
      </c>
      <c r="AI907" t="n">
        <v>1</v>
      </c>
      <c r="AJ907" t="n">
        <v>0</v>
      </c>
      <c r="AK907" t="n">
        <v>2</v>
      </c>
      <c r="AL907" t="n">
        <v>0</v>
      </c>
      <c r="AM907" t="n">
        <v>0</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HYPERLINK("https://creighton-primo.hosted.exlibrisgroup.com/primo-explore/search?tab=default_tab&amp;search_scope=EVERYTHING&amp;vid=01CRU&amp;lang=en_US&amp;offset=0&amp;query=any,contains,991004650419702656","Catalog Record")</f>
        <v/>
      </c>
      <c r="AT907">
        <f>HYPERLINK("http://www.worldcat.org/oclc/39440835","WorldCat Record")</f>
        <v/>
      </c>
      <c r="AU907" t="inlineStr">
        <is>
          <t>906259103:eng</t>
        </is>
      </c>
      <c r="AV907" t="inlineStr">
        <is>
          <t>39440835</t>
        </is>
      </c>
      <c r="AW907" t="inlineStr">
        <is>
          <t>991004650419702656</t>
        </is>
      </c>
      <c r="AX907" t="inlineStr">
        <is>
          <t>991004650419702656</t>
        </is>
      </c>
      <c r="AY907" t="inlineStr">
        <is>
          <t>2254823150002656</t>
        </is>
      </c>
      <c r="AZ907" t="inlineStr">
        <is>
          <t>BOOK</t>
        </is>
      </c>
      <c r="BB907" t="inlineStr">
        <is>
          <t>9780195124026</t>
        </is>
      </c>
      <c r="BC907" t="inlineStr">
        <is>
          <t>32285003477204</t>
        </is>
      </c>
      <c r="BD907" t="inlineStr">
        <is>
          <t>893585560</t>
        </is>
      </c>
    </row>
    <row r="908">
      <c r="A908" t="inlineStr">
        <is>
          <t>No</t>
        </is>
      </c>
      <c r="B908" t="inlineStr">
        <is>
          <t>HQ1418 .N56 1978</t>
        </is>
      </c>
      <c r="C908" t="inlineStr">
        <is>
          <t>0                      HQ 1418000N  56          1978</t>
        </is>
      </c>
      <c r="D908" t="inlineStr">
        <is>
          <t>The Nineteenth-century woman : her cultural and physical world / edited by Sara Delamont and Lorna Duffin.</t>
        </is>
      </c>
      <c r="F908" t="inlineStr">
        <is>
          <t>No</t>
        </is>
      </c>
      <c r="G908" t="inlineStr">
        <is>
          <t>1</t>
        </is>
      </c>
      <c r="H908" t="inlineStr">
        <is>
          <t>No</t>
        </is>
      </c>
      <c r="I908" t="inlineStr">
        <is>
          <t>No</t>
        </is>
      </c>
      <c r="J908" t="inlineStr">
        <is>
          <t>0</t>
        </is>
      </c>
      <c r="L908" t="inlineStr">
        <is>
          <t>London : Croom Helm ; New York : Barnes &amp; Noble Books, 1978.</t>
        </is>
      </c>
      <c r="M908" t="inlineStr">
        <is>
          <t>1978</t>
        </is>
      </c>
      <c r="O908" t="inlineStr">
        <is>
          <t>eng</t>
        </is>
      </c>
      <c r="P908" t="inlineStr">
        <is>
          <t>enk</t>
        </is>
      </c>
      <c r="R908" t="inlineStr">
        <is>
          <t xml:space="preserve">HQ </t>
        </is>
      </c>
      <c r="S908" t="n">
        <v>6</v>
      </c>
      <c r="T908" t="n">
        <v>6</v>
      </c>
      <c r="U908" t="inlineStr">
        <is>
          <t>2009-11-30</t>
        </is>
      </c>
      <c r="V908" t="inlineStr">
        <is>
          <t>2009-11-30</t>
        </is>
      </c>
      <c r="W908" t="inlineStr">
        <is>
          <t>1990-07-05</t>
        </is>
      </c>
      <c r="X908" t="inlineStr">
        <is>
          <t>1990-07-05</t>
        </is>
      </c>
      <c r="Y908" t="n">
        <v>649</v>
      </c>
      <c r="Z908" t="n">
        <v>487</v>
      </c>
      <c r="AA908" t="n">
        <v>798</v>
      </c>
      <c r="AB908" t="n">
        <v>3</v>
      </c>
      <c r="AC908" t="n">
        <v>6</v>
      </c>
      <c r="AD908" t="n">
        <v>20</v>
      </c>
      <c r="AE908" t="n">
        <v>34</v>
      </c>
      <c r="AF908" t="n">
        <v>5</v>
      </c>
      <c r="AG908" t="n">
        <v>11</v>
      </c>
      <c r="AH908" t="n">
        <v>8</v>
      </c>
      <c r="AI908" t="n">
        <v>10</v>
      </c>
      <c r="AJ908" t="n">
        <v>11</v>
      </c>
      <c r="AK908" t="n">
        <v>14</v>
      </c>
      <c r="AL908" t="n">
        <v>2</v>
      </c>
      <c r="AM908" t="n">
        <v>5</v>
      </c>
      <c r="AN908" t="n">
        <v>0</v>
      </c>
      <c r="AO908" t="n">
        <v>1</v>
      </c>
      <c r="AP908" t="inlineStr">
        <is>
          <t>No</t>
        </is>
      </c>
      <c r="AQ908" t="inlineStr">
        <is>
          <t>No</t>
        </is>
      </c>
      <c r="AS908">
        <f>HYPERLINK("https://creighton-primo.hosted.exlibrisgroup.com/primo-explore/search?tab=default_tab&amp;search_scope=EVERYTHING&amp;vid=01CRU&amp;lang=en_US&amp;offset=0&amp;query=any,contains,991004476429702656","Catalog Record")</f>
        <v/>
      </c>
      <c r="AT908">
        <f>HYPERLINK("http://www.worldcat.org/oclc/3609468","WorldCat Record")</f>
        <v/>
      </c>
      <c r="AU908" t="inlineStr">
        <is>
          <t>350409977:eng</t>
        </is>
      </c>
      <c r="AV908" t="inlineStr">
        <is>
          <t>3609468</t>
        </is>
      </c>
      <c r="AW908" t="inlineStr">
        <is>
          <t>991004476429702656</t>
        </is>
      </c>
      <c r="AX908" t="inlineStr">
        <is>
          <t>991004476429702656</t>
        </is>
      </c>
      <c r="AY908" t="inlineStr">
        <is>
          <t>2271736960002656</t>
        </is>
      </c>
      <c r="AZ908" t="inlineStr">
        <is>
          <t>BOOK</t>
        </is>
      </c>
      <c r="BB908" t="inlineStr">
        <is>
          <t>9780064916608</t>
        </is>
      </c>
      <c r="BC908" t="inlineStr">
        <is>
          <t>32285000221712</t>
        </is>
      </c>
      <c r="BD908" t="inlineStr">
        <is>
          <t>893888758</t>
        </is>
      </c>
    </row>
    <row r="909">
      <c r="A909" t="inlineStr">
        <is>
          <t>No</t>
        </is>
      </c>
      <c r="B909" t="inlineStr">
        <is>
          <t>HQ1419 .G73 1983</t>
        </is>
      </c>
      <c r="C909" t="inlineStr">
        <is>
          <t>0                      HQ 1419000G  73          1983</t>
        </is>
      </c>
      <c r="D909" t="inlineStr">
        <is>
          <t>The light of the home : an intimate view of the lives of women in Victorian America / Harvey Green, with the assistance of Mary-Ellen Perry ; with illustrations from the Margaret Woodbury Strong Museum.</t>
        </is>
      </c>
      <c r="F909" t="inlineStr">
        <is>
          <t>No</t>
        </is>
      </c>
      <c r="G909" t="inlineStr">
        <is>
          <t>1</t>
        </is>
      </c>
      <c r="H909" t="inlineStr">
        <is>
          <t>No</t>
        </is>
      </c>
      <c r="I909" t="inlineStr">
        <is>
          <t>No</t>
        </is>
      </c>
      <c r="J909" t="inlineStr">
        <is>
          <t>0</t>
        </is>
      </c>
      <c r="K909" t="inlineStr">
        <is>
          <t>Green, Harvey, 1946-</t>
        </is>
      </c>
      <c r="L909" t="inlineStr">
        <is>
          <t>New York : Pantheon Books, c1983.</t>
        </is>
      </c>
      <c r="M909" t="inlineStr">
        <is>
          <t>1983</t>
        </is>
      </c>
      <c r="N909" t="inlineStr">
        <is>
          <t>1st paperback ed.</t>
        </is>
      </c>
      <c r="O909" t="inlineStr">
        <is>
          <t>eng</t>
        </is>
      </c>
      <c r="P909" t="inlineStr">
        <is>
          <t>nyu</t>
        </is>
      </c>
      <c r="R909" t="inlineStr">
        <is>
          <t xml:space="preserve">HQ </t>
        </is>
      </c>
      <c r="S909" t="n">
        <v>7</v>
      </c>
      <c r="T909" t="n">
        <v>7</v>
      </c>
      <c r="U909" t="inlineStr">
        <is>
          <t>2007-04-15</t>
        </is>
      </c>
      <c r="V909" t="inlineStr">
        <is>
          <t>2007-04-15</t>
        </is>
      </c>
      <c r="W909" t="inlineStr">
        <is>
          <t>1993-04-28</t>
        </is>
      </c>
      <c r="X909" t="inlineStr">
        <is>
          <t>1993-04-28</t>
        </is>
      </c>
      <c r="Y909" t="n">
        <v>1169</v>
      </c>
      <c r="Z909" t="n">
        <v>1092</v>
      </c>
      <c r="AA909" t="n">
        <v>1139</v>
      </c>
      <c r="AB909" t="n">
        <v>9</v>
      </c>
      <c r="AC909" t="n">
        <v>10</v>
      </c>
      <c r="AD909" t="n">
        <v>27</v>
      </c>
      <c r="AE909" t="n">
        <v>30</v>
      </c>
      <c r="AF909" t="n">
        <v>11</v>
      </c>
      <c r="AG909" t="n">
        <v>12</v>
      </c>
      <c r="AH909" t="n">
        <v>3</v>
      </c>
      <c r="AI909" t="n">
        <v>4</v>
      </c>
      <c r="AJ909" t="n">
        <v>13</v>
      </c>
      <c r="AK909" t="n">
        <v>14</v>
      </c>
      <c r="AL909" t="n">
        <v>7</v>
      </c>
      <c r="AM909" t="n">
        <v>8</v>
      </c>
      <c r="AN909" t="n">
        <v>0</v>
      </c>
      <c r="AO909" t="n">
        <v>0</v>
      </c>
      <c r="AP909" t="inlineStr">
        <is>
          <t>No</t>
        </is>
      </c>
      <c r="AQ909" t="inlineStr">
        <is>
          <t>Yes</t>
        </is>
      </c>
      <c r="AR909">
        <f>HYPERLINK("http://catalog.hathitrust.org/Record/000238796","HathiTrust Record")</f>
        <v/>
      </c>
      <c r="AS909">
        <f>HYPERLINK("https://creighton-primo.hosted.exlibrisgroup.com/primo-explore/search?tab=default_tab&amp;search_scope=EVERYTHING&amp;vid=01CRU&amp;lang=en_US&amp;offset=0&amp;query=any,contains,991000086959702656","Catalog Record")</f>
        <v/>
      </c>
      <c r="AT909">
        <f>HYPERLINK("http://www.worldcat.org/oclc/8866492","WorldCat Record")</f>
        <v/>
      </c>
      <c r="AU909" t="inlineStr">
        <is>
          <t>773073:eng</t>
        </is>
      </c>
      <c r="AV909" t="inlineStr">
        <is>
          <t>8866492</t>
        </is>
      </c>
      <c r="AW909" t="inlineStr">
        <is>
          <t>991000086959702656</t>
        </is>
      </c>
      <c r="AX909" t="inlineStr">
        <is>
          <t>991000086959702656</t>
        </is>
      </c>
      <c r="AY909" t="inlineStr">
        <is>
          <t>2262499050002656</t>
        </is>
      </c>
      <c r="AZ909" t="inlineStr">
        <is>
          <t>BOOK</t>
        </is>
      </c>
      <c r="BB909" t="inlineStr">
        <is>
          <t>9780394713298</t>
        </is>
      </c>
      <c r="BC909" t="inlineStr">
        <is>
          <t>32285001629806</t>
        </is>
      </c>
      <c r="BD909" t="inlineStr">
        <is>
          <t>893249072</t>
        </is>
      </c>
    </row>
    <row r="910">
      <c r="A910" t="inlineStr">
        <is>
          <t>No</t>
        </is>
      </c>
      <c r="B910" t="inlineStr">
        <is>
          <t>HQ1419 .J39</t>
        </is>
      </c>
      <c r="C910" t="inlineStr">
        <is>
          <t>0                      HQ 1419000J  39</t>
        </is>
      </c>
      <c r="D910" t="inlineStr">
        <is>
          <t>With these hands : women working on the land / Joan M. Jensen.</t>
        </is>
      </c>
      <c r="F910" t="inlineStr">
        <is>
          <t>No</t>
        </is>
      </c>
      <c r="G910" t="inlineStr">
        <is>
          <t>1</t>
        </is>
      </c>
      <c r="H910" t="inlineStr">
        <is>
          <t>No</t>
        </is>
      </c>
      <c r="I910" t="inlineStr">
        <is>
          <t>No</t>
        </is>
      </c>
      <c r="J910" t="inlineStr">
        <is>
          <t>0</t>
        </is>
      </c>
      <c r="K910" t="inlineStr">
        <is>
          <t>Jensen, Joan M.</t>
        </is>
      </c>
      <c r="L910" t="inlineStr">
        <is>
          <t>Old Westbury, N.Y. : Feminist Press ; New York : McGraw-Hill, c1981.</t>
        </is>
      </c>
      <c r="M910" t="inlineStr">
        <is>
          <t>1981</t>
        </is>
      </c>
      <c r="O910" t="inlineStr">
        <is>
          <t>eng</t>
        </is>
      </c>
      <c r="P910" t="inlineStr">
        <is>
          <t>nyu</t>
        </is>
      </c>
      <c r="Q910" t="inlineStr">
        <is>
          <t>Women's lives, women's work</t>
        </is>
      </c>
      <c r="R910" t="inlineStr">
        <is>
          <t xml:space="preserve">HQ </t>
        </is>
      </c>
      <c r="S910" t="n">
        <v>2</v>
      </c>
      <c r="T910" t="n">
        <v>2</v>
      </c>
      <c r="U910" t="inlineStr">
        <is>
          <t>1998-02-10</t>
        </is>
      </c>
      <c r="V910" t="inlineStr">
        <is>
          <t>1998-02-10</t>
        </is>
      </c>
      <c r="W910" t="inlineStr">
        <is>
          <t>1990-07-02</t>
        </is>
      </c>
      <c r="X910" t="inlineStr">
        <is>
          <t>1990-07-02</t>
        </is>
      </c>
      <c r="Y910" t="n">
        <v>738</v>
      </c>
      <c r="Z910" t="n">
        <v>679</v>
      </c>
      <c r="AA910" t="n">
        <v>686</v>
      </c>
      <c r="AB910" t="n">
        <v>7</v>
      </c>
      <c r="AC910" t="n">
        <v>7</v>
      </c>
      <c r="AD910" t="n">
        <v>23</v>
      </c>
      <c r="AE910" t="n">
        <v>23</v>
      </c>
      <c r="AF910" t="n">
        <v>5</v>
      </c>
      <c r="AG910" t="n">
        <v>5</v>
      </c>
      <c r="AH910" t="n">
        <v>7</v>
      </c>
      <c r="AI910" t="n">
        <v>7</v>
      </c>
      <c r="AJ910" t="n">
        <v>11</v>
      </c>
      <c r="AK910" t="n">
        <v>11</v>
      </c>
      <c r="AL910" t="n">
        <v>6</v>
      </c>
      <c r="AM910" t="n">
        <v>6</v>
      </c>
      <c r="AN910" t="n">
        <v>0</v>
      </c>
      <c r="AO910" t="n">
        <v>0</v>
      </c>
      <c r="AP910" t="inlineStr">
        <is>
          <t>No</t>
        </is>
      </c>
      <c r="AQ910" t="inlineStr">
        <is>
          <t>Yes</t>
        </is>
      </c>
      <c r="AR910">
        <f>HYPERLINK("http://catalog.hathitrust.org/Record/000265703","HathiTrust Record")</f>
        <v/>
      </c>
      <c r="AS910">
        <f>HYPERLINK("https://creighton-primo.hosted.exlibrisgroup.com/primo-explore/search?tab=default_tab&amp;search_scope=EVERYTHING&amp;vid=01CRU&amp;lang=en_US&amp;offset=0&amp;query=any,contains,991005070889702656","Catalog Record")</f>
        <v/>
      </c>
      <c r="AT910">
        <f>HYPERLINK("http://www.worldcat.org/oclc/7021729","WorldCat Record")</f>
        <v/>
      </c>
      <c r="AU910" t="inlineStr">
        <is>
          <t>557683:eng</t>
        </is>
      </c>
      <c r="AV910" t="inlineStr">
        <is>
          <t>7021729</t>
        </is>
      </c>
      <c r="AW910" t="inlineStr">
        <is>
          <t>991005070889702656</t>
        </is>
      </c>
      <c r="AX910" t="inlineStr">
        <is>
          <t>991005070889702656</t>
        </is>
      </c>
      <c r="AY910" t="inlineStr">
        <is>
          <t>2256789270002656</t>
        </is>
      </c>
      <c r="AZ910" t="inlineStr">
        <is>
          <t>BOOK</t>
        </is>
      </c>
      <c r="BB910" t="inlineStr">
        <is>
          <t>9780070204416</t>
        </is>
      </c>
      <c r="BC910" t="inlineStr">
        <is>
          <t>32285000218643</t>
        </is>
      </c>
      <c r="BD910" t="inlineStr">
        <is>
          <t>893236221</t>
        </is>
      </c>
    </row>
    <row r="911">
      <c r="A911" t="inlineStr">
        <is>
          <t>No</t>
        </is>
      </c>
      <c r="B911" t="inlineStr">
        <is>
          <t>HQ1419 .M38 2003</t>
        </is>
      </c>
      <c r="C911" t="inlineStr">
        <is>
          <t>0                      HQ 1419000M  38          2003</t>
        </is>
      </c>
      <c r="D911" t="inlineStr">
        <is>
          <t>The rise of the new woman : the women's movement in America, 1875-1930 / Jean V. Matthews.</t>
        </is>
      </c>
      <c r="F911" t="inlineStr">
        <is>
          <t>No</t>
        </is>
      </c>
      <c r="G911" t="inlineStr">
        <is>
          <t>1</t>
        </is>
      </c>
      <c r="H911" t="inlineStr">
        <is>
          <t>No</t>
        </is>
      </c>
      <c r="I911" t="inlineStr">
        <is>
          <t>No</t>
        </is>
      </c>
      <c r="J911" t="inlineStr">
        <is>
          <t>0</t>
        </is>
      </c>
      <c r="K911" t="inlineStr">
        <is>
          <t>Matthews, Jean V., 1937-</t>
        </is>
      </c>
      <c r="L911" t="inlineStr">
        <is>
          <t>Chicago : Ivan R. Dee, c2003.</t>
        </is>
      </c>
      <c r="M911" t="inlineStr">
        <is>
          <t>2003</t>
        </is>
      </c>
      <c r="O911" t="inlineStr">
        <is>
          <t>eng</t>
        </is>
      </c>
      <c r="P911" t="inlineStr">
        <is>
          <t>ilu</t>
        </is>
      </c>
      <c r="Q911" t="inlineStr">
        <is>
          <t>The American ways series</t>
        </is>
      </c>
      <c r="R911" t="inlineStr">
        <is>
          <t xml:space="preserve">HQ </t>
        </is>
      </c>
      <c r="S911" t="n">
        <v>3</v>
      </c>
      <c r="T911" t="n">
        <v>3</v>
      </c>
      <c r="U911" t="inlineStr">
        <is>
          <t>2005-10-16</t>
        </is>
      </c>
      <c r="V911" t="inlineStr">
        <is>
          <t>2005-10-16</t>
        </is>
      </c>
      <c r="W911" t="inlineStr">
        <is>
          <t>2003-06-10</t>
        </is>
      </c>
      <c r="X911" t="inlineStr">
        <is>
          <t>2003-06-10</t>
        </is>
      </c>
      <c r="Y911" t="n">
        <v>1073</v>
      </c>
      <c r="Z911" t="n">
        <v>974</v>
      </c>
      <c r="AA911" t="n">
        <v>976</v>
      </c>
      <c r="AB911" t="n">
        <v>9</v>
      </c>
      <c r="AC911" t="n">
        <v>9</v>
      </c>
      <c r="AD911" t="n">
        <v>28</v>
      </c>
      <c r="AE911" t="n">
        <v>28</v>
      </c>
      <c r="AF911" t="n">
        <v>10</v>
      </c>
      <c r="AG911" t="n">
        <v>10</v>
      </c>
      <c r="AH911" t="n">
        <v>8</v>
      </c>
      <c r="AI911" t="n">
        <v>8</v>
      </c>
      <c r="AJ911" t="n">
        <v>10</v>
      </c>
      <c r="AK911" t="n">
        <v>10</v>
      </c>
      <c r="AL911" t="n">
        <v>6</v>
      </c>
      <c r="AM911" t="n">
        <v>6</v>
      </c>
      <c r="AN911" t="n">
        <v>0</v>
      </c>
      <c r="AO911" t="n">
        <v>0</v>
      </c>
      <c r="AP911" t="inlineStr">
        <is>
          <t>No</t>
        </is>
      </c>
      <c r="AQ911" t="inlineStr">
        <is>
          <t>Yes</t>
        </is>
      </c>
      <c r="AR911">
        <f>HYPERLINK("http://catalog.hathitrust.org/Record/004315121","HathiTrust Record")</f>
        <v/>
      </c>
      <c r="AS911">
        <f>HYPERLINK("https://creighton-primo.hosted.exlibrisgroup.com/primo-explore/search?tab=default_tab&amp;search_scope=EVERYTHING&amp;vid=01CRU&amp;lang=en_US&amp;offset=0&amp;query=any,contains,991004058269702656","Catalog Record")</f>
        <v/>
      </c>
      <c r="AT911">
        <f>HYPERLINK("http://www.worldcat.org/oclc/50774309","WorldCat Record")</f>
        <v/>
      </c>
      <c r="AU911" t="inlineStr">
        <is>
          <t>905514617:eng</t>
        </is>
      </c>
      <c r="AV911" t="inlineStr">
        <is>
          <t>50774309</t>
        </is>
      </c>
      <c r="AW911" t="inlineStr">
        <is>
          <t>991004058269702656</t>
        </is>
      </c>
      <c r="AX911" t="inlineStr">
        <is>
          <t>991004058269702656</t>
        </is>
      </c>
      <c r="AY911" t="inlineStr">
        <is>
          <t>2263630280002656</t>
        </is>
      </c>
      <c r="AZ911" t="inlineStr">
        <is>
          <t>BOOK</t>
        </is>
      </c>
      <c r="BB911" t="inlineStr">
        <is>
          <t>9781566635004</t>
        </is>
      </c>
      <c r="BC911" t="inlineStr">
        <is>
          <t>32285004751458</t>
        </is>
      </c>
      <c r="BD911" t="inlineStr">
        <is>
          <t>893442125</t>
        </is>
      </c>
    </row>
    <row r="912">
      <c r="A912" t="inlineStr">
        <is>
          <t>No</t>
        </is>
      </c>
      <c r="B912" t="inlineStr">
        <is>
          <t>HQ1419 .R6</t>
        </is>
      </c>
      <c r="C912" t="inlineStr">
        <is>
          <t>0                      HQ 1419000R  6</t>
        </is>
      </c>
      <c r="D912" t="inlineStr">
        <is>
          <t>It's up to the women / by Mrs. Franklin D. Roosevelt.</t>
        </is>
      </c>
      <c r="F912" t="inlineStr">
        <is>
          <t>No</t>
        </is>
      </c>
      <c r="G912" t="inlineStr">
        <is>
          <t>1</t>
        </is>
      </c>
      <c r="H912" t="inlineStr">
        <is>
          <t>No</t>
        </is>
      </c>
      <c r="I912" t="inlineStr">
        <is>
          <t>No</t>
        </is>
      </c>
      <c r="J912" t="inlineStr">
        <is>
          <t>0</t>
        </is>
      </c>
      <c r="K912" t="inlineStr">
        <is>
          <t>Roosevelt, Eleanor, 1884-1962.</t>
        </is>
      </c>
      <c r="L912" t="inlineStr">
        <is>
          <t>New York : Frederick A. Stokes Company, 1933.</t>
        </is>
      </c>
      <c r="M912" t="inlineStr">
        <is>
          <t>1933</t>
        </is>
      </c>
      <c r="O912" t="inlineStr">
        <is>
          <t>eng</t>
        </is>
      </c>
      <c r="P912" t="inlineStr">
        <is>
          <t>nyu</t>
        </is>
      </c>
      <c r="R912" t="inlineStr">
        <is>
          <t xml:space="preserve">HQ </t>
        </is>
      </c>
      <c r="S912" t="n">
        <v>4</v>
      </c>
      <c r="T912" t="n">
        <v>4</v>
      </c>
      <c r="U912" t="inlineStr">
        <is>
          <t>2002-04-24</t>
        </is>
      </c>
      <c r="V912" t="inlineStr">
        <is>
          <t>2002-04-24</t>
        </is>
      </c>
      <c r="W912" t="inlineStr">
        <is>
          <t>1992-01-17</t>
        </is>
      </c>
      <c r="X912" t="inlineStr">
        <is>
          <t>1992-01-17</t>
        </is>
      </c>
      <c r="Y912" t="n">
        <v>344</v>
      </c>
      <c r="Z912" t="n">
        <v>327</v>
      </c>
      <c r="AA912" t="n">
        <v>540</v>
      </c>
      <c r="AB912" t="n">
        <v>4</v>
      </c>
      <c r="AC912" t="n">
        <v>6</v>
      </c>
      <c r="AD912" t="n">
        <v>14</v>
      </c>
      <c r="AE912" t="n">
        <v>17</v>
      </c>
      <c r="AF912" t="n">
        <v>4</v>
      </c>
      <c r="AG912" t="n">
        <v>6</v>
      </c>
      <c r="AH912" t="n">
        <v>4</v>
      </c>
      <c r="AI912" t="n">
        <v>5</v>
      </c>
      <c r="AJ912" t="n">
        <v>8</v>
      </c>
      <c r="AK912" t="n">
        <v>9</v>
      </c>
      <c r="AL912" t="n">
        <v>2</v>
      </c>
      <c r="AM912" t="n">
        <v>2</v>
      </c>
      <c r="AN912" t="n">
        <v>0</v>
      </c>
      <c r="AO912" t="n">
        <v>0</v>
      </c>
      <c r="AP912" t="inlineStr">
        <is>
          <t>No</t>
        </is>
      </c>
      <c r="AQ912" t="inlineStr">
        <is>
          <t>Yes</t>
        </is>
      </c>
      <c r="AR912">
        <f>HYPERLINK("http://catalog.hathitrust.org/Record/001055267","HathiTrust Record")</f>
        <v/>
      </c>
      <c r="AS912">
        <f>HYPERLINK("https://creighton-primo.hosted.exlibrisgroup.com/primo-explore/search?tab=default_tab&amp;search_scope=EVERYTHING&amp;vid=01CRU&amp;lang=en_US&amp;offset=0&amp;query=any,contains,991002042439702656","Catalog Record")</f>
        <v/>
      </c>
      <c r="AT912">
        <f>HYPERLINK("http://www.worldcat.org/oclc/261202","WorldCat Record")</f>
        <v/>
      </c>
      <c r="AU912" t="inlineStr">
        <is>
          <t>1369867:eng</t>
        </is>
      </c>
      <c r="AV912" t="inlineStr">
        <is>
          <t>261202</t>
        </is>
      </c>
      <c r="AW912" t="inlineStr">
        <is>
          <t>991002042439702656</t>
        </is>
      </c>
      <c r="AX912" t="inlineStr">
        <is>
          <t>991002042439702656</t>
        </is>
      </c>
      <c r="AY912" t="inlineStr">
        <is>
          <t>2265622410002656</t>
        </is>
      </c>
      <c r="AZ912" t="inlineStr">
        <is>
          <t>BOOK</t>
        </is>
      </c>
      <c r="BC912" t="inlineStr">
        <is>
          <t>32285000914696</t>
        </is>
      </c>
      <c r="BD912" t="inlineStr">
        <is>
          <t>893873025</t>
        </is>
      </c>
    </row>
    <row r="913">
      <c r="A913" t="inlineStr">
        <is>
          <t>No</t>
        </is>
      </c>
      <c r="B913" t="inlineStr">
        <is>
          <t>HQ1419 .W66 2007</t>
        </is>
      </c>
      <c r="C913" t="inlineStr">
        <is>
          <t>0                      HQ 1419000W  66          2007</t>
        </is>
      </c>
      <c r="D913" t="inlineStr">
        <is>
          <t>Women's use of public relations for Progressive-era reform : rousing the conscience of a nation / edited by Dulcie Murdock Straughan ; with a preface by Karla K. Gower.</t>
        </is>
      </c>
      <c r="F913" t="inlineStr">
        <is>
          <t>No</t>
        </is>
      </c>
      <c r="G913" t="inlineStr">
        <is>
          <t>1</t>
        </is>
      </c>
      <c r="H913" t="inlineStr">
        <is>
          <t>No</t>
        </is>
      </c>
      <c r="I913" t="inlineStr">
        <is>
          <t>No</t>
        </is>
      </c>
      <c r="J913" t="inlineStr">
        <is>
          <t>0</t>
        </is>
      </c>
      <c r="L913" t="inlineStr">
        <is>
          <t>Lewiston : Edwin Mellen Press, c2007.</t>
        </is>
      </c>
      <c r="M913" t="inlineStr">
        <is>
          <t>2007</t>
        </is>
      </c>
      <c r="O913" t="inlineStr">
        <is>
          <t>eng</t>
        </is>
      </c>
      <c r="P913" t="inlineStr">
        <is>
          <t>nyu</t>
        </is>
      </c>
      <c r="R913" t="inlineStr">
        <is>
          <t xml:space="preserve">HQ </t>
        </is>
      </c>
      <c r="S913" t="n">
        <v>1</v>
      </c>
      <c r="T913" t="n">
        <v>1</v>
      </c>
      <c r="U913" t="inlineStr">
        <is>
          <t>2009-08-18</t>
        </is>
      </c>
      <c r="V913" t="inlineStr">
        <is>
          <t>2009-08-18</t>
        </is>
      </c>
      <c r="W913" t="inlineStr">
        <is>
          <t>2009-08-18</t>
        </is>
      </c>
      <c r="X913" t="inlineStr">
        <is>
          <t>2009-08-18</t>
        </is>
      </c>
      <c r="Y913" t="n">
        <v>83</v>
      </c>
      <c r="Z913" t="n">
        <v>68</v>
      </c>
      <c r="AA913" t="n">
        <v>69</v>
      </c>
      <c r="AB913" t="n">
        <v>2</v>
      </c>
      <c r="AC913" t="n">
        <v>2</v>
      </c>
      <c r="AD913" t="n">
        <v>5</v>
      </c>
      <c r="AE913" t="n">
        <v>5</v>
      </c>
      <c r="AF913" t="n">
        <v>3</v>
      </c>
      <c r="AG913" t="n">
        <v>3</v>
      </c>
      <c r="AH913" t="n">
        <v>0</v>
      </c>
      <c r="AI913" t="n">
        <v>0</v>
      </c>
      <c r="AJ913" t="n">
        <v>2</v>
      </c>
      <c r="AK913" t="n">
        <v>2</v>
      </c>
      <c r="AL913" t="n">
        <v>1</v>
      </c>
      <c r="AM913" t="n">
        <v>1</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HYPERLINK("https://creighton-primo.hosted.exlibrisgroup.com/primo-explore/search?tab=default_tab&amp;search_scope=EVERYTHING&amp;vid=01CRU&amp;lang=en_US&amp;offset=0&amp;query=any,contains,991005326969702656","Catalog Record")</f>
        <v/>
      </c>
      <c r="AT913">
        <f>HYPERLINK("http://www.worldcat.org/oclc/154309087","WorldCat Record")</f>
        <v/>
      </c>
      <c r="AU913" t="inlineStr">
        <is>
          <t>104566540:eng</t>
        </is>
      </c>
      <c r="AV913" t="inlineStr">
        <is>
          <t>154309087</t>
        </is>
      </c>
      <c r="AW913" t="inlineStr">
        <is>
          <t>991005326969702656</t>
        </is>
      </c>
      <c r="AX913" t="inlineStr">
        <is>
          <t>991005326969702656</t>
        </is>
      </c>
      <c r="AY913" t="inlineStr">
        <is>
          <t>2266136460002656</t>
        </is>
      </c>
      <c r="AZ913" t="inlineStr">
        <is>
          <t>BOOK</t>
        </is>
      </c>
      <c r="BB913" t="inlineStr">
        <is>
          <t>9780773453203</t>
        </is>
      </c>
      <c r="BC913" t="inlineStr">
        <is>
          <t>32285005541700</t>
        </is>
      </c>
      <c r="BD913" t="inlineStr">
        <is>
          <t>893789805</t>
        </is>
      </c>
    </row>
    <row r="914">
      <c r="A914" t="inlineStr">
        <is>
          <t>No</t>
        </is>
      </c>
      <c r="B914" t="inlineStr">
        <is>
          <t>HQ1420 .A53 1987</t>
        </is>
      </c>
      <c r="C914" t="inlineStr">
        <is>
          <t>0                      HQ 1420000A  53          1987</t>
        </is>
      </c>
      <c r="D914" t="inlineStr">
        <is>
          <t>The American woman 1987-88 : a report in depth / edited by Sara E. Rix for the Women's Research &amp; Education Institute of the Congressional Caucus for Women's Issues.</t>
        </is>
      </c>
      <c r="F914" t="inlineStr">
        <is>
          <t>No</t>
        </is>
      </c>
      <c r="G914" t="inlineStr">
        <is>
          <t>1</t>
        </is>
      </c>
      <c r="H914" t="inlineStr">
        <is>
          <t>No</t>
        </is>
      </c>
      <c r="I914" t="inlineStr">
        <is>
          <t>No</t>
        </is>
      </c>
      <c r="J914" t="inlineStr">
        <is>
          <t>0</t>
        </is>
      </c>
      <c r="L914" t="inlineStr">
        <is>
          <t>New York : Norton, 1987.</t>
        </is>
      </c>
      <c r="M914" t="inlineStr">
        <is>
          <t>1987</t>
        </is>
      </c>
      <c r="O914" t="inlineStr">
        <is>
          <t>eng</t>
        </is>
      </c>
      <c r="P914" t="inlineStr">
        <is>
          <t>nyu</t>
        </is>
      </c>
      <c r="R914" t="inlineStr">
        <is>
          <t xml:space="preserve">HQ </t>
        </is>
      </c>
      <c r="S914" t="n">
        <v>1</v>
      </c>
      <c r="T914" t="n">
        <v>1</v>
      </c>
      <c r="U914" t="inlineStr">
        <is>
          <t>1997-10-30</t>
        </is>
      </c>
      <c r="V914" t="inlineStr">
        <is>
          <t>1997-10-30</t>
        </is>
      </c>
      <c r="W914" t="inlineStr">
        <is>
          <t>1990-07-05</t>
        </is>
      </c>
      <c r="X914" t="inlineStr">
        <is>
          <t>1990-07-05</t>
        </is>
      </c>
      <c r="Y914" t="n">
        <v>544</v>
      </c>
      <c r="Z914" t="n">
        <v>504</v>
      </c>
      <c r="AA914" t="n">
        <v>510</v>
      </c>
      <c r="AB914" t="n">
        <v>6</v>
      </c>
      <c r="AC914" t="n">
        <v>6</v>
      </c>
      <c r="AD914" t="n">
        <v>17</v>
      </c>
      <c r="AE914" t="n">
        <v>17</v>
      </c>
      <c r="AF914" t="n">
        <v>5</v>
      </c>
      <c r="AG914" t="n">
        <v>5</v>
      </c>
      <c r="AH914" t="n">
        <v>3</v>
      </c>
      <c r="AI914" t="n">
        <v>3</v>
      </c>
      <c r="AJ914" t="n">
        <v>5</v>
      </c>
      <c r="AK914" t="n">
        <v>5</v>
      </c>
      <c r="AL914" t="n">
        <v>3</v>
      </c>
      <c r="AM914" t="n">
        <v>3</v>
      </c>
      <c r="AN914" t="n">
        <v>2</v>
      </c>
      <c r="AO914" t="n">
        <v>2</v>
      </c>
      <c r="AP914" t="inlineStr">
        <is>
          <t>No</t>
        </is>
      </c>
      <c r="AQ914" t="inlineStr">
        <is>
          <t>No</t>
        </is>
      </c>
      <c r="AS914">
        <f>HYPERLINK("https://creighton-primo.hosted.exlibrisgroup.com/primo-explore/search?tab=default_tab&amp;search_scope=EVERYTHING&amp;vid=01CRU&amp;lang=en_US&amp;offset=0&amp;query=any,contains,991000974659702656","Catalog Record")</f>
        <v/>
      </c>
      <c r="AT914">
        <f>HYPERLINK("http://www.worldcat.org/oclc/24744540","WorldCat Record")</f>
        <v/>
      </c>
      <c r="AU914" t="inlineStr">
        <is>
          <t>836748998:eng</t>
        </is>
      </c>
      <c r="AV914" t="inlineStr">
        <is>
          <t>24744540</t>
        </is>
      </c>
      <c r="AW914" t="inlineStr">
        <is>
          <t>991000974659702656</t>
        </is>
      </c>
      <c r="AX914" t="inlineStr">
        <is>
          <t>991000974659702656</t>
        </is>
      </c>
      <c r="AY914" t="inlineStr">
        <is>
          <t>2255174850002656</t>
        </is>
      </c>
      <c r="AZ914" t="inlineStr">
        <is>
          <t>BOOK</t>
        </is>
      </c>
      <c r="BB914" t="inlineStr">
        <is>
          <t>9780393303889</t>
        </is>
      </c>
      <c r="BC914" t="inlineStr">
        <is>
          <t>32285000221738</t>
        </is>
      </c>
      <c r="BD914" t="inlineStr">
        <is>
          <t>893708882</t>
        </is>
      </c>
    </row>
    <row r="915">
      <c r="A915" t="inlineStr">
        <is>
          <t>No</t>
        </is>
      </c>
      <c r="B915" t="inlineStr">
        <is>
          <t>HQ1420 .A53 1992</t>
        </is>
      </c>
      <c r="C915" t="inlineStr">
        <is>
          <t>0                      HQ 1420000A  53          1992</t>
        </is>
      </c>
      <c r="D915" t="inlineStr">
        <is>
          <t>The American woman, 1992-93 : a status report / edited by Paula Ries and Anne J. Stone for the Women's Research &amp; Education Institute, Betty Dooley, executive director.</t>
        </is>
      </c>
      <c r="F915" t="inlineStr">
        <is>
          <t>No</t>
        </is>
      </c>
      <c r="G915" t="inlineStr">
        <is>
          <t>1</t>
        </is>
      </c>
      <c r="H915" t="inlineStr">
        <is>
          <t>Yes</t>
        </is>
      </c>
      <c r="I915" t="inlineStr">
        <is>
          <t>No</t>
        </is>
      </c>
      <c r="J915" t="inlineStr">
        <is>
          <t>0</t>
        </is>
      </c>
      <c r="L915" t="inlineStr">
        <is>
          <t>New York : Norton, c1992.</t>
        </is>
      </c>
      <c r="M915" t="inlineStr">
        <is>
          <t>1992</t>
        </is>
      </c>
      <c r="N915" t="inlineStr">
        <is>
          <t>1st ed.</t>
        </is>
      </c>
      <c r="O915" t="inlineStr">
        <is>
          <t>eng</t>
        </is>
      </c>
      <c r="P915" t="inlineStr">
        <is>
          <t>nyu</t>
        </is>
      </c>
      <c r="Q915" t="inlineStr">
        <is>
          <t>The American woman</t>
        </is>
      </c>
      <c r="R915" t="inlineStr">
        <is>
          <t xml:space="preserve">HQ </t>
        </is>
      </c>
      <c r="S915" t="n">
        <v>12</v>
      </c>
      <c r="T915" t="n">
        <v>17</v>
      </c>
      <c r="U915" t="inlineStr">
        <is>
          <t>1997-10-30</t>
        </is>
      </c>
      <c r="V915" t="inlineStr">
        <is>
          <t>1997-10-30</t>
        </is>
      </c>
      <c r="W915" t="inlineStr">
        <is>
          <t>1992-12-10</t>
        </is>
      </c>
      <c r="X915" t="inlineStr">
        <is>
          <t>1992-12-10</t>
        </is>
      </c>
      <c r="Y915" t="n">
        <v>310</v>
      </c>
      <c r="Z915" t="n">
        <v>286</v>
      </c>
      <c r="AA915" t="n">
        <v>292</v>
      </c>
      <c r="AB915" t="n">
        <v>4</v>
      </c>
      <c r="AC915" t="n">
        <v>4</v>
      </c>
      <c r="AD915" t="n">
        <v>7</v>
      </c>
      <c r="AE915" t="n">
        <v>7</v>
      </c>
      <c r="AF915" t="n">
        <v>3</v>
      </c>
      <c r="AG915" t="n">
        <v>3</v>
      </c>
      <c r="AH915" t="n">
        <v>1</v>
      </c>
      <c r="AI915" t="n">
        <v>1</v>
      </c>
      <c r="AJ915" t="n">
        <v>3</v>
      </c>
      <c r="AK915" t="n">
        <v>3</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HYPERLINK("https://creighton-primo.hosted.exlibrisgroup.com/primo-explore/search?tab=default_tab&amp;search_scope=EVERYTHING&amp;vid=01CRU&amp;lang=en_US&amp;offset=0&amp;query=any,contains,991001794079702656","Catalog Record")</f>
        <v/>
      </c>
      <c r="AT915">
        <f>HYPERLINK("http://www.worldcat.org/oclc/25922882","WorldCat Record")</f>
        <v/>
      </c>
      <c r="AU915" t="inlineStr">
        <is>
          <t>912008525:eng</t>
        </is>
      </c>
      <c r="AV915" t="inlineStr">
        <is>
          <t>25922882</t>
        </is>
      </c>
      <c r="AW915" t="inlineStr">
        <is>
          <t>991001794079702656</t>
        </is>
      </c>
      <c r="AX915" t="inlineStr">
        <is>
          <t>991001794079702656</t>
        </is>
      </c>
      <c r="AY915" t="inlineStr">
        <is>
          <t>2257890020002656</t>
        </is>
      </c>
      <c r="AZ915" t="inlineStr">
        <is>
          <t>BOOK</t>
        </is>
      </c>
      <c r="BB915" t="inlineStr">
        <is>
          <t>9780393031102</t>
        </is>
      </c>
      <c r="BC915" t="inlineStr">
        <is>
          <t>32285001402030</t>
        </is>
      </c>
      <c r="BD915" t="inlineStr">
        <is>
          <t>893232276</t>
        </is>
      </c>
    </row>
    <row r="916">
      <c r="A916" t="inlineStr">
        <is>
          <t>No</t>
        </is>
      </c>
      <c r="B916" t="inlineStr">
        <is>
          <t>HQ1420 .A54 1996</t>
        </is>
      </c>
      <c r="C916" t="inlineStr">
        <is>
          <t>0                      HQ 1420000A  54          1996</t>
        </is>
      </c>
      <c r="D916" t="inlineStr">
        <is>
          <t>The American woman, 1996-97 : women and work / edited by Cynthia Costello and Barbara Kivimae Krimgold for the Women's Research and Education Institute, Betty Dooley, president.</t>
        </is>
      </c>
      <c r="F916" t="inlineStr">
        <is>
          <t>No</t>
        </is>
      </c>
      <c r="G916" t="inlineStr">
        <is>
          <t>1</t>
        </is>
      </c>
      <c r="H916" t="inlineStr">
        <is>
          <t>Yes</t>
        </is>
      </c>
      <c r="I916" t="inlineStr">
        <is>
          <t>No</t>
        </is>
      </c>
      <c r="J916" t="inlineStr">
        <is>
          <t>0</t>
        </is>
      </c>
      <c r="L916" t="inlineStr">
        <is>
          <t>New York ; London : W. W. Norton, c1996.</t>
        </is>
      </c>
      <c r="M916" t="inlineStr">
        <is>
          <t>1996</t>
        </is>
      </c>
      <c r="O916" t="inlineStr">
        <is>
          <t>eng</t>
        </is>
      </c>
      <c r="P916" t="inlineStr">
        <is>
          <t>nyu</t>
        </is>
      </c>
      <c r="R916" t="inlineStr">
        <is>
          <t xml:space="preserve">HQ </t>
        </is>
      </c>
      <c r="S916" t="n">
        <v>5</v>
      </c>
      <c r="T916" t="n">
        <v>5</v>
      </c>
      <c r="U916" t="inlineStr">
        <is>
          <t>1997-10-30</t>
        </is>
      </c>
      <c r="V916" t="inlineStr">
        <is>
          <t>1997-10-30</t>
        </is>
      </c>
      <c r="W916" t="inlineStr">
        <is>
          <t>1996-10-21</t>
        </is>
      </c>
      <c r="X916" t="inlineStr">
        <is>
          <t>1996-10-21</t>
        </is>
      </c>
      <c r="Y916" t="n">
        <v>301</v>
      </c>
      <c r="Z916" t="n">
        <v>282</v>
      </c>
      <c r="AA916" t="n">
        <v>287</v>
      </c>
      <c r="AB916" t="n">
        <v>3</v>
      </c>
      <c r="AC916" t="n">
        <v>3</v>
      </c>
      <c r="AD916" t="n">
        <v>13</v>
      </c>
      <c r="AE916" t="n">
        <v>13</v>
      </c>
      <c r="AF916" t="n">
        <v>7</v>
      </c>
      <c r="AG916" t="n">
        <v>7</v>
      </c>
      <c r="AH916" t="n">
        <v>2</v>
      </c>
      <c r="AI916" t="n">
        <v>2</v>
      </c>
      <c r="AJ916" t="n">
        <v>6</v>
      </c>
      <c r="AK916" t="n">
        <v>6</v>
      </c>
      <c r="AL916" t="n">
        <v>1</v>
      </c>
      <c r="AM916" t="n">
        <v>1</v>
      </c>
      <c r="AN916" t="n">
        <v>2</v>
      </c>
      <c r="AO916" t="n">
        <v>2</v>
      </c>
      <c r="AP916" t="inlineStr">
        <is>
          <t>No</t>
        </is>
      </c>
      <c r="AQ916" t="inlineStr">
        <is>
          <t>No</t>
        </is>
      </c>
      <c r="AS916">
        <f>HYPERLINK("https://creighton-primo.hosted.exlibrisgroup.com/primo-explore/search?tab=default_tab&amp;search_scope=EVERYTHING&amp;vid=01CRU&amp;lang=en_US&amp;offset=0&amp;query=any,contains,991002662509702656","Catalog Record")</f>
        <v/>
      </c>
      <c r="AT916">
        <f>HYPERLINK("http://www.worldcat.org/oclc/34792389","WorldCat Record")</f>
        <v/>
      </c>
      <c r="AU916" t="inlineStr">
        <is>
          <t>366308299:eng</t>
        </is>
      </c>
      <c r="AV916" t="inlineStr">
        <is>
          <t>34792389</t>
        </is>
      </c>
      <c r="AW916" t="inlineStr">
        <is>
          <t>991002662509702656</t>
        </is>
      </c>
      <c r="AX916" t="inlineStr">
        <is>
          <t>991002662509702656</t>
        </is>
      </c>
      <c r="AY916" t="inlineStr">
        <is>
          <t>2254847080002656</t>
        </is>
      </c>
      <c r="AZ916" t="inlineStr">
        <is>
          <t>BOOK</t>
        </is>
      </c>
      <c r="BB916" t="inlineStr">
        <is>
          <t>9780393039290</t>
        </is>
      </c>
      <c r="BC916" t="inlineStr">
        <is>
          <t>32285002366994</t>
        </is>
      </c>
      <c r="BD916" t="inlineStr">
        <is>
          <t>893716744</t>
        </is>
      </c>
    </row>
    <row r="917">
      <c r="A917" t="inlineStr">
        <is>
          <t>No</t>
        </is>
      </c>
      <c r="B917" t="inlineStr">
        <is>
          <t>HQ1420 .A65</t>
        </is>
      </c>
      <c r="C917" t="inlineStr">
        <is>
          <t>0                      HQ 1420000A  65</t>
        </is>
      </c>
      <c r="D917" t="inlineStr">
        <is>
          <t>Wartime women : sex roles, family relations, and the status of women during World War II / Karen Anderson.</t>
        </is>
      </c>
      <c r="F917" t="inlineStr">
        <is>
          <t>No</t>
        </is>
      </c>
      <c r="G917" t="inlineStr">
        <is>
          <t>1</t>
        </is>
      </c>
      <c r="H917" t="inlineStr">
        <is>
          <t>No</t>
        </is>
      </c>
      <c r="I917" t="inlineStr">
        <is>
          <t>No</t>
        </is>
      </c>
      <c r="J917" t="inlineStr">
        <is>
          <t>0</t>
        </is>
      </c>
      <c r="K917" t="inlineStr">
        <is>
          <t>Anderson, Karen, 1947-</t>
        </is>
      </c>
      <c r="L917" t="inlineStr">
        <is>
          <t>Westport, Conn. : Greenwood Press, c1981.</t>
        </is>
      </c>
      <c r="M917" t="inlineStr">
        <is>
          <t>1981</t>
        </is>
      </c>
      <c r="O917" t="inlineStr">
        <is>
          <t>eng</t>
        </is>
      </c>
      <c r="P917" t="inlineStr">
        <is>
          <t>ctu</t>
        </is>
      </c>
      <c r="Q917" t="inlineStr">
        <is>
          <t>Contributions in women's studies, 0147-104X ; no. 20</t>
        </is>
      </c>
      <c r="R917" t="inlineStr">
        <is>
          <t xml:space="preserve">HQ </t>
        </is>
      </c>
      <c r="S917" t="n">
        <v>8</v>
      </c>
      <c r="T917" t="n">
        <v>8</v>
      </c>
      <c r="U917" t="inlineStr">
        <is>
          <t>1999-02-09</t>
        </is>
      </c>
      <c r="V917" t="inlineStr">
        <is>
          <t>1999-02-09</t>
        </is>
      </c>
      <c r="W917" t="inlineStr">
        <is>
          <t>1990-02-06</t>
        </is>
      </c>
      <c r="X917" t="inlineStr">
        <is>
          <t>1990-02-06</t>
        </is>
      </c>
      <c r="Y917" t="n">
        <v>973</v>
      </c>
      <c r="Z917" t="n">
        <v>828</v>
      </c>
      <c r="AA917" t="n">
        <v>830</v>
      </c>
      <c r="AB917" t="n">
        <v>5</v>
      </c>
      <c r="AC917" t="n">
        <v>5</v>
      </c>
      <c r="AD917" t="n">
        <v>37</v>
      </c>
      <c r="AE917" t="n">
        <v>37</v>
      </c>
      <c r="AF917" t="n">
        <v>17</v>
      </c>
      <c r="AG917" t="n">
        <v>17</v>
      </c>
      <c r="AH917" t="n">
        <v>8</v>
      </c>
      <c r="AI917" t="n">
        <v>8</v>
      </c>
      <c r="AJ917" t="n">
        <v>19</v>
      </c>
      <c r="AK917" t="n">
        <v>19</v>
      </c>
      <c r="AL917" t="n">
        <v>4</v>
      </c>
      <c r="AM917" t="n">
        <v>4</v>
      </c>
      <c r="AN917" t="n">
        <v>0</v>
      </c>
      <c r="AO917" t="n">
        <v>0</v>
      </c>
      <c r="AP917" t="inlineStr">
        <is>
          <t>No</t>
        </is>
      </c>
      <c r="AQ917" t="inlineStr">
        <is>
          <t>Yes</t>
        </is>
      </c>
      <c r="AR917">
        <f>HYPERLINK("http://catalog.hathitrust.org/Record/000098394","HathiTrust Record")</f>
        <v/>
      </c>
      <c r="AS917">
        <f>HYPERLINK("https://creighton-primo.hosted.exlibrisgroup.com/primo-explore/search?tab=default_tab&amp;search_scope=EVERYTHING&amp;vid=01CRU&amp;lang=en_US&amp;offset=0&amp;query=any,contains,991005015289702656","Catalog Record")</f>
        <v/>
      </c>
      <c r="AT917">
        <f>HYPERLINK("http://www.worldcat.org/oclc/6625596","WorldCat Record")</f>
        <v/>
      </c>
      <c r="AU917" t="inlineStr">
        <is>
          <t>320558552:eng</t>
        </is>
      </c>
      <c r="AV917" t="inlineStr">
        <is>
          <t>6625596</t>
        </is>
      </c>
      <c r="AW917" t="inlineStr">
        <is>
          <t>991005015289702656</t>
        </is>
      </c>
      <c r="AX917" t="inlineStr">
        <is>
          <t>991005015289702656</t>
        </is>
      </c>
      <c r="AY917" t="inlineStr">
        <is>
          <t>2255536460002656</t>
        </is>
      </c>
      <c r="AZ917" t="inlineStr">
        <is>
          <t>BOOK</t>
        </is>
      </c>
      <c r="BB917" t="inlineStr">
        <is>
          <t>9780313208843</t>
        </is>
      </c>
      <c r="BC917" t="inlineStr">
        <is>
          <t>32285000033083</t>
        </is>
      </c>
      <c r="BD917" t="inlineStr">
        <is>
          <t>893338378</t>
        </is>
      </c>
    </row>
    <row r="918">
      <c r="A918" t="inlineStr">
        <is>
          <t>No</t>
        </is>
      </c>
      <c r="B918" t="inlineStr">
        <is>
          <t>HQ1420 .B47</t>
        </is>
      </c>
      <c r="C918" t="inlineStr">
        <is>
          <t>0                      HQ 1420000B  47</t>
        </is>
      </c>
      <c r="D918" t="inlineStr">
        <is>
          <t>Women, wives, mothers : values and options / Jessie Bernard.</t>
        </is>
      </c>
      <c r="F918" t="inlineStr">
        <is>
          <t>No</t>
        </is>
      </c>
      <c r="G918" t="inlineStr">
        <is>
          <t>1</t>
        </is>
      </c>
      <c r="H918" t="inlineStr">
        <is>
          <t>No</t>
        </is>
      </c>
      <c r="I918" t="inlineStr">
        <is>
          <t>No</t>
        </is>
      </c>
      <c r="J918" t="inlineStr">
        <is>
          <t>0</t>
        </is>
      </c>
      <c r="K918" t="inlineStr">
        <is>
          <t>Bernard, Jessie, 1903-1996.</t>
        </is>
      </c>
      <c r="L918" t="inlineStr">
        <is>
          <t>Chicago : Aldine Pub. Co., 1975.</t>
        </is>
      </c>
      <c r="M918" t="inlineStr">
        <is>
          <t>1975</t>
        </is>
      </c>
      <c r="O918" t="inlineStr">
        <is>
          <t>eng</t>
        </is>
      </c>
      <c r="P918" t="inlineStr">
        <is>
          <t>ilu</t>
        </is>
      </c>
      <c r="R918" t="inlineStr">
        <is>
          <t xml:space="preserve">HQ </t>
        </is>
      </c>
      <c r="S918" t="n">
        <v>1</v>
      </c>
      <c r="T918" t="n">
        <v>1</v>
      </c>
      <c r="U918" t="inlineStr">
        <is>
          <t>2001-04-12</t>
        </is>
      </c>
      <c r="V918" t="inlineStr">
        <is>
          <t>2001-04-12</t>
        </is>
      </c>
      <c r="W918" t="inlineStr">
        <is>
          <t>1997-08-15</t>
        </is>
      </c>
      <c r="X918" t="inlineStr">
        <is>
          <t>1997-08-15</t>
        </is>
      </c>
      <c r="Y918" t="n">
        <v>840</v>
      </c>
      <c r="Z918" t="n">
        <v>714</v>
      </c>
      <c r="AA918" t="n">
        <v>779</v>
      </c>
      <c r="AB918" t="n">
        <v>7</v>
      </c>
      <c r="AC918" t="n">
        <v>7</v>
      </c>
      <c r="AD918" t="n">
        <v>33</v>
      </c>
      <c r="AE918" t="n">
        <v>34</v>
      </c>
      <c r="AF918" t="n">
        <v>14</v>
      </c>
      <c r="AG918" t="n">
        <v>15</v>
      </c>
      <c r="AH918" t="n">
        <v>8</v>
      </c>
      <c r="AI918" t="n">
        <v>8</v>
      </c>
      <c r="AJ918" t="n">
        <v>14</v>
      </c>
      <c r="AK918" t="n">
        <v>15</v>
      </c>
      <c r="AL918" t="n">
        <v>5</v>
      </c>
      <c r="AM918" t="n">
        <v>5</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HYPERLINK("https://creighton-primo.hosted.exlibrisgroup.com/primo-explore/search?tab=default_tab&amp;search_scope=EVERYTHING&amp;vid=01CRU&amp;lang=en_US&amp;offset=0&amp;query=any,contains,991003702499702656","Catalog Record")</f>
        <v/>
      </c>
      <c r="AT918">
        <f>HYPERLINK("http://www.worldcat.org/oclc/1338975","WorldCat Record")</f>
        <v/>
      </c>
      <c r="AU918" t="inlineStr">
        <is>
          <t>229344851:eng</t>
        </is>
      </c>
      <c r="AV918" t="inlineStr">
        <is>
          <t>1338975</t>
        </is>
      </c>
      <c r="AW918" t="inlineStr">
        <is>
          <t>991003702499702656</t>
        </is>
      </c>
      <c r="AX918" t="inlineStr">
        <is>
          <t>991003702499702656</t>
        </is>
      </c>
      <c r="AY918" t="inlineStr">
        <is>
          <t>2255016780002656</t>
        </is>
      </c>
      <c r="AZ918" t="inlineStr">
        <is>
          <t>BOOK</t>
        </is>
      </c>
      <c r="BB918" t="inlineStr">
        <is>
          <t>9780202302805</t>
        </is>
      </c>
      <c r="BC918" t="inlineStr">
        <is>
          <t>32285003104378</t>
        </is>
      </c>
      <c r="BD918" t="inlineStr">
        <is>
          <t>893894012</t>
        </is>
      </c>
    </row>
    <row r="919">
      <c r="A919" t="inlineStr">
        <is>
          <t>No</t>
        </is>
      </c>
      <c r="B919" t="inlineStr">
        <is>
          <t>HQ1420 .B484 1986</t>
        </is>
      </c>
      <c r="C919" t="inlineStr">
        <is>
          <t>0                      HQ 1420000B  484         1986</t>
        </is>
      </c>
      <c r="D919" t="inlineStr">
        <is>
          <t>American women in transition / Suzanne M. Bianchi and Daphne Spain.</t>
        </is>
      </c>
      <c r="F919" t="inlineStr">
        <is>
          <t>No</t>
        </is>
      </c>
      <c r="G919" t="inlineStr">
        <is>
          <t>1</t>
        </is>
      </c>
      <c r="H919" t="inlineStr">
        <is>
          <t>No</t>
        </is>
      </c>
      <c r="I919" t="inlineStr">
        <is>
          <t>No</t>
        </is>
      </c>
      <c r="J919" t="inlineStr">
        <is>
          <t>0</t>
        </is>
      </c>
      <c r="K919" t="inlineStr">
        <is>
          <t>Bianchi, Suzanne M.</t>
        </is>
      </c>
      <c r="L919" t="inlineStr">
        <is>
          <t>New York : Russell Sage Foundation, c1986.</t>
        </is>
      </c>
      <c r="M919" t="inlineStr">
        <is>
          <t>1986</t>
        </is>
      </c>
      <c r="O919" t="inlineStr">
        <is>
          <t>eng</t>
        </is>
      </c>
      <c r="P919" t="inlineStr">
        <is>
          <t>nyu</t>
        </is>
      </c>
      <c r="Q919" t="inlineStr">
        <is>
          <t>The Population of the United States in the 1980s</t>
        </is>
      </c>
      <c r="R919" t="inlineStr">
        <is>
          <t xml:space="preserve">HQ </t>
        </is>
      </c>
      <c r="S919" t="n">
        <v>2</v>
      </c>
      <c r="T919" t="n">
        <v>2</v>
      </c>
      <c r="U919" t="inlineStr">
        <is>
          <t>1993-02-15</t>
        </is>
      </c>
      <c r="V919" t="inlineStr">
        <is>
          <t>1993-02-15</t>
        </is>
      </c>
      <c r="W919" t="inlineStr">
        <is>
          <t>1990-07-05</t>
        </is>
      </c>
      <c r="X919" t="inlineStr">
        <is>
          <t>1990-07-05</t>
        </is>
      </c>
      <c r="Y919" t="n">
        <v>881</v>
      </c>
      <c r="Z919" t="n">
        <v>761</v>
      </c>
      <c r="AA919" t="n">
        <v>811</v>
      </c>
      <c r="AB919" t="n">
        <v>6</v>
      </c>
      <c r="AC919" t="n">
        <v>6</v>
      </c>
      <c r="AD919" t="n">
        <v>38</v>
      </c>
      <c r="AE919" t="n">
        <v>40</v>
      </c>
      <c r="AF919" t="n">
        <v>15</v>
      </c>
      <c r="AG919" t="n">
        <v>17</v>
      </c>
      <c r="AH919" t="n">
        <v>8</v>
      </c>
      <c r="AI919" t="n">
        <v>9</v>
      </c>
      <c r="AJ919" t="n">
        <v>18</v>
      </c>
      <c r="AK919" t="n">
        <v>18</v>
      </c>
      <c r="AL919" t="n">
        <v>5</v>
      </c>
      <c r="AM919" t="n">
        <v>5</v>
      </c>
      <c r="AN919" t="n">
        <v>1</v>
      </c>
      <c r="AO919" t="n">
        <v>1</v>
      </c>
      <c r="AP919" t="inlineStr">
        <is>
          <t>No</t>
        </is>
      </c>
      <c r="AQ919" t="inlineStr">
        <is>
          <t>No</t>
        </is>
      </c>
      <c r="AS919">
        <f>HYPERLINK("https://creighton-primo.hosted.exlibrisgroup.com/primo-explore/search?tab=default_tab&amp;search_scope=EVERYTHING&amp;vid=01CRU&amp;lang=en_US&amp;offset=0&amp;query=any,contains,991000833989702656","Catalog Record")</f>
        <v/>
      </c>
      <c r="AT919">
        <f>HYPERLINK("http://www.worldcat.org/oclc/13457084","WorldCat Record")</f>
        <v/>
      </c>
      <c r="AU919" t="inlineStr">
        <is>
          <t>6884027:eng</t>
        </is>
      </c>
      <c r="AV919" t="inlineStr">
        <is>
          <t>13457084</t>
        </is>
      </c>
      <c r="AW919" t="inlineStr">
        <is>
          <t>991000833989702656</t>
        </is>
      </c>
      <c r="AX919" t="inlineStr">
        <is>
          <t>991000833989702656</t>
        </is>
      </c>
      <c r="AY919" t="inlineStr">
        <is>
          <t>2255690830002656</t>
        </is>
      </c>
      <c r="AZ919" t="inlineStr">
        <is>
          <t>BOOK</t>
        </is>
      </c>
      <c r="BB919" t="inlineStr">
        <is>
          <t>9780871541123</t>
        </is>
      </c>
      <c r="BC919" t="inlineStr">
        <is>
          <t>32285000221746</t>
        </is>
      </c>
      <c r="BD919" t="inlineStr">
        <is>
          <t>893237650</t>
        </is>
      </c>
    </row>
    <row r="920">
      <c r="A920" t="inlineStr">
        <is>
          <t>No</t>
        </is>
      </c>
      <c r="B920" t="inlineStr">
        <is>
          <t>HQ1420 .B75 1987</t>
        </is>
      </c>
      <c r="C920" t="inlineStr">
        <is>
          <t>0                      HQ 1420000B  75          1987</t>
        </is>
      </c>
      <c r="D920" t="inlineStr">
        <is>
          <t>Setting a course : American women in the 1920s / Dorothy M. Brown.</t>
        </is>
      </c>
      <c r="F920" t="inlineStr">
        <is>
          <t>No</t>
        </is>
      </c>
      <c r="G920" t="inlineStr">
        <is>
          <t>1</t>
        </is>
      </c>
      <c r="H920" t="inlineStr">
        <is>
          <t>No</t>
        </is>
      </c>
      <c r="I920" t="inlineStr">
        <is>
          <t>No</t>
        </is>
      </c>
      <c r="J920" t="inlineStr">
        <is>
          <t>0</t>
        </is>
      </c>
      <c r="K920" t="inlineStr">
        <is>
          <t>Brown, Dorothy M. (Dorothy Marie), 1932-</t>
        </is>
      </c>
      <c r="L920" t="inlineStr">
        <is>
          <t>Boston : Twayne, c1987.</t>
        </is>
      </c>
      <c r="M920" t="inlineStr">
        <is>
          <t>1987</t>
        </is>
      </c>
      <c r="N920" t="inlineStr">
        <is>
          <t>1st pbk. ed.</t>
        </is>
      </c>
      <c r="O920" t="inlineStr">
        <is>
          <t>eng</t>
        </is>
      </c>
      <c r="P920" t="inlineStr">
        <is>
          <t>mau</t>
        </is>
      </c>
      <c r="Q920" t="inlineStr">
        <is>
          <t>American women in the twentieth century</t>
        </is>
      </c>
      <c r="R920" t="inlineStr">
        <is>
          <t xml:space="preserve">HQ </t>
        </is>
      </c>
      <c r="S920" t="n">
        <v>1</v>
      </c>
      <c r="T920" t="n">
        <v>1</v>
      </c>
      <c r="U920" t="inlineStr">
        <is>
          <t>1993-02-16</t>
        </is>
      </c>
      <c r="V920" t="inlineStr">
        <is>
          <t>1993-02-16</t>
        </is>
      </c>
      <c r="W920" t="inlineStr">
        <is>
          <t>1991-09-17</t>
        </is>
      </c>
      <c r="X920" t="inlineStr">
        <is>
          <t>1991-09-17</t>
        </is>
      </c>
      <c r="Y920" t="n">
        <v>1393</v>
      </c>
      <c r="Z920" t="n">
        <v>1301</v>
      </c>
      <c r="AA920" t="n">
        <v>1310</v>
      </c>
      <c r="AB920" t="n">
        <v>10</v>
      </c>
      <c r="AC920" t="n">
        <v>10</v>
      </c>
      <c r="AD920" t="n">
        <v>48</v>
      </c>
      <c r="AE920" t="n">
        <v>48</v>
      </c>
      <c r="AF920" t="n">
        <v>20</v>
      </c>
      <c r="AG920" t="n">
        <v>20</v>
      </c>
      <c r="AH920" t="n">
        <v>7</v>
      </c>
      <c r="AI920" t="n">
        <v>7</v>
      </c>
      <c r="AJ920" t="n">
        <v>24</v>
      </c>
      <c r="AK920" t="n">
        <v>24</v>
      </c>
      <c r="AL920" t="n">
        <v>8</v>
      </c>
      <c r="AM920" t="n">
        <v>8</v>
      </c>
      <c r="AN920" t="n">
        <v>0</v>
      </c>
      <c r="AO920" t="n">
        <v>0</v>
      </c>
      <c r="AP920" t="inlineStr">
        <is>
          <t>No</t>
        </is>
      </c>
      <c r="AQ920" t="inlineStr">
        <is>
          <t>Yes</t>
        </is>
      </c>
      <c r="AR920">
        <f>HYPERLINK("http://catalog.hathitrust.org/Record/000596911","HathiTrust Record")</f>
        <v/>
      </c>
      <c r="AS920">
        <f>HYPERLINK("https://creighton-primo.hosted.exlibrisgroup.com/primo-explore/search?tab=default_tab&amp;search_scope=EVERYTHING&amp;vid=01CRU&amp;lang=en_US&amp;offset=0&amp;query=any,contains,991000923269702656","Catalog Record")</f>
        <v/>
      </c>
      <c r="AT920">
        <f>HYPERLINK("http://www.worldcat.org/oclc/14214858","WorldCat Record")</f>
        <v/>
      </c>
      <c r="AU920" t="inlineStr">
        <is>
          <t>807658313:eng</t>
        </is>
      </c>
      <c r="AV920" t="inlineStr">
        <is>
          <t>14214858</t>
        </is>
      </c>
      <c r="AW920" t="inlineStr">
        <is>
          <t>991000923269702656</t>
        </is>
      </c>
      <c r="AX920" t="inlineStr">
        <is>
          <t>991000923269702656</t>
        </is>
      </c>
      <c r="AY920" t="inlineStr">
        <is>
          <t>2267387320002656</t>
        </is>
      </c>
      <c r="AZ920" t="inlineStr">
        <is>
          <t>BOOK</t>
        </is>
      </c>
      <c r="BB920" t="inlineStr">
        <is>
          <t>9780805799088</t>
        </is>
      </c>
      <c r="BC920" t="inlineStr">
        <is>
          <t>32285000703495</t>
        </is>
      </c>
      <c r="BD920" t="inlineStr">
        <is>
          <t>893772112</t>
        </is>
      </c>
    </row>
    <row r="921">
      <c r="A921" t="inlineStr">
        <is>
          <t>No</t>
        </is>
      </c>
      <c r="B921" t="inlineStr">
        <is>
          <t>HQ1420 .C32 1984</t>
        </is>
      </c>
      <c r="C921" t="inlineStr">
        <is>
          <t>0                      HQ 1420000C  32          1984</t>
        </is>
      </c>
      <c r="D921" t="inlineStr">
        <is>
          <t>Women at war with America : private lives in a patriotic era / D'ann Campbell.</t>
        </is>
      </c>
      <c r="F921" t="inlineStr">
        <is>
          <t>No</t>
        </is>
      </c>
      <c r="G921" t="inlineStr">
        <is>
          <t>1</t>
        </is>
      </c>
      <c r="H921" t="inlineStr">
        <is>
          <t>No</t>
        </is>
      </c>
      <c r="I921" t="inlineStr">
        <is>
          <t>No</t>
        </is>
      </c>
      <c r="J921" t="inlineStr">
        <is>
          <t>0</t>
        </is>
      </c>
      <c r="K921" t="inlineStr">
        <is>
          <t>Campbell, D'Ann, 1949-</t>
        </is>
      </c>
      <c r="L921" t="inlineStr">
        <is>
          <t>Cambridge, Mass. : Harvard University Press, 1984.</t>
        </is>
      </c>
      <c r="M921" t="inlineStr">
        <is>
          <t>1984</t>
        </is>
      </c>
      <c r="O921" t="inlineStr">
        <is>
          <t>eng</t>
        </is>
      </c>
      <c r="P921" t="inlineStr">
        <is>
          <t>mau</t>
        </is>
      </c>
      <c r="R921" t="inlineStr">
        <is>
          <t xml:space="preserve">HQ </t>
        </is>
      </c>
      <c r="S921" t="n">
        <v>6</v>
      </c>
      <c r="T921" t="n">
        <v>6</v>
      </c>
      <c r="U921" t="inlineStr">
        <is>
          <t>2010-03-04</t>
        </is>
      </c>
      <c r="V921" t="inlineStr">
        <is>
          <t>2010-03-04</t>
        </is>
      </c>
      <c r="W921" t="inlineStr">
        <is>
          <t>1990-07-05</t>
        </is>
      </c>
      <c r="X921" t="inlineStr">
        <is>
          <t>1990-07-05</t>
        </is>
      </c>
      <c r="Y921" t="n">
        <v>891</v>
      </c>
      <c r="Z921" t="n">
        <v>783</v>
      </c>
      <c r="AA921" t="n">
        <v>785</v>
      </c>
      <c r="AB921" t="n">
        <v>5</v>
      </c>
      <c r="AC921" t="n">
        <v>5</v>
      </c>
      <c r="AD921" t="n">
        <v>32</v>
      </c>
      <c r="AE921" t="n">
        <v>32</v>
      </c>
      <c r="AF921" t="n">
        <v>14</v>
      </c>
      <c r="AG921" t="n">
        <v>14</v>
      </c>
      <c r="AH921" t="n">
        <v>7</v>
      </c>
      <c r="AI921" t="n">
        <v>7</v>
      </c>
      <c r="AJ921" t="n">
        <v>14</v>
      </c>
      <c r="AK921" t="n">
        <v>14</v>
      </c>
      <c r="AL921" t="n">
        <v>4</v>
      </c>
      <c r="AM921" t="n">
        <v>4</v>
      </c>
      <c r="AN921" t="n">
        <v>0</v>
      </c>
      <c r="AO921" t="n">
        <v>0</v>
      </c>
      <c r="AP921" t="inlineStr">
        <is>
          <t>No</t>
        </is>
      </c>
      <c r="AQ921" t="inlineStr">
        <is>
          <t>Yes</t>
        </is>
      </c>
      <c r="AR921">
        <f>HYPERLINK("http://catalog.hathitrust.org/Record/000291381","HathiTrust Record")</f>
        <v/>
      </c>
      <c r="AS921">
        <f>HYPERLINK("https://creighton-primo.hosted.exlibrisgroup.com/primo-explore/search?tab=default_tab&amp;search_scope=EVERYTHING&amp;vid=01CRU&amp;lang=en_US&amp;offset=0&amp;query=any,contains,991000398279702656","Catalog Record")</f>
        <v/>
      </c>
      <c r="AT921">
        <f>HYPERLINK("http://www.worldcat.org/oclc/10605327","WorldCat Record")</f>
        <v/>
      </c>
      <c r="AU921" t="inlineStr">
        <is>
          <t>836660130:eng</t>
        </is>
      </c>
      <c r="AV921" t="inlineStr">
        <is>
          <t>10605327</t>
        </is>
      </c>
      <c r="AW921" t="inlineStr">
        <is>
          <t>991000398279702656</t>
        </is>
      </c>
      <c r="AX921" t="inlineStr">
        <is>
          <t>991000398279702656</t>
        </is>
      </c>
      <c r="AY921" t="inlineStr">
        <is>
          <t>2258835640002656</t>
        </is>
      </c>
      <c r="AZ921" t="inlineStr">
        <is>
          <t>BOOK</t>
        </is>
      </c>
      <c r="BB921" t="inlineStr">
        <is>
          <t>9780674954755</t>
        </is>
      </c>
      <c r="BC921" t="inlineStr">
        <is>
          <t>32285000221753</t>
        </is>
      </c>
      <c r="BD921" t="inlineStr">
        <is>
          <t>893595510</t>
        </is>
      </c>
    </row>
    <row r="922">
      <c r="A922" t="inlineStr">
        <is>
          <t>No</t>
        </is>
      </c>
      <c r="B922" t="inlineStr">
        <is>
          <t>HQ1420 .C65 2003</t>
        </is>
      </c>
      <c r="C922" t="inlineStr">
        <is>
          <t>0                      HQ 1420000C  65          2003</t>
        </is>
      </c>
      <c r="D922" t="inlineStr">
        <is>
          <t>The Columbia documentary history of American women since 1941 / edited by Harriet Sigerman.</t>
        </is>
      </c>
      <c r="F922" t="inlineStr">
        <is>
          <t>No</t>
        </is>
      </c>
      <c r="G922" t="inlineStr">
        <is>
          <t>1</t>
        </is>
      </c>
      <c r="H922" t="inlineStr">
        <is>
          <t>No</t>
        </is>
      </c>
      <c r="I922" t="inlineStr">
        <is>
          <t>No</t>
        </is>
      </c>
      <c r="J922" t="inlineStr">
        <is>
          <t>0</t>
        </is>
      </c>
      <c r="L922" t="inlineStr">
        <is>
          <t>New York : Columbia University Press, c2003.</t>
        </is>
      </c>
      <c r="M922" t="inlineStr">
        <is>
          <t>2003</t>
        </is>
      </c>
      <c r="O922" t="inlineStr">
        <is>
          <t>eng</t>
        </is>
      </c>
      <c r="P922" t="inlineStr">
        <is>
          <t>nyu</t>
        </is>
      </c>
      <c r="R922" t="inlineStr">
        <is>
          <t xml:space="preserve">HQ </t>
        </is>
      </c>
      <c r="S922" t="n">
        <v>1</v>
      </c>
      <c r="T922" t="n">
        <v>1</v>
      </c>
      <c r="U922" t="inlineStr">
        <is>
          <t>2003-11-01</t>
        </is>
      </c>
      <c r="V922" t="inlineStr">
        <is>
          <t>2003-11-01</t>
        </is>
      </c>
      <c r="W922" t="inlineStr">
        <is>
          <t>2003-11-01</t>
        </is>
      </c>
      <c r="X922" t="inlineStr">
        <is>
          <t>2003-11-01</t>
        </is>
      </c>
      <c r="Y922" t="n">
        <v>852</v>
      </c>
      <c r="Z922" t="n">
        <v>797</v>
      </c>
      <c r="AA922" t="n">
        <v>815</v>
      </c>
      <c r="AB922" t="n">
        <v>5</v>
      </c>
      <c r="AC922" t="n">
        <v>5</v>
      </c>
      <c r="AD922" t="n">
        <v>35</v>
      </c>
      <c r="AE922" t="n">
        <v>35</v>
      </c>
      <c r="AF922" t="n">
        <v>17</v>
      </c>
      <c r="AG922" t="n">
        <v>17</v>
      </c>
      <c r="AH922" t="n">
        <v>8</v>
      </c>
      <c r="AI922" t="n">
        <v>8</v>
      </c>
      <c r="AJ922" t="n">
        <v>13</v>
      </c>
      <c r="AK922" t="n">
        <v>13</v>
      </c>
      <c r="AL922" t="n">
        <v>4</v>
      </c>
      <c r="AM922" t="n">
        <v>4</v>
      </c>
      <c r="AN922" t="n">
        <v>1</v>
      </c>
      <c r="AO922" t="n">
        <v>1</v>
      </c>
      <c r="AP922" t="inlineStr">
        <is>
          <t>No</t>
        </is>
      </c>
      <c r="AQ922" t="inlineStr">
        <is>
          <t>No</t>
        </is>
      </c>
      <c r="AS922">
        <f>HYPERLINK("https://creighton-primo.hosted.exlibrisgroup.com/primo-explore/search?tab=default_tab&amp;search_scope=EVERYTHING&amp;vid=01CRU&amp;lang=en_US&amp;offset=0&amp;query=any,contains,991004111959702656","Catalog Record")</f>
        <v/>
      </c>
      <c r="AT922">
        <f>HYPERLINK("http://www.worldcat.org/oclc/51178286","WorldCat Record")</f>
        <v/>
      </c>
      <c r="AU922" t="inlineStr">
        <is>
          <t>667218:eng</t>
        </is>
      </c>
      <c r="AV922" t="inlineStr">
        <is>
          <t>51178286</t>
        </is>
      </c>
      <c r="AW922" t="inlineStr">
        <is>
          <t>991004111959702656</t>
        </is>
      </c>
      <c r="AX922" t="inlineStr">
        <is>
          <t>991004111959702656</t>
        </is>
      </c>
      <c r="AY922" t="inlineStr">
        <is>
          <t>2266443310002656</t>
        </is>
      </c>
      <c r="AZ922" t="inlineStr">
        <is>
          <t>BOOK</t>
        </is>
      </c>
      <c r="BB922" t="inlineStr">
        <is>
          <t>9780231116985</t>
        </is>
      </c>
      <c r="BC922" t="inlineStr">
        <is>
          <t>32285004791397</t>
        </is>
      </c>
      <c r="BD922" t="inlineStr">
        <is>
          <t>893235070</t>
        </is>
      </c>
    </row>
    <row r="923">
      <c r="A923" t="inlineStr">
        <is>
          <t>No</t>
        </is>
      </c>
      <c r="B923" t="inlineStr">
        <is>
          <t>HQ1420 .F34 1984</t>
        </is>
      </c>
      <c r="C923" t="inlineStr">
        <is>
          <t>0                      HQ 1420000F  34          1984</t>
        </is>
      </c>
      <c r="D923" t="inlineStr">
        <is>
          <t>Women in transition : career, family, and life satisfaction in three cohorts / Catherine A. Faver.</t>
        </is>
      </c>
      <c r="F923" t="inlineStr">
        <is>
          <t>No</t>
        </is>
      </c>
      <c r="G923" t="inlineStr">
        <is>
          <t>1</t>
        </is>
      </c>
      <c r="H923" t="inlineStr">
        <is>
          <t>No</t>
        </is>
      </c>
      <c r="I923" t="inlineStr">
        <is>
          <t>No</t>
        </is>
      </c>
      <c r="J923" t="inlineStr">
        <is>
          <t>0</t>
        </is>
      </c>
      <c r="K923" t="inlineStr">
        <is>
          <t>Faver, Catherine A.</t>
        </is>
      </c>
      <c r="L923" t="inlineStr">
        <is>
          <t>New York : Praeger, 1984.</t>
        </is>
      </c>
      <c r="M923" t="inlineStr">
        <is>
          <t>1984</t>
        </is>
      </c>
      <c r="O923" t="inlineStr">
        <is>
          <t>eng</t>
        </is>
      </c>
      <c r="P923" t="inlineStr">
        <is>
          <t>nyu</t>
        </is>
      </c>
      <c r="R923" t="inlineStr">
        <is>
          <t xml:space="preserve">HQ </t>
        </is>
      </c>
      <c r="S923" t="n">
        <v>6</v>
      </c>
      <c r="T923" t="n">
        <v>6</v>
      </c>
      <c r="U923" t="inlineStr">
        <is>
          <t>1995-03-21</t>
        </is>
      </c>
      <c r="V923" t="inlineStr">
        <is>
          <t>1995-03-21</t>
        </is>
      </c>
      <c r="W923" t="inlineStr">
        <is>
          <t>1990-07-05</t>
        </is>
      </c>
      <c r="X923" t="inlineStr">
        <is>
          <t>1990-07-05</t>
        </is>
      </c>
      <c r="Y923" t="n">
        <v>502</v>
      </c>
      <c r="Z923" t="n">
        <v>428</v>
      </c>
      <c r="AA923" t="n">
        <v>435</v>
      </c>
      <c r="AB923" t="n">
        <v>4</v>
      </c>
      <c r="AC923" t="n">
        <v>4</v>
      </c>
      <c r="AD923" t="n">
        <v>23</v>
      </c>
      <c r="AE923" t="n">
        <v>23</v>
      </c>
      <c r="AF923" t="n">
        <v>8</v>
      </c>
      <c r="AG923" t="n">
        <v>8</v>
      </c>
      <c r="AH923" t="n">
        <v>7</v>
      </c>
      <c r="AI923" t="n">
        <v>7</v>
      </c>
      <c r="AJ923" t="n">
        <v>11</v>
      </c>
      <c r="AK923" t="n">
        <v>11</v>
      </c>
      <c r="AL923" t="n">
        <v>3</v>
      </c>
      <c r="AM923" t="n">
        <v>3</v>
      </c>
      <c r="AN923" t="n">
        <v>0</v>
      </c>
      <c r="AO923" t="n">
        <v>0</v>
      </c>
      <c r="AP923" t="inlineStr">
        <is>
          <t>No</t>
        </is>
      </c>
      <c r="AQ923" t="inlineStr">
        <is>
          <t>Yes</t>
        </is>
      </c>
      <c r="AR923">
        <f>HYPERLINK("http://catalog.hathitrust.org/Record/000249906","HathiTrust Record")</f>
        <v/>
      </c>
      <c r="AS923">
        <f>HYPERLINK("https://creighton-primo.hosted.exlibrisgroup.com/primo-explore/search?tab=default_tab&amp;search_scope=EVERYTHING&amp;vid=01CRU&amp;lang=en_US&amp;offset=0&amp;query=any,contains,991000418889702656","Catalog Record")</f>
        <v/>
      </c>
      <c r="AT923">
        <f>HYPERLINK("http://www.worldcat.org/oclc/10726942","WorldCat Record")</f>
        <v/>
      </c>
      <c r="AU923" t="inlineStr">
        <is>
          <t>836663808:eng</t>
        </is>
      </c>
      <c r="AV923" t="inlineStr">
        <is>
          <t>10726942</t>
        </is>
      </c>
      <c r="AW923" t="inlineStr">
        <is>
          <t>991000418889702656</t>
        </is>
      </c>
      <c r="AX923" t="inlineStr">
        <is>
          <t>991000418889702656</t>
        </is>
      </c>
      <c r="AY923" t="inlineStr">
        <is>
          <t>2264139680002656</t>
        </is>
      </c>
      <c r="AZ923" t="inlineStr">
        <is>
          <t>BOOK</t>
        </is>
      </c>
      <c r="BB923" t="inlineStr">
        <is>
          <t>9780030720260</t>
        </is>
      </c>
      <c r="BC923" t="inlineStr">
        <is>
          <t>32285000221779</t>
        </is>
      </c>
      <c r="BD923" t="inlineStr">
        <is>
          <t>893607891</t>
        </is>
      </c>
    </row>
    <row r="924">
      <c r="A924" t="inlineStr">
        <is>
          <t>No</t>
        </is>
      </c>
      <c r="B924" t="inlineStr">
        <is>
          <t>HQ1420 .F38 1994</t>
        </is>
      </c>
      <c r="C924" t="inlineStr">
        <is>
          <t>0                      HQ 1420000F  38          1994</t>
        </is>
      </c>
      <c r="D924" t="inlineStr">
        <is>
          <t>Feminism in our time : the essential writings, World War II to the present / edited with an introduction and commentaries by Miriam Schneir.</t>
        </is>
      </c>
      <c r="F924" t="inlineStr">
        <is>
          <t>No</t>
        </is>
      </c>
      <c r="G924" t="inlineStr">
        <is>
          <t>1</t>
        </is>
      </c>
      <c r="H924" t="inlineStr">
        <is>
          <t>No</t>
        </is>
      </c>
      <c r="I924" t="inlineStr">
        <is>
          <t>No</t>
        </is>
      </c>
      <c r="J924" t="inlineStr">
        <is>
          <t>0</t>
        </is>
      </c>
      <c r="L924" t="inlineStr">
        <is>
          <t>New York : Vintage Books, 1994.</t>
        </is>
      </c>
      <c r="M924" t="inlineStr">
        <is>
          <t>1994</t>
        </is>
      </c>
      <c r="N924" t="inlineStr">
        <is>
          <t>1st ed.</t>
        </is>
      </c>
      <c r="O924" t="inlineStr">
        <is>
          <t>eng</t>
        </is>
      </c>
      <c r="P924" t="inlineStr">
        <is>
          <t>nyu</t>
        </is>
      </c>
      <c r="R924" t="inlineStr">
        <is>
          <t xml:space="preserve">HQ </t>
        </is>
      </c>
      <c r="S924" t="n">
        <v>9</v>
      </c>
      <c r="T924" t="n">
        <v>9</v>
      </c>
      <c r="U924" t="inlineStr">
        <is>
          <t>2005-04-26</t>
        </is>
      </c>
      <c r="V924" t="inlineStr">
        <is>
          <t>2005-04-26</t>
        </is>
      </c>
      <c r="W924" t="inlineStr">
        <is>
          <t>1994-08-11</t>
        </is>
      </c>
      <c r="X924" t="inlineStr">
        <is>
          <t>1994-08-11</t>
        </is>
      </c>
      <c r="Y924" t="n">
        <v>1032</v>
      </c>
      <c r="Z924" t="n">
        <v>921</v>
      </c>
      <c r="AA924" t="n">
        <v>928</v>
      </c>
      <c r="AB924" t="n">
        <v>7</v>
      </c>
      <c r="AC924" t="n">
        <v>7</v>
      </c>
      <c r="AD924" t="n">
        <v>43</v>
      </c>
      <c r="AE924" t="n">
        <v>43</v>
      </c>
      <c r="AF924" t="n">
        <v>18</v>
      </c>
      <c r="AG924" t="n">
        <v>18</v>
      </c>
      <c r="AH924" t="n">
        <v>9</v>
      </c>
      <c r="AI924" t="n">
        <v>9</v>
      </c>
      <c r="AJ924" t="n">
        <v>17</v>
      </c>
      <c r="AK924" t="n">
        <v>17</v>
      </c>
      <c r="AL924" t="n">
        <v>6</v>
      </c>
      <c r="AM924" t="n">
        <v>6</v>
      </c>
      <c r="AN924" t="n">
        <v>4</v>
      </c>
      <c r="AO924" t="n">
        <v>4</v>
      </c>
      <c r="AP924" t="inlineStr">
        <is>
          <t>No</t>
        </is>
      </c>
      <c r="AQ924" t="inlineStr">
        <is>
          <t>Yes</t>
        </is>
      </c>
      <c r="AR924">
        <f>HYPERLINK("http://catalog.hathitrust.org/Record/002876760","HathiTrust Record")</f>
        <v/>
      </c>
      <c r="AS924">
        <f>HYPERLINK("https://creighton-primo.hosted.exlibrisgroup.com/primo-explore/search?tab=default_tab&amp;search_scope=EVERYTHING&amp;vid=01CRU&amp;lang=en_US&amp;offset=0&amp;query=any,contains,991005418209702656","Catalog Record")</f>
        <v/>
      </c>
      <c r="AT924">
        <f>HYPERLINK("http://www.worldcat.org/oclc/29564947","WorldCat Record")</f>
        <v/>
      </c>
      <c r="AU924" t="inlineStr">
        <is>
          <t>31378762:eng</t>
        </is>
      </c>
      <c r="AV924" t="inlineStr">
        <is>
          <t>29564947</t>
        </is>
      </c>
      <c r="AW924" t="inlineStr">
        <is>
          <t>991005418209702656</t>
        </is>
      </c>
      <c r="AX924" t="inlineStr">
        <is>
          <t>991005418209702656</t>
        </is>
      </c>
      <c r="AY924" t="inlineStr">
        <is>
          <t>2257093120002656</t>
        </is>
      </c>
      <c r="AZ924" t="inlineStr">
        <is>
          <t>BOOK</t>
        </is>
      </c>
      <c r="BB924" t="inlineStr">
        <is>
          <t>9780679745082</t>
        </is>
      </c>
      <c r="BC924" t="inlineStr">
        <is>
          <t>32285001942514</t>
        </is>
      </c>
      <c r="BD924" t="inlineStr">
        <is>
          <t>893261129</t>
        </is>
      </c>
    </row>
    <row r="925">
      <c r="A925" t="inlineStr">
        <is>
          <t>No</t>
        </is>
      </c>
      <c r="B925" t="inlineStr">
        <is>
          <t>HQ1420 .F4</t>
        </is>
      </c>
      <c r="C925" t="inlineStr">
        <is>
          <t>0                      HQ 1420000F  4</t>
        </is>
      </c>
      <c r="D925" t="inlineStr">
        <is>
          <t>Indicators of trends in the status of American women [by] Abbott L. Ferriss.</t>
        </is>
      </c>
      <c r="F925" t="inlineStr">
        <is>
          <t>No</t>
        </is>
      </c>
      <c r="G925" t="inlineStr">
        <is>
          <t>1</t>
        </is>
      </c>
      <c r="H925" t="inlineStr">
        <is>
          <t>No</t>
        </is>
      </c>
      <c r="I925" t="inlineStr">
        <is>
          <t>No</t>
        </is>
      </c>
      <c r="J925" t="inlineStr">
        <is>
          <t>0</t>
        </is>
      </c>
      <c r="K925" t="inlineStr">
        <is>
          <t>Ferriss, Abbott L. (Abbott Lamoyne), 1915-2014.</t>
        </is>
      </c>
      <c r="L925" t="inlineStr">
        <is>
          <t>New York, Russell Sage Foundation, 1971.</t>
        </is>
      </c>
      <c r="M925" t="inlineStr">
        <is>
          <t>1971</t>
        </is>
      </c>
      <c r="O925" t="inlineStr">
        <is>
          <t>eng</t>
        </is>
      </c>
      <c r="P925" t="inlineStr">
        <is>
          <t>nyu</t>
        </is>
      </c>
      <c r="R925" t="inlineStr">
        <is>
          <t xml:space="preserve">HQ </t>
        </is>
      </c>
      <c r="S925" t="n">
        <v>2</v>
      </c>
      <c r="T925" t="n">
        <v>2</v>
      </c>
      <c r="U925" t="inlineStr">
        <is>
          <t>2003-04-05</t>
        </is>
      </c>
      <c r="V925" t="inlineStr">
        <is>
          <t>2003-04-05</t>
        </is>
      </c>
      <c r="W925" t="inlineStr">
        <is>
          <t>1997-08-15</t>
        </is>
      </c>
      <c r="X925" t="inlineStr">
        <is>
          <t>1997-08-15</t>
        </is>
      </c>
      <c r="Y925" t="n">
        <v>524</v>
      </c>
      <c r="Z925" t="n">
        <v>445</v>
      </c>
      <c r="AA925" t="n">
        <v>595</v>
      </c>
      <c r="AB925" t="n">
        <v>5</v>
      </c>
      <c r="AC925" t="n">
        <v>5</v>
      </c>
      <c r="AD925" t="n">
        <v>24</v>
      </c>
      <c r="AE925" t="n">
        <v>30</v>
      </c>
      <c r="AF925" t="n">
        <v>8</v>
      </c>
      <c r="AG925" t="n">
        <v>11</v>
      </c>
      <c r="AH925" t="n">
        <v>4</v>
      </c>
      <c r="AI925" t="n">
        <v>7</v>
      </c>
      <c r="AJ925" t="n">
        <v>11</v>
      </c>
      <c r="AK925" t="n">
        <v>12</v>
      </c>
      <c r="AL925" t="n">
        <v>4</v>
      </c>
      <c r="AM925" t="n">
        <v>4</v>
      </c>
      <c r="AN925" t="n">
        <v>2</v>
      </c>
      <c r="AO925" t="n">
        <v>2</v>
      </c>
      <c r="AP925" t="inlineStr">
        <is>
          <t>No</t>
        </is>
      </c>
      <c r="AQ925" t="inlineStr">
        <is>
          <t>No</t>
        </is>
      </c>
      <c r="AS925">
        <f>HYPERLINK("https://creighton-primo.hosted.exlibrisgroup.com/primo-explore/search?tab=default_tab&amp;search_scope=EVERYTHING&amp;vid=01CRU&amp;lang=en_US&amp;offset=0&amp;query=any,contains,991000910839702656","Catalog Record")</f>
        <v/>
      </c>
      <c r="AT925">
        <f>HYPERLINK("http://www.worldcat.org/oclc/159766","WorldCat Record")</f>
        <v/>
      </c>
      <c r="AU925" t="inlineStr">
        <is>
          <t>1245827:eng</t>
        </is>
      </c>
      <c r="AV925" t="inlineStr">
        <is>
          <t>159766</t>
        </is>
      </c>
      <c r="AW925" t="inlineStr">
        <is>
          <t>991000910839702656</t>
        </is>
      </c>
      <c r="AX925" t="inlineStr">
        <is>
          <t>991000910839702656</t>
        </is>
      </c>
      <c r="AY925" t="inlineStr">
        <is>
          <t>2259025870002656</t>
        </is>
      </c>
      <c r="AZ925" t="inlineStr">
        <is>
          <t>BOOK</t>
        </is>
      </c>
      <c r="BB925" t="inlineStr">
        <is>
          <t>9780871542526</t>
        </is>
      </c>
      <c r="BC925" t="inlineStr">
        <is>
          <t>32285003104402</t>
        </is>
      </c>
      <c r="BD925" t="inlineStr">
        <is>
          <t>893339997</t>
        </is>
      </c>
    </row>
    <row r="926">
      <c r="A926" t="inlineStr">
        <is>
          <t>No</t>
        </is>
      </c>
      <c r="B926" t="inlineStr">
        <is>
          <t>HQ1420 .H34</t>
        </is>
      </c>
      <c r="C926" t="inlineStr">
        <is>
          <t>0                      HQ 1420000H  34</t>
        </is>
      </c>
      <c r="D926" t="inlineStr">
        <is>
          <t>The home front and beyond : American women in the 1940s / Susan M. Hartmann.</t>
        </is>
      </c>
      <c r="F926" t="inlineStr">
        <is>
          <t>No</t>
        </is>
      </c>
      <c r="G926" t="inlineStr">
        <is>
          <t>1</t>
        </is>
      </c>
      <c r="H926" t="inlineStr">
        <is>
          <t>No</t>
        </is>
      </c>
      <c r="I926" t="inlineStr">
        <is>
          <t>No</t>
        </is>
      </c>
      <c r="J926" t="inlineStr">
        <is>
          <t>0</t>
        </is>
      </c>
      <c r="K926" t="inlineStr">
        <is>
          <t>Hartmann, Susan M.</t>
        </is>
      </c>
      <c r="L926" t="inlineStr">
        <is>
          <t>Boston : Twayne Publishers, c1982.</t>
        </is>
      </c>
      <c r="M926" t="inlineStr">
        <is>
          <t>1982</t>
        </is>
      </c>
      <c r="O926" t="inlineStr">
        <is>
          <t>eng</t>
        </is>
      </c>
      <c r="P926" t="inlineStr">
        <is>
          <t>mau</t>
        </is>
      </c>
      <c r="Q926" t="inlineStr">
        <is>
          <t>American women in the twentieth century</t>
        </is>
      </c>
      <c r="R926" t="inlineStr">
        <is>
          <t xml:space="preserve">HQ </t>
        </is>
      </c>
      <c r="S926" t="n">
        <v>15</v>
      </c>
      <c r="T926" t="n">
        <v>15</v>
      </c>
      <c r="U926" t="inlineStr">
        <is>
          <t>1999-09-29</t>
        </is>
      </c>
      <c r="V926" t="inlineStr">
        <is>
          <t>1999-09-29</t>
        </is>
      </c>
      <c r="W926" t="inlineStr">
        <is>
          <t>1990-07-05</t>
        </is>
      </c>
      <c r="X926" t="inlineStr">
        <is>
          <t>1990-07-05</t>
        </is>
      </c>
      <c r="Y926" t="n">
        <v>1647</v>
      </c>
      <c r="Z926" t="n">
        <v>1520</v>
      </c>
      <c r="AA926" t="n">
        <v>1554</v>
      </c>
      <c r="AB926" t="n">
        <v>12</v>
      </c>
      <c r="AC926" t="n">
        <v>12</v>
      </c>
      <c r="AD926" t="n">
        <v>49</v>
      </c>
      <c r="AE926" t="n">
        <v>49</v>
      </c>
      <c r="AF926" t="n">
        <v>22</v>
      </c>
      <c r="AG926" t="n">
        <v>22</v>
      </c>
      <c r="AH926" t="n">
        <v>8</v>
      </c>
      <c r="AI926" t="n">
        <v>8</v>
      </c>
      <c r="AJ926" t="n">
        <v>21</v>
      </c>
      <c r="AK926" t="n">
        <v>21</v>
      </c>
      <c r="AL926" t="n">
        <v>9</v>
      </c>
      <c r="AM926" t="n">
        <v>9</v>
      </c>
      <c r="AN926" t="n">
        <v>0</v>
      </c>
      <c r="AO926" t="n">
        <v>0</v>
      </c>
      <c r="AP926" t="inlineStr">
        <is>
          <t>No</t>
        </is>
      </c>
      <c r="AQ926" t="inlineStr">
        <is>
          <t>Yes</t>
        </is>
      </c>
      <c r="AR926">
        <f>HYPERLINK("http://catalog.hathitrust.org/Record/000311831","HathiTrust Record")</f>
        <v/>
      </c>
      <c r="AS926">
        <f>HYPERLINK("https://creighton-primo.hosted.exlibrisgroup.com/primo-explore/search?tab=default_tab&amp;search_scope=EVERYTHING&amp;vid=01CRU&amp;lang=en_US&amp;offset=0&amp;query=any,contains,991005242819702656","Catalog Record")</f>
        <v/>
      </c>
      <c r="AT926">
        <f>HYPERLINK("http://www.worldcat.org/oclc/8431607","WorldCat Record")</f>
        <v/>
      </c>
      <c r="AU926" t="inlineStr">
        <is>
          <t>461780:eng</t>
        </is>
      </c>
      <c r="AV926" t="inlineStr">
        <is>
          <t>8431607</t>
        </is>
      </c>
      <c r="AW926" t="inlineStr">
        <is>
          <t>991005242819702656</t>
        </is>
      </c>
      <c r="AX926" t="inlineStr">
        <is>
          <t>991005242819702656</t>
        </is>
      </c>
      <c r="AY926" t="inlineStr">
        <is>
          <t>2259687520002656</t>
        </is>
      </c>
      <c r="AZ926" t="inlineStr">
        <is>
          <t>BOOK</t>
        </is>
      </c>
      <c r="BB926" t="inlineStr">
        <is>
          <t>9780805799019</t>
        </is>
      </c>
      <c r="BC926" t="inlineStr">
        <is>
          <t>32285000221787</t>
        </is>
      </c>
      <c r="BD926" t="inlineStr">
        <is>
          <t>893701249</t>
        </is>
      </c>
    </row>
    <row r="927">
      <c r="A927" t="inlineStr">
        <is>
          <t>No</t>
        </is>
      </c>
      <c r="B927" t="inlineStr">
        <is>
          <t>HQ1420 .H347 1994</t>
        </is>
      </c>
      <c r="C927" t="inlineStr">
        <is>
          <t>0                      HQ 1420000H  347         1994</t>
        </is>
      </c>
      <c r="D927" t="inlineStr">
        <is>
          <t>The fifties : a women's oral history / Brett Harvey.</t>
        </is>
      </c>
      <c r="F927" t="inlineStr">
        <is>
          <t>No</t>
        </is>
      </c>
      <c r="G927" t="inlineStr">
        <is>
          <t>1</t>
        </is>
      </c>
      <c r="H927" t="inlineStr">
        <is>
          <t>No</t>
        </is>
      </c>
      <c r="I927" t="inlineStr">
        <is>
          <t>No</t>
        </is>
      </c>
      <c r="J927" t="inlineStr">
        <is>
          <t>0</t>
        </is>
      </c>
      <c r="K927" t="inlineStr">
        <is>
          <t>Harvey, Brett.</t>
        </is>
      </c>
      <c r="L927" t="inlineStr">
        <is>
          <t>New York : HarperPerennial, 1994.</t>
        </is>
      </c>
      <c r="M927" t="inlineStr">
        <is>
          <t>1994</t>
        </is>
      </c>
      <c r="N927" t="inlineStr">
        <is>
          <t>1st HarperPerennial ed.</t>
        </is>
      </c>
      <c r="O927" t="inlineStr">
        <is>
          <t>eng</t>
        </is>
      </c>
      <c r="P927" t="inlineStr">
        <is>
          <t>nyu</t>
        </is>
      </c>
      <c r="R927" t="inlineStr">
        <is>
          <t xml:space="preserve">HQ </t>
        </is>
      </c>
      <c r="S927" t="n">
        <v>8</v>
      </c>
      <c r="T927" t="n">
        <v>8</v>
      </c>
      <c r="U927" t="inlineStr">
        <is>
          <t>2010-06-07</t>
        </is>
      </c>
      <c r="V927" t="inlineStr">
        <is>
          <t>2010-06-07</t>
        </is>
      </c>
      <c r="W927" t="inlineStr">
        <is>
          <t>1994-11-08</t>
        </is>
      </c>
      <c r="X927" t="inlineStr">
        <is>
          <t>1994-11-08</t>
        </is>
      </c>
      <c r="Y927" t="n">
        <v>152</v>
      </c>
      <c r="Z927" t="n">
        <v>147</v>
      </c>
      <c r="AA927" t="n">
        <v>944</v>
      </c>
      <c r="AB927" t="n">
        <v>2</v>
      </c>
      <c r="AC927" t="n">
        <v>6</v>
      </c>
      <c r="AD927" t="n">
        <v>3</v>
      </c>
      <c r="AE927" t="n">
        <v>29</v>
      </c>
      <c r="AF927" t="n">
        <v>0</v>
      </c>
      <c r="AG927" t="n">
        <v>8</v>
      </c>
      <c r="AH927" t="n">
        <v>1</v>
      </c>
      <c r="AI927" t="n">
        <v>7</v>
      </c>
      <c r="AJ927" t="n">
        <v>2</v>
      </c>
      <c r="AK927" t="n">
        <v>14</v>
      </c>
      <c r="AL927" t="n">
        <v>1</v>
      </c>
      <c r="AM927" t="n">
        <v>5</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HYPERLINK("https://creighton-primo.hosted.exlibrisgroup.com/primo-explore/search?tab=default_tab&amp;search_scope=EVERYTHING&amp;vid=01CRU&amp;lang=en_US&amp;offset=0&amp;query=any,contains,991002334069702656","Catalog Record")</f>
        <v/>
      </c>
      <c r="AT927">
        <f>HYPERLINK("http://www.worldcat.org/oclc/30371552","WorldCat Record")</f>
        <v/>
      </c>
      <c r="AU927" t="inlineStr">
        <is>
          <t>716483:eng</t>
        </is>
      </c>
      <c r="AV927" t="inlineStr">
        <is>
          <t>30371552</t>
        </is>
      </c>
      <c r="AW927" t="inlineStr">
        <is>
          <t>991002334069702656</t>
        </is>
      </c>
      <c r="AX927" t="inlineStr">
        <is>
          <t>991002334069702656</t>
        </is>
      </c>
      <c r="AY927" t="inlineStr">
        <is>
          <t>2254767540002656</t>
        </is>
      </c>
      <c r="AZ927" t="inlineStr">
        <is>
          <t>BOOK</t>
        </is>
      </c>
      <c r="BB927" t="inlineStr">
        <is>
          <t>9780060924614</t>
        </is>
      </c>
      <c r="BC927" t="inlineStr">
        <is>
          <t>32285001956837</t>
        </is>
      </c>
      <c r="BD927" t="inlineStr">
        <is>
          <t>893591237</t>
        </is>
      </c>
    </row>
    <row r="928">
      <c r="A928" t="inlineStr">
        <is>
          <t>No</t>
        </is>
      </c>
      <c r="B928" t="inlineStr">
        <is>
          <t>HQ1420 .K35 1984</t>
        </is>
      </c>
      <c r="C928" t="inlineStr">
        <is>
          <t>0                      HQ 1420000K  35          1984</t>
        </is>
      </c>
      <c r="D928" t="inlineStr">
        <is>
          <t>Mothers and more : American women in the 1950s / Eugenia Kaledin.</t>
        </is>
      </c>
      <c r="F928" t="inlineStr">
        <is>
          <t>No</t>
        </is>
      </c>
      <c r="G928" t="inlineStr">
        <is>
          <t>1</t>
        </is>
      </c>
      <c r="H928" t="inlineStr">
        <is>
          <t>No</t>
        </is>
      </c>
      <c r="I928" t="inlineStr">
        <is>
          <t>No</t>
        </is>
      </c>
      <c r="J928" t="inlineStr">
        <is>
          <t>0</t>
        </is>
      </c>
      <c r="K928" t="inlineStr">
        <is>
          <t>Kaledin, Eugenia.</t>
        </is>
      </c>
      <c r="L928" t="inlineStr">
        <is>
          <t>Boston : Twayne Publishers, c1984.</t>
        </is>
      </c>
      <c r="M928" t="inlineStr">
        <is>
          <t>1984</t>
        </is>
      </c>
      <c r="O928" t="inlineStr">
        <is>
          <t>eng</t>
        </is>
      </c>
      <c r="P928" t="inlineStr">
        <is>
          <t>mau</t>
        </is>
      </c>
      <c r="Q928" t="inlineStr">
        <is>
          <t>American women in the twentieth century</t>
        </is>
      </c>
      <c r="R928" t="inlineStr">
        <is>
          <t xml:space="preserve">HQ </t>
        </is>
      </c>
      <c r="S928" t="n">
        <v>1</v>
      </c>
      <c r="T928" t="n">
        <v>1</v>
      </c>
      <c r="U928" t="inlineStr">
        <is>
          <t>2000-09-22</t>
        </is>
      </c>
      <c r="V928" t="inlineStr">
        <is>
          <t>2000-09-22</t>
        </is>
      </c>
      <c r="W928" t="inlineStr">
        <is>
          <t>1993-04-28</t>
        </is>
      </c>
      <c r="X928" t="inlineStr">
        <is>
          <t>1993-04-28</t>
        </is>
      </c>
      <c r="Y928" t="n">
        <v>1428</v>
      </c>
      <c r="Z928" t="n">
        <v>1321</v>
      </c>
      <c r="AA928" t="n">
        <v>1330</v>
      </c>
      <c r="AB928" t="n">
        <v>9</v>
      </c>
      <c r="AC928" t="n">
        <v>9</v>
      </c>
      <c r="AD928" t="n">
        <v>46</v>
      </c>
      <c r="AE928" t="n">
        <v>46</v>
      </c>
      <c r="AF928" t="n">
        <v>21</v>
      </c>
      <c r="AG928" t="n">
        <v>21</v>
      </c>
      <c r="AH928" t="n">
        <v>7</v>
      </c>
      <c r="AI928" t="n">
        <v>7</v>
      </c>
      <c r="AJ928" t="n">
        <v>22</v>
      </c>
      <c r="AK928" t="n">
        <v>22</v>
      </c>
      <c r="AL928" t="n">
        <v>7</v>
      </c>
      <c r="AM928" t="n">
        <v>7</v>
      </c>
      <c r="AN928" t="n">
        <v>0</v>
      </c>
      <c r="AO928" t="n">
        <v>0</v>
      </c>
      <c r="AP928" t="inlineStr">
        <is>
          <t>No</t>
        </is>
      </c>
      <c r="AQ928" t="inlineStr">
        <is>
          <t>Yes</t>
        </is>
      </c>
      <c r="AR928">
        <f>HYPERLINK("http://catalog.hathitrust.org/Record/000601370","HathiTrust Record")</f>
        <v/>
      </c>
      <c r="AS928">
        <f>HYPERLINK("https://creighton-primo.hosted.exlibrisgroup.com/primo-explore/search?tab=default_tab&amp;search_scope=EVERYTHING&amp;vid=01CRU&amp;lang=en_US&amp;offset=0&amp;query=any,contains,991000469659702656","Catalog Record")</f>
        <v/>
      </c>
      <c r="AT928">
        <f>HYPERLINK("http://www.worldcat.org/oclc/10996524","WorldCat Record")</f>
        <v/>
      </c>
      <c r="AU928" t="inlineStr">
        <is>
          <t>196714932:eng</t>
        </is>
      </c>
      <c r="AV928" t="inlineStr">
        <is>
          <t>10996524</t>
        </is>
      </c>
      <c r="AW928" t="inlineStr">
        <is>
          <t>991000469659702656</t>
        </is>
      </c>
      <c r="AX928" t="inlineStr">
        <is>
          <t>991000469659702656</t>
        </is>
      </c>
      <c r="AY928" t="inlineStr">
        <is>
          <t>2261921730002656</t>
        </is>
      </c>
      <c r="AZ928" t="inlineStr">
        <is>
          <t>BOOK</t>
        </is>
      </c>
      <c r="BB928" t="inlineStr">
        <is>
          <t>9780805799071</t>
        </is>
      </c>
      <c r="BC928" t="inlineStr">
        <is>
          <t>32285001629830</t>
        </is>
      </c>
      <c r="BD928" t="inlineStr">
        <is>
          <t>893607931</t>
        </is>
      </c>
    </row>
    <row r="929">
      <c r="A929" t="inlineStr">
        <is>
          <t>No</t>
        </is>
      </c>
      <c r="B929" t="inlineStr">
        <is>
          <t>HQ1420 .R66 1992</t>
        </is>
      </c>
      <c r="C929" t="inlineStr">
        <is>
          <t>0                      HQ 1420000R  66          1992</t>
        </is>
      </c>
      <c r="D929" t="inlineStr">
        <is>
          <t>Divided lives : American women in the twentieth century / Rosalind Rosenberg ; consulting editor, Eric Foner.</t>
        </is>
      </c>
      <c r="F929" t="inlineStr">
        <is>
          <t>No</t>
        </is>
      </c>
      <c r="G929" t="inlineStr">
        <is>
          <t>1</t>
        </is>
      </c>
      <c r="H929" t="inlineStr">
        <is>
          <t>No</t>
        </is>
      </c>
      <c r="I929" t="inlineStr">
        <is>
          <t>No</t>
        </is>
      </c>
      <c r="J929" t="inlineStr">
        <is>
          <t>0</t>
        </is>
      </c>
      <c r="K929" t="inlineStr">
        <is>
          <t>Rosenberg, Rosalind, 1946-</t>
        </is>
      </c>
      <c r="L929" t="inlineStr">
        <is>
          <t>New York : Hill and Wang : Noonday Press, c1992.</t>
        </is>
      </c>
      <c r="M929" t="inlineStr">
        <is>
          <t>1992</t>
        </is>
      </c>
      <c r="O929" t="inlineStr">
        <is>
          <t>eng</t>
        </is>
      </c>
      <c r="P929" t="inlineStr">
        <is>
          <t>nyu</t>
        </is>
      </c>
      <c r="Q929" t="inlineStr">
        <is>
          <t>American century series</t>
        </is>
      </c>
      <c r="R929" t="inlineStr">
        <is>
          <t xml:space="preserve">HQ </t>
        </is>
      </c>
      <c r="S929" t="n">
        <v>9</v>
      </c>
      <c r="T929" t="n">
        <v>9</v>
      </c>
      <c r="U929" t="inlineStr">
        <is>
          <t>1999-11-17</t>
        </is>
      </c>
      <c r="V929" t="inlineStr">
        <is>
          <t>1999-11-17</t>
        </is>
      </c>
      <c r="W929" t="inlineStr">
        <is>
          <t>1992-09-30</t>
        </is>
      </c>
      <c r="X929" t="inlineStr">
        <is>
          <t>1992-09-30</t>
        </is>
      </c>
      <c r="Y929" t="n">
        <v>739</v>
      </c>
      <c r="Z929" t="n">
        <v>671</v>
      </c>
      <c r="AA929" t="n">
        <v>749</v>
      </c>
      <c r="AB929" t="n">
        <v>6</v>
      </c>
      <c r="AC929" t="n">
        <v>7</v>
      </c>
      <c r="AD929" t="n">
        <v>26</v>
      </c>
      <c r="AE929" t="n">
        <v>30</v>
      </c>
      <c r="AF929" t="n">
        <v>8</v>
      </c>
      <c r="AG929" t="n">
        <v>11</v>
      </c>
      <c r="AH929" t="n">
        <v>7</v>
      </c>
      <c r="AI929" t="n">
        <v>7</v>
      </c>
      <c r="AJ929" t="n">
        <v>14</v>
      </c>
      <c r="AK929" t="n">
        <v>17</v>
      </c>
      <c r="AL929" t="n">
        <v>4</v>
      </c>
      <c r="AM929" t="n">
        <v>5</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HYPERLINK("https://creighton-primo.hosted.exlibrisgroup.com/primo-explore/search?tab=default_tab&amp;search_scope=EVERYTHING&amp;vid=01CRU&amp;lang=en_US&amp;offset=0&amp;query=any,contains,991002043279702656","Catalog Record")</f>
        <v/>
      </c>
      <c r="AT929">
        <f>HYPERLINK("http://www.worldcat.org/oclc/26078988","WorldCat Record")</f>
        <v/>
      </c>
      <c r="AU929" t="inlineStr">
        <is>
          <t>904977:eng</t>
        </is>
      </c>
      <c r="AV929" t="inlineStr">
        <is>
          <t>26078988</t>
        </is>
      </c>
      <c r="AW929" t="inlineStr">
        <is>
          <t>991002043279702656</t>
        </is>
      </c>
      <c r="AX929" t="inlineStr">
        <is>
          <t>991002043279702656</t>
        </is>
      </c>
      <c r="AY929" t="inlineStr">
        <is>
          <t>2263896780002656</t>
        </is>
      </c>
      <c r="AZ929" t="inlineStr">
        <is>
          <t>BOOK</t>
        </is>
      </c>
      <c r="BB929" t="inlineStr">
        <is>
          <t>9780374523473</t>
        </is>
      </c>
      <c r="BC929" t="inlineStr">
        <is>
          <t>32285001289692</t>
        </is>
      </c>
      <c r="BD929" t="inlineStr">
        <is>
          <t>893334869</t>
        </is>
      </c>
    </row>
    <row r="930">
      <c r="A930" t="inlineStr">
        <is>
          <t>No</t>
        </is>
      </c>
      <c r="B930" t="inlineStr">
        <is>
          <t>HQ1420 .R8 1982</t>
        </is>
      </c>
      <c r="C930" t="inlineStr">
        <is>
          <t>0                      HQ 1420000R  8           1982</t>
        </is>
      </c>
      <c r="D930" t="inlineStr">
        <is>
          <t>The new suburban woman : beyond myth and motherhood / Nancy Rubin.</t>
        </is>
      </c>
      <c r="F930" t="inlineStr">
        <is>
          <t>No</t>
        </is>
      </c>
      <c r="G930" t="inlineStr">
        <is>
          <t>1</t>
        </is>
      </c>
      <c r="H930" t="inlineStr">
        <is>
          <t>No</t>
        </is>
      </c>
      <c r="I930" t="inlineStr">
        <is>
          <t>No</t>
        </is>
      </c>
      <c r="J930" t="inlineStr">
        <is>
          <t>0</t>
        </is>
      </c>
      <c r="K930" t="inlineStr">
        <is>
          <t>Stuart, Nancy Rubin, 1944-</t>
        </is>
      </c>
      <c r="L930" t="inlineStr">
        <is>
          <t>New York : Coward, McCann &amp; Geoghegan, c1982.</t>
        </is>
      </c>
      <c r="M930" t="inlineStr">
        <is>
          <t>1982</t>
        </is>
      </c>
      <c r="O930" t="inlineStr">
        <is>
          <t>eng</t>
        </is>
      </c>
      <c r="P930" t="inlineStr">
        <is>
          <t>nyu</t>
        </is>
      </c>
      <c r="R930" t="inlineStr">
        <is>
          <t xml:space="preserve">HQ </t>
        </is>
      </c>
      <c r="S930" t="n">
        <v>3</v>
      </c>
      <c r="T930" t="n">
        <v>3</v>
      </c>
      <c r="U930" t="inlineStr">
        <is>
          <t>2000-09-22</t>
        </is>
      </c>
      <c r="V930" t="inlineStr">
        <is>
          <t>2000-09-22</t>
        </is>
      </c>
      <c r="W930" t="inlineStr">
        <is>
          <t>1993-04-28</t>
        </is>
      </c>
      <c r="X930" t="inlineStr">
        <is>
          <t>1993-04-28</t>
        </is>
      </c>
      <c r="Y930" t="n">
        <v>480</v>
      </c>
      <c r="Z930" t="n">
        <v>445</v>
      </c>
      <c r="AA930" t="n">
        <v>448</v>
      </c>
      <c r="AB930" t="n">
        <v>2</v>
      </c>
      <c r="AC930" t="n">
        <v>2</v>
      </c>
      <c r="AD930" t="n">
        <v>16</v>
      </c>
      <c r="AE930" t="n">
        <v>16</v>
      </c>
      <c r="AF930" t="n">
        <v>9</v>
      </c>
      <c r="AG930" t="n">
        <v>9</v>
      </c>
      <c r="AH930" t="n">
        <v>3</v>
      </c>
      <c r="AI930" t="n">
        <v>3</v>
      </c>
      <c r="AJ930" t="n">
        <v>8</v>
      </c>
      <c r="AK930" t="n">
        <v>8</v>
      </c>
      <c r="AL930" t="n">
        <v>1</v>
      </c>
      <c r="AM930" t="n">
        <v>1</v>
      </c>
      <c r="AN930" t="n">
        <v>0</v>
      </c>
      <c r="AO930" t="n">
        <v>0</v>
      </c>
      <c r="AP930" t="inlineStr">
        <is>
          <t>No</t>
        </is>
      </c>
      <c r="AQ930" t="inlineStr">
        <is>
          <t>Yes</t>
        </is>
      </c>
      <c r="AR930">
        <f>HYPERLINK("http://catalog.hathitrust.org/Record/000762736","HathiTrust Record")</f>
        <v/>
      </c>
      <c r="AS930">
        <f>HYPERLINK("https://creighton-primo.hosted.exlibrisgroup.com/primo-explore/search?tab=default_tab&amp;search_scope=EVERYTHING&amp;vid=01CRU&amp;lang=en_US&amp;offset=0&amp;query=any,contains,991005203249702656","Catalog Record")</f>
        <v/>
      </c>
      <c r="AT930">
        <f>HYPERLINK("http://www.worldcat.org/oclc/8109623","WorldCat Record")</f>
        <v/>
      </c>
      <c r="AU930" t="inlineStr">
        <is>
          <t>443605:eng</t>
        </is>
      </c>
      <c r="AV930" t="inlineStr">
        <is>
          <t>8109623</t>
        </is>
      </c>
      <c r="AW930" t="inlineStr">
        <is>
          <t>991005203249702656</t>
        </is>
      </c>
      <c r="AX930" t="inlineStr">
        <is>
          <t>991005203249702656</t>
        </is>
      </c>
      <c r="AY930" t="inlineStr">
        <is>
          <t>2261455400002656</t>
        </is>
      </c>
      <c r="AZ930" t="inlineStr">
        <is>
          <t>BOOK</t>
        </is>
      </c>
      <c r="BB930" t="inlineStr">
        <is>
          <t>9780698111332</t>
        </is>
      </c>
      <c r="BC930" t="inlineStr">
        <is>
          <t>32285001629848</t>
        </is>
      </c>
      <c r="BD930" t="inlineStr">
        <is>
          <t>893350898</t>
        </is>
      </c>
    </row>
    <row r="931">
      <c r="A931" t="inlineStr">
        <is>
          <t>No</t>
        </is>
      </c>
      <c r="B931" t="inlineStr">
        <is>
          <t>HQ1420 .R86 1987</t>
        </is>
      </c>
      <c r="C931" t="inlineStr">
        <is>
          <t>0                      HQ 1420000R  86          1987</t>
        </is>
      </c>
      <c r="D931" t="inlineStr">
        <is>
          <t>Survival in the doldrums : the American women's rights movement, 1945 to the 1960s / Leila J. Rupp and Verta Taylor.</t>
        </is>
      </c>
      <c r="F931" t="inlineStr">
        <is>
          <t>No</t>
        </is>
      </c>
      <c r="G931" t="inlineStr">
        <is>
          <t>1</t>
        </is>
      </c>
      <c r="H931" t="inlineStr">
        <is>
          <t>No</t>
        </is>
      </c>
      <c r="I931" t="inlineStr">
        <is>
          <t>No</t>
        </is>
      </c>
      <c r="J931" t="inlineStr">
        <is>
          <t>0</t>
        </is>
      </c>
      <c r="K931" t="inlineStr">
        <is>
          <t>Rupp, Leila J., 1950-</t>
        </is>
      </c>
      <c r="L931" t="inlineStr">
        <is>
          <t>New York : Oxford University Press, 1987.</t>
        </is>
      </c>
      <c r="M931" t="inlineStr">
        <is>
          <t>1987</t>
        </is>
      </c>
      <c r="O931" t="inlineStr">
        <is>
          <t>eng</t>
        </is>
      </c>
      <c r="P931" t="inlineStr">
        <is>
          <t>nyu</t>
        </is>
      </c>
      <c r="R931" t="inlineStr">
        <is>
          <t xml:space="preserve">HQ </t>
        </is>
      </c>
      <c r="S931" t="n">
        <v>5</v>
      </c>
      <c r="T931" t="n">
        <v>5</v>
      </c>
      <c r="U931" t="inlineStr">
        <is>
          <t>2000-03-09</t>
        </is>
      </c>
      <c r="V931" t="inlineStr">
        <is>
          <t>2000-03-09</t>
        </is>
      </c>
      <c r="W931" t="inlineStr">
        <is>
          <t>1990-07-05</t>
        </is>
      </c>
      <c r="X931" t="inlineStr">
        <is>
          <t>1990-07-05</t>
        </is>
      </c>
      <c r="Y931" t="n">
        <v>980</v>
      </c>
      <c r="Z931" t="n">
        <v>886</v>
      </c>
      <c r="AA931" t="n">
        <v>947</v>
      </c>
      <c r="AB931" t="n">
        <v>6</v>
      </c>
      <c r="AC931" t="n">
        <v>6</v>
      </c>
      <c r="AD931" t="n">
        <v>32</v>
      </c>
      <c r="AE931" t="n">
        <v>34</v>
      </c>
      <c r="AF931" t="n">
        <v>12</v>
      </c>
      <c r="AG931" t="n">
        <v>14</v>
      </c>
      <c r="AH931" t="n">
        <v>8</v>
      </c>
      <c r="AI931" t="n">
        <v>8</v>
      </c>
      <c r="AJ931" t="n">
        <v>15</v>
      </c>
      <c r="AK931" t="n">
        <v>16</v>
      </c>
      <c r="AL931" t="n">
        <v>4</v>
      </c>
      <c r="AM931" t="n">
        <v>4</v>
      </c>
      <c r="AN931" t="n">
        <v>1</v>
      </c>
      <c r="AO931" t="n">
        <v>1</v>
      </c>
      <c r="AP931" t="inlineStr">
        <is>
          <t>No</t>
        </is>
      </c>
      <c r="AQ931" t="inlineStr">
        <is>
          <t>No</t>
        </is>
      </c>
      <c r="AS931">
        <f>HYPERLINK("https://creighton-primo.hosted.exlibrisgroup.com/primo-explore/search?tab=default_tab&amp;search_scope=EVERYTHING&amp;vid=01CRU&amp;lang=en_US&amp;offset=0&amp;query=any,contains,991000927239702656","Catalog Record")</f>
        <v/>
      </c>
      <c r="AT931">
        <f>HYPERLINK("http://www.worldcat.org/oclc/14241530","WorldCat Record")</f>
        <v/>
      </c>
      <c r="AU931" t="inlineStr">
        <is>
          <t>9044395:eng</t>
        </is>
      </c>
      <c r="AV931" t="inlineStr">
        <is>
          <t>14241530</t>
        </is>
      </c>
      <c r="AW931" t="inlineStr">
        <is>
          <t>991000927239702656</t>
        </is>
      </c>
      <c r="AX931" t="inlineStr">
        <is>
          <t>991000927239702656</t>
        </is>
      </c>
      <c r="AY931" t="inlineStr">
        <is>
          <t>2259282430002656</t>
        </is>
      </c>
      <c r="AZ931" t="inlineStr">
        <is>
          <t>BOOK</t>
        </is>
      </c>
      <c r="BB931" t="inlineStr">
        <is>
          <t>9780195049381</t>
        </is>
      </c>
      <c r="BC931" t="inlineStr">
        <is>
          <t>32285000221811</t>
        </is>
      </c>
      <c r="BD931" t="inlineStr">
        <is>
          <t>893720855</t>
        </is>
      </c>
    </row>
    <row r="932">
      <c r="A932" t="inlineStr">
        <is>
          <t>No</t>
        </is>
      </c>
      <c r="B932" t="inlineStr">
        <is>
          <t>HQ1420 .T34 1991</t>
        </is>
      </c>
      <c r="C932" t="inlineStr">
        <is>
          <t>0                      HQ 1420000T  34          1991</t>
        </is>
      </c>
      <c r="D932" t="inlineStr">
        <is>
          <t>Statistical handbook on women in America / compiled and edited by Cynthia Taeuber.</t>
        </is>
      </c>
      <c r="F932" t="inlineStr">
        <is>
          <t>No</t>
        </is>
      </c>
      <c r="G932" t="inlineStr">
        <is>
          <t>1</t>
        </is>
      </c>
      <c r="H932" t="inlineStr">
        <is>
          <t>No</t>
        </is>
      </c>
      <c r="I932" t="inlineStr">
        <is>
          <t>Yes</t>
        </is>
      </c>
      <c r="J932" t="inlineStr">
        <is>
          <t>0</t>
        </is>
      </c>
      <c r="K932" t="inlineStr">
        <is>
          <t>Taeuber, Cynthia Murray.</t>
        </is>
      </c>
      <c r="L932" t="inlineStr">
        <is>
          <t>Phoenix, AZ : Oryx Press, 1991.</t>
        </is>
      </c>
      <c r="M932" t="inlineStr">
        <is>
          <t>1991</t>
        </is>
      </c>
      <c r="O932" t="inlineStr">
        <is>
          <t>eng</t>
        </is>
      </c>
      <c r="P932" t="inlineStr">
        <is>
          <t>azu</t>
        </is>
      </c>
      <c r="R932" t="inlineStr">
        <is>
          <t xml:space="preserve">HQ </t>
        </is>
      </c>
      <c r="S932" t="n">
        <v>6</v>
      </c>
      <c r="T932" t="n">
        <v>6</v>
      </c>
      <c r="U932" t="inlineStr">
        <is>
          <t>2001-10-27</t>
        </is>
      </c>
      <c r="V932" t="inlineStr">
        <is>
          <t>2001-10-27</t>
        </is>
      </c>
      <c r="W932" t="inlineStr">
        <is>
          <t>1991-04-10</t>
        </is>
      </c>
      <c r="X932" t="inlineStr">
        <is>
          <t>1991-04-10</t>
        </is>
      </c>
      <c r="Y932" t="n">
        <v>734</v>
      </c>
      <c r="Z932" t="n">
        <v>661</v>
      </c>
      <c r="AA932" t="n">
        <v>1019</v>
      </c>
      <c r="AB932" t="n">
        <v>3</v>
      </c>
      <c r="AC932" t="n">
        <v>5</v>
      </c>
      <c r="AD932" t="n">
        <v>18</v>
      </c>
      <c r="AE932" t="n">
        <v>32</v>
      </c>
      <c r="AF932" t="n">
        <v>5</v>
      </c>
      <c r="AG932" t="n">
        <v>12</v>
      </c>
      <c r="AH932" t="n">
        <v>4</v>
      </c>
      <c r="AI932" t="n">
        <v>5</v>
      </c>
      <c r="AJ932" t="n">
        <v>8</v>
      </c>
      <c r="AK932" t="n">
        <v>15</v>
      </c>
      <c r="AL932" t="n">
        <v>2</v>
      </c>
      <c r="AM932" t="n">
        <v>4</v>
      </c>
      <c r="AN932" t="n">
        <v>1</v>
      </c>
      <c r="AO932" t="n">
        <v>2</v>
      </c>
      <c r="AP932" t="inlineStr">
        <is>
          <t>No</t>
        </is>
      </c>
      <c r="AQ932" t="inlineStr">
        <is>
          <t>Yes</t>
        </is>
      </c>
      <c r="AR932">
        <f>HYPERLINK("http://catalog.hathitrust.org/Record/002424292","HathiTrust Record")</f>
        <v/>
      </c>
      <c r="AS932">
        <f>HYPERLINK("https://creighton-primo.hosted.exlibrisgroup.com/primo-explore/search?tab=default_tab&amp;search_scope=EVERYTHING&amp;vid=01CRU&amp;lang=en_US&amp;offset=0&amp;query=any,contains,991001738009702656","Catalog Record")</f>
        <v/>
      </c>
      <c r="AT932">
        <f>HYPERLINK("http://www.worldcat.org/oclc/21974931","WorldCat Record")</f>
        <v/>
      </c>
      <c r="AU932" t="inlineStr">
        <is>
          <t>55356403:eng</t>
        </is>
      </c>
      <c r="AV932" t="inlineStr">
        <is>
          <t>21974931</t>
        </is>
      </c>
      <c r="AW932" t="inlineStr">
        <is>
          <t>991001738009702656</t>
        </is>
      </c>
      <c r="AX932" t="inlineStr">
        <is>
          <t>991001738009702656</t>
        </is>
      </c>
      <c r="AY932" t="inlineStr">
        <is>
          <t>2267549420002656</t>
        </is>
      </c>
      <c r="AZ932" t="inlineStr">
        <is>
          <t>BOOK</t>
        </is>
      </c>
      <c r="BB932" t="inlineStr">
        <is>
          <t>9780897746090</t>
        </is>
      </c>
      <c r="BC932" t="inlineStr">
        <is>
          <t>32285000567387</t>
        </is>
      </c>
      <c r="BD932" t="inlineStr">
        <is>
          <t>893250432</t>
        </is>
      </c>
    </row>
    <row r="933">
      <c r="A933" t="inlineStr">
        <is>
          <t>No</t>
        </is>
      </c>
      <c r="B933" t="inlineStr">
        <is>
          <t>HQ1420 .W33 1982</t>
        </is>
      </c>
      <c r="C933" t="inlineStr">
        <is>
          <t>0                      HQ 1420000W  33          1982</t>
        </is>
      </c>
      <c r="D933" t="inlineStr">
        <is>
          <t>Holding their own : American women in the 1930s / Susan Ware.</t>
        </is>
      </c>
      <c r="F933" t="inlineStr">
        <is>
          <t>No</t>
        </is>
      </c>
      <c r="G933" t="inlineStr">
        <is>
          <t>1</t>
        </is>
      </c>
      <c r="H933" t="inlineStr">
        <is>
          <t>No</t>
        </is>
      </c>
      <c r="I933" t="inlineStr">
        <is>
          <t>No</t>
        </is>
      </c>
      <c r="J933" t="inlineStr">
        <is>
          <t>0</t>
        </is>
      </c>
      <c r="K933" t="inlineStr">
        <is>
          <t>Ware, Susan, 1950-</t>
        </is>
      </c>
      <c r="L933" t="inlineStr">
        <is>
          <t>Boston : Twayne, c1982.</t>
        </is>
      </c>
      <c r="M933" t="inlineStr">
        <is>
          <t>1982</t>
        </is>
      </c>
      <c r="O933" t="inlineStr">
        <is>
          <t>eng</t>
        </is>
      </c>
      <c r="P933" t="inlineStr">
        <is>
          <t>mau</t>
        </is>
      </c>
      <c r="Q933" t="inlineStr">
        <is>
          <t>American women in the twentieth century</t>
        </is>
      </c>
      <c r="R933" t="inlineStr">
        <is>
          <t xml:space="preserve">HQ </t>
        </is>
      </c>
      <c r="S933" t="n">
        <v>4</v>
      </c>
      <c r="T933" t="n">
        <v>4</v>
      </c>
      <c r="U933" t="inlineStr">
        <is>
          <t>2009-03-26</t>
        </is>
      </c>
      <c r="V933" t="inlineStr">
        <is>
          <t>2009-03-26</t>
        </is>
      </c>
      <c r="W933" t="inlineStr">
        <is>
          <t>1990-06-06</t>
        </is>
      </c>
      <c r="X933" t="inlineStr">
        <is>
          <t>1990-06-06</t>
        </is>
      </c>
      <c r="Y933" t="n">
        <v>1473</v>
      </c>
      <c r="Z933" t="n">
        <v>1353</v>
      </c>
      <c r="AA933" t="n">
        <v>1365</v>
      </c>
      <c r="AB933" t="n">
        <v>10</v>
      </c>
      <c r="AC933" t="n">
        <v>10</v>
      </c>
      <c r="AD933" t="n">
        <v>44</v>
      </c>
      <c r="AE933" t="n">
        <v>44</v>
      </c>
      <c r="AF933" t="n">
        <v>19</v>
      </c>
      <c r="AG933" t="n">
        <v>19</v>
      </c>
      <c r="AH933" t="n">
        <v>7</v>
      </c>
      <c r="AI933" t="n">
        <v>7</v>
      </c>
      <c r="AJ933" t="n">
        <v>19</v>
      </c>
      <c r="AK933" t="n">
        <v>19</v>
      </c>
      <c r="AL933" t="n">
        <v>8</v>
      </c>
      <c r="AM933" t="n">
        <v>8</v>
      </c>
      <c r="AN933" t="n">
        <v>0</v>
      </c>
      <c r="AO933" t="n">
        <v>0</v>
      </c>
      <c r="AP933" t="inlineStr">
        <is>
          <t>No</t>
        </is>
      </c>
      <c r="AQ933" t="inlineStr">
        <is>
          <t>Yes</t>
        </is>
      </c>
      <c r="AR933">
        <f>HYPERLINK("http://catalog.hathitrust.org/Record/000232196","HathiTrust Record")</f>
        <v/>
      </c>
      <c r="AS933">
        <f>HYPERLINK("https://creighton-primo.hosted.exlibrisgroup.com/primo-explore/search?tab=default_tab&amp;search_scope=EVERYTHING&amp;vid=01CRU&amp;lang=en_US&amp;offset=0&amp;query=any,contains,991005242829702656","Catalog Record")</f>
        <v/>
      </c>
      <c r="AT933">
        <f>HYPERLINK("http://www.worldcat.org/oclc/8431617","WorldCat Record")</f>
        <v/>
      </c>
      <c r="AU933" t="inlineStr">
        <is>
          <t>461777:eng</t>
        </is>
      </c>
      <c r="AV933" t="inlineStr">
        <is>
          <t>8431617</t>
        </is>
      </c>
      <c r="AW933" t="inlineStr">
        <is>
          <t>991005242829702656</t>
        </is>
      </c>
      <c r="AX933" t="inlineStr">
        <is>
          <t>991005242829702656</t>
        </is>
      </c>
      <c r="AY933" t="inlineStr">
        <is>
          <t>2259659500002656</t>
        </is>
      </c>
      <c r="AZ933" t="inlineStr">
        <is>
          <t>BOOK</t>
        </is>
      </c>
      <c r="BB933" t="inlineStr">
        <is>
          <t>9780805799002</t>
        </is>
      </c>
      <c r="BC933" t="inlineStr">
        <is>
          <t>32285000182179</t>
        </is>
      </c>
      <c r="BD933" t="inlineStr">
        <is>
          <t>893338792</t>
        </is>
      </c>
    </row>
    <row r="934">
      <c r="A934" t="inlineStr">
        <is>
          <t>No</t>
        </is>
      </c>
      <c r="B934" t="inlineStr">
        <is>
          <t>HQ1421 .A28 1992</t>
        </is>
      </c>
      <c r="C934" t="inlineStr">
        <is>
          <t>0                      HQ 1421000A  28          1992</t>
        </is>
      </c>
      <c r="D934" t="inlineStr">
        <is>
          <t>Megatrends for women / Patricia Aburdene and John Naisbitt.</t>
        </is>
      </c>
      <c r="F934" t="inlineStr">
        <is>
          <t>No</t>
        </is>
      </c>
      <c r="G934" t="inlineStr">
        <is>
          <t>1</t>
        </is>
      </c>
      <c r="H934" t="inlineStr">
        <is>
          <t>No</t>
        </is>
      </c>
      <c r="I934" t="inlineStr">
        <is>
          <t>No</t>
        </is>
      </c>
      <c r="J934" t="inlineStr">
        <is>
          <t>0</t>
        </is>
      </c>
      <c r="K934" t="inlineStr">
        <is>
          <t>Aburdene, Patricia.</t>
        </is>
      </c>
      <c r="L934" t="inlineStr">
        <is>
          <t>New York : Villard Books, 1992.</t>
        </is>
      </c>
      <c r="M934" t="inlineStr">
        <is>
          <t>1992</t>
        </is>
      </c>
      <c r="N934" t="inlineStr">
        <is>
          <t>1st ed.</t>
        </is>
      </c>
      <c r="O934" t="inlineStr">
        <is>
          <t>eng</t>
        </is>
      </c>
      <c r="P934" t="inlineStr">
        <is>
          <t>nyu</t>
        </is>
      </c>
      <c r="R934" t="inlineStr">
        <is>
          <t xml:space="preserve">HQ </t>
        </is>
      </c>
      <c r="S934" t="n">
        <v>6</v>
      </c>
      <c r="T934" t="n">
        <v>6</v>
      </c>
      <c r="U934" t="inlineStr">
        <is>
          <t>2001-04-02</t>
        </is>
      </c>
      <c r="V934" t="inlineStr">
        <is>
          <t>2001-04-02</t>
        </is>
      </c>
      <c r="W934" t="inlineStr">
        <is>
          <t>1992-09-28</t>
        </is>
      </c>
      <c r="X934" t="inlineStr">
        <is>
          <t>1992-09-28</t>
        </is>
      </c>
      <c r="Y934" t="n">
        <v>1559</v>
      </c>
      <c r="Z934" t="n">
        <v>1442</v>
      </c>
      <c r="AA934" t="n">
        <v>1542</v>
      </c>
      <c r="AB934" t="n">
        <v>16</v>
      </c>
      <c r="AC934" t="n">
        <v>17</v>
      </c>
      <c r="AD934" t="n">
        <v>36</v>
      </c>
      <c r="AE934" t="n">
        <v>41</v>
      </c>
      <c r="AF934" t="n">
        <v>12</v>
      </c>
      <c r="AG934" t="n">
        <v>15</v>
      </c>
      <c r="AH934" t="n">
        <v>7</v>
      </c>
      <c r="AI934" t="n">
        <v>9</v>
      </c>
      <c r="AJ934" t="n">
        <v>15</v>
      </c>
      <c r="AK934" t="n">
        <v>16</v>
      </c>
      <c r="AL934" t="n">
        <v>10</v>
      </c>
      <c r="AM934" t="n">
        <v>10</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HYPERLINK("https://creighton-primo.hosted.exlibrisgroup.com/primo-explore/search?tab=default_tab&amp;search_scope=EVERYTHING&amp;vid=01CRU&amp;lang=en_US&amp;offset=0&amp;query=any,contains,991002013089702656","Catalog Record")</f>
        <v/>
      </c>
      <c r="AT934">
        <f>HYPERLINK("http://www.worldcat.org/oclc/25628953","WorldCat Record")</f>
        <v/>
      </c>
      <c r="AU934" t="inlineStr">
        <is>
          <t>28281065:eng</t>
        </is>
      </c>
      <c r="AV934" t="inlineStr">
        <is>
          <t>25628953</t>
        </is>
      </c>
      <c r="AW934" t="inlineStr">
        <is>
          <t>991002013089702656</t>
        </is>
      </c>
      <c r="AX934" t="inlineStr">
        <is>
          <t>991002013089702656</t>
        </is>
      </c>
      <c r="AY934" t="inlineStr">
        <is>
          <t>2263842210002656</t>
        </is>
      </c>
      <c r="AZ934" t="inlineStr">
        <is>
          <t>BOOK</t>
        </is>
      </c>
      <c r="BB934" t="inlineStr">
        <is>
          <t>9780679403371</t>
        </is>
      </c>
      <c r="BC934" t="inlineStr">
        <is>
          <t>32285001289577</t>
        </is>
      </c>
      <c r="BD934" t="inlineStr">
        <is>
          <t>893516791</t>
        </is>
      </c>
    </row>
    <row r="935">
      <c r="A935" t="inlineStr">
        <is>
          <t>No</t>
        </is>
      </c>
      <c r="B935" t="inlineStr">
        <is>
          <t>HQ1421 .E84 1986</t>
        </is>
      </c>
      <c r="C935" t="inlineStr">
        <is>
          <t>0                      HQ 1421000E  84          1986</t>
        </is>
      </c>
      <c r="D935" t="inlineStr">
        <is>
          <t>Ethnicity and women / Winston A. Van Horne, editor ; Thomas V. Tonnesen, managing editor.</t>
        </is>
      </c>
      <c r="F935" t="inlineStr">
        <is>
          <t>No</t>
        </is>
      </c>
      <c r="G935" t="inlineStr">
        <is>
          <t>1</t>
        </is>
      </c>
      <c r="H935" t="inlineStr">
        <is>
          <t>No</t>
        </is>
      </c>
      <c r="I935" t="inlineStr">
        <is>
          <t>No</t>
        </is>
      </c>
      <c r="J935" t="inlineStr">
        <is>
          <t>0</t>
        </is>
      </c>
      <c r="L935" t="inlineStr">
        <is>
          <t>Milwaukee, WI : University of Wisconsin System, American Ethnic Studies Coordinating Committee/Urban Corridor Consortium, 1986.</t>
        </is>
      </c>
      <c r="M935" t="inlineStr">
        <is>
          <t>1986</t>
        </is>
      </c>
      <c r="O935" t="inlineStr">
        <is>
          <t>eng</t>
        </is>
      </c>
      <c r="P935" t="inlineStr">
        <is>
          <t>wiu</t>
        </is>
      </c>
      <c r="Q935" t="inlineStr">
        <is>
          <t>Ethnicity and public policy series ; v. 5</t>
        </is>
      </c>
      <c r="R935" t="inlineStr">
        <is>
          <t xml:space="preserve">HQ </t>
        </is>
      </c>
      <c r="S935" t="n">
        <v>7</v>
      </c>
      <c r="T935" t="n">
        <v>7</v>
      </c>
      <c r="U935" t="inlineStr">
        <is>
          <t>1998-03-15</t>
        </is>
      </c>
      <c r="V935" t="inlineStr">
        <is>
          <t>1998-03-15</t>
        </is>
      </c>
      <c r="W935" t="inlineStr">
        <is>
          <t>1990-04-03</t>
        </is>
      </c>
      <c r="X935" t="inlineStr">
        <is>
          <t>1990-04-03</t>
        </is>
      </c>
      <c r="Y935" t="n">
        <v>314</v>
      </c>
      <c r="Z935" t="n">
        <v>287</v>
      </c>
      <c r="AA935" t="n">
        <v>294</v>
      </c>
      <c r="AB935" t="n">
        <v>3</v>
      </c>
      <c r="AC935" t="n">
        <v>3</v>
      </c>
      <c r="AD935" t="n">
        <v>13</v>
      </c>
      <c r="AE935" t="n">
        <v>13</v>
      </c>
      <c r="AF935" t="n">
        <v>2</v>
      </c>
      <c r="AG935" t="n">
        <v>2</v>
      </c>
      <c r="AH935" t="n">
        <v>5</v>
      </c>
      <c r="AI935" t="n">
        <v>5</v>
      </c>
      <c r="AJ935" t="n">
        <v>6</v>
      </c>
      <c r="AK935" t="n">
        <v>6</v>
      </c>
      <c r="AL935" t="n">
        <v>2</v>
      </c>
      <c r="AM935" t="n">
        <v>2</v>
      </c>
      <c r="AN935" t="n">
        <v>0</v>
      </c>
      <c r="AO935" t="n">
        <v>0</v>
      </c>
      <c r="AP935" t="inlineStr">
        <is>
          <t>No</t>
        </is>
      </c>
      <c r="AQ935" t="inlineStr">
        <is>
          <t>Yes</t>
        </is>
      </c>
      <c r="AR935">
        <f>HYPERLINK("http://catalog.hathitrust.org/Record/000631248","HathiTrust Record")</f>
        <v/>
      </c>
      <c r="AS935">
        <f>HYPERLINK("https://creighton-primo.hosted.exlibrisgroup.com/primo-explore/search?tab=default_tab&amp;search_scope=EVERYTHING&amp;vid=01CRU&amp;lang=en_US&amp;offset=0&amp;query=any,contains,991000907939702656","Catalog Record")</f>
        <v/>
      </c>
      <c r="AT935">
        <f>HYPERLINK("http://www.worldcat.org/oclc/14101714","WorldCat Record")</f>
        <v/>
      </c>
      <c r="AU935" t="inlineStr">
        <is>
          <t>364188565:eng</t>
        </is>
      </c>
      <c r="AV935" t="inlineStr">
        <is>
          <t>14101714</t>
        </is>
      </c>
      <c r="AW935" t="inlineStr">
        <is>
          <t>991000907939702656</t>
        </is>
      </c>
      <c r="AX935" t="inlineStr">
        <is>
          <t>991000907939702656</t>
        </is>
      </c>
      <c r="AY935" t="inlineStr">
        <is>
          <t>2266251000002656</t>
        </is>
      </c>
      <c r="AZ935" t="inlineStr">
        <is>
          <t>BOOK</t>
        </is>
      </c>
      <c r="BB935" t="inlineStr">
        <is>
          <t>9780942672091</t>
        </is>
      </c>
      <c r="BC935" t="inlineStr">
        <is>
          <t>32285000093368</t>
        </is>
      </c>
      <c r="BD935" t="inlineStr">
        <is>
          <t>893872119</t>
        </is>
      </c>
    </row>
    <row r="936">
      <c r="A936" t="inlineStr">
        <is>
          <t>No</t>
        </is>
      </c>
      <c r="B936" t="inlineStr">
        <is>
          <t>HQ1421 .F37 1994</t>
        </is>
      </c>
      <c r="C936" t="inlineStr">
        <is>
          <t>0                      HQ 1421000F  37          1994</t>
        </is>
      </c>
      <c r="D936" t="inlineStr">
        <is>
          <t>Situating feminism : from thought to action / Sondra Farganis.</t>
        </is>
      </c>
      <c r="F936" t="inlineStr">
        <is>
          <t>No</t>
        </is>
      </c>
      <c r="G936" t="inlineStr">
        <is>
          <t>1</t>
        </is>
      </c>
      <c r="H936" t="inlineStr">
        <is>
          <t>No</t>
        </is>
      </c>
      <c r="I936" t="inlineStr">
        <is>
          <t>No</t>
        </is>
      </c>
      <c r="J936" t="inlineStr">
        <is>
          <t>0</t>
        </is>
      </c>
      <c r="K936" t="inlineStr">
        <is>
          <t>Farganis, Sondra.</t>
        </is>
      </c>
      <c r="L936" t="inlineStr">
        <is>
          <t>Thousand Oaks : Sage Publications, c1994.</t>
        </is>
      </c>
      <c r="M936" t="inlineStr">
        <is>
          <t>1994</t>
        </is>
      </c>
      <c r="O936" t="inlineStr">
        <is>
          <t>eng</t>
        </is>
      </c>
      <c r="P936" t="inlineStr">
        <is>
          <t>cau</t>
        </is>
      </c>
      <c r="Q936" t="inlineStr">
        <is>
          <t>Contemporary social theory ; 2</t>
        </is>
      </c>
      <c r="R936" t="inlineStr">
        <is>
          <t xml:space="preserve">HQ </t>
        </is>
      </c>
      <c r="S936" t="n">
        <v>1</v>
      </c>
      <c r="T936" t="n">
        <v>1</v>
      </c>
      <c r="U936" t="inlineStr">
        <is>
          <t>1994-12-01</t>
        </is>
      </c>
      <c r="V936" t="inlineStr">
        <is>
          <t>1994-12-01</t>
        </is>
      </c>
      <c r="W936" t="inlineStr">
        <is>
          <t>1994-11-10</t>
        </is>
      </c>
      <c r="X936" t="inlineStr">
        <is>
          <t>1994-11-10</t>
        </is>
      </c>
      <c r="Y936" t="n">
        <v>500</v>
      </c>
      <c r="Z936" t="n">
        <v>351</v>
      </c>
      <c r="AA936" t="n">
        <v>418</v>
      </c>
      <c r="AB936" t="n">
        <v>3</v>
      </c>
      <c r="AC936" t="n">
        <v>4</v>
      </c>
      <c r="AD936" t="n">
        <v>23</v>
      </c>
      <c r="AE936" t="n">
        <v>26</v>
      </c>
      <c r="AF936" t="n">
        <v>9</v>
      </c>
      <c r="AG936" t="n">
        <v>10</v>
      </c>
      <c r="AH936" t="n">
        <v>8</v>
      </c>
      <c r="AI936" t="n">
        <v>9</v>
      </c>
      <c r="AJ936" t="n">
        <v>10</v>
      </c>
      <c r="AK936" t="n">
        <v>11</v>
      </c>
      <c r="AL936" t="n">
        <v>2</v>
      </c>
      <c r="AM936" t="n">
        <v>3</v>
      </c>
      <c r="AN936" t="n">
        <v>0</v>
      </c>
      <c r="AO936" t="n">
        <v>0</v>
      </c>
      <c r="AP936" t="inlineStr">
        <is>
          <t>No</t>
        </is>
      </c>
      <c r="AQ936" t="inlineStr">
        <is>
          <t>Yes</t>
        </is>
      </c>
      <c r="AR936">
        <f>HYPERLINK("http://catalog.hathitrust.org/Record/002880654","HathiTrust Record")</f>
        <v/>
      </c>
      <c r="AS936">
        <f>HYPERLINK("https://creighton-primo.hosted.exlibrisgroup.com/primo-explore/search?tab=default_tab&amp;search_scope=EVERYTHING&amp;vid=01CRU&amp;lang=en_US&amp;offset=0&amp;query=any,contains,991002309509702656","Catalog Record")</f>
        <v/>
      </c>
      <c r="AT936">
        <f>HYPERLINK("http://www.worldcat.org/oclc/29954512","WorldCat Record")</f>
        <v/>
      </c>
      <c r="AU936" t="inlineStr">
        <is>
          <t>836753076:eng</t>
        </is>
      </c>
      <c r="AV936" t="inlineStr">
        <is>
          <t>29954512</t>
        </is>
      </c>
      <c r="AW936" t="inlineStr">
        <is>
          <t>991002309509702656</t>
        </is>
      </c>
      <c r="AX936" t="inlineStr">
        <is>
          <t>991002309509702656</t>
        </is>
      </c>
      <c r="AY936" t="inlineStr">
        <is>
          <t>2262219200002656</t>
        </is>
      </c>
      <c r="AZ936" t="inlineStr">
        <is>
          <t>BOOK</t>
        </is>
      </c>
      <c r="BB936" t="inlineStr">
        <is>
          <t>9780803946491</t>
        </is>
      </c>
      <c r="BC936" t="inlineStr">
        <is>
          <t>32285001957074</t>
        </is>
      </c>
      <c r="BD936" t="inlineStr">
        <is>
          <t>893792307</t>
        </is>
      </c>
    </row>
    <row r="937">
      <c r="A937" t="inlineStr">
        <is>
          <t>No</t>
        </is>
      </c>
      <c r="B937" t="inlineStr">
        <is>
          <t>HQ1421 .F69 1996</t>
        </is>
      </c>
      <c r="C937" t="inlineStr">
        <is>
          <t>0                      HQ 1421000F  69          1996</t>
        </is>
      </c>
      <c r="D937" t="inlineStr">
        <is>
          <t>"Feminism is not the story of my life" : how today's feminist elite has lost touch with the real concerns of women / Elizabeth Fox-Genovese.</t>
        </is>
      </c>
      <c r="F937" t="inlineStr">
        <is>
          <t>No</t>
        </is>
      </c>
      <c r="G937" t="inlineStr">
        <is>
          <t>1</t>
        </is>
      </c>
      <c r="H937" t="inlineStr">
        <is>
          <t>No</t>
        </is>
      </c>
      <c r="I937" t="inlineStr">
        <is>
          <t>Yes</t>
        </is>
      </c>
      <c r="J937" t="inlineStr">
        <is>
          <t>0</t>
        </is>
      </c>
      <c r="K937" t="inlineStr">
        <is>
          <t>Fox-Genovese, Elizabeth, 1941-2007.</t>
        </is>
      </c>
      <c r="L937" t="inlineStr">
        <is>
          <t>New York : Nan A. Talese, 1996.</t>
        </is>
      </c>
      <c r="M937" t="inlineStr">
        <is>
          <t>1996</t>
        </is>
      </c>
      <c r="N937" t="inlineStr">
        <is>
          <t>1st ed.</t>
        </is>
      </c>
      <c r="O937" t="inlineStr">
        <is>
          <t>eng</t>
        </is>
      </c>
      <c r="P937" t="inlineStr">
        <is>
          <t>nyu</t>
        </is>
      </c>
      <c r="R937" t="inlineStr">
        <is>
          <t xml:space="preserve">HQ </t>
        </is>
      </c>
      <c r="S937" t="n">
        <v>3</v>
      </c>
      <c r="T937" t="n">
        <v>3</v>
      </c>
      <c r="U937" t="inlineStr">
        <is>
          <t>1996-10-16</t>
        </is>
      </c>
      <c r="V937" t="inlineStr">
        <is>
          <t>1996-10-16</t>
        </is>
      </c>
      <c r="W937" t="inlineStr">
        <is>
          <t>1996-02-08</t>
        </is>
      </c>
      <c r="X937" t="inlineStr">
        <is>
          <t>1996-02-08</t>
        </is>
      </c>
      <c r="Y937" t="n">
        <v>746</v>
      </c>
      <c r="Z937" t="n">
        <v>660</v>
      </c>
      <c r="AA937" t="n">
        <v>748</v>
      </c>
      <c r="AB937" t="n">
        <v>7</v>
      </c>
      <c r="AC937" t="n">
        <v>8</v>
      </c>
      <c r="AD937" t="n">
        <v>29</v>
      </c>
      <c r="AE937" t="n">
        <v>31</v>
      </c>
      <c r="AF937" t="n">
        <v>9</v>
      </c>
      <c r="AG937" t="n">
        <v>11</v>
      </c>
      <c r="AH937" t="n">
        <v>5</v>
      </c>
      <c r="AI937" t="n">
        <v>5</v>
      </c>
      <c r="AJ937" t="n">
        <v>16</v>
      </c>
      <c r="AK937" t="n">
        <v>16</v>
      </c>
      <c r="AL937" t="n">
        <v>6</v>
      </c>
      <c r="AM937" t="n">
        <v>6</v>
      </c>
      <c r="AN937" t="n">
        <v>1</v>
      </c>
      <c r="AO937" t="n">
        <v>1</v>
      </c>
      <c r="AP937" t="inlineStr">
        <is>
          <t>No</t>
        </is>
      </c>
      <c r="AQ937" t="inlineStr">
        <is>
          <t>No</t>
        </is>
      </c>
      <c r="AS937">
        <f>HYPERLINK("https://creighton-primo.hosted.exlibrisgroup.com/primo-explore/search?tab=default_tab&amp;search_scope=EVERYTHING&amp;vid=01CRU&amp;lang=en_US&amp;offset=0&amp;query=any,contains,991002523389702656","Catalog Record")</f>
        <v/>
      </c>
      <c r="AT937">
        <f>HYPERLINK("http://www.worldcat.org/oclc/32819925","WorldCat Record")</f>
        <v/>
      </c>
      <c r="AU937" t="inlineStr">
        <is>
          <t>836963394:eng</t>
        </is>
      </c>
      <c r="AV937" t="inlineStr">
        <is>
          <t>32819925</t>
        </is>
      </c>
      <c r="AW937" t="inlineStr">
        <is>
          <t>991002523389702656</t>
        </is>
      </c>
      <c r="AX937" t="inlineStr">
        <is>
          <t>991002523389702656</t>
        </is>
      </c>
      <c r="AY937" t="inlineStr">
        <is>
          <t>2271358090002656</t>
        </is>
      </c>
      <c r="AZ937" t="inlineStr">
        <is>
          <t>BOOK</t>
        </is>
      </c>
      <c r="BB937" t="inlineStr">
        <is>
          <t>9780385467902</t>
        </is>
      </c>
      <c r="BC937" t="inlineStr">
        <is>
          <t>32285002128477</t>
        </is>
      </c>
      <c r="BD937" t="inlineStr">
        <is>
          <t>893685444</t>
        </is>
      </c>
    </row>
    <row r="938">
      <c r="A938" t="inlineStr">
        <is>
          <t>No</t>
        </is>
      </c>
      <c r="B938" t="inlineStr">
        <is>
          <t>HQ1421 .F69 1997</t>
        </is>
      </c>
      <c r="C938" t="inlineStr">
        <is>
          <t>0                      HQ 1421000F  69          1997</t>
        </is>
      </c>
      <c r="D938" t="inlineStr">
        <is>
          <t>Feminism is not the story of my life : how today's feminist elite has lost touch with the real concerns of women / Elizabeth Fox- Genovese.</t>
        </is>
      </c>
      <c r="F938" t="inlineStr">
        <is>
          <t>No</t>
        </is>
      </c>
      <c r="G938" t="inlineStr">
        <is>
          <t>1</t>
        </is>
      </c>
      <c r="H938" t="inlineStr">
        <is>
          <t>No</t>
        </is>
      </c>
      <c r="I938" t="inlineStr">
        <is>
          <t>Yes</t>
        </is>
      </c>
      <c r="J938" t="inlineStr">
        <is>
          <t>0</t>
        </is>
      </c>
      <c r="K938" t="inlineStr">
        <is>
          <t>Fox-Genovese, Elizabeth, 1941-2007.</t>
        </is>
      </c>
      <c r="L938" t="inlineStr">
        <is>
          <t>New York : Anchor Booksk, 1997, c1996.</t>
        </is>
      </c>
      <c r="M938" t="inlineStr">
        <is>
          <t>1997</t>
        </is>
      </c>
      <c r="O938" t="inlineStr">
        <is>
          <t>eng</t>
        </is>
      </c>
      <c r="P938" t="inlineStr">
        <is>
          <t>nyu</t>
        </is>
      </c>
      <c r="R938" t="inlineStr">
        <is>
          <t xml:space="preserve">HQ </t>
        </is>
      </c>
      <c r="S938" t="n">
        <v>4</v>
      </c>
      <c r="T938" t="n">
        <v>4</v>
      </c>
      <c r="U938" t="inlineStr">
        <is>
          <t>2005-12-07</t>
        </is>
      </c>
      <c r="V938" t="inlineStr">
        <is>
          <t>2005-12-07</t>
        </is>
      </c>
      <c r="W938" t="inlineStr">
        <is>
          <t>1997-09-25</t>
        </is>
      </c>
      <c r="X938" t="inlineStr">
        <is>
          <t>1997-09-25</t>
        </is>
      </c>
      <c r="Y938" t="n">
        <v>113</v>
      </c>
      <c r="Z938" t="n">
        <v>101</v>
      </c>
      <c r="AA938" t="n">
        <v>748</v>
      </c>
      <c r="AB938" t="n">
        <v>2</v>
      </c>
      <c r="AC938" t="n">
        <v>8</v>
      </c>
      <c r="AD938" t="n">
        <v>2</v>
      </c>
      <c r="AE938" t="n">
        <v>31</v>
      </c>
      <c r="AF938" t="n">
        <v>2</v>
      </c>
      <c r="AG938" t="n">
        <v>11</v>
      </c>
      <c r="AH938" t="n">
        <v>0</v>
      </c>
      <c r="AI938" t="n">
        <v>5</v>
      </c>
      <c r="AJ938" t="n">
        <v>0</v>
      </c>
      <c r="AK938" t="n">
        <v>16</v>
      </c>
      <c r="AL938" t="n">
        <v>0</v>
      </c>
      <c r="AM938" t="n">
        <v>6</v>
      </c>
      <c r="AN938" t="n">
        <v>0</v>
      </c>
      <c r="AO938" t="n">
        <v>1</v>
      </c>
      <c r="AP938" t="inlineStr">
        <is>
          <t>No</t>
        </is>
      </c>
      <c r="AQ938" t="inlineStr">
        <is>
          <t>No</t>
        </is>
      </c>
      <c r="AS938">
        <f>HYPERLINK("https://creighton-primo.hosted.exlibrisgroup.com/primo-explore/search?tab=default_tab&amp;search_scope=EVERYTHING&amp;vid=01CRU&amp;lang=en_US&amp;offset=0&amp;query=any,contains,991002766609702656","Catalog Record")</f>
        <v/>
      </c>
      <c r="AT938">
        <f>HYPERLINK("http://www.worldcat.org/oclc/36302110","WorldCat Record")</f>
        <v/>
      </c>
      <c r="AU938" t="inlineStr">
        <is>
          <t>836963394:eng</t>
        </is>
      </c>
      <c r="AV938" t="inlineStr">
        <is>
          <t>36302110</t>
        </is>
      </c>
      <c r="AW938" t="inlineStr">
        <is>
          <t>991002766609702656</t>
        </is>
      </c>
      <c r="AX938" t="inlineStr">
        <is>
          <t>991002766609702656</t>
        </is>
      </c>
      <c r="AY938" t="inlineStr">
        <is>
          <t>2265485590002656</t>
        </is>
      </c>
      <c r="AZ938" t="inlineStr">
        <is>
          <t>BOOK</t>
        </is>
      </c>
      <c r="BB938" t="inlineStr">
        <is>
          <t>9780385467919</t>
        </is>
      </c>
      <c r="BC938" t="inlineStr">
        <is>
          <t>32285003250791</t>
        </is>
      </c>
      <c r="BD938" t="inlineStr">
        <is>
          <t>893511167</t>
        </is>
      </c>
    </row>
    <row r="939">
      <c r="A939" t="inlineStr">
        <is>
          <t>No</t>
        </is>
      </c>
      <c r="B939" t="inlineStr">
        <is>
          <t>HQ1421 .G47 2001</t>
        </is>
      </c>
      <c r="C939" t="inlineStr">
        <is>
          <t>0                      HQ 1421000G  47          2001</t>
        </is>
      </c>
      <c r="D939" t="inlineStr">
        <is>
          <t>Desiring revolution : second-wave feminism and the rewriting of American sexual thought, 1920 to 1982 / Jane Gerhard.</t>
        </is>
      </c>
      <c r="F939" t="inlineStr">
        <is>
          <t>No</t>
        </is>
      </c>
      <c r="G939" t="inlineStr">
        <is>
          <t>1</t>
        </is>
      </c>
      <c r="H939" t="inlineStr">
        <is>
          <t>No</t>
        </is>
      </c>
      <c r="I939" t="inlineStr">
        <is>
          <t>No</t>
        </is>
      </c>
      <c r="J939" t="inlineStr">
        <is>
          <t>0</t>
        </is>
      </c>
      <c r="K939" t="inlineStr">
        <is>
          <t>Gerhard, Jane F.</t>
        </is>
      </c>
      <c r="L939" t="inlineStr">
        <is>
          <t>New York : Columbia University Press, c2001.</t>
        </is>
      </c>
      <c r="M939" t="inlineStr">
        <is>
          <t>2001</t>
        </is>
      </c>
      <c r="O939" t="inlineStr">
        <is>
          <t>eng</t>
        </is>
      </c>
      <c r="P939" t="inlineStr">
        <is>
          <t>nyu</t>
        </is>
      </c>
      <c r="R939" t="inlineStr">
        <is>
          <t xml:space="preserve">HQ </t>
        </is>
      </c>
      <c r="S939" t="n">
        <v>3</v>
      </c>
      <c r="T939" t="n">
        <v>3</v>
      </c>
      <c r="U939" t="inlineStr">
        <is>
          <t>2001-08-21</t>
        </is>
      </c>
      <c r="V939" t="inlineStr">
        <is>
          <t>2001-08-21</t>
        </is>
      </c>
      <c r="W939" t="inlineStr">
        <is>
          <t>2001-08-21</t>
        </is>
      </c>
      <c r="X939" t="inlineStr">
        <is>
          <t>2001-08-21</t>
        </is>
      </c>
      <c r="Y939" t="n">
        <v>503</v>
      </c>
      <c r="Z939" t="n">
        <v>421</v>
      </c>
      <c r="AA939" t="n">
        <v>841</v>
      </c>
      <c r="AB939" t="n">
        <v>3</v>
      </c>
      <c r="AC939" t="n">
        <v>29</v>
      </c>
      <c r="AD939" t="n">
        <v>27</v>
      </c>
      <c r="AE939" t="n">
        <v>45</v>
      </c>
      <c r="AF939" t="n">
        <v>10</v>
      </c>
      <c r="AG939" t="n">
        <v>14</v>
      </c>
      <c r="AH939" t="n">
        <v>7</v>
      </c>
      <c r="AI939" t="n">
        <v>8</v>
      </c>
      <c r="AJ939" t="n">
        <v>15</v>
      </c>
      <c r="AK939" t="n">
        <v>18</v>
      </c>
      <c r="AL939" t="n">
        <v>2</v>
      </c>
      <c r="AM939" t="n">
        <v>14</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HYPERLINK("https://creighton-primo.hosted.exlibrisgroup.com/primo-explore/search?tab=default_tab&amp;search_scope=EVERYTHING&amp;vid=01CRU&amp;lang=en_US&amp;offset=0&amp;query=any,contains,991003586889702656","Catalog Record")</f>
        <v/>
      </c>
      <c r="AT939">
        <f>HYPERLINK("http://www.worldcat.org/oclc/44811793","WorldCat Record")</f>
        <v/>
      </c>
      <c r="AU939" t="inlineStr">
        <is>
          <t>800267324:eng</t>
        </is>
      </c>
      <c r="AV939" t="inlineStr">
        <is>
          <t>44811793</t>
        </is>
      </c>
      <c r="AW939" t="inlineStr">
        <is>
          <t>991003586889702656</t>
        </is>
      </c>
      <c r="AX939" t="inlineStr">
        <is>
          <t>991003586889702656</t>
        </is>
      </c>
      <c r="AY939" t="inlineStr">
        <is>
          <t>2271581330002656</t>
        </is>
      </c>
      <c r="AZ939" t="inlineStr">
        <is>
          <t>BOOK</t>
        </is>
      </c>
      <c r="BB939" t="inlineStr">
        <is>
          <t>9780231112048</t>
        </is>
      </c>
      <c r="BC939" t="inlineStr">
        <is>
          <t>32285004378807</t>
        </is>
      </c>
      <c r="BD939" t="inlineStr">
        <is>
          <t>893258591</t>
        </is>
      </c>
    </row>
    <row r="940">
      <c r="A940" t="inlineStr">
        <is>
          <t>No</t>
        </is>
      </c>
      <c r="B940" t="inlineStr">
        <is>
          <t>HQ1421 .H39 1990</t>
        </is>
      </c>
      <c r="C940" t="inlineStr">
        <is>
          <t>0                      HQ 1421000H  39          1990</t>
        </is>
      </c>
      <c r="D940" t="inlineStr">
        <is>
          <t>The social and legal status of women : a global perspective / Winnie Hazou.</t>
        </is>
      </c>
      <c r="F940" t="inlineStr">
        <is>
          <t>No</t>
        </is>
      </c>
      <c r="G940" t="inlineStr">
        <is>
          <t>1</t>
        </is>
      </c>
      <c r="H940" t="inlineStr">
        <is>
          <t>Yes</t>
        </is>
      </c>
      <c r="I940" t="inlineStr">
        <is>
          <t>No</t>
        </is>
      </c>
      <c r="J940" t="inlineStr">
        <is>
          <t>0</t>
        </is>
      </c>
      <c r="K940" t="inlineStr">
        <is>
          <t>Hazou, Winnie.</t>
        </is>
      </c>
      <c r="L940" t="inlineStr">
        <is>
          <t>New York : Praeger, 1990.</t>
        </is>
      </c>
      <c r="M940" t="inlineStr">
        <is>
          <t>1990</t>
        </is>
      </c>
      <c r="O940" t="inlineStr">
        <is>
          <t>eng</t>
        </is>
      </c>
      <c r="P940" t="inlineStr">
        <is>
          <t>nyu</t>
        </is>
      </c>
      <c r="R940" t="inlineStr">
        <is>
          <t xml:space="preserve">HQ </t>
        </is>
      </c>
      <c r="S940" t="n">
        <v>4</v>
      </c>
      <c r="T940" t="n">
        <v>7</v>
      </c>
      <c r="U940" t="inlineStr">
        <is>
          <t>1996-03-30</t>
        </is>
      </c>
      <c r="V940" t="inlineStr">
        <is>
          <t>2009-09-02</t>
        </is>
      </c>
      <c r="W940" t="inlineStr">
        <is>
          <t>1991-02-22</t>
        </is>
      </c>
      <c r="X940" t="inlineStr">
        <is>
          <t>1991-08-15</t>
        </is>
      </c>
      <c r="Y940" t="n">
        <v>467</v>
      </c>
      <c r="Z940" t="n">
        <v>398</v>
      </c>
      <c r="AA940" t="n">
        <v>403</v>
      </c>
      <c r="AB940" t="n">
        <v>5</v>
      </c>
      <c r="AC940" t="n">
        <v>5</v>
      </c>
      <c r="AD940" t="n">
        <v>34</v>
      </c>
      <c r="AE940" t="n">
        <v>34</v>
      </c>
      <c r="AF940" t="n">
        <v>6</v>
      </c>
      <c r="AG940" t="n">
        <v>6</v>
      </c>
      <c r="AH940" t="n">
        <v>5</v>
      </c>
      <c r="AI940" t="n">
        <v>5</v>
      </c>
      <c r="AJ940" t="n">
        <v>13</v>
      </c>
      <c r="AK940" t="n">
        <v>13</v>
      </c>
      <c r="AL940" t="n">
        <v>3</v>
      </c>
      <c r="AM940" t="n">
        <v>3</v>
      </c>
      <c r="AN940" t="n">
        <v>12</v>
      </c>
      <c r="AO940" t="n">
        <v>12</v>
      </c>
      <c r="AP940" t="inlineStr">
        <is>
          <t>No</t>
        </is>
      </c>
      <c r="AQ940" t="inlineStr">
        <is>
          <t>Yes</t>
        </is>
      </c>
      <c r="AR940">
        <f>HYPERLINK("http://catalog.hathitrust.org/Record/002210116","HathiTrust Record")</f>
        <v/>
      </c>
      <c r="AS940">
        <f>HYPERLINK("https://creighton-primo.hosted.exlibrisgroup.com/primo-explore/search?tab=default_tab&amp;search_scope=EVERYTHING&amp;vid=01CRU&amp;lang=en_US&amp;offset=0&amp;query=any,contains,991001643669702656","Catalog Record")</f>
        <v/>
      </c>
      <c r="AT940">
        <f>HYPERLINK("http://www.worldcat.org/oclc/20824172","WorldCat Record")</f>
        <v/>
      </c>
      <c r="AU940" t="inlineStr">
        <is>
          <t>836767349:eng</t>
        </is>
      </c>
      <c r="AV940" t="inlineStr">
        <is>
          <t>20824172</t>
        </is>
      </c>
      <c r="AW940" t="inlineStr">
        <is>
          <t>991001643669702656</t>
        </is>
      </c>
      <c r="AX940" t="inlineStr">
        <is>
          <t>991001643669702656</t>
        </is>
      </c>
      <c r="AY940" t="inlineStr">
        <is>
          <t>2260061780002656</t>
        </is>
      </c>
      <c r="AZ940" t="inlineStr">
        <is>
          <t>BOOK</t>
        </is>
      </c>
      <c r="BB940" t="inlineStr">
        <is>
          <t>9780275933623</t>
        </is>
      </c>
      <c r="BC940" t="inlineStr">
        <is>
          <t>32285000490804</t>
        </is>
      </c>
      <c r="BD940" t="inlineStr">
        <is>
          <t>893866360</t>
        </is>
      </c>
    </row>
    <row r="941">
      <c r="A941" t="inlineStr">
        <is>
          <t>No</t>
        </is>
      </c>
      <c r="B941" t="inlineStr">
        <is>
          <t>HQ1421 .M364 1996</t>
        </is>
      </c>
      <c r="C941" t="inlineStr">
        <is>
          <t>0                      HQ 1421000M  364         1996</t>
        </is>
      </c>
      <c r="D941" t="inlineStr">
        <is>
          <t>Sexual correctness : the gender-feminist attack on women / by Wendy McElroy.</t>
        </is>
      </c>
      <c r="F941" t="inlineStr">
        <is>
          <t>No</t>
        </is>
      </c>
      <c r="G941" t="inlineStr">
        <is>
          <t>1</t>
        </is>
      </c>
      <c r="H941" t="inlineStr">
        <is>
          <t>No</t>
        </is>
      </c>
      <c r="I941" t="inlineStr">
        <is>
          <t>No</t>
        </is>
      </c>
      <c r="J941" t="inlineStr">
        <is>
          <t>0</t>
        </is>
      </c>
      <c r="K941" t="inlineStr">
        <is>
          <t>McElroy, Wendy.</t>
        </is>
      </c>
      <c r="L941" t="inlineStr">
        <is>
          <t>Jefferson, N.C. : McFarland, c1996.</t>
        </is>
      </c>
      <c r="M941" t="inlineStr">
        <is>
          <t>1996</t>
        </is>
      </c>
      <c r="O941" t="inlineStr">
        <is>
          <t>eng</t>
        </is>
      </c>
      <c r="P941" t="inlineStr">
        <is>
          <t>ncu</t>
        </is>
      </c>
      <c r="R941" t="inlineStr">
        <is>
          <t xml:space="preserve">HQ </t>
        </is>
      </c>
      <c r="S941" t="n">
        <v>1</v>
      </c>
      <c r="T941" t="n">
        <v>1</v>
      </c>
      <c r="U941" t="inlineStr">
        <is>
          <t>2003-04-28</t>
        </is>
      </c>
      <c r="V941" t="inlineStr">
        <is>
          <t>2003-04-28</t>
        </is>
      </c>
      <c r="W941" t="inlineStr">
        <is>
          <t>1996-09-23</t>
        </is>
      </c>
      <c r="X941" t="inlineStr">
        <is>
          <t>1996-09-23</t>
        </is>
      </c>
      <c r="Y941" t="n">
        <v>370</v>
      </c>
      <c r="Z941" t="n">
        <v>323</v>
      </c>
      <c r="AA941" t="n">
        <v>325</v>
      </c>
      <c r="AB941" t="n">
        <v>6</v>
      </c>
      <c r="AC941" t="n">
        <v>6</v>
      </c>
      <c r="AD941" t="n">
        <v>19</v>
      </c>
      <c r="AE941" t="n">
        <v>19</v>
      </c>
      <c r="AF941" t="n">
        <v>3</v>
      </c>
      <c r="AG941" t="n">
        <v>3</v>
      </c>
      <c r="AH941" t="n">
        <v>4</v>
      </c>
      <c r="AI941" t="n">
        <v>4</v>
      </c>
      <c r="AJ941" t="n">
        <v>13</v>
      </c>
      <c r="AK941" t="n">
        <v>13</v>
      </c>
      <c r="AL941" t="n">
        <v>5</v>
      </c>
      <c r="AM941" t="n">
        <v>5</v>
      </c>
      <c r="AN941" t="n">
        <v>0</v>
      </c>
      <c r="AO941" t="n">
        <v>0</v>
      </c>
      <c r="AP941" t="inlineStr">
        <is>
          <t>No</t>
        </is>
      </c>
      <c r="AQ941" t="inlineStr">
        <is>
          <t>Yes</t>
        </is>
      </c>
      <c r="AR941">
        <f>HYPERLINK("http://catalog.hathitrust.org/Record/003093149","HathiTrust Record")</f>
        <v/>
      </c>
      <c r="AS941">
        <f>HYPERLINK("https://creighton-primo.hosted.exlibrisgroup.com/primo-explore/search?tab=default_tab&amp;search_scope=EVERYTHING&amp;vid=01CRU&amp;lang=en_US&amp;offset=0&amp;query=any,contains,991002664499702656","Catalog Record")</f>
        <v/>
      </c>
      <c r="AT941">
        <f>HYPERLINK("http://www.worldcat.org/oclc/34839792","WorldCat Record")</f>
        <v/>
      </c>
      <c r="AU941" t="inlineStr">
        <is>
          <t>315086742:eng</t>
        </is>
      </c>
      <c r="AV941" t="inlineStr">
        <is>
          <t>34839792</t>
        </is>
      </c>
      <c r="AW941" t="inlineStr">
        <is>
          <t>991002664499702656</t>
        </is>
      </c>
      <c r="AX941" t="inlineStr">
        <is>
          <t>991002664499702656</t>
        </is>
      </c>
      <c r="AY941" t="inlineStr">
        <is>
          <t>2256685710002656</t>
        </is>
      </c>
      <c r="AZ941" t="inlineStr">
        <is>
          <t>BOOK</t>
        </is>
      </c>
      <c r="BB941" t="inlineStr">
        <is>
          <t>9780786402267</t>
        </is>
      </c>
      <c r="BC941" t="inlineStr">
        <is>
          <t>32285002318441</t>
        </is>
      </c>
      <c r="BD941" t="inlineStr">
        <is>
          <t>893886552</t>
        </is>
      </c>
    </row>
    <row r="942">
      <c r="A942" t="inlineStr">
        <is>
          <t>No</t>
        </is>
      </c>
      <c r="B942" t="inlineStr">
        <is>
          <t>HQ1421 .N45 2008</t>
        </is>
      </c>
      <c r="C942" t="inlineStr">
        <is>
          <t>0                      HQ 1421000N  45          2008</t>
        </is>
      </c>
      <c r="D942" t="inlineStr">
        <is>
          <t>The necklace : thirteen women and the experiment that transformed their lives / the women of Jewelia and Cheryl Jarvis.</t>
        </is>
      </c>
      <c r="F942" t="inlineStr">
        <is>
          <t>No</t>
        </is>
      </c>
      <c r="G942" t="inlineStr">
        <is>
          <t>1</t>
        </is>
      </c>
      <c r="H942" t="inlineStr">
        <is>
          <t>No</t>
        </is>
      </c>
      <c r="I942" t="inlineStr">
        <is>
          <t>No</t>
        </is>
      </c>
      <c r="J942" t="inlineStr">
        <is>
          <t>0</t>
        </is>
      </c>
      <c r="L942" t="inlineStr">
        <is>
          <t>New York : Ballantine Books, c2008.</t>
        </is>
      </c>
      <c r="M942" t="inlineStr">
        <is>
          <t>2008</t>
        </is>
      </c>
      <c r="N942" t="inlineStr">
        <is>
          <t>1st ed.</t>
        </is>
      </c>
      <c r="O942" t="inlineStr">
        <is>
          <t>eng</t>
        </is>
      </c>
      <c r="P942" t="inlineStr">
        <is>
          <t>nyu</t>
        </is>
      </c>
      <c r="R942" t="inlineStr">
        <is>
          <t xml:space="preserve">HQ </t>
        </is>
      </c>
      <c r="S942" t="n">
        <v>2</v>
      </c>
      <c r="T942" t="n">
        <v>2</v>
      </c>
      <c r="U942" t="inlineStr">
        <is>
          <t>2010-08-18</t>
        </is>
      </c>
      <c r="V942" t="inlineStr">
        <is>
          <t>2010-08-18</t>
        </is>
      </c>
      <c r="W942" t="inlineStr">
        <is>
          <t>2008-12-09</t>
        </is>
      </c>
      <c r="X942" t="inlineStr">
        <is>
          <t>2008-12-09</t>
        </is>
      </c>
      <c r="Y942" t="n">
        <v>887</v>
      </c>
      <c r="Z942" t="n">
        <v>853</v>
      </c>
      <c r="AA942" t="n">
        <v>1059</v>
      </c>
      <c r="AB942" t="n">
        <v>11</v>
      </c>
      <c r="AC942" t="n">
        <v>14</v>
      </c>
      <c r="AD942" t="n">
        <v>2</v>
      </c>
      <c r="AE942" t="n">
        <v>2</v>
      </c>
      <c r="AF942" t="n">
        <v>2</v>
      </c>
      <c r="AG942" t="n">
        <v>2</v>
      </c>
      <c r="AH942" t="n">
        <v>0</v>
      </c>
      <c r="AI942" t="n">
        <v>0</v>
      </c>
      <c r="AJ942" t="n">
        <v>1</v>
      </c>
      <c r="AK942" t="n">
        <v>1</v>
      </c>
      <c r="AL942" t="n">
        <v>0</v>
      </c>
      <c r="AM942" t="n">
        <v>0</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HYPERLINK("https://creighton-primo.hosted.exlibrisgroup.com/primo-explore/search?tab=default_tab&amp;search_scope=EVERYTHING&amp;vid=01CRU&amp;lang=en_US&amp;offset=0&amp;query=any,contains,991005276479702656","Catalog Record")</f>
        <v/>
      </c>
      <c r="AT942">
        <f>HYPERLINK("http://www.worldcat.org/oclc/191922572","WorldCat Record")</f>
        <v/>
      </c>
      <c r="AU942" t="inlineStr">
        <is>
          <t>3943561959:eng</t>
        </is>
      </c>
      <c r="AV942" t="inlineStr">
        <is>
          <t>191922572</t>
        </is>
      </c>
      <c r="AW942" t="inlineStr">
        <is>
          <t>991005276479702656</t>
        </is>
      </c>
      <c r="AX942" t="inlineStr">
        <is>
          <t>991005276479702656</t>
        </is>
      </c>
      <c r="AY942" t="inlineStr">
        <is>
          <t>2271999830002656</t>
        </is>
      </c>
      <c r="AZ942" t="inlineStr">
        <is>
          <t>BOOK</t>
        </is>
      </c>
      <c r="BB942" t="inlineStr">
        <is>
          <t>9780345500717</t>
        </is>
      </c>
      <c r="BC942" t="inlineStr">
        <is>
          <t>32285005472120</t>
        </is>
      </c>
      <c r="BD942" t="inlineStr">
        <is>
          <t>893695056</t>
        </is>
      </c>
    </row>
    <row r="943">
      <c r="A943" t="inlineStr">
        <is>
          <t>No</t>
        </is>
      </c>
      <c r="B943" t="inlineStr">
        <is>
          <t>HQ1421 .O94 2007</t>
        </is>
      </c>
      <c r="C943" t="inlineStr">
        <is>
          <t>0                      HQ 1421000O  94          2007</t>
        </is>
      </c>
      <c r="D943" t="inlineStr">
        <is>
          <t>Bad girls : cultural politics and media representations of transgressive women / A. Susan Owen, Sarah R. Stein and Leah R. Vande Berg.</t>
        </is>
      </c>
      <c r="F943" t="inlineStr">
        <is>
          <t>No</t>
        </is>
      </c>
      <c r="G943" t="inlineStr">
        <is>
          <t>1</t>
        </is>
      </c>
      <c r="H943" t="inlineStr">
        <is>
          <t>No</t>
        </is>
      </c>
      <c r="I943" t="inlineStr">
        <is>
          <t>No</t>
        </is>
      </c>
      <c r="J943" t="inlineStr">
        <is>
          <t>0</t>
        </is>
      </c>
      <c r="K943" t="inlineStr">
        <is>
          <t>Owen, A. Susan, 1953-</t>
        </is>
      </c>
      <c r="L943" t="inlineStr">
        <is>
          <t>New York : P. Lang, c2007.</t>
        </is>
      </c>
      <c r="M943" t="inlineStr">
        <is>
          <t>2007</t>
        </is>
      </c>
      <c r="O943" t="inlineStr">
        <is>
          <t>eng</t>
        </is>
      </c>
      <c r="P943" t="inlineStr">
        <is>
          <t>nyu</t>
        </is>
      </c>
      <c r="Q943" t="inlineStr">
        <is>
          <t>Frontiers in political communication, 1525-9730 ; v. 6</t>
        </is>
      </c>
      <c r="R943" t="inlineStr">
        <is>
          <t xml:space="preserve">HQ </t>
        </is>
      </c>
      <c r="S943" t="n">
        <v>2</v>
      </c>
      <c r="T943" t="n">
        <v>2</v>
      </c>
      <c r="U943" t="inlineStr">
        <is>
          <t>2007-07-17</t>
        </is>
      </c>
      <c r="V943" t="inlineStr">
        <is>
          <t>2007-07-17</t>
        </is>
      </c>
      <c r="W943" t="inlineStr">
        <is>
          <t>2007-07-17</t>
        </is>
      </c>
      <c r="X943" t="inlineStr">
        <is>
          <t>2007-07-17</t>
        </is>
      </c>
      <c r="Y943" t="n">
        <v>296</v>
      </c>
      <c r="Z943" t="n">
        <v>219</v>
      </c>
      <c r="AA943" t="n">
        <v>220</v>
      </c>
      <c r="AB943" t="n">
        <v>2</v>
      </c>
      <c r="AC943" t="n">
        <v>2</v>
      </c>
      <c r="AD943" t="n">
        <v>10</v>
      </c>
      <c r="AE943" t="n">
        <v>10</v>
      </c>
      <c r="AF943" t="n">
        <v>4</v>
      </c>
      <c r="AG943" t="n">
        <v>4</v>
      </c>
      <c r="AH943" t="n">
        <v>1</v>
      </c>
      <c r="AI943" t="n">
        <v>1</v>
      </c>
      <c r="AJ943" t="n">
        <v>6</v>
      </c>
      <c r="AK943" t="n">
        <v>6</v>
      </c>
      <c r="AL943" t="n">
        <v>1</v>
      </c>
      <c r="AM943" t="n">
        <v>1</v>
      </c>
      <c r="AN943" t="n">
        <v>0</v>
      </c>
      <c r="AO943" t="n">
        <v>0</v>
      </c>
      <c r="AP943" t="inlineStr">
        <is>
          <t>No</t>
        </is>
      </c>
      <c r="AQ943" t="inlineStr">
        <is>
          <t>Yes</t>
        </is>
      </c>
      <c r="AR943">
        <f>HYPERLINK("http://catalog.hathitrust.org/Record/005577914","HathiTrust Record")</f>
        <v/>
      </c>
      <c r="AS943">
        <f>HYPERLINK("https://creighton-primo.hosted.exlibrisgroup.com/primo-explore/search?tab=default_tab&amp;search_scope=EVERYTHING&amp;vid=01CRU&amp;lang=en_US&amp;offset=0&amp;query=any,contains,991005096769702656","Catalog Record")</f>
        <v/>
      </c>
      <c r="AT943">
        <f>HYPERLINK("http://www.worldcat.org/oclc/76939978","WorldCat Record")</f>
        <v/>
      </c>
      <c r="AU943" t="inlineStr">
        <is>
          <t>62688799:eng</t>
        </is>
      </c>
      <c r="AV943" t="inlineStr">
        <is>
          <t>76939978</t>
        </is>
      </c>
      <c r="AW943" t="inlineStr">
        <is>
          <t>991005096769702656</t>
        </is>
      </c>
      <c r="AX943" t="inlineStr">
        <is>
          <t>991005096769702656</t>
        </is>
      </c>
      <c r="AY943" t="inlineStr">
        <is>
          <t>2266583950002656</t>
        </is>
      </c>
      <c r="AZ943" t="inlineStr">
        <is>
          <t>BOOK</t>
        </is>
      </c>
      <c r="BB943" t="inlineStr">
        <is>
          <t>9780820461502</t>
        </is>
      </c>
      <c r="BC943" t="inlineStr">
        <is>
          <t>32285005320162</t>
        </is>
      </c>
      <c r="BD943" t="inlineStr">
        <is>
          <t>893533163</t>
        </is>
      </c>
    </row>
    <row r="944">
      <c r="A944" t="inlineStr">
        <is>
          <t>No</t>
        </is>
      </c>
      <c r="B944" t="inlineStr">
        <is>
          <t>HQ1421 .R33 1995</t>
        </is>
      </c>
      <c r="C944" t="inlineStr">
        <is>
          <t>0                      HQ 1421000R  33          1995</t>
        </is>
      </c>
      <c r="D944" t="inlineStr">
        <is>
          <t>Racism in the lives of women : testimony, theory and guides to antiracist practice / Jeanne Adleman, Gloria M. Enguidanos, editors.</t>
        </is>
      </c>
      <c r="F944" t="inlineStr">
        <is>
          <t>No</t>
        </is>
      </c>
      <c r="G944" t="inlineStr">
        <is>
          <t>1</t>
        </is>
      </c>
      <c r="H944" t="inlineStr">
        <is>
          <t>No</t>
        </is>
      </c>
      <c r="I944" t="inlineStr">
        <is>
          <t>No</t>
        </is>
      </c>
      <c r="J944" t="inlineStr">
        <is>
          <t>0</t>
        </is>
      </c>
      <c r="L944" t="inlineStr">
        <is>
          <t>New York : Harrington Park Press, c1995.</t>
        </is>
      </c>
      <c r="M944" t="inlineStr">
        <is>
          <t>1995</t>
        </is>
      </c>
      <c r="O944" t="inlineStr">
        <is>
          <t>eng</t>
        </is>
      </c>
      <c r="P944" t="inlineStr">
        <is>
          <t>nyu</t>
        </is>
      </c>
      <c r="R944" t="inlineStr">
        <is>
          <t xml:space="preserve">HQ </t>
        </is>
      </c>
      <c r="S944" t="n">
        <v>20</v>
      </c>
      <c r="T944" t="n">
        <v>20</v>
      </c>
      <c r="U944" t="inlineStr">
        <is>
          <t>2008-03-04</t>
        </is>
      </c>
      <c r="V944" t="inlineStr">
        <is>
          <t>2008-03-04</t>
        </is>
      </c>
      <c r="W944" t="inlineStr">
        <is>
          <t>1995-08-14</t>
        </is>
      </c>
      <c r="X944" t="inlineStr">
        <is>
          <t>1995-08-14</t>
        </is>
      </c>
      <c r="Y944" t="n">
        <v>577</v>
      </c>
      <c r="Z944" t="n">
        <v>505</v>
      </c>
      <c r="AA944" t="n">
        <v>517</v>
      </c>
      <c r="AB944" t="n">
        <v>3</v>
      </c>
      <c r="AC944" t="n">
        <v>3</v>
      </c>
      <c r="AD944" t="n">
        <v>26</v>
      </c>
      <c r="AE944" t="n">
        <v>26</v>
      </c>
      <c r="AF944" t="n">
        <v>10</v>
      </c>
      <c r="AG944" t="n">
        <v>10</v>
      </c>
      <c r="AH944" t="n">
        <v>6</v>
      </c>
      <c r="AI944" t="n">
        <v>6</v>
      </c>
      <c r="AJ944" t="n">
        <v>16</v>
      </c>
      <c r="AK944" t="n">
        <v>16</v>
      </c>
      <c r="AL944" t="n">
        <v>2</v>
      </c>
      <c r="AM944" t="n">
        <v>2</v>
      </c>
      <c r="AN944" t="n">
        <v>1</v>
      </c>
      <c r="AO944" t="n">
        <v>1</v>
      </c>
      <c r="AP944" t="inlineStr">
        <is>
          <t>No</t>
        </is>
      </c>
      <c r="AQ944" t="inlineStr">
        <is>
          <t>Yes</t>
        </is>
      </c>
      <c r="AR944">
        <f>HYPERLINK("http://catalog.hathitrust.org/Record/002978671","HathiTrust Record")</f>
        <v/>
      </c>
      <c r="AS944">
        <f>HYPERLINK("https://creighton-primo.hosted.exlibrisgroup.com/primo-explore/search?tab=default_tab&amp;search_scope=EVERYTHING&amp;vid=01CRU&amp;lang=en_US&amp;offset=0&amp;query=any,contains,991002349459702656","Catalog Record")</f>
        <v/>
      </c>
      <c r="AT944">
        <f>HYPERLINK("http://www.worldcat.org/oclc/30594188","WorldCat Record")</f>
        <v/>
      </c>
      <c r="AU944" t="inlineStr">
        <is>
          <t>375106613:eng</t>
        </is>
      </c>
      <c r="AV944" t="inlineStr">
        <is>
          <t>30594188</t>
        </is>
      </c>
      <c r="AW944" t="inlineStr">
        <is>
          <t>991002349459702656</t>
        </is>
      </c>
      <c r="AX944" t="inlineStr">
        <is>
          <t>991002349459702656</t>
        </is>
      </c>
      <c r="AY944" t="inlineStr">
        <is>
          <t>2263849330002656</t>
        </is>
      </c>
      <c r="AZ944" t="inlineStr">
        <is>
          <t>BOOK</t>
        </is>
      </c>
      <c r="BB944" t="inlineStr">
        <is>
          <t>9781560238638</t>
        </is>
      </c>
      <c r="BC944" t="inlineStr">
        <is>
          <t>32285002077310</t>
        </is>
      </c>
      <c r="BD944" t="inlineStr">
        <is>
          <t>893773507</t>
        </is>
      </c>
    </row>
    <row r="945">
      <c r="A945" t="inlineStr">
        <is>
          <t>No</t>
        </is>
      </c>
      <c r="B945" t="inlineStr">
        <is>
          <t>HQ1421 .R63 1998</t>
        </is>
      </c>
      <c r="C945" t="inlineStr">
        <is>
          <t>0                      HQ 1421000R  63          1998</t>
        </is>
      </c>
      <c r="D945" t="inlineStr">
        <is>
          <t>We are our mothers' daughters / Cokie Roberts.</t>
        </is>
      </c>
      <c r="F945" t="inlineStr">
        <is>
          <t>No</t>
        </is>
      </c>
      <c r="G945" t="inlineStr">
        <is>
          <t>1</t>
        </is>
      </c>
      <c r="H945" t="inlineStr">
        <is>
          <t>No</t>
        </is>
      </c>
      <c r="I945" t="inlineStr">
        <is>
          <t>No</t>
        </is>
      </c>
      <c r="J945" t="inlineStr">
        <is>
          <t>0</t>
        </is>
      </c>
      <c r="K945" t="inlineStr">
        <is>
          <t>Roberts, Cokie.</t>
        </is>
      </c>
      <c r="L945" t="inlineStr">
        <is>
          <t>New York : W. Morrow, c1998.</t>
        </is>
      </c>
      <c r="M945" t="inlineStr">
        <is>
          <t>1998</t>
        </is>
      </c>
      <c r="N945" t="inlineStr">
        <is>
          <t>1st ed.</t>
        </is>
      </c>
      <c r="O945" t="inlineStr">
        <is>
          <t>eng</t>
        </is>
      </c>
      <c r="P945" t="inlineStr">
        <is>
          <t>nyu</t>
        </is>
      </c>
      <c r="R945" t="inlineStr">
        <is>
          <t xml:space="preserve">HQ </t>
        </is>
      </c>
      <c r="S945" t="n">
        <v>81</v>
      </c>
      <c r="T945" t="n">
        <v>81</v>
      </c>
      <c r="U945" t="inlineStr">
        <is>
          <t>2010-01-26</t>
        </is>
      </c>
      <c r="V945" t="inlineStr">
        <is>
          <t>2010-01-26</t>
        </is>
      </c>
      <c r="W945" t="inlineStr">
        <is>
          <t>1998-06-29</t>
        </is>
      </c>
      <c r="X945" t="inlineStr">
        <is>
          <t>1998-06-29</t>
        </is>
      </c>
      <c r="Y945" t="n">
        <v>1724</v>
      </c>
      <c r="Z945" t="n">
        <v>1688</v>
      </c>
      <c r="AA945" t="n">
        <v>2147</v>
      </c>
      <c r="AB945" t="n">
        <v>21</v>
      </c>
      <c r="AC945" t="n">
        <v>25</v>
      </c>
      <c r="AD945" t="n">
        <v>22</v>
      </c>
      <c r="AE945" t="n">
        <v>24</v>
      </c>
      <c r="AF945" t="n">
        <v>5</v>
      </c>
      <c r="AG945" t="n">
        <v>7</v>
      </c>
      <c r="AH945" t="n">
        <v>5</v>
      </c>
      <c r="AI945" t="n">
        <v>5</v>
      </c>
      <c r="AJ945" t="n">
        <v>10</v>
      </c>
      <c r="AK945" t="n">
        <v>12</v>
      </c>
      <c r="AL945" t="n">
        <v>6</v>
      </c>
      <c r="AM945" t="n">
        <v>6</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HYPERLINK("https://creighton-primo.hosted.exlibrisgroup.com/primo-explore/search?tab=default_tab&amp;search_scope=EVERYTHING&amp;vid=01CRU&amp;lang=en_US&amp;offset=0&amp;query=any,contains,991005428059702656","Catalog Record")</f>
        <v/>
      </c>
      <c r="AT945">
        <f>HYPERLINK("http://www.worldcat.org/oclc/38749240","WorldCat Record")</f>
        <v/>
      </c>
      <c r="AU945" t="inlineStr">
        <is>
          <t>1069019:eng</t>
        </is>
      </c>
      <c r="AV945" t="inlineStr">
        <is>
          <t>38749240</t>
        </is>
      </c>
      <c r="AW945" t="inlineStr">
        <is>
          <t>991005428059702656</t>
        </is>
      </c>
      <c r="AX945" t="inlineStr">
        <is>
          <t>991005428059702656</t>
        </is>
      </c>
      <c r="AY945" t="inlineStr">
        <is>
          <t>2272433490002656</t>
        </is>
      </c>
      <c r="AZ945" t="inlineStr">
        <is>
          <t>BOOK</t>
        </is>
      </c>
      <c r="BB945" t="inlineStr">
        <is>
          <t>9780688151980</t>
        </is>
      </c>
      <c r="BC945" t="inlineStr">
        <is>
          <t>32285003424073</t>
        </is>
      </c>
      <c r="BD945" t="inlineStr">
        <is>
          <t>893261151</t>
        </is>
      </c>
    </row>
    <row r="946">
      <c r="A946" t="inlineStr">
        <is>
          <t>No</t>
        </is>
      </c>
      <c r="B946" t="inlineStr">
        <is>
          <t>HQ1421 .R68 2000</t>
        </is>
      </c>
      <c r="C946" t="inlineStr">
        <is>
          <t>0                      HQ 1421000R  68          2000</t>
        </is>
      </c>
      <c r="D946" t="inlineStr">
        <is>
          <t>The world split open : how the modern women's movement changed America / Ruth Rosen.</t>
        </is>
      </c>
      <c r="F946" t="inlineStr">
        <is>
          <t>No</t>
        </is>
      </c>
      <c r="G946" t="inlineStr">
        <is>
          <t>1</t>
        </is>
      </c>
      <c r="H946" t="inlineStr">
        <is>
          <t>No</t>
        </is>
      </c>
      <c r="I946" t="inlineStr">
        <is>
          <t>No</t>
        </is>
      </c>
      <c r="J946" t="inlineStr">
        <is>
          <t>0</t>
        </is>
      </c>
      <c r="K946" t="inlineStr">
        <is>
          <t>Rosen, Ruth.</t>
        </is>
      </c>
      <c r="L946" t="inlineStr">
        <is>
          <t>New York : Viking, 2000.</t>
        </is>
      </c>
      <c r="M946" t="inlineStr">
        <is>
          <t>2000</t>
        </is>
      </c>
      <c r="O946" t="inlineStr">
        <is>
          <t>eng</t>
        </is>
      </c>
      <c r="P946" t="inlineStr">
        <is>
          <t>nyu</t>
        </is>
      </c>
      <c r="R946" t="inlineStr">
        <is>
          <t xml:space="preserve">HQ </t>
        </is>
      </c>
      <c r="S946" t="n">
        <v>6</v>
      </c>
      <c r="T946" t="n">
        <v>6</v>
      </c>
      <c r="U946" t="inlineStr">
        <is>
          <t>2010-04-14</t>
        </is>
      </c>
      <c r="V946" t="inlineStr">
        <is>
          <t>2010-04-14</t>
        </is>
      </c>
      <c r="W946" t="inlineStr">
        <is>
          <t>2000-07-05</t>
        </is>
      </c>
      <c r="X946" t="inlineStr">
        <is>
          <t>2000-07-05</t>
        </is>
      </c>
      <c r="Y946" t="n">
        <v>1263</v>
      </c>
      <c r="Z946" t="n">
        <v>1156</v>
      </c>
      <c r="AA946" t="n">
        <v>1810</v>
      </c>
      <c r="AB946" t="n">
        <v>12</v>
      </c>
      <c r="AC946" t="n">
        <v>13</v>
      </c>
      <c r="AD946" t="n">
        <v>38</v>
      </c>
      <c r="AE946" t="n">
        <v>48</v>
      </c>
      <c r="AF946" t="n">
        <v>13</v>
      </c>
      <c r="AG946" t="n">
        <v>18</v>
      </c>
      <c r="AH946" t="n">
        <v>8</v>
      </c>
      <c r="AI946" t="n">
        <v>9</v>
      </c>
      <c r="AJ946" t="n">
        <v>18</v>
      </c>
      <c r="AK946" t="n">
        <v>20</v>
      </c>
      <c r="AL946" t="n">
        <v>7</v>
      </c>
      <c r="AM946" t="n">
        <v>8</v>
      </c>
      <c r="AN946" t="n">
        <v>1</v>
      </c>
      <c r="AO946" t="n">
        <v>3</v>
      </c>
      <c r="AP946" t="inlineStr">
        <is>
          <t>No</t>
        </is>
      </c>
      <c r="AQ946" t="inlineStr">
        <is>
          <t>Yes</t>
        </is>
      </c>
      <c r="AR946">
        <f>HYPERLINK("http://catalog.hathitrust.org/Record/004071122","HathiTrust Record")</f>
        <v/>
      </c>
      <c r="AS946">
        <f>HYPERLINK("https://creighton-primo.hosted.exlibrisgroup.com/primo-explore/search?tab=default_tab&amp;search_scope=EVERYTHING&amp;vid=01CRU&amp;lang=en_US&amp;offset=0&amp;query=any,contains,991003198089702656","Catalog Record")</f>
        <v/>
      </c>
      <c r="AT946">
        <f>HYPERLINK("http://www.worldcat.org/oclc/42718285","WorldCat Record")</f>
        <v/>
      </c>
      <c r="AU946" t="inlineStr">
        <is>
          <t>20411833:eng</t>
        </is>
      </c>
      <c r="AV946" t="inlineStr">
        <is>
          <t>42718285</t>
        </is>
      </c>
      <c r="AW946" t="inlineStr">
        <is>
          <t>991003198089702656</t>
        </is>
      </c>
      <c r="AX946" t="inlineStr">
        <is>
          <t>991003198089702656</t>
        </is>
      </c>
      <c r="AY946" t="inlineStr">
        <is>
          <t>2268285310002656</t>
        </is>
      </c>
      <c r="AZ946" t="inlineStr">
        <is>
          <t>BOOK</t>
        </is>
      </c>
      <c r="BB946" t="inlineStr">
        <is>
          <t>9780670814626</t>
        </is>
      </c>
      <c r="BC946" t="inlineStr">
        <is>
          <t>32285003713541</t>
        </is>
      </c>
      <c r="BD946" t="inlineStr">
        <is>
          <t>893805513</t>
        </is>
      </c>
    </row>
    <row r="947">
      <c r="A947" t="inlineStr">
        <is>
          <t>No</t>
        </is>
      </c>
      <c r="B947" t="inlineStr">
        <is>
          <t>HQ1421 .R684 2004</t>
        </is>
      </c>
      <c r="C947" t="inlineStr">
        <is>
          <t>0                      HQ 1421000R  684         2004</t>
        </is>
      </c>
      <c r="D947" t="inlineStr">
        <is>
          <t>Separate roads to feminism : Black, Chicana, and White feminist movements in America's second wave / Benita Roth.</t>
        </is>
      </c>
      <c r="F947" t="inlineStr">
        <is>
          <t>No</t>
        </is>
      </c>
      <c r="G947" t="inlineStr">
        <is>
          <t>1</t>
        </is>
      </c>
      <c r="H947" t="inlineStr">
        <is>
          <t>No</t>
        </is>
      </c>
      <c r="I947" t="inlineStr">
        <is>
          <t>No</t>
        </is>
      </c>
      <c r="J947" t="inlineStr">
        <is>
          <t>0</t>
        </is>
      </c>
      <c r="K947" t="inlineStr">
        <is>
          <t>Roth, Benita.</t>
        </is>
      </c>
      <c r="L947" t="inlineStr">
        <is>
          <t>Cambridge. UK ; New York : Cambridge University Press, 2004.</t>
        </is>
      </c>
      <c r="M947" t="inlineStr">
        <is>
          <t>2004</t>
        </is>
      </c>
      <c r="O947" t="inlineStr">
        <is>
          <t>eng</t>
        </is>
      </c>
      <c r="P947" t="inlineStr">
        <is>
          <t>enk</t>
        </is>
      </c>
      <c r="R947" t="inlineStr">
        <is>
          <t xml:space="preserve">HQ </t>
        </is>
      </c>
      <c r="S947" t="n">
        <v>3</v>
      </c>
      <c r="T947" t="n">
        <v>3</v>
      </c>
      <c r="U947" t="inlineStr">
        <is>
          <t>2004-04-02</t>
        </is>
      </c>
      <c r="V947" t="inlineStr">
        <is>
          <t>2004-04-02</t>
        </is>
      </c>
      <c r="W947" t="inlineStr">
        <is>
          <t>2004-01-22</t>
        </is>
      </c>
      <c r="X947" t="inlineStr">
        <is>
          <t>2004-01-22</t>
        </is>
      </c>
      <c r="Y947" t="n">
        <v>614</v>
      </c>
      <c r="Z947" t="n">
        <v>511</v>
      </c>
      <c r="AA947" t="n">
        <v>523</v>
      </c>
      <c r="AB947" t="n">
        <v>3</v>
      </c>
      <c r="AC947" t="n">
        <v>3</v>
      </c>
      <c r="AD947" t="n">
        <v>31</v>
      </c>
      <c r="AE947" t="n">
        <v>31</v>
      </c>
      <c r="AF947" t="n">
        <v>13</v>
      </c>
      <c r="AG947" t="n">
        <v>13</v>
      </c>
      <c r="AH947" t="n">
        <v>6</v>
      </c>
      <c r="AI947" t="n">
        <v>6</v>
      </c>
      <c r="AJ947" t="n">
        <v>16</v>
      </c>
      <c r="AK947" t="n">
        <v>16</v>
      </c>
      <c r="AL947" t="n">
        <v>2</v>
      </c>
      <c r="AM947" t="n">
        <v>2</v>
      </c>
      <c r="AN947" t="n">
        <v>1</v>
      </c>
      <c r="AO947" t="n">
        <v>1</v>
      </c>
      <c r="AP947" t="inlineStr">
        <is>
          <t>No</t>
        </is>
      </c>
      <c r="AQ947" t="inlineStr">
        <is>
          <t>No</t>
        </is>
      </c>
      <c r="AS947">
        <f>HYPERLINK("https://creighton-primo.hosted.exlibrisgroup.com/primo-explore/search?tab=default_tab&amp;search_scope=EVERYTHING&amp;vid=01CRU&amp;lang=en_US&amp;offset=0&amp;query=any,contains,991004218249702656","Catalog Record")</f>
        <v/>
      </c>
      <c r="AT947">
        <f>HYPERLINK("http://www.worldcat.org/oclc/51899009","WorldCat Record")</f>
        <v/>
      </c>
      <c r="AU947" t="inlineStr">
        <is>
          <t>795456290:eng</t>
        </is>
      </c>
      <c r="AV947" t="inlineStr">
        <is>
          <t>51899009</t>
        </is>
      </c>
      <c r="AW947" t="inlineStr">
        <is>
          <t>991004218249702656</t>
        </is>
      </c>
      <c r="AX947" t="inlineStr">
        <is>
          <t>991004218249702656</t>
        </is>
      </c>
      <c r="AY947" t="inlineStr">
        <is>
          <t>2257470400002656</t>
        </is>
      </c>
      <c r="AZ947" t="inlineStr">
        <is>
          <t>BOOK</t>
        </is>
      </c>
      <c r="BB947" t="inlineStr">
        <is>
          <t>9780521529723</t>
        </is>
      </c>
      <c r="BC947" t="inlineStr">
        <is>
          <t>32285004636402</t>
        </is>
      </c>
      <c r="BD947" t="inlineStr">
        <is>
          <t>893612088</t>
        </is>
      </c>
    </row>
    <row r="948">
      <c r="A948" t="inlineStr">
        <is>
          <t>No</t>
        </is>
      </c>
      <c r="B948" t="inlineStr">
        <is>
          <t>HQ1421 .S44 1988</t>
        </is>
      </c>
      <c r="C948" t="inlineStr">
        <is>
          <t>0                      HQ 1421000S  44          1988</t>
        </is>
      </c>
      <c r="D948" t="inlineStr">
        <is>
          <t>Seeing female : social roles and personal lives / edited by Sharon S. Brehm.</t>
        </is>
      </c>
      <c r="F948" t="inlineStr">
        <is>
          <t>No</t>
        </is>
      </c>
      <c r="G948" t="inlineStr">
        <is>
          <t>1</t>
        </is>
      </c>
      <c r="H948" t="inlineStr">
        <is>
          <t>No</t>
        </is>
      </c>
      <c r="I948" t="inlineStr">
        <is>
          <t>No</t>
        </is>
      </c>
      <c r="J948" t="inlineStr">
        <is>
          <t>0</t>
        </is>
      </c>
      <c r="L948" t="inlineStr">
        <is>
          <t>New York : Greenwood Press, 1988.</t>
        </is>
      </c>
      <c r="M948" t="inlineStr">
        <is>
          <t>1988</t>
        </is>
      </c>
      <c r="O948" t="inlineStr">
        <is>
          <t>eng</t>
        </is>
      </c>
      <c r="P948" t="inlineStr">
        <is>
          <t>nyu</t>
        </is>
      </c>
      <c r="Q948" t="inlineStr">
        <is>
          <t>Contributions in women's studies, 0147-104X ; no. 88</t>
        </is>
      </c>
      <c r="R948" t="inlineStr">
        <is>
          <t xml:space="preserve">HQ </t>
        </is>
      </c>
      <c r="S948" t="n">
        <v>6</v>
      </c>
      <c r="T948" t="n">
        <v>6</v>
      </c>
      <c r="U948" t="inlineStr">
        <is>
          <t>2001-12-03</t>
        </is>
      </c>
      <c r="V948" t="inlineStr">
        <is>
          <t>2001-12-03</t>
        </is>
      </c>
      <c r="W948" t="inlineStr">
        <is>
          <t>1990-07-05</t>
        </is>
      </c>
      <c r="X948" t="inlineStr">
        <is>
          <t>1990-07-05</t>
        </is>
      </c>
      <c r="Y948" t="n">
        <v>588</v>
      </c>
      <c r="Z948" t="n">
        <v>505</v>
      </c>
      <c r="AA948" t="n">
        <v>511</v>
      </c>
      <c r="AB948" t="n">
        <v>5</v>
      </c>
      <c r="AC948" t="n">
        <v>5</v>
      </c>
      <c r="AD948" t="n">
        <v>34</v>
      </c>
      <c r="AE948" t="n">
        <v>34</v>
      </c>
      <c r="AF948" t="n">
        <v>17</v>
      </c>
      <c r="AG948" t="n">
        <v>17</v>
      </c>
      <c r="AH948" t="n">
        <v>8</v>
      </c>
      <c r="AI948" t="n">
        <v>8</v>
      </c>
      <c r="AJ948" t="n">
        <v>14</v>
      </c>
      <c r="AK948" t="n">
        <v>14</v>
      </c>
      <c r="AL948" t="n">
        <v>4</v>
      </c>
      <c r="AM948" t="n">
        <v>4</v>
      </c>
      <c r="AN948" t="n">
        <v>0</v>
      </c>
      <c r="AO948" t="n">
        <v>0</v>
      </c>
      <c r="AP948" t="inlineStr">
        <is>
          <t>No</t>
        </is>
      </c>
      <c r="AQ948" t="inlineStr">
        <is>
          <t>Yes</t>
        </is>
      </c>
      <c r="AR948">
        <f>HYPERLINK("http://catalog.hathitrust.org/Record/000903860","HathiTrust Record")</f>
        <v/>
      </c>
      <c r="AS948">
        <f>HYPERLINK("https://creighton-primo.hosted.exlibrisgroup.com/primo-explore/search?tab=default_tab&amp;search_scope=EVERYTHING&amp;vid=01CRU&amp;lang=en_US&amp;offset=0&amp;query=any,contains,991001081579702656","Catalog Record")</f>
        <v/>
      </c>
      <c r="AT948">
        <f>HYPERLINK("http://www.worldcat.org/oclc/16088857","WorldCat Record")</f>
        <v/>
      </c>
      <c r="AU948" t="inlineStr">
        <is>
          <t>836636943:eng</t>
        </is>
      </c>
      <c r="AV948" t="inlineStr">
        <is>
          <t>16088857</t>
        </is>
      </c>
      <c r="AW948" t="inlineStr">
        <is>
          <t>991001081579702656</t>
        </is>
      </c>
      <c r="AX948" t="inlineStr">
        <is>
          <t>991001081579702656</t>
        </is>
      </c>
      <c r="AY948" t="inlineStr">
        <is>
          <t>2254711980002656</t>
        </is>
      </c>
      <c r="AZ948" t="inlineStr">
        <is>
          <t>BOOK</t>
        </is>
      </c>
      <c r="BB948" t="inlineStr">
        <is>
          <t>9780313255892</t>
        </is>
      </c>
      <c r="BC948" t="inlineStr">
        <is>
          <t>32285000221837</t>
        </is>
      </c>
      <c r="BD948" t="inlineStr">
        <is>
          <t>893346226</t>
        </is>
      </c>
    </row>
    <row r="949">
      <c r="A949" t="inlineStr">
        <is>
          <t>No</t>
        </is>
      </c>
      <c r="B949" t="inlineStr">
        <is>
          <t>HQ1421 .S57 1989</t>
        </is>
      </c>
      <c r="C949" t="inlineStr">
        <is>
          <t>0                      HQ 1421000S  57          1989</t>
        </is>
      </c>
      <c r="D949" t="inlineStr">
        <is>
          <t>Women together, women alone : the legacy of the consciousness-raising movement / Anita Shreve.</t>
        </is>
      </c>
      <c r="F949" t="inlineStr">
        <is>
          <t>No</t>
        </is>
      </c>
      <c r="G949" t="inlineStr">
        <is>
          <t>1</t>
        </is>
      </c>
      <c r="H949" t="inlineStr">
        <is>
          <t>No</t>
        </is>
      </c>
      <c r="I949" t="inlineStr">
        <is>
          <t>No</t>
        </is>
      </c>
      <c r="J949" t="inlineStr">
        <is>
          <t>0</t>
        </is>
      </c>
      <c r="K949" t="inlineStr">
        <is>
          <t>Shreve, Anita.</t>
        </is>
      </c>
      <c r="L949" t="inlineStr">
        <is>
          <t>New York : Viking, 1989.</t>
        </is>
      </c>
      <c r="M949" t="inlineStr">
        <is>
          <t>1989</t>
        </is>
      </c>
      <c r="O949" t="inlineStr">
        <is>
          <t>eng</t>
        </is>
      </c>
      <c r="P949" t="inlineStr">
        <is>
          <t>nyu</t>
        </is>
      </c>
      <c r="R949" t="inlineStr">
        <is>
          <t xml:space="preserve">HQ </t>
        </is>
      </c>
      <c r="S949" t="n">
        <v>3</v>
      </c>
      <c r="T949" t="n">
        <v>3</v>
      </c>
      <c r="U949" t="inlineStr">
        <is>
          <t>1996-04-06</t>
        </is>
      </c>
      <c r="V949" t="inlineStr">
        <is>
          <t>1996-04-06</t>
        </is>
      </c>
      <c r="W949" t="inlineStr">
        <is>
          <t>1990-10-12</t>
        </is>
      </c>
      <c r="X949" t="inlineStr">
        <is>
          <t>1990-10-12</t>
        </is>
      </c>
      <c r="Y949" t="n">
        <v>534</v>
      </c>
      <c r="Z949" t="n">
        <v>485</v>
      </c>
      <c r="AA949" t="n">
        <v>536</v>
      </c>
      <c r="AB949" t="n">
        <v>4</v>
      </c>
      <c r="AC949" t="n">
        <v>4</v>
      </c>
      <c r="AD949" t="n">
        <v>17</v>
      </c>
      <c r="AE949" t="n">
        <v>18</v>
      </c>
      <c r="AF949" t="n">
        <v>7</v>
      </c>
      <c r="AG949" t="n">
        <v>8</v>
      </c>
      <c r="AH949" t="n">
        <v>3</v>
      </c>
      <c r="AI949" t="n">
        <v>3</v>
      </c>
      <c r="AJ949" t="n">
        <v>8</v>
      </c>
      <c r="AK949" t="n">
        <v>8</v>
      </c>
      <c r="AL949" t="n">
        <v>3</v>
      </c>
      <c r="AM949" t="n">
        <v>3</v>
      </c>
      <c r="AN949" t="n">
        <v>0</v>
      </c>
      <c r="AO949" t="n">
        <v>0</v>
      </c>
      <c r="AP949" t="inlineStr">
        <is>
          <t>No</t>
        </is>
      </c>
      <c r="AQ949" t="inlineStr">
        <is>
          <t>Yes</t>
        </is>
      </c>
      <c r="AR949">
        <f>HYPERLINK("http://catalog.hathitrust.org/Record/004451928","HathiTrust Record")</f>
        <v/>
      </c>
      <c r="AS949">
        <f>HYPERLINK("https://creighton-primo.hosted.exlibrisgroup.com/primo-explore/search?tab=default_tab&amp;search_scope=EVERYTHING&amp;vid=01CRU&amp;lang=en_US&amp;offset=0&amp;query=any,contains,991001410769702656","Catalog Record")</f>
        <v/>
      </c>
      <c r="AT949">
        <f>HYPERLINK("http://www.worldcat.org/oclc/18907099","WorldCat Record")</f>
        <v/>
      </c>
      <c r="AU949" t="inlineStr">
        <is>
          <t>18319781:eng</t>
        </is>
      </c>
      <c r="AV949" t="inlineStr">
        <is>
          <t>18907099</t>
        </is>
      </c>
      <c r="AW949" t="inlineStr">
        <is>
          <t>991001410769702656</t>
        </is>
      </c>
      <c r="AX949" t="inlineStr">
        <is>
          <t>991001410769702656</t>
        </is>
      </c>
      <c r="AY949" t="inlineStr">
        <is>
          <t>2256887190002656</t>
        </is>
      </c>
      <c r="AZ949" t="inlineStr">
        <is>
          <t>BOOK</t>
        </is>
      </c>
      <c r="BB949" t="inlineStr">
        <is>
          <t>9780670819102</t>
        </is>
      </c>
      <c r="BC949" t="inlineStr">
        <is>
          <t>32285000310150</t>
        </is>
      </c>
      <c r="BD949" t="inlineStr">
        <is>
          <t>893426588</t>
        </is>
      </c>
    </row>
    <row r="950">
      <c r="A950" t="inlineStr">
        <is>
          <t>No</t>
        </is>
      </c>
      <c r="B950" t="inlineStr">
        <is>
          <t>HQ1421 .S65 2001</t>
        </is>
      </c>
      <c r="C950" t="inlineStr">
        <is>
          <t>0                      HQ 1421000S  65          2001</t>
        </is>
      </c>
      <c r="D950" t="inlineStr">
        <is>
          <t>The girl's guide to power and success / Susan Wilson Solovic.</t>
        </is>
      </c>
      <c r="F950" t="inlineStr">
        <is>
          <t>No</t>
        </is>
      </c>
      <c r="G950" t="inlineStr">
        <is>
          <t>1</t>
        </is>
      </c>
      <c r="H950" t="inlineStr">
        <is>
          <t>No</t>
        </is>
      </c>
      <c r="I950" t="inlineStr">
        <is>
          <t>No</t>
        </is>
      </c>
      <c r="J950" t="inlineStr">
        <is>
          <t>0</t>
        </is>
      </c>
      <c r="K950" t="inlineStr">
        <is>
          <t>Solovic, Susan Wilson.</t>
        </is>
      </c>
      <c r="L950" t="inlineStr">
        <is>
          <t>New York : AMACOM, 2001.</t>
        </is>
      </c>
      <c r="M950" t="inlineStr">
        <is>
          <t>2001</t>
        </is>
      </c>
      <c r="O950" t="inlineStr">
        <is>
          <t>eng</t>
        </is>
      </c>
      <c r="P950" t="inlineStr">
        <is>
          <t>nyu</t>
        </is>
      </c>
      <c r="R950" t="inlineStr">
        <is>
          <t xml:space="preserve">HQ </t>
        </is>
      </c>
      <c r="S950" t="n">
        <v>5</v>
      </c>
      <c r="T950" t="n">
        <v>5</v>
      </c>
      <c r="U950" t="inlineStr">
        <is>
          <t>2008-07-23</t>
        </is>
      </c>
      <c r="V950" t="inlineStr">
        <is>
          <t>2008-07-23</t>
        </is>
      </c>
      <c r="W950" t="inlineStr">
        <is>
          <t>2001-05-15</t>
        </is>
      </c>
      <c r="X950" t="inlineStr">
        <is>
          <t>2001-05-15</t>
        </is>
      </c>
      <c r="Y950" t="n">
        <v>339</v>
      </c>
      <c r="Z950" t="n">
        <v>308</v>
      </c>
      <c r="AA950" t="n">
        <v>1407</v>
      </c>
      <c r="AB950" t="n">
        <v>5</v>
      </c>
      <c r="AC950" t="n">
        <v>9</v>
      </c>
      <c r="AD950" t="n">
        <v>5</v>
      </c>
      <c r="AE950" t="n">
        <v>39</v>
      </c>
      <c r="AF950" t="n">
        <v>2</v>
      </c>
      <c r="AG950" t="n">
        <v>17</v>
      </c>
      <c r="AH950" t="n">
        <v>1</v>
      </c>
      <c r="AI950" t="n">
        <v>9</v>
      </c>
      <c r="AJ950" t="n">
        <v>1</v>
      </c>
      <c r="AK950" t="n">
        <v>13</v>
      </c>
      <c r="AL950" t="n">
        <v>2</v>
      </c>
      <c r="AM950" t="n">
        <v>5</v>
      </c>
      <c r="AN950" t="n">
        <v>0</v>
      </c>
      <c r="AO950" t="n">
        <v>2</v>
      </c>
      <c r="AP950" t="inlineStr">
        <is>
          <t>No</t>
        </is>
      </c>
      <c r="AQ950" t="inlineStr">
        <is>
          <t>No</t>
        </is>
      </c>
      <c r="AS950">
        <f>HYPERLINK("https://creighton-primo.hosted.exlibrisgroup.com/primo-explore/search?tab=default_tab&amp;search_scope=EVERYTHING&amp;vid=01CRU&amp;lang=en_US&amp;offset=0&amp;query=any,contains,991003533139702656","Catalog Record")</f>
        <v/>
      </c>
      <c r="AT950">
        <f>HYPERLINK("http://www.worldcat.org/oclc/45871057","WorldCat Record")</f>
        <v/>
      </c>
      <c r="AU950" t="inlineStr">
        <is>
          <t>707946:eng</t>
        </is>
      </c>
      <c r="AV950" t="inlineStr">
        <is>
          <t>45871057</t>
        </is>
      </c>
      <c r="AW950" t="inlineStr">
        <is>
          <t>991003533139702656</t>
        </is>
      </c>
      <c r="AX950" t="inlineStr">
        <is>
          <t>991003533139702656</t>
        </is>
      </c>
      <c r="AY950" t="inlineStr">
        <is>
          <t>2261000640002656</t>
        </is>
      </c>
      <c r="AZ950" t="inlineStr">
        <is>
          <t>BOOK</t>
        </is>
      </c>
      <c r="BB950" t="inlineStr">
        <is>
          <t>9780814405895</t>
        </is>
      </c>
      <c r="BC950" t="inlineStr">
        <is>
          <t>32285004317490</t>
        </is>
      </c>
      <c r="BD950" t="inlineStr">
        <is>
          <t>893234264</t>
        </is>
      </c>
    </row>
    <row r="951">
      <c r="A951" t="inlineStr">
        <is>
          <t>No</t>
        </is>
      </c>
      <c r="B951" t="inlineStr">
        <is>
          <t>HQ1421 .S73 1996</t>
        </is>
      </c>
      <c r="C951" t="inlineStr">
        <is>
          <t>0                      HQ 1421000S  73          1996</t>
        </is>
      </c>
      <c r="D951" t="inlineStr">
        <is>
          <t>The rise of marginal voices : gender balance in the workplace / Anne Statham.</t>
        </is>
      </c>
      <c r="F951" t="inlineStr">
        <is>
          <t>No</t>
        </is>
      </c>
      <c r="G951" t="inlineStr">
        <is>
          <t>1</t>
        </is>
      </c>
      <c r="H951" t="inlineStr">
        <is>
          <t>No</t>
        </is>
      </c>
      <c r="I951" t="inlineStr">
        <is>
          <t>No</t>
        </is>
      </c>
      <c r="J951" t="inlineStr">
        <is>
          <t>0</t>
        </is>
      </c>
      <c r="K951" t="inlineStr">
        <is>
          <t>Statham, Anne.</t>
        </is>
      </c>
      <c r="L951" t="inlineStr">
        <is>
          <t>Lanham : University Press of America, c1996.</t>
        </is>
      </c>
      <c r="M951" t="inlineStr">
        <is>
          <t>1996</t>
        </is>
      </c>
      <c r="O951" t="inlineStr">
        <is>
          <t>eng</t>
        </is>
      </c>
      <c r="P951" t="inlineStr">
        <is>
          <t>mdu</t>
        </is>
      </c>
      <c r="R951" t="inlineStr">
        <is>
          <t xml:space="preserve">HQ </t>
        </is>
      </c>
      <c r="S951" t="n">
        <v>2</v>
      </c>
      <c r="T951" t="n">
        <v>2</v>
      </c>
      <c r="U951" t="inlineStr">
        <is>
          <t>1998-09-18</t>
        </is>
      </c>
      <c r="V951" t="inlineStr">
        <is>
          <t>1998-09-18</t>
        </is>
      </c>
      <c r="W951" t="inlineStr">
        <is>
          <t>1997-06-06</t>
        </is>
      </c>
      <c r="X951" t="inlineStr">
        <is>
          <t>1997-06-06</t>
        </is>
      </c>
      <c r="Y951" t="n">
        <v>367</v>
      </c>
      <c r="Z951" t="n">
        <v>317</v>
      </c>
      <c r="AA951" t="n">
        <v>318</v>
      </c>
      <c r="AB951" t="n">
        <v>3</v>
      </c>
      <c r="AC951" t="n">
        <v>3</v>
      </c>
      <c r="AD951" t="n">
        <v>19</v>
      </c>
      <c r="AE951" t="n">
        <v>19</v>
      </c>
      <c r="AF951" t="n">
        <v>6</v>
      </c>
      <c r="AG951" t="n">
        <v>6</v>
      </c>
      <c r="AH951" t="n">
        <v>7</v>
      </c>
      <c r="AI951" t="n">
        <v>7</v>
      </c>
      <c r="AJ951" t="n">
        <v>11</v>
      </c>
      <c r="AK951" t="n">
        <v>11</v>
      </c>
      <c r="AL951" t="n">
        <v>2</v>
      </c>
      <c r="AM951" t="n">
        <v>2</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HYPERLINK("https://creighton-primo.hosted.exlibrisgroup.com/primo-explore/search?tab=default_tab&amp;search_scope=EVERYTHING&amp;vid=01CRU&amp;lang=en_US&amp;offset=0&amp;query=any,contains,991002667689702656","Catalog Record")</f>
        <v/>
      </c>
      <c r="AT951">
        <f>HYPERLINK("http://www.worldcat.org/oclc/34894338","WorldCat Record")</f>
        <v/>
      </c>
      <c r="AU951" t="inlineStr">
        <is>
          <t>20549778:eng</t>
        </is>
      </c>
      <c r="AV951" t="inlineStr">
        <is>
          <t>34894338</t>
        </is>
      </c>
      <c r="AW951" t="inlineStr">
        <is>
          <t>991002667689702656</t>
        </is>
      </c>
      <c r="AX951" t="inlineStr">
        <is>
          <t>991002667689702656</t>
        </is>
      </c>
      <c r="AY951" t="inlineStr">
        <is>
          <t>2269286710002656</t>
        </is>
      </c>
      <c r="AZ951" t="inlineStr">
        <is>
          <t>BOOK</t>
        </is>
      </c>
      <c r="BB951" t="inlineStr">
        <is>
          <t>9780761804444</t>
        </is>
      </c>
      <c r="BC951" t="inlineStr">
        <is>
          <t>32285002750114</t>
        </is>
      </c>
      <c r="BD951" t="inlineStr">
        <is>
          <t>893535127</t>
        </is>
      </c>
    </row>
    <row r="952">
      <c r="A952" t="inlineStr">
        <is>
          <t>No</t>
        </is>
      </c>
      <c r="B952" t="inlineStr">
        <is>
          <t>HQ1421 .T46 1989</t>
        </is>
      </c>
      <c r="C952" t="inlineStr">
        <is>
          <t>0                      HQ 1421000T  46          1989</t>
        </is>
      </c>
      <c r="D952" t="inlineStr">
        <is>
          <t>We didn't have much, but we sure had plenty : rural women in their own words / by Sherry Thomas.</t>
        </is>
      </c>
      <c r="F952" t="inlineStr">
        <is>
          <t>No</t>
        </is>
      </c>
      <c r="G952" t="inlineStr">
        <is>
          <t>1</t>
        </is>
      </c>
      <c r="H952" t="inlineStr">
        <is>
          <t>No</t>
        </is>
      </c>
      <c r="I952" t="inlineStr">
        <is>
          <t>No</t>
        </is>
      </c>
      <c r="J952" t="inlineStr">
        <is>
          <t>0</t>
        </is>
      </c>
      <c r="K952" t="inlineStr">
        <is>
          <t>Thomas, Sherry.</t>
        </is>
      </c>
      <c r="L952" t="inlineStr">
        <is>
          <t>New York, N.Y. : Doubleday, 1989.</t>
        </is>
      </c>
      <c r="M952" t="inlineStr">
        <is>
          <t>1989</t>
        </is>
      </c>
      <c r="N952" t="inlineStr">
        <is>
          <t>2nd Anchor Books ed.</t>
        </is>
      </c>
      <c r="O952" t="inlineStr">
        <is>
          <t>eng</t>
        </is>
      </c>
      <c r="P952" t="inlineStr">
        <is>
          <t>nyu</t>
        </is>
      </c>
      <c r="R952" t="inlineStr">
        <is>
          <t xml:space="preserve">HQ </t>
        </is>
      </c>
      <c r="S952" t="n">
        <v>0</v>
      </c>
      <c r="T952" t="n">
        <v>0</v>
      </c>
      <c r="U952" t="inlineStr">
        <is>
          <t>2009-10-14</t>
        </is>
      </c>
      <c r="V952" t="inlineStr">
        <is>
          <t>2009-10-14</t>
        </is>
      </c>
      <c r="W952" t="inlineStr">
        <is>
          <t>1990-05-29</t>
        </is>
      </c>
      <c r="X952" t="inlineStr">
        <is>
          <t>1990-05-29</t>
        </is>
      </c>
      <c r="Y952" t="n">
        <v>68</v>
      </c>
      <c r="Z952" t="n">
        <v>68</v>
      </c>
      <c r="AA952" t="n">
        <v>171</v>
      </c>
      <c r="AB952" t="n">
        <v>1</v>
      </c>
      <c r="AC952" t="n">
        <v>2</v>
      </c>
      <c r="AD952" t="n">
        <v>1</v>
      </c>
      <c r="AE952" t="n">
        <v>1</v>
      </c>
      <c r="AF952" t="n">
        <v>0</v>
      </c>
      <c r="AG952" t="n">
        <v>0</v>
      </c>
      <c r="AH952" t="n">
        <v>0</v>
      </c>
      <c r="AI952" t="n">
        <v>0</v>
      </c>
      <c r="AJ952" t="n">
        <v>1</v>
      </c>
      <c r="AK952" t="n">
        <v>1</v>
      </c>
      <c r="AL952" t="n">
        <v>0</v>
      </c>
      <c r="AM952" t="n">
        <v>0</v>
      </c>
      <c r="AN952" t="n">
        <v>0</v>
      </c>
      <c r="AO952" t="n">
        <v>0</v>
      </c>
      <c r="AP952" t="inlineStr">
        <is>
          <t>No</t>
        </is>
      </c>
      <c r="AQ952" t="inlineStr">
        <is>
          <t>Yes</t>
        </is>
      </c>
      <c r="AR952">
        <f>HYPERLINK("http://catalog.hathitrust.org/Record/009136006","HathiTrust Record")</f>
        <v/>
      </c>
      <c r="AS952">
        <f>HYPERLINK("https://creighton-primo.hosted.exlibrisgroup.com/primo-explore/search?tab=default_tab&amp;search_scope=EVERYTHING&amp;vid=01CRU&amp;lang=en_US&amp;offset=0&amp;query=any,contains,991001417889702656","Catalog Record")</f>
        <v/>
      </c>
      <c r="AT952">
        <f>HYPERLINK("http://www.worldcat.org/oclc/18959646","WorldCat Record")</f>
        <v/>
      </c>
      <c r="AU952" t="inlineStr">
        <is>
          <t>1005167596:eng</t>
        </is>
      </c>
      <c r="AV952" t="inlineStr">
        <is>
          <t>18959646</t>
        </is>
      </c>
      <c r="AW952" t="inlineStr">
        <is>
          <t>991001417889702656</t>
        </is>
      </c>
      <c r="AX952" t="inlineStr">
        <is>
          <t>991001417889702656</t>
        </is>
      </c>
      <c r="AY952" t="inlineStr">
        <is>
          <t>2270036560002656</t>
        </is>
      </c>
      <c r="AZ952" t="inlineStr">
        <is>
          <t>BOOK</t>
        </is>
      </c>
      <c r="BB952" t="inlineStr">
        <is>
          <t>9780385149518</t>
        </is>
      </c>
      <c r="BC952" t="inlineStr">
        <is>
          <t>32285000156504</t>
        </is>
      </c>
      <c r="BD952" t="inlineStr">
        <is>
          <t>893803605</t>
        </is>
      </c>
    </row>
    <row r="953">
      <c r="A953" t="inlineStr">
        <is>
          <t>No</t>
        </is>
      </c>
      <c r="B953" t="inlineStr">
        <is>
          <t>HQ1421 .W653 2008</t>
        </is>
      </c>
      <c r="C953" t="inlineStr">
        <is>
          <t>0                      HQ 1421000W  653         2008</t>
        </is>
      </c>
      <c r="D953" t="inlineStr">
        <is>
          <t>Women : images and realities : a multicultural anthology / Amy Kesselman, Lily D. McNair, Nancy Schniedewind with Suzanna Kelly.</t>
        </is>
      </c>
      <c r="F953" t="inlineStr">
        <is>
          <t>No</t>
        </is>
      </c>
      <c r="G953" t="inlineStr">
        <is>
          <t>1</t>
        </is>
      </c>
      <c r="H953" t="inlineStr">
        <is>
          <t>No</t>
        </is>
      </c>
      <c r="I953" t="inlineStr">
        <is>
          <t>No</t>
        </is>
      </c>
      <c r="J953" t="inlineStr">
        <is>
          <t>0</t>
        </is>
      </c>
      <c r="L953" t="inlineStr">
        <is>
          <t>Boston, Mass. : McGraw-Hill, 2008.</t>
        </is>
      </c>
      <c r="M953" t="inlineStr">
        <is>
          <t>2008</t>
        </is>
      </c>
      <c r="N953" t="inlineStr">
        <is>
          <t>4th ed.</t>
        </is>
      </c>
      <c r="O953" t="inlineStr">
        <is>
          <t>eng</t>
        </is>
      </c>
      <c r="P953" t="inlineStr">
        <is>
          <t>mau</t>
        </is>
      </c>
      <c r="R953" t="inlineStr">
        <is>
          <t xml:space="preserve">HQ </t>
        </is>
      </c>
      <c r="S953" t="n">
        <v>2</v>
      </c>
      <c r="T953" t="n">
        <v>2</v>
      </c>
      <c r="U953" t="inlineStr">
        <is>
          <t>2010-03-09</t>
        </is>
      </c>
      <c r="V953" t="inlineStr">
        <is>
          <t>2010-03-09</t>
        </is>
      </c>
      <c r="W953" t="inlineStr">
        <is>
          <t>2009-06-23</t>
        </is>
      </c>
      <c r="X953" t="inlineStr">
        <is>
          <t>2009-06-23</t>
        </is>
      </c>
      <c r="Y953" t="n">
        <v>152</v>
      </c>
      <c r="Z953" t="n">
        <v>132</v>
      </c>
      <c r="AA953" t="n">
        <v>449</v>
      </c>
      <c r="AB953" t="n">
        <v>2</v>
      </c>
      <c r="AC953" t="n">
        <v>4</v>
      </c>
      <c r="AD953" t="n">
        <v>10</v>
      </c>
      <c r="AE953" t="n">
        <v>25</v>
      </c>
      <c r="AF953" t="n">
        <v>3</v>
      </c>
      <c r="AG953" t="n">
        <v>10</v>
      </c>
      <c r="AH953" t="n">
        <v>3</v>
      </c>
      <c r="AI953" t="n">
        <v>7</v>
      </c>
      <c r="AJ953" t="n">
        <v>5</v>
      </c>
      <c r="AK953" t="n">
        <v>11</v>
      </c>
      <c r="AL953" t="n">
        <v>1</v>
      </c>
      <c r="AM953" t="n">
        <v>3</v>
      </c>
      <c r="AN953" t="n">
        <v>0</v>
      </c>
      <c r="AO953" t="n">
        <v>0</v>
      </c>
      <c r="AP953" t="inlineStr">
        <is>
          <t>No</t>
        </is>
      </c>
      <c r="AQ953" t="inlineStr">
        <is>
          <t>Yes</t>
        </is>
      </c>
      <c r="AR953">
        <f>HYPERLINK("http://catalog.hathitrust.org/Record/005411345","HathiTrust Record")</f>
        <v/>
      </c>
      <c r="AS953">
        <f>HYPERLINK("https://creighton-primo.hosted.exlibrisgroup.com/primo-explore/search?tab=default_tab&amp;search_scope=EVERYTHING&amp;vid=01CRU&amp;lang=en_US&amp;offset=0&amp;query=any,contains,991005321139702656","Catalog Record")</f>
        <v/>
      </c>
      <c r="AT953">
        <f>HYPERLINK("http://www.worldcat.org/oclc/69734662","WorldCat Record")</f>
        <v/>
      </c>
      <c r="AU953" t="inlineStr">
        <is>
          <t>796498289:eng</t>
        </is>
      </c>
      <c r="AV953" t="inlineStr">
        <is>
          <t>69734662</t>
        </is>
      </c>
      <c r="AW953" t="inlineStr">
        <is>
          <t>991005321139702656</t>
        </is>
      </c>
      <c r="AX953" t="inlineStr">
        <is>
          <t>991005321139702656</t>
        </is>
      </c>
      <c r="AY953" t="inlineStr">
        <is>
          <t>2256752350002656</t>
        </is>
      </c>
      <c r="AZ953" t="inlineStr">
        <is>
          <t>BOOK</t>
        </is>
      </c>
      <c r="BB953" t="inlineStr">
        <is>
          <t>9780073127644</t>
        </is>
      </c>
      <c r="BC953" t="inlineStr">
        <is>
          <t>32285005535884</t>
        </is>
      </c>
      <c r="BD953" t="inlineStr">
        <is>
          <t>893424904</t>
        </is>
      </c>
    </row>
    <row r="954">
      <c r="A954" t="inlineStr">
        <is>
          <t>No</t>
        </is>
      </c>
      <c r="B954" t="inlineStr">
        <is>
          <t>HQ1421 .W655 1994</t>
        </is>
      </c>
      <c r="C954" t="inlineStr">
        <is>
          <t>0                      HQ 1421000W  655         1994</t>
        </is>
      </c>
      <c r="D954" t="inlineStr">
        <is>
          <t>Women of color in U.S. society / edited by Maxine Baca Zinn and Bonnie Thornton Dill.</t>
        </is>
      </c>
      <c r="F954" t="inlineStr">
        <is>
          <t>No</t>
        </is>
      </c>
      <c r="G954" t="inlineStr">
        <is>
          <t>1</t>
        </is>
      </c>
      <c r="H954" t="inlineStr">
        <is>
          <t>No</t>
        </is>
      </c>
      <c r="I954" t="inlineStr">
        <is>
          <t>No</t>
        </is>
      </c>
      <c r="J954" t="inlineStr">
        <is>
          <t>0</t>
        </is>
      </c>
      <c r="L954" t="inlineStr">
        <is>
          <t>Philadelphia : Temple University Press, 1994.</t>
        </is>
      </c>
      <c r="M954" t="inlineStr">
        <is>
          <t>1994</t>
        </is>
      </c>
      <c r="O954" t="inlineStr">
        <is>
          <t>eng</t>
        </is>
      </c>
      <c r="P954" t="inlineStr">
        <is>
          <t>pau</t>
        </is>
      </c>
      <c r="Q954" t="inlineStr">
        <is>
          <t>Women in the political economy</t>
        </is>
      </c>
      <c r="R954" t="inlineStr">
        <is>
          <t xml:space="preserve">HQ </t>
        </is>
      </c>
      <c r="S954" t="n">
        <v>9</v>
      </c>
      <c r="T954" t="n">
        <v>9</v>
      </c>
      <c r="U954" t="inlineStr">
        <is>
          <t>2010-02-15</t>
        </is>
      </c>
      <c r="V954" t="inlineStr">
        <is>
          <t>2010-02-15</t>
        </is>
      </c>
      <c r="W954" t="inlineStr">
        <is>
          <t>1994-07-12</t>
        </is>
      </c>
      <c r="X954" t="inlineStr">
        <is>
          <t>1994-07-12</t>
        </is>
      </c>
      <c r="Y954" t="n">
        <v>760</v>
      </c>
      <c r="Z954" t="n">
        <v>708</v>
      </c>
      <c r="AA954" t="n">
        <v>879</v>
      </c>
      <c r="AB954" t="n">
        <v>6</v>
      </c>
      <c r="AC954" t="n">
        <v>6</v>
      </c>
      <c r="AD954" t="n">
        <v>38</v>
      </c>
      <c r="AE954" t="n">
        <v>43</v>
      </c>
      <c r="AF954" t="n">
        <v>14</v>
      </c>
      <c r="AG954" t="n">
        <v>18</v>
      </c>
      <c r="AH954" t="n">
        <v>9</v>
      </c>
      <c r="AI954" t="n">
        <v>10</v>
      </c>
      <c r="AJ954" t="n">
        <v>18</v>
      </c>
      <c r="AK954" t="n">
        <v>19</v>
      </c>
      <c r="AL954" t="n">
        <v>5</v>
      </c>
      <c r="AM954" t="n">
        <v>5</v>
      </c>
      <c r="AN954" t="n">
        <v>2</v>
      </c>
      <c r="AO954" t="n">
        <v>2</v>
      </c>
      <c r="AP954" t="inlineStr">
        <is>
          <t>No</t>
        </is>
      </c>
      <c r="AQ954" t="inlineStr">
        <is>
          <t>No</t>
        </is>
      </c>
      <c r="AS954">
        <f>HYPERLINK("https://creighton-primo.hosted.exlibrisgroup.com/primo-explore/search?tab=default_tab&amp;search_scope=EVERYTHING&amp;vid=01CRU&amp;lang=en_US&amp;offset=0&amp;query=any,contains,991002142019702656","Catalog Record")</f>
        <v/>
      </c>
      <c r="AT954">
        <f>HYPERLINK("http://www.worldcat.org/oclc/27432986","WorldCat Record")</f>
        <v/>
      </c>
      <c r="AU954" t="inlineStr">
        <is>
          <t>766671928:eng</t>
        </is>
      </c>
      <c r="AV954" t="inlineStr">
        <is>
          <t>27432986</t>
        </is>
      </c>
      <c r="AW954" t="inlineStr">
        <is>
          <t>991002142019702656</t>
        </is>
      </c>
      <c r="AX954" t="inlineStr">
        <is>
          <t>991002142019702656</t>
        </is>
      </c>
      <c r="AY954" t="inlineStr">
        <is>
          <t>2265104810002656</t>
        </is>
      </c>
      <c r="AZ954" t="inlineStr">
        <is>
          <t>BOOK</t>
        </is>
      </c>
      <c r="BB954" t="inlineStr">
        <is>
          <t>9781566391054</t>
        </is>
      </c>
      <c r="BC954" t="inlineStr">
        <is>
          <t>32285001931921</t>
        </is>
      </c>
      <c r="BD954" t="inlineStr">
        <is>
          <t>893433529</t>
        </is>
      </c>
    </row>
    <row r="955">
      <c r="A955" t="inlineStr">
        <is>
          <t>No</t>
        </is>
      </c>
      <c r="B955" t="inlineStr">
        <is>
          <t>HQ1421 .W66 1989b</t>
        </is>
      </c>
      <c r="C955" t="inlineStr">
        <is>
          <t>0                      HQ 1421000W  66          1989b</t>
        </is>
      </c>
      <c r="D955" t="inlineStr">
        <is>
          <t>Women's life cycle and economic insecurity : problems and proposals / edited by Martha N. Ozawa.</t>
        </is>
      </c>
      <c r="F955" t="inlineStr">
        <is>
          <t>No</t>
        </is>
      </c>
      <c r="G955" t="inlineStr">
        <is>
          <t>1</t>
        </is>
      </c>
      <c r="H955" t="inlineStr">
        <is>
          <t>No</t>
        </is>
      </c>
      <c r="I955" t="inlineStr">
        <is>
          <t>No</t>
        </is>
      </c>
      <c r="J955" t="inlineStr">
        <is>
          <t>0</t>
        </is>
      </c>
      <c r="L955" t="inlineStr">
        <is>
          <t>New York : Praeger, c1989.</t>
        </is>
      </c>
      <c r="M955" t="inlineStr">
        <is>
          <t>1989</t>
        </is>
      </c>
      <c r="N955" t="inlineStr">
        <is>
          <t>Paperback ed.</t>
        </is>
      </c>
      <c r="O955" t="inlineStr">
        <is>
          <t>eng</t>
        </is>
      </c>
      <c r="P955" t="inlineStr">
        <is>
          <t>nyu</t>
        </is>
      </c>
      <c r="R955" t="inlineStr">
        <is>
          <t xml:space="preserve">HQ </t>
        </is>
      </c>
      <c r="S955" t="n">
        <v>7</v>
      </c>
      <c r="T955" t="n">
        <v>7</v>
      </c>
      <c r="U955" t="inlineStr">
        <is>
          <t>1994-09-12</t>
        </is>
      </c>
      <c r="V955" t="inlineStr">
        <is>
          <t>1994-09-12</t>
        </is>
      </c>
      <c r="W955" t="inlineStr">
        <is>
          <t>1990-01-04</t>
        </is>
      </c>
      <c r="X955" t="inlineStr">
        <is>
          <t>1990-01-04</t>
        </is>
      </c>
      <c r="Y955" t="n">
        <v>149</v>
      </c>
      <c r="Z955" t="n">
        <v>131</v>
      </c>
      <c r="AA955" t="n">
        <v>463</v>
      </c>
      <c r="AB955" t="n">
        <v>2</v>
      </c>
      <c r="AC955" t="n">
        <v>4</v>
      </c>
      <c r="AD955" t="n">
        <v>6</v>
      </c>
      <c r="AE955" t="n">
        <v>23</v>
      </c>
      <c r="AF955" t="n">
        <v>2</v>
      </c>
      <c r="AG955" t="n">
        <v>6</v>
      </c>
      <c r="AH955" t="n">
        <v>3</v>
      </c>
      <c r="AI955" t="n">
        <v>8</v>
      </c>
      <c r="AJ955" t="n">
        <v>2</v>
      </c>
      <c r="AK955" t="n">
        <v>12</v>
      </c>
      <c r="AL955" t="n">
        <v>1</v>
      </c>
      <c r="AM955" t="n">
        <v>3</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HYPERLINK("https://creighton-primo.hosted.exlibrisgroup.com/primo-explore/search?tab=default_tab&amp;search_scope=EVERYTHING&amp;vid=01CRU&amp;lang=en_US&amp;offset=0&amp;query=any,contains,991001481869702656","Catalog Record")</f>
        <v/>
      </c>
      <c r="AT955">
        <f>HYPERLINK("http://www.worldcat.org/oclc/19626947","WorldCat Record")</f>
        <v/>
      </c>
      <c r="AU955" t="inlineStr">
        <is>
          <t>836754168:eng</t>
        </is>
      </c>
      <c r="AV955" t="inlineStr">
        <is>
          <t>19626947</t>
        </is>
      </c>
      <c r="AW955" t="inlineStr">
        <is>
          <t>991001481869702656</t>
        </is>
      </c>
      <c r="AX955" t="inlineStr">
        <is>
          <t>991001481869702656</t>
        </is>
      </c>
      <c r="AY955" t="inlineStr">
        <is>
          <t>2264509880002656</t>
        </is>
      </c>
      <c r="AZ955" t="inlineStr">
        <is>
          <t>BOOK</t>
        </is>
      </c>
      <c r="BB955" t="inlineStr">
        <is>
          <t>9780275933487</t>
        </is>
      </c>
      <c r="BC955" t="inlineStr">
        <is>
          <t>32285000026319</t>
        </is>
      </c>
      <c r="BD955" t="inlineStr">
        <is>
          <t>893516223</t>
        </is>
      </c>
    </row>
    <row r="956">
      <c r="A956" t="inlineStr">
        <is>
          <t>No</t>
        </is>
      </c>
      <c r="B956" t="inlineStr">
        <is>
          <t>HQ1423 .D8</t>
        </is>
      </c>
      <c r="C956" t="inlineStr">
        <is>
          <t>0                      HQ 1423000D  8</t>
        </is>
      </c>
      <c r="D956" t="inlineStr">
        <is>
          <t>Feminism and suffrage : the emergence of an independent women's movement in America, 1848-1869 / Ellen Carol DuBois.</t>
        </is>
      </c>
      <c r="F956" t="inlineStr">
        <is>
          <t>No</t>
        </is>
      </c>
      <c r="G956" t="inlineStr">
        <is>
          <t>1</t>
        </is>
      </c>
      <c r="H956" t="inlineStr">
        <is>
          <t>No</t>
        </is>
      </c>
      <c r="I956" t="inlineStr">
        <is>
          <t>No</t>
        </is>
      </c>
      <c r="J956" t="inlineStr">
        <is>
          <t>0</t>
        </is>
      </c>
      <c r="K956" t="inlineStr">
        <is>
          <t>DuBois, Ellen Carol, 1947-</t>
        </is>
      </c>
      <c r="L956" t="inlineStr">
        <is>
          <t>Ithaca : Cornell University Press, 1978.</t>
        </is>
      </c>
      <c r="M956" t="inlineStr">
        <is>
          <t>1978</t>
        </is>
      </c>
      <c r="O956" t="inlineStr">
        <is>
          <t>eng</t>
        </is>
      </c>
      <c r="P956" t="inlineStr">
        <is>
          <t>nyu</t>
        </is>
      </c>
      <c r="R956" t="inlineStr">
        <is>
          <t xml:space="preserve">HQ </t>
        </is>
      </c>
      <c r="S956" t="n">
        <v>12</v>
      </c>
      <c r="T956" t="n">
        <v>12</v>
      </c>
      <c r="U956" t="inlineStr">
        <is>
          <t>2007-12-14</t>
        </is>
      </c>
      <c r="V956" t="inlineStr">
        <is>
          <t>2007-12-14</t>
        </is>
      </c>
      <c r="W956" t="inlineStr">
        <is>
          <t>1993-02-23</t>
        </is>
      </c>
      <c r="X956" t="inlineStr">
        <is>
          <t>1993-02-23</t>
        </is>
      </c>
      <c r="Y956" t="n">
        <v>1361</v>
      </c>
      <c r="Z956" t="n">
        <v>1211</v>
      </c>
      <c r="AA956" t="n">
        <v>1435</v>
      </c>
      <c r="AB956" t="n">
        <v>14</v>
      </c>
      <c r="AC956" t="n">
        <v>14</v>
      </c>
      <c r="AD956" t="n">
        <v>56</v>
      </c>
      <c r="AE956" t="n">
        <v>60</v>
      </c>
      <c r="AF956" t="n">
        <v>25</v>
      </c>
      <c r="AG956" t="n">
        <v>28</v>
      </c>
      <c r="AH956" t="n">
        <v>9</v>
      </c>
      <c r="AI956" t="n">
        <v>9</v>
      </c>
      <c r="AJ956" t="n">
        <v>21</v>
      </c>
      <c r="AK956" t="n">
        <v>22</v>
      </c>
      <c r="AL956" t="n">
        <v>12</v>
      </c>
      <c r="AM956" t="n">
        <v>12</v>
      </c>
      <c r="AN956" t="n">
        <v>2</v>
      </c>
      <c r="AO956" t="n">
        <v>3</v>
      </c>
      <c r="AP956" t="inlineStr">
        <is>
          <t>No</t>
        </is>
      </c>
      <c r="AQ956" t="inlineStr">
        <is>
          <t>Yes</t>
        </is>
      </c>
      <c r="AR956">
        <f>HYPERLINK("http://catalog.hathitrust.org/Record/000091471","HathiTrust Record")</f>
        <v/>
      </c>
      <c r="AS956">
        <f>HYPERLINK("https://creighton-primo.hosted.exlibrisgroup.com/primo-explore/search?tab=default_tab&amp;search_scope=EVERYTHING&amp;vid=01CRU&amp;lang=en_US&amp;offset=0&amp;query=any,contains,991004474629702656","Catalog Record")</f>
        <v/>
      </c>
      <c r="AT956">
        <f>HYPERLINK("http://www.worldcat.org/oclc/3608729","WorldCat Record")</f>
        <v/>
      </c>
      <c r="AU956" t="inlineStr">
        <is>
          <t>578133:eng</t>
        </is>
      </c>
      <c r="AV956" t="inlineStr">
        <is>
          <t>3608729</t>
        </is>
      </c>
      <c r="AW956" t="inlineStr">
        <is>
          <t>991004474629702656</t>
        </is>
      </c>
      <c r="AX956" t="inlineStr">
        <is>
          <t>991004474629702656</t>
        </is>
      </c>
      <c r="AY956" t="inlineStr">
        <is>
          <t>2271510600002656</t>
        </is>
      </c>
      <c r="AZ956" t="inlineStr">
        <is>
          <t>BOOK</t>
        </is>
      </c>
      <c r="BB956" t="inlineStr">
        <is>
          <t>9780801410437</t>
        </is>
      </c>
      <c r="BC956" t="inlineStr">
        <is>
          <t>32285001535052</t>
        </is>
      </c>
      <c r="BD956" t="inlineStr">
        <is>
          <t>893411588</t>
        </is>
      </c>
    </row>
    <row r="957">
      <c r="A957" t="inlineStr">
        <is>
          <t>No</t>
        </is>
      </c>
      <c r="B957" t="inlineStr">
        <is>
          <t>HQ1423 .E67 1981</t>
        </is>
      </c>
      <c r="C957" t="inlineStr">
        <is>
          <t>0                      HQ 1423000E  67          1981</t>
        </is>
      </c>
      <c r="D957" t="inlineStr">
        <is>
          <t>The politics of domesticity : women, evangelism, and temperance in nineteenth-century America / by Barbara Leslie Epstein.</t>
        </is>
      </c>
      <c r="F957" t="inlineStr">
        <is>
          <t>No</t>
        </is>
      </c>
      <c r="G957" t="inlineStr">
        <is>
          <t>1</t>
        </is>
      </c>
      <c r="H957" t="inlineStr">
        <is>
          <t>No</t>
        </is>
      </c>
      <c r="I957" t="inlineStr">
        <is>
          <t>No</t>
        </is>
      </c>
      <c r="J957" t="inlineStr">
        <is>
          <t>0</t>
        </is>
      </c>
      <c r="K957" t="inlineStr">
        <is>
          <t>Epstein, Barbara Leslie, 1944-</t>
        </is>
      </c>
      <c r="L957" t="inlineStr">
        <is>
          <t>Middletown, Conn. : Wesleyan University Press ; Irvington, N.Y. : distributed by Columbia University Press, c1981.</t>
        </is>
      </c>
      <c r="M957" t="inlineStr">
        <is>
          <t>1981</t>
        </is>
      </c>
      <c r="N957" t="inlineStr">
        <is>
          <t>1st ed.</t>
        </is>
      </c>
      <c r="O957" t="inlineStr">
        <is>
          <t>eng</t>
        </is>
      </c>
      <c r="P957" t="inlineStr">
        <is>
          <t>ctu</t>
        </is>
      </c>
      <c r="R957" t="inlineStr">
        <is>
          <t xml:space="preserve">HQ </t>
        </is>
      </c>
      <c r="S957" t="n">
        <v>5</v>
      </c>
      <c r="T957" t="n">
        <v>5</v>
      </c>
      <c r="U957" t="inlineStr">
        <is>
          <t>1998-11-29</t>
        </is>
      </c>
      <c r="V957" t="inlineStr">
        <is>
          <t>1998-11-29</t>
        </is>
      </c>
      <c r="W957" t="inlineStr">
        <is>
          <t>1993-04-28</t>
        </is>
      </c>
      <c r="X957" t="inlineStr">
        <is>
          <t>1993-04-28</t>
        </is>
      </c>
      <c r="Y957" t="n">
        <v>827</v>
      </c>
      <c r="Z957" t="n">
        <v>716</v>
      </c>
      <c r="AA957" t="n">
        <v>775</v>
      </c>
      <c r="AB957" t="n">
        <v>4</v>
      </c>
      <c r="AC957" t="n">
        <v>4</v>
      </c>
      <c r="AD957" t="n">
        <v>30</v>
      </c>
      <c r="AE957" t="n">
        <v>34</v>
      </c>
      <c r="AF957" t="n">
        <v>12</v>
      </c>
      <c r="AG957" t="n">
        <v>14</v>
      </c>
      <c r="AH957" t="n">
        <v>10</v>
      </c>
      <c r="AI957" t="n">
        <v>10</v>
      </c>
      <c r="AJ957" t="n">
        <v>15</v>
      </c>
      <c r="AK957" t="n">
        <v>17</v>
      </c>
      <c r="AL957" t="n">
        <v>3</v>
      </c>
      <c r="AM957" t="n">
        <v>3</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HYPERLINK("https://creighton-primo.hosted.exlibrisgroup.com/primo-explore/search?tab=default_tab&amp;search_scope=EVERYTHING&amp;vid=01CRU&amp;lang=en_US&amp;offset=0&amp;query=any,contains,991004979049702656","Catalog Record")</f>
        <v/>
      </c>
      <c r="AT957">
        <f>HYPERLINK("http://www.worldcat.org/oclc/6420867","WorldCat Record")</f>
        <v/>
      </c>
      <c r="AU957" t="inlineStr">
        <is>
          <t>2796378:eng</t>
        </is>
      </c>
      <c r="AV957" t="inlineStr">
        <is>
          <t>6420867</t>
        </is>
      </c>
      <c r="AW957" t="inlineStr">
        <is>
          <t>991004979049702656</t>
        </is>
      </c>
      <c r="AX957" t="inlineStr">
        <is>
          <t>991004979049702656</t>
        </is>
      </c>
      <c r="AY957" t="inlineStr">
        <is>
          <t>2267137020002656</t>
        </is>
      </c>
      <c r="AZ957" t="inlineStr">
        <is>
          <t>BOOK</t>
        </is>
      </c>
      <c r="BB957" t="inlineStr">
        <is>
          <t>9780819550507</t>
        </is>
      </c>
      <c r="BC957" t="inlineStr">
        <is>
          <t>32285001629855</t>
        </is>
      </c>
      <c r="BD957" t="inlineStr">
        <is>
          <t>893719615</t>
        </is>
      </c>
    </row>
    <row r="958">
      <c r="A958" t="inlineStr">
        <is>
          <t>No</t>
        </is>
      </c>
      <c r="B958" t="inlineStr">
        <is>
          <t>HQ1423 .Y45 1989</t>
        </is>
      </c>
      <c r="C958" t="inlineStr">
        <is>
          <t>0                      HQ 1423000Y  45          1989</t>
        </is>
      </c>
      <c r="D958" t="inlineStr">
        <is>
          <t>Women &amp; sisters : the antislavery feminists in American culture / Jean Fagan Yellin.</t>
        </is>
      </c>
      <c r="F958" t="inlineStr">
        <is>
          <t>No</t>
        </is>
      </c>
      <c r="G958" t="inlineStr">
        <is>
          <t>1</t>
        </is>
      </c>
      <c r="H958" t="inlineStr">
        <is>
          <t>No</t>
        </is>
      </c>
      <c r="I958" t="inlineStr">
        <is>
          <t>No</t>
        </is>
      </c>
      <c r="J958" t="inlineStr">
        <is>
          <t>0</t>
        </is>
      </c>
      <c r="K958" t="inlineStr">
        <is>
          <t>Yellin, Jean Fagan.</t>
        </is>
      </c>
      <c r="L958" t="inlineStr">
        <is>
          <t>New Haven : Yale University Press, c1989.</t>
        </is>
      </c>
      <c r="M958" t="inlineStr">
        <is>
          <t>1989</t>
        </is>
      </c>
      <c r="O958" t="inlineStr">
        <is>
          <t>eng</t>
        </is>
      </c>
      <c r="P958" t="inlineStr">
        <is>
          <t>ctu</t>
        </is>
      </c>
      <c r="R958" t="inlineStr">
        <is>
          <t xml:space="preserve">HQ </t>
        </is>
      </c>
      <c r="S958" t="n">
        <v>7</v>
      </c>
      <c r="T958" t="n">
        <v>7</v>
      </c>
      <c r="U958" t="inlineStr">
        <is>
          <t>2001-11-14</t>
        </is>
      </c>
      <c r="V958" t="inlineStr">
        <is>
          <t>2001-11-14</t>
        </is>
      </c>
      <c r="W958" t="inlineStr">
        <is>
          <t>1991-05-13</t>
        </is>
      </c>
      <c r="X958" t="inlineStr">
        <is>
          <t>1991-05-13</t>
        </is>
      </c>
      <c r="Y958" t="n">
        <v>997</v>
      </c>
      <c r="Z958" t="n">
        <v>865</v>
      </c>
      <c r="AA958" t="n">
        <v>872</v>
      </c>
      <c r="AB958" t="n">
        <v>6</v>
      </c>
      <c r="AC958" t="n">
        <v>6</v>
      </c>
      <c r="AD958" t="n">
        <v>40</v>
      </c>
      <c r="AE958" t="n">
        <v>40</v>
      </c>
      <c r="AF958" t="n">
        <v>16</v>
      </c>
      <c r="AG958" t="n">
        <v>16</v>
      </c>
      <c r="AH958" t="n">
        <v>7</v>
      </c>
      <c r="AI958" t="n">
        <v>7</v>
      </c>
      <c r="AJ958" t="n">
        <v>20</v>
      </c>
      <c r="AK958" t="n">
        <v>20</v>
      </c>
      <c r="AL958" t="n">
        <v>5</v>
      </c>
      <c r="AM958" t="n">
        <v>5</v>
      </c>
      <c r="AN958" t="n">
        <v>1</v>
      </c>
      <c r="AO958" t="n">
        <v>1</v>
      </c>
      <c r="AP958" t="inlineStr">
        <is>
          <t>No</t>
        </is>
      </c>
      <c r="AQ958" t="inlineStr">
        <is>
          <t>No</t>
        </is>
      </c>
      <c r="AS958">
        <f>HYPERLINK("https://creighton-primo.hosted.exlibrisgroup.com/primo-explore/search?tab=default_tab&amp;search_scope=EVERYTHING&amp;vid=01CRU&amp;lang=en_US&amp;offset=0&amp;query=any,contains,991001526389702656","Catalog Record")</f>
        <v/>
      </c>
      <c r="AT958">
        <f>HYPERLINK("http://www.worldcat.org/oclc/20013145","WorldCat Record")</f>
        <v/>
      </c>
      <c r="AU958" t="inlineStr">
        <is>
          <t>836712294:eng</t>
        </is>
      </c>
      <c r="AV958" t="inlineStr">
        <is>
          <t>20013145</t>
        </is>
      </c>
      <c r="AW958" t="inlineStr">
        <is>
          <t>991001526389702656</t>
        </is>
      </c>
      <c r="AX958" t="inlineStr">
        <is>
          <t>991001526389702656</t>
        </is>
      </c>
      <c r="AY958" t="inlineStr">
        <is>
          <t>2262133340002656</t>
        </is>
      </c>
      <c r="AZ958" t="inlineStr">
        <is>
          <t>BOOK</t>
        </is>
      </c>
      <c r="BB958" t="inlineStr">
        <is>
          <t>9780300045154</t>
        </is>
      </c>
      <c r="BC958" t="inlineStr">
        <is>
          <t>32285000572882</t>
        </is>
      </c>
      <c r="BD958" t="inlineStr">
        <is>
          <t>893891620</t>
        </is>
      </c>
    </row>
    <row r="959">
      <c r="A959" t="inlineStr">
        <is>
          <t>No</t>
        </is>
      </c>
      <c r="B959" t="inlineStr">
        <is>
          <t>HQ1426 .A6827 1986</t>
        </is>
      </c>
      <c r="C959" t="inlineStr">
        <is>
          <t>0                      HQ 1426000A  6827        1986</t>
        </is>
      </c>
      <c r="D959" t="inlineStr">
        <is>
          <t>"Daughters of Jefferson, daughters of bootblacks" : racism and American feminism / by Barbara Hilkert Andolsen.</t>
        </is>
      </c>
      <c r="F959" t="inlineStr">
        <is>
          <t>No</t>
        </is>
      </c>
      <c r="G959" t="inlineStr">
        <is>
          <t>1</t>
        </is>
      </c>
      <c r="H959" t="inlineStr">
        <is>
          <t>No</t>
        </is>
      </c>
      <c r="I959" t="inlineStr">
        <is>
          <t>No</t>
        </is>
      </c>
      <c r="J959" t="inlineStr">
        <is>
          <t>0</t>
        </is>
      </c>
      <c r="K959" t="inlineStr">
        <is>
          <t>Andolsen, Barbara Hilkert.</t>
        </is>
      </c>
      <c r="L959" t="inlineStr">
        <is>
          <t>Macon, GA : Mercer University Press, c1986.</t>
        </is>
      </c>
      <c r="M959" t="inlineStr">
        <is>
          <t>1986</t>
        </is>
      </c>
      <c r="O959" t="inlineStr">
        <is>
          <t>eng</t>
        </is>
      </c>
      <c r="P959" t="inlineStr">
        <is>
          <t>gau</t>
        </is>
      </c>
      <c r="R959" t="inlineStr">
        <is>
          <t xml:space="preserve">HQ </t>
        </is>
      </c>
      <c r="S959" t="n">
        <v>4</v>
      </c>
      <c r="T959" t="n">
        <v>4</v>
      </c>
      <c r="U959" t="inlineStr">
        <is>
          <t>2000-08-27</t>
        </is>
      </c>
      <c r="V959" t="inlineStr">
        <is>
          <t>2000-08-27</t>
        </is>
      </c>
      <c r="W959" t="inlineStr">
        <is>
          <t>1993-09-09</t>
        </is>
      </c>
      <c r="X959" t="inlineStr">
        <is>
          <t>1993-09-09</t>
        </is>
      </c>
      <c r="Y959" t="n">
        <v>618</v>
      </c>
      <c r="Z959" t="n">
        <v>570</v>
      </c>
      <c r="AA959" t="n">
        <v>577</v>
      </c>
      <c r="AB959" t="n">
        <v>4</v>
      </c>
      <c r="AC959" t="n">
        <v>4</v>
      </c>
      <c r="AD959" t="n">
        <v>25</v>
      </c>
      <c r="AE959" t="n">
        <v>25</v>
      </c>
      <c r="AF959" t="n">
        <v>8</v>
      </c>
      <c r="AG959" t="n">
        <v>8</v>
      </c>
      <c r="AH959" t="n">
        <v>5</v>
      </c>
      <c r="AI959" t="n">
        <v>5</v>
      </c>
      <c r="AJ959" t="n">
        <v>14</v>
      </c>
      <c r="AK959" t="n">
        <v>14</v>
      </c>
      <c r="AL959" t="n">
        <v>3</v>
      </c>
      <c r="AM959" t="n">
        <v>3</v>
      </c>
      <c r="AN959" t="n">
        <v>1</v>
      </c>
      <c r="AO959" t="n">
        <v>1</v>
      </c>
      <c r="AP959" t="inlineStr">
        <is>
          <t>No</t>
        </is>
      </c>
      <c r="AQ959" t="inlineStr">
        <is>
          <t>Yes</t>
        </is>
      </c>
      <c r="AR959">
        <f>HYPERLINK("http://catalog.hathitrust.org/Record/000667619","HathiTrust Record")</f>
        <v/>
      </c>
      <c r="AS959">
        <f>HYPERLINK("https://creighton-primo.hosted.exlibrisgroup.com/primo-explore/search?tab=default_tab&amp;search_scope=EVERYTHING&amp;vid=01CRU&amp;lang=en_US&amp;offset=0&amp;query=any,contains,991000785949702656","Catalog Record")</f>
        <v/>
      </c>
      <c r="AT959">
        <f>HYPERLINK("http://www.worldcat.org/oclc/13124637","WorldCat Record")</f>
        <v/>
      </c>
      <c r="AU959" t="inlineStr">
        <is>
          <t>371934705:eng</t>
        </is>
      </c>
      <c r="AV959" t="inlineStr">
        <is>
          <t>13124637</t>
        </is>
      </c>
      <c r="AW959" t="inlineStr">
        <is>
          <t>991000785949702656</t>
        </is>
      </c>
      <c r="AX959" t="inlineStr">
        <is>
          <t>991000785949702656</t>
        </is>
      </c>
      <c r="AY959" t="inlineStr">
        <is>
          <t>2257350700002656</t>
        </is>
      </c>
      <c r="AZ959" t="inlineStr">
        <is>
          <t>BOOK</t>
        </is>
      </c>
      <c r="BB959" t="inlineStr">
        <is>
          <t>9780865542051</t>
        </is>
      </c>
      <c r="BC959" t="inlineStr">
        <is>
          <t>32285001765428</t>
        </is>
      </c>
      <c r="BD959" t="inlineStr">
        <is>
          <t>893891022</t>
        </is>
      </c>
    </row>
    <row r="960">
      <c r="A960" t="inlineStr">
        <is>
          <t>No</t>
        </is>
      </c>
      <c r="B960" t="inlineStr">
        <is>
          <t>HQ1426 .B253 1997</t>
        </is>
      </c>
      <c r="C960" t="inlineStr">
        <is>
          <t>0                      HQ 1426000B  253         1997</t>
        </is>
      </c>
      <c r="D960" t="inlineStr">
        <is>
          <t>The conversation begins : mothers and daughters talk about living feminism / Christina Looper Baker and Christina Baker Kline.</t>
        </is>
      </c>
      <c r="F960" t="inlineStr">
        <is>
          <t>No</t>
        </is>
      </c>
      <c r="G960" t="inlineStr">
        <is>
          <t>1</t>
        </is>
      </c>
      <c r="H960" t="inlineStr">
        <is>
          <t>No</t>
        </is>
      </c>
      <c r="I960" t="inlineStr">
        <is>
          <t>No</t>
        </is>
      </c>
      <c r="J960" t="inlineStr">
        <is>
          <t>0</t>
        </is>
      </c>
      <c r="K960" t="inlineStr">
        <is>
          <t>Baker, Christina Looper, 1939-</t>
        </is>
      </c>
      <c r="L960" t="inlineStr">
        <is>
          <t>New York : Bantam Books, 1997, c1996.</t>
        </is>
      </c>
      <c r="M960" t="inlineStr">
        <is>
          <t>1997</t>
        </is>
      </c>
      <c r="O960" t="inlineStr">
        <is>
          <t>eng</t>
        </is>
      </c>
      <c r="P960" t="inlineStr">
        <is>
          <t>nyu</t>
        </is>
      </c>
      <c r="R960" t="inlineStr">
        <is>
          <t xml:space="preserve">HQ </t>
        </is>
      </c>
      <c r="S960" t="n">
        <v>3</v>
      </c>
      <c r="T960" t="n">
        <v>3</v>
      </c>
      <c r="U960" t="inlineStr">
        <is>
          <t>1999-04-11</t>
        </is>
      </c>
      <c r="V960" t="inlineStr">
        <is>
          <t>1999-04-11</t>
        </is>
      </c>
      <c r="W960" t="inlineStr">
        <is>
          <t>1997-09-25</t>
        </is>
      </c>
      <c r="X960" t="inlineStr">
        <is>
          <t>1997-09-25</t>
        </is>
      </c>
      <c r="Y960" t="n">
        <v>58</v>
      </c>
      <c r="Z960" t="n">
        <v>56</v>
      </c>
      <c r="AA960" t="n">
        <v>386</v>
      </c>
      <c r="AB960" t="n">
        <v>1</v>
      </c>
      <c r="AC960" t="n">
        <v>4</v>
      </c>
      <c r="AD960" t="n">
        <v>2</v>
      </c>
      <c r="AE960" t="n">
        <v>16</v>
      </c>
      <c r="AF960" t="n">
        <v>2</v>
      </c>
      <c r="AG960" t="n">
        <v>4</v>
      </c>
      <c r="AH960" t="n">
        <v>0</v>
      </c>
      <c r="AI960" t="n">
        <v>5</v>
      </c>
      <c r="AJ960" t="n">
        <v>0</v>
      </c>
      <c r="AK960" t="n">
        <v>8</v>
      </c>
      <c r="AL960" t="n">
        <v>0</v>
      </c>
      <c r="AM960" t="n">
        <v>3</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HYPERLINK("https://creighton-primo.hosted.exlibrisgroup.com/primo-explore/search?tab=default_tab&amp;search_scope=EVERYTHING&amp;vid=01CRU&amp;lang=en_US&amp;offset=0&amp;query=any,contains,991002803789702656","Catalog Record")</f>
        <v/>
      </c>
      <c r="AT960">
        <f>HYPERLINK("http://www.worldcat.org/oclc/36827962","WorldCat Record")</f>
        <v/>
      </c>
      <c r="AU960" t="inlineStr">
        <is>
          <t>20668725:eng</t>
        </is>
      </c>
      <c r="AV960" t="inlineStr">
        <is>
          <t>36827962</t>
        </is>
      </c>
      <c r="AW960" t="inlineStr">
        <is>
          <t>991002803789702656</t>
        </is>
      </c>
      <c r="AX960" t="inlineStr">
        <is>
          <t>991002803789702656</t>
        </is>
      </c>
      <c r="AY960" t="inlineStr">
        <is>
          <t>2271385920002656</t>
        </is>
      </c>
      <c r="AZ960" t="inlineStr">
        <is>
          <t>BOOK</t>
        </is>
      </c>
      <c r="BB960" t="inlineStr">
        <is>
          <t>9780553375244</t>
        </is>
      </c>
      <c r="BC960" t="inlineStr">
        <is>
          <t>32285003250817</t>
        </is>
      </c>
      <c r="BD960" t="inlineStr">
        <is>
          <t>893616600</t>
        </is>
      </c>
    </row>
    <row r="961">
      <c r="A961" t="inlineStr">
        <is>
          <t>No</t>
        </is>
      </c>
      <c r="B961" t="inlineStr">
        <is>
          <t>HQ1426 .B428 1986</t>
        </is>
      </c>
      <c r="C961" t="inlineStr">
        <is>
          <t>0                      HQ 1426000B  428         1986</t>
        </is>
      </c>
      <c r="D961" t="inlineStr">
        <is>
          <t>Modern sexism : blatant, subtle and covert discrimination / Nijole V. Benokraitis, Joe R. Feagin.</t>
        </is>
      </c>
      <c r="F961" t="inlineStr">
        <is>
          <t>No</t>
        </is>
      </c>
      <c r="G961" t="inlineStr">
        <is>
          <t>1</t>
        </is>
      </c>
      <c r="H961" t="inlineStr">
        <is>
          <t>No</t>
        </is>
      </c>
      <c r="I961" t="inlineStr">
        <is>
          <t>No</t>
        </is>
      </c>
      <c r="J961" t="inlineStr">
        <is>
          <t>0</t>
        </is>
      </c>
      <c r="K961" t="inlineStr">
        <is>
          <t>Benokraitis, Nijole V. (Nijole Vaicaitis)</t>
        </is>
      </c>
      <c r="L961" t="inlineStr">
        <is>
          <t>Englewood Cliffs, N.J. : Prentice-Hall, c1986.</t>
        </is>
      </c>
      <c r="M961" t="inlineStr">
        <is>
          <t>1986</t>
        </is>
      </c>
      <c r="O961" t="inlineStr">
        <is>
          <t>eng</t>
        </is>
      </c>
      <c r="P961" t="inlineStr">
        <is>
          <t>nju</t>
        </is>
      </c>
      <c r="R961" t="inlineStr">
        <is>
          <t xml:space="preserve">HQ </t>
        </is>
      </c>
      <c r="S961" t="n">
        <v>17</v>
      </c>
      <c r="T961" t="n">
        <v>17</v>
      </c>
      <c r="U961" t="inlineStr">
        <is>
          <t>2010-01-17</t>
        </is>
      </c>
      <c r="V961" t="inlineStr">
        <is>
          <t>2010-01-17</t>
        </is>
      </c>
      <c r="W961" t="inlineStr">
        <is>
          <t>1992-01-24</t>
        </is>
      </c>
      <c r="X961" t="inlineStr">
        <is>
          <t>1992-01-24</t>
        </is>
      </c>
      <c r="Y961" t="n">
        <v>557</v>
      </c>
      <c r="Z961" t="n">
        <v>486</v>
      </c>
      <c r="AA961" t="n">
        <v>616</v>
      </c>
      <c r="AB961" t="n">
        <v>3</v>
      </c>
      <c r="AC961" t="n">
        <v>5</v>
      </c>
      <c r="AD961" t="n">
        <v>19</v>
      </c>
      <c r="AE961" t="n">
        <v>27</v>
      </c>
      <c r="AF961" t="n">
        <v>6</v>
      </c>
      <c r="AG961" t="n">
        <v>9</v>
      </c>
      <c r="AH961" t="n">
        <v>6</v>
      </c>
      <c r="AI961" t="n">
        <v>8</v>
      </c>
      <c r="AJ961" t="n">
        <v>11</v>
      </c>
      <c r="AK961" t="n">
        <v>14</v>
      </c>
      <c r="AL961" t="n">
        <v>2</v>
      </c>
      <c r="AM961" t="n">
        <v>4</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HYPERLINK("https://creighton-primo.hosted.exlibrisgroup.com/primo-explore/search?tab=default_tab&amp;search_scope=EVERYTHING&amp;vid=01CRU&amp;lang=en_US&amp;offset=0&amp;query=any,contains,991000838389702656","Catalog Record")</f>
        <v/>
      </c>
      <c r="AT961">
        <f>HYPERLINK("http://www.worldcat.org/oclc/13517078","WorldCat Record")</f>
        <v/>
      </c>
      <c r="AU961" t="inlineStr">
        <is>
          <t>836637950:eng</t>
        </is>
      </c>
      <c r="AV961" t="inlineStr">
        <is>
          <t>13517078</t>
        </is>
      </c>
      <c r="AW961" t="inlineStr">
        <is>
          <t>991000838389702656</t>
        </is>
      </c>
      <c r="AX961" t="inlineStr">
        <is>
          <t>991000838389702656</t>
        </is>
      </c>
      <c r="AY961" t="inlineStr">
        <is>
          <t>2267738440002656</t>
        </is>
      </c>
      <c r="AZ961" t="inlineStr">
        <is>
          <t>BOOK</t>
        </is>
      </c>
      <c r="BB961" t="inlineStr">
        <is>
          <t>9780135976340</t>
        </is>
      </c>
      <c r="BC961" t="inlineStr">
        <is>
          <t>32285000918382</t>
        </is>
      </c>
      <c r="BD961" t="inlineStr">
        <is>
          <t>893255781</t>
        </is>
      </c>
    </row>
    <row r="962">
      <c r="A962" t="inlineStr">
        <is>
          <t>No</t>
        </is>
      </c>
      <c r="B962" t="inlineStr">
        <is>
          <t>HQ1426 .B429 2005</t>
        </is>
      </c>
      <c r="C962" t="inlineStr">
        <is>
          <t>0                      HQ 1426000B  429         2005</t>
        </is>
      </c>
      <c r="D962" t="inlineStr">
        <is>
          <t>The economic emergence of women / by Barbara R. Bergmann.</t>
        </is>
      </c>
      <c r="F962" t="inlineStr">
        <is>
          <t>No</t>
        </is>
      </c>
      <c r="G962" t="inlineStr">
        <is>
          <t>1</t>
        </is>
      </c>
      <c r="H962" t="inlineStr">
        <is>
          <t>No</t>
        </is>
      </c>
      <c r="I962" t="inlineStr">
        <is>
          <t>No</t>
        </is>
      </c>
      <c r="J962" t="inlineStr">
        <is>
          <t>0</t>
        </is>
      </c>
      <c r="K962" t="inlineStr">
        <is>
          <t>Bergmann, Barbara R.</t>
        </is>
      </c>
      <c r="L962" t="inlineStr">
        <is>
          <t>Houndmills, Basingstoke, Hampshire ; New York : Palgrave Macmillan, 2005.</t>
        </is>
      </c>
      <c r="M962" t="inlineStr">
        <is>
          <t>2005</t>
        </is>
      </c>
      <c r="N962" t="inlineStr">
        <is>
          <t>2nd ed.</t>
        </is>
      </c>
      <c r="O962" t="inlineStr">
        <is>
          <t>eng</t>
        </is>
      </c>
      <c r="P962" t="inlineStr">
        <is>
          <t>enk</t>
        </is>
      </c>
      <c r="R962" t="inlineStr">
        <is>
          <t xml:space="preserve">HQ </t>
        </is>
      </c>
      <c r="S962" t="n">
        <v>1</v>
      </c>
      <c r="T962" t="n">
        <v>1</v>
      </c>
      <c r="U962" t="inlineStr">
        <is>
          <t>2005-11-09</t>
        </is>
      </c>
      <c r="V962" t="inlineStr">
        <is>
          <t>2005-11-09</t>
        </is>
      </c>
      <c r="W962" t="inlineStr">
        <is>
          <t>2005-11-09</t>
        </is>
      </c>
      <c r="X962" t="inlineStr">
        <is>
          <t>2005-11-09</t>
        </is>
      </c>
      <c r="Y962" t="n">
        <v>291</v>
      </c>
      <c r="Z962" t="n">
        <v>221</v>
      </c>
      <c r="AA962" t="n">
        <v>1410</v>
      </c>
      <c r="AB962" t="n">
        <v>4</v>
      </c>
      <c r="AC962" t="n">
        <v>9</v>
      </c>
      <c r="AD962" t="n">
        <v>14</v>
      </c>
      <c r="AE962" t="n">
        <v>58</v>
      </c>
      <c r="AF962" t="n">
        <v>3</v>
      </c>
      <c r="AG962" t="n">
        <v>26</v>
      </c>
      <c r="AH962" t="n">
        <v>6</v>
      </c>
      <c r="AI962" t="n">
        <v>10</v>
      </c>
      <c r="AJ962" t="n">
        <v>5</v>
      </c>
      <c r="AK962" t="n">
        <v>24</v>
      </c>
      <c r="AL962" t="n">
        <v>3</v>
      </c>
      <c r="AM962" t="n">
        <v>8</v>
      </c>
      <c r="AN962" t="n">
        <v>0</v>
      </c>
      <c r="AO962" t="n">
        <v>3</v>
      </c>
      <c r="AP962" t="inlineStr">
        <is>
          <t>No</t>
        </is>
      </c>
      <c r="AQ962" t="inlineStr">
        <is>
          <t>No</t>
        </is>
      </c>
      <c r="AS962">
        <f>HYPERLINK("https://creighton-primo.hosted.exlibrisgroup.com/primo-explore/search?tab=default_tab&amp;search_scope=EVERYTHING&amp;vid=01CRU&amp;lang=en_US&amp;offset=0&amp;query=any,contains,991004663679702656","Catalog Record")</f>
        <v/>
      </c>
      <c r="AT962">
        <f>HYPERLINK("http://www.worldcat.org/oclc/57730952","WorldCat Record")</f>
        <v/>
      </c>
      <c r="AU962" t="inlineStr">
        <is>
          <t>7009883:eng</t>
        </is>
      </c>
      <c r="AV962" t="inlineStr">
        <is>
          <t>57730952</t>
        </is>
      </c>
      <c r="AW962" t="inlineStr">
        <is>
          <t>991004663679702656</t>
        </is>
      </c>
      <c r="AX962" t="inlineStr">
        <is>
          <t>991004663679702656</t>
        </is>
      </c>
      <c r="AY962" t="inlineStr">
        <is>
          <t>2256379190002656</t>
        </is>
      </c>
      <c r="AZ962" t="inlineStr">
        <is>
          <t>BOOK</t>
        </is>
      </c>
      <c r="BB962" t="inlineStr">
        <is>
          <t>9780312219413</t>
        </is>
      </c>
      <c r="BC962" t="inlineStr">
        <is>
          <t>32285005146294</t>
        </is>
      </c>
      <c r="BD962" t="inlineStr">
        <is>
          <t>893260018</t>
        </is>
      </c>
    </row>
    <row r="963">
      <c r="A963" t="inlineStr">
        <is>
          <t>No</t>
        </is>
      </c>
      <c r="B963" t="inlineStr">
        <is>
          <t>HQ1426 .B43 1975</t>
        </is>
      </c>
      <c r="C963" t="inlineStr">
        <is>
          <t>0                      HQ 1426000B  43          1975</t>
        </is>
      </c>
      <c r="D963" t="inlineStr">
        <is>
          <t>The future of motherhood / Jessie Bernard.</t>
        </is>
      </c>
      <c r="F963" t="inlineStr">
        <is>
          <t>No</t>
        </is>
      </c>
      <c r="G963" t="inlineStr">
        <is>
          <t>1</t>
        </is>
      </c>
      <c r="H963" t="inlineStr">
        <is>
          <t>No</t>
        </is>
      </c>
      <c r="I963" t="inlineStr">
        <is>
          <t>No</t>
        </is>
      </c>
      <c r="J963" t="inlineStr">
        <is>
          <t>0</t>
        </is>
      </c>
      <c r="K963" t="inlineStr">
        <is>
          <t>Bernard, Jessie, 1903-1996.</t>
        </is>
      </c>
      <c r="L963" t="inlineStr">
        <is>
          <t>New York : Penguin Books, 1975.</t>
        </is>
      </c>
      <c r="M963" t="inlineStr">
        <is>
          <t>1975</t>
        </is>
      </c>
      <c r="O963" t="inlineStr">
        <is>
          <t>eng</t>
        </is>
      </c>
      <c r="P963" t="inlineStr">
        <is>
          <t>nyu</t>
        </is>
      </c>
      <c r="R963" t="inlineStr">
        <is>
          <t xml:space="preserve">HQ </t>
        </is>
      </c>
      <c r="S963" t="n">
        <v>4</v>
      </c>
      <c r="T963" t="n">
        <v>4</v>
      </c>
      <c r="U963" t="inlineStr">
        <is>
          <t>2002-04-24</t>
        </is>
      </c>
      <c r="V963" t="inlineStr">
        <is>
          <t>2002-04-24</t>
        </is>
      </c>
      <c r="W963" t="inlineStr">
        <is>
          <t>1993-12-20</t>
        </is>
      </c>
      <c r="X963" t="inlineStr">
        <is>
          <t>1993-12-20</t>
        </is>
      </c>
      <c r="Y963" t="n">
        <v>159</v>
      </c>
      <c r="Z963" t="n">
        <v>138</v>
      </c>
      <c r="AA963" t="n">
        <v>724</v>
      </c>
      <c r="AB963" t="n">
        <v>2</v>
      </c>
      <c r="AC963" t="n">
        <v>5</v>
      </c>
      <c r="AD963" t="n">
        <v>7</v>
      </c>
      <c r="AE963" t="n">
        <v>29</v>
      </c>
      <c r="AF963" t="n">
        <v>1</v>
      </c>
      <c r="AG963" t="n">
        <v>11</v>
      </c>
      <c r="AH963" t="n">
        <v>3</v>
      </c>
      <c r="AI963" t="n">
        <v>8</v>
      </c>
      <c r="AJ963" t="n">
        <v>3</v>
      </c>
      <c r="AK963" t="n">
        <v>14</v>
      </c>
      <c r="AL963" t="n">
        <v>1</v>
      </c>
      <c r="AM963" t="n">
        <v>4</v>
      </c>
      <c r="AN963" t="n">
        <v>0</v>
      </c>
      <c r="AO963" t="n">
        <v>0</v>
      </c>
      <c r="AP963" t="inlineStr">
        <is>
          <t>No</t>
        </is>
      </c>
      <c r="AQ963" t="inlineStr">
        <is>
          <t>Yes</t>
        </is>
      </c>
      <c r="AR963">
        <f>HYPERLINK("http://catalog.hathitrust.org/Record/000696513","HathiTrust Record")</f>
        <v/>
      </c>
      <c r="AS963">
        <f>HYPERLINK("https://creighton-primo.hosted.exlibrisgroup.com/primo-explore/search?tab=default_tab&amp;search_scope=EVERYTHING&amp;vid=01CRU&amp;lang=en_US&amp;offset=0&amp;query=any,contains,991003996109702656","Catalog Record")</f>
        <v/>
      </c>
      <c r="AT963">
        <f>HYPERLINK("http://www.worldcat.org/oclc/2061306","WorldCat Record")</f>
        <v/>
      </c>
      <c r="AU963" t="inlineStr">
        <is>
          <t>112987313:eng</t>
        </is>
      </c>
      <c r="AV963" t="inlineStr">
        <is>
          <t>2061306</t>
        </is>
      </c>
      <c r="AW963" t="inlineStr">
        <is>
          <t>991003996109702656</t>
        </is>
      </c>
      <c r="AX963" t="inlineStr">
        <is>
          <t>991003996109702656</t>
        </is>
      </c>
      <c r="AY963" t="inlineStr">
        <is>
          <t>2261671010002656</t>
        </is>
      </c>
      <c r="AZ963" t="inlineStr">
        <is>
          <t>BOOK</t>
        </is>
      </c>
      <c r="BB963" t="inlineStr">
        <is>
          <t>9780140040401</t>
        </is>
      </c>
      <c r="BC963" t="inlineStr">
        <is>
          <t>32285001826394</t>
        </is>
      </c>
      <c r="BD963" t="inlineStr">
        <is>
          <t>893624214</t>
        </is>
      </c>
    </row>
    <row r="964">
      <c r="A964" t="inlineStr">
        <is>
          <t>No</t>
        </is>
      </c>
      <c r="B964" t="inlineStr">
        <is>
          <t>HQ1426 .B49 1987</t>
        </is>
      </c>
      <c r="C964" t="inlineStr">
        <is>
          <t>0                      HQ 1426000B  49          1987</t>
        </is>
      </c>
      <c r="D964" t="inlineStr">
        <is>
          <t>Beyond the public/domestic dichotomy : contemporary perspectives on women's public lives / edited by Janet Sharistanian.</t>
        </is>
      </c>
      <c r="F964" t="inlineStr">
        <is>
          <t>No</t>
        </is>
      </c>
      <c r="G964" t="inlineStr">
        <is>
          <t>1</t>
        </is>
      </c>
      <c r="H964" t="inlineStr">
        <is>
          <t>No</t>
        </is>
      </c>
      <c r="I964" t="inlineStr">
        <is>
          <t>No</t>
        </is>
      </c>
      <c r="J964" t="inlineStr">
        <is>
          <t>0</t>
        </is>
      </c>
      <c r="L964" t="inlineStr">
        <is>
          <t>New York : Greenwood Press, c1987.</t>
        </is>
      </c>
      <c r="M964" t="inlineStr">
        <is>
          <t>1987</t>
        </is>
      </c>
      <c r="O964" t="inlineStr">
        <is>
          <t>eng</t>
        </is>
      </c>
      <c r="P964" t="inlineStr">
        <is>
          <t>nyu</t>
        </is>
      </c>
      <c r="Q964" t="inlineStr">
        <is>
          <t>Contributions in women's studies, 0147-104X ; no. 78</t>
        </is>
      </c>
      <c r="R964" t="inlineStr">
        <is>
          <t xml:space="preserve">HQ </t>
        </is>
      </c>
      <c r="S964" t="n">
        <v>4</v>
      </c>
      <c r="T964" t="n">
        <v>4</v>
      </c>
      <c r="U964" t="inlineStr">
        <is>
          <t>1994-12-02</t>
        </is>
      </c>
      <c r="V964" t="inlineStr">
        <is>
          <t>1994-12-02</t>
        </is>
      </c>
      <c r="W964" t="inlineStr">
        <is>
          <t>1993-04-28</t>
        </is>
      </c>
      <c r="X964" t="inlineStr">
        <is>
          <t>1993-04-28</t>
        </is>
      </c>
      <c r="Y964" t="n">
        <v>299</v>
      </c>
      <c r="Z964" t="n">
        <v>240</v>
      </c>
      <c r="AA964" t="n">
        <v>242</v>
      </c>
      <c r="AB964" t="n">
        <v>4</v>
      </c>
      <c r="AC964" t="n">
        <v>4</v>
      </c>
      <c r="AD964" t="n">
        <v>11</v>
      </c>
      <c r="AE964" t="n">
        <v>11</v>
      </c>
      <c r="AF964" t="n">
        <v>2</v>
      </c>
      <c r="AG964" t="n">
        <v>2</v>
      </c>
      <c r="AH964" t="n">
        <v>3</v>
      </c>
      <c r="AI964" t="n">
        <v>3</v>
      </c>
      <c r="AJ964" t="n">
        <v>5</v>
      </c>
      <c r="AK964" t="n">
        <v>5</v>
      </c>
      <c r="AL964" t="n">
        <v>3</v>
      </c>
      <c r="AM964" t="n">
        <v>3</v>
      </c>
      <c r="AN964" t="n">
        <v>0</v>
      </c>
      <c r="AO964" t="n">
        <v>0</v>
      </c>
      <c r="AP964" t="inlineStr">
        <is>
          <t>No</t>
        </is>
      </c>
      <c r="AQ964" t="inlineStr">
        <is>
          <t>Yes</t>
        </is>
      </c>
      <c r="AR964">
        <f>HYPERLINK("http://catalog.hathitrust.org/Record/000840095","HathiTrust Record")</f>
        <v/>
      </c>
      <c r="AS964">
        <f>HYPERLINK("https://creighton-primo.hosted.exlibrisgroup.com/primo-explore/search?tab=default_tab&amp;search_scope=EVERYTHING&amp;vid=01CRU&amp;lang=en_US&amp;offset=0&amp;query=any,contains,991000960649702656","Catalog Record")</f>
        <v/>
      </c>
      <c r="AT964">
        <f>HYPERLINK("http://www.worldcat.org/oclc/14818483","WorldCat Record")</f>
        <v/>
      </c>
      <c r="AU964" t="inlineStr">
        <is>
          <t>836684214:eng</t>
        </is>
      </c>
      <c r="AV964" t="inlineStr">
        <is>
          <t>14818483</t>
        </is>
      </c>
      <c r="AW964" t="inlineStr">
        <is>
          <t>991000960649702656</t>
        </is>
      </c>
      <c r="AX964" t="inlineStr">
        <is>
          <t>991000960649702656</t>
        </is>
      </c>
      <c r="AY964" t="inlineStr">
        <is>
          <t>2263897420002656</t>
        </is>
      </c>
      <c r="AZ964" t="inlineStr">
        <is>
          <t>BOOK</t>
        </is>
      </c>
      <c r="BB964" t="inlineStr">
        <is>
          <t>9780313257681</t>
        </is>
      </c>
      <c r="BC964" t="inlineStr">
        <is>
          <t>32285001629871</t>
        </is>
      </c>
      <c r="BD964" t="inlineStr">
        <is>
          <t>893419927</t>
        </is>
      </c>
    </row>
    <row r="965">
      <c r="A965" t="inlineStr">
        <is>
          <t>No</t>
        </is>
      </c>
      <c r="B965" t="inlineStr">
        <is>
          <t>HQ1426 .B76 1984</t>
        </is>
      </c>
      <c r="C965" t="inlineStr">
        <is>
          <t>0                      HQ 1426000B  76          1984</t>
        </is>
      </c>
      <c r="D965" t="inlineStr">
        <is>
          <t>Femininity / Susan Brownmiller.</t>
        </is>
      </c>
      <c r="F965" t="inlineStr">
        <is>
          <t>No</t>
        </is>
      </c>
      <c r="G965" t="inlineStr">
        <is>
          <t>1</t>
        </is>
      </c>
      <c r="H965" t="inlineStr">
        <is>
          <t>No</t>
        </is>
      </c>
      <c r="I965" t="inlineStr">
        <is>
          <t>No</t>
        </is>
      </c>
      <c r="J965" t="inlineStr">
        <is>
          <t>0</t>
        </is>
      </c>
      <c r="K965" t="inlineStr">
        <is>
          <t>Brownmiller, Susan.</t>
        </is>
      </c>
      <c r="L965" t="inlineStr">
        <is>
          <t>New York : Linden Press/Simon &amp; Schuster, 1984.</t>
        </is>
      </c>
      <c r="M965" t="inlineStr">
        <is>
          <t>1984</t>
        </is>
      </c>
      <c r="O965" t="inlineStr">
        <is>
          <t>eng</t>
        </is>
      </c>
      <c r="P965" t="inlineStr">
        <is>
          <t>nyu</t>
        </is>
      </c>
      <c r="R965" t="inlineStr">
        <is>
          <t xml:space="preserve">HQ </t>
        </is>
      </c>
      <c r="S965" t="n">
        <v>10</v>
      </c>
      <c r="T965" t="n">
        <v>10</v>
      </c>
      <c r="U965" t="inlineStr">
        <is>
          <t>2007-11-26</t>
        </is>
      </c>
      <c r="V965" t="inlineStr">
        <is>
          <t>2007-11-26</t>
        </is>
      </c>
      <c r="W965" t="inlineStr">
        <is>
          <t>1990-06-06</t>
        </is>
      </c>
      <c r="X965" t="inlineStr">
        <is>
          <t>1990-06-06</t>
        </is>
      </c>
      <c r="Y965" t="n">
        <v>1573</v>
      </c>
      <c r="Z965" t="n">
        <v>1435</v>
      </c>
      <c r="AA965" t="n">
        <v>1732</v>
      </c>
      <c r="AB965" t="n">
        <v>9</v>
      </c>
      <c r="AC965" t="n">
        <v>13</v>
      </c>
      <c r="AD965" t="n">
        <v>40</v>
      </c>
      <c r="AE965" t="n">
        <v>52</v>
      </c>
      <c r="AF965" t="n">
        <v>18</v>
      </c>
      <c r="AG965" t="n">
        <v>23</v>
      </c>
      <c r="AH965" t="n">
        <v>10</v>
      </c>
      <c r="AI965" t="n">
        <v>11</v>
      </c>
      <c r="AJ965" t="n">
        <v>20</v>
      </c>
      <c r="AK965" t="n">
        <v>22</v>
      </c>
      <c r="AL965" t="n">
        <v>6</v>
      </c>
      <c r="AM965" t="n">
        <v>9</v>
      </c>
      <c r="AN965" t="n">
        <v>0</v>
      </c>
      <c r="AO965" t="n">
        <v>1</v>
      </c>
      <c r="AP965" t="inlineStr">
        <is>
          <t>No</t>
        </is>
      </c>
      <c r="AQ965" t="inlineStr">
        <is>
          <t>Yes</t>
        </is>
      </c>
      <c r="AR965">
        <f>HYPERLINK("http://catalog.hathitrust.org/Record/000200571","HathiTrust Record")</f>
        <v/>
      </c>
      <c r="AS965">
        <f>HYPERLINK("https://creighton-primo.hosted.exlibrisgroup.com/primo-explore/search?tab=default_tab&amp;search_scope=EVERYTHING&amp;vid=01CRU&amp;lang=en_US&amp;offset=0&amp;query=any,contains,991000300859702656","Catalog Record")</f>
        <v/>
      </c>
      <c r="AT965">
        <f>HYPERLINK("http://www.worldcat.org/oclc/10022091","WorldCat Record")</f>
        <v/>
      </c>
      <c r="AU965" t="inlineStr">
        <is>
          <t>3404981:eng</t>
        </is>
      </c>
      <c r="AV965" t="inlineStr">
        <is>
          <t>10022091</t>
        </is>
      </c>
      <c r="AW965" t="inlineStr">
        <is>
          <t>991000300859702656</t>
        </is>
      </c>
      <c r="AX965" t="inlineStr">
        <is>
          <t>991000300859702656</t>
        </is>
      </c>
      <c r="AY965" t="inlineStr">
        <is>
          <t>2266855100002656</t>
        </is>
      </c>
      <c r="AZ965" t="inlineStr">
        <is>
          <t>BOOK</t>
        </is>
      </c>
      <c r="BB965" t="inlineStr">
        <is>
          <t>9780671246921</t>
        </is>
      </c>
      <c r="BC965" t="inlineStr">
        <is>
          <t>32285000182187</t>
        </is>
      </c>
      <c r="BD965" t="inlineStr">
        <is>
          <t>893714477</t>
        </is>
      </c>
    </row>
    <row r="966">
      <c r="A966" t="inlineStr">
        <is>
          <t>No</t>
        </is>
      </c>
      <c r="B966" t="inlineStr">
        <is>
          <t>HQ1426 .B82</t>
        </is>
      </c>
      <c r="C966" t="inlineStr">
        <is>
          <t>0                      HQ 1426000B  82</t>
        </is>
      </c>
      <c r="D966" t="inlineStr">
        <is>
          <t>Women and American socialism, 1780-1920 / Mari Jo Buhle.</t>
        </is>
      </c>
      <c r="F966" t="inlineStr">
        <is>
          <t>No</t>
        </is>
      </c>
      <c r="G966" t="inlineStr">
        <is>
          <t>1</t>
        </is>
      </c>
      <c r="H966" t="inlineStr">
        <is>
          <t>No</t>
        </is>
      </c>
      <c r="I966" t="inlineStr">
        <is>
          <t>No</t>
        </is>
      </c>
      <c r="J966" t="inlineStr">
        <is>
          <t>0</t>
        </is>
      </c>
      <c r="K966" t="inlineStr">
        <is>
          <t>Buhle, Mari Jo, 1943-</t>
        </is>
      </c>
      <c r="L966" t="inlineStr">
        <is>
          <t>Urbana : University of Illinois Press, c1981.</t>
        </is>
      </c>
      <c r="M966" t="inlineStr">
        <is>
          <t>1981</t>
        </is>
      </c>
      <c r="O966" t="inlineStr">
        <is>
          <t>eng</t>
        </is>
      </c>
      <c r="P966" t="inlineStr">
        <is>
          <t>ilu</t>
        </is>
      </c>
      <c r="Q966" t="inlineStr">
        <is>
          <t>The Working class in American history</t>
        </is>
      </c>
      <c r="R966" t="inlineStr">
        <is>
          <t xml:space="preserve">HQ </t>
        </is>
      </c>
      <c r="S966" t="n">
        <v>2</v>
      </c>
      <c r="T966" t="n">
        <v>2</v>
      </c>
      <c r="U966" t="inlineStr">
        <is>
          <t>2003-10-06</t>
        </is>
      </c>
      <c r="V966" t="inlineStr">
        <is>
          <t>2003-10-06</t>
        </is>
      </c>
      <c r="W966" t="inlineStr">
        <is>
          <t>1990-07-05</t>
        </is>
      </c>
      <c r="X966" t="inlineStr">
        <is>
          <t>1990-07-05</t>
        </is>
      </c>
      <c r="Y966" t="n">
        <v>870</v>
      </c>
      <c r="Z966" t="n">
        <v>741</v>
      </c>
      <c r="AA966" t="n">
        <v>805</v>
      </c>
      <c r="AB966" t="n">
        <v>4</v>
      </c>
      <c r="AC966" t="n">
        <v>4</v>
      </c>
      <c r="AD966" t="n">
        <v>34</v>
      </c>
      <c r="AE966" t="n">
        <v>37</v>
      </c>
      <c r="AF966" t="n">
        <v>14</v>
      </c>
      <c r="AG966" t="n">
        <v>15</v>
      </c>
      <c r="AH966" t="n">
        <v>9</v>
      </c>
      <c r="AI966" t="n">
        <v>10</v>
      </c>
      <c r="AJ966" t="n">
        <v>18</v>
      </c>
      <c r="AK966" t="n">
        <v>20</v>
      </c>
      <c r="AL966" t="n">
        <v>3</v>
      </c>
      <c r="AM966" t="n">
        <v>3</v>
      </c>
      <c r="AN966" t="n">
        <v>1</v>
      </c>
      <c r="AO966" t="n">
        <v>1</v>
      </c>
      <c r="AP966" t="inlineStr">
        <is>
          <t>No</t>
        </is>
      </c>
      <c r="AQ966" t="inlineStr">
        <is>
          <t>Yes</t>
        </is>
      </c>
      <c r="AR966">
        <f>HYPERLINK("http://catalog.hathitrust.org/Record/000225026","HathiTrust Record")</f>
        <v/>
      </c>
      <c r="AS966">
        <f>HYPERLINK("https://creighton-primo.hosted.exlibrisgroup.com/primo-explore/search?tab=default_tab&amp;search_scope=EVERYTHING&amp;vid=01CRU&amp;lang=en_US&amp;offset=0&amp;query=any,contains,991005092719702656","Catalog Record")</f>
        <v/>
      </c>
      <c r="AT966">
        <f>HYPERLINK("http://www.worldcat.org/oclc/7247128","WorldCat Record")</f>
        <v/>
      </c>
      <c r="AU966" t="inlineStr">
        <is>
          <t>571641:eng</t>
        </is>
      </c>
      <c r="AV966" t="inlineStr">
        <is>
          <t>7247128</t>
        </is>
      </c>
      <c r="AW966" t="inlineStr">
        <is>
          <t>991005092719702656</t>
        </is>
      </c>
      <c r="AX966" t="inlineStr">
        <is>
          <t>991005092719702656</t>
        </is>
      </c>
      <c r="AY966" t="inlineStr">
        <is>
          <t>2268241290002656</t>
        </is>
      </c>
      <c r="AZ966" t="inlineStr">
        <is>
          <t>BOOK</t>
        </is>
      </c>
      <c r="BB966" t="inlineStr">
        <is>
          <t>9780252008733</t>
        </is>
      </c>
      <c r="BC966" t="inlineStr">
        <is>
          <t>32285000221894</t>
        </is>
      </c>
      <c r="BD966" t="inlineStr">
        <is>
          <t>893625432</t>
        </is>
      </c>
    </row>
    <row r="967">
      <c r="A967" t="inlineStr">
        <is>
          <t>No</t>
        </is>
      </c>
      <c r="B967" t="inlineStr">
        <is>
          <t>HQ1426 .C244 1979</t>
        </is>
      </c>
      <c r="C967" t="inlineStr">
        <is>
          <t>0                      HQ 1426000C  244         1979</t>
        </is>
      </c>
      <c r="D967" t="inlineStr">
        <is>
          <t>Capitalist patriarchy and the case for socialist feminism / edited by Zillah R. Eisenstein.</t>
        </is>
      </c>
      <c r="F967" t="inlineStr">
        <is>
          <t>No</t>
        </is>
      </c>
      <c r="G967" t="inlineStr">
        <is>
          <t>1</t>
        </is>
      </c>
      <c r="H967" t="inlineStr">
        <is>
          <t>No</t>
        </is>
      </c>
      <c r="I967" t="inlineStr">
        <is>
          <t>No</t>
        </is>
      </c>
      <c r="J967" t="inlineStr">
        <is>
          <t>0</t>
        </is>
      </c>
      <c r="L967" t="inlineStr">
        <is>
          <t>New York : Monthly Review Press, c1979.</t>
        </is>
      </c>
      <c r="M967" t="inlineStr">
        <is>
          <t>1978</t>
        </is>
      </c>
      <c r="O967" t="inlineStr">
        <is>
          <t>eng</t>
        </is>
      </c>
      <c r="P967" t="inlineStr">
        <is>
          <t>nyu</t>
        </is>
      </c>
      <c r="R967" t="inlineStr">
        <is>
          <t xml:space="preserve">HQ </t>
        </is>
      </c>
      <c r="S967" t="n">
        <v>1</v>
      </c>
      <c r="T967" t="n">
        <v>1</v>
      </c>
      <c r="U967" t="inlineStr">
        <is>
          <t>2003-10-06</t>
        </is>
      </c>
      <c r="V967" t="inlineStr">
        <is>
          <t>2003-10-06</t>
        </is>
      </c>
      <c r="W967" t="inlineStr">
        <is>
          <t>1993-04-28</t>
        </is>
      </c>
      <c r="X967" t="inlineStr">
        <is>
          <t>1993-04-28</t>
        </is>
      </c>
      <c r="Y967" t="n">
        <v>689</v>
      </c>
      <c r="Z967" t="n">
        <v>522</v>
      </c>
      <c r="AA967" t="n">
        <v>538</v>
      </c>
      <c r="AB967" t="n">
        <v>3</v>
      </c>
      <c r="AC967" t="n">
        <v>3</v>
      </c>
      <c r="AD967" t="n">
        <v>23</v>
      </c>
      <c r="AE967" t="n">
        <v>23</v>
      </c>
      <c r="AF967" t="n">
        <v>8</v>
      </c>
      <c r="AG967" t="n">
        <v>8</v>
      </c>
      <c r="AH967" t="n">
        <v>6</v>
      </c>
      <c r="AI967" t="n">
        <v>6</v>
      </c>
      <c r="AJ967" t="n">
        <v>10</v>
      </c>
      <c r="AK967" t="n">
        <v>10</v>
      </c>
      <c r="AL967" t="n">
        <v>2</v>
      </c>
      <c r="AM967" t="n">
        <v>2</v>
      </c>
      <c r="AN967" t="n">
        <v>2</v>
      </c>
      <c r="AO967" t="n">
        <v>2</v>
      </c>
      <c r="AP967" t="inlineStr">
        <is>
          <t>No</t>
        </is>
      </c>
      <c r="AQ967" t="inlineStr">
        <is>
          <t>Yes</t>
        </is>
      </c>
      <c r="AR967">
        <f>HYPERLINK("http://catalog.hathitrust.org/Record/000752824","HathiTrust Record")</f>
        <v/>
      </c>
      <c r="AS967">
        <f>HYPERLINK("https://creighton-primo.hosted.exlibrisgroup.com/primo-explore/search?tab=default_tab&amp;search_scope=EVERYTHING&amp;vid=01CRU&amp;lang=en_US&amp;offset=0&amp;query=any,contains,991004437179702656","Catalog Record")</f>
        <v/>
      </c>
      <c r="AT967">
        <f>HYPERLINK("http://www.worldcat.org/oclc/3447090","WorldCat Record")</f>
        <v/>
      </c>
      <c r="AU967" t="inlineStr">
        <is>
          <t>54194048:eng</t>
        </is>
      </c>
      <c r="AV967" t="inlineStr">
        <is>
          <t>3447090</t>
        </is>
      </c>
      <c r="AW967" t="inlineStr">
        <is>
          <t>991004437179702656</t>
        </is>
      </c>
      <c r="AX967" t="inlineStr">
        <is>
          <t>991004437179702656</t>
        </is>
      </c>
      <c r="AY967" t="inlineStr">
        <is>
          <t>2268750000002656</t>
        </is>
      </c>
      <c r="AZ967" t="inlineStr">
        <is>
          <t>BOOK</t>
        </is>
      </c>
      <c r="BB967" t="inlineStr">
        <is>
          <t>9780853454199</t>
        </is>
      </c>
      <c r="BC967" t="inlineStr">
        <is>
          <t>32285001629897</t>
        </is>
      </c>
      <c r="BD967" t="inlineStr">
        <is>
          <t>893718894</t>
        </is>
      </c>
    </row>
    <row r="968">
      <c r="A968" t="inlineStr">
        <is>
          <t>No</t>
        </is>
      </c>
      <c r="B968" t="inlineStr">
        <is>
          <t>HQ1426 .C626 1988</t>
        </is>
      </c>
      <c r="C968" t="inlineStr">
        <is>
          <t>0                      HQ 1426000C  626         1988</t>
        </is>
      </c>
      <c r="D968" t="inlineStr">
        <is>
          <t>The sisterhood : the true story of the women who changed the world / Marcia Cohen.</t>
        </is>
      </c>
      <c r="F968" t="inlineStr">
        <is>
          <t>No</t>
        </is>
      </c>
      <c r="G968" t="inlineStr">
        <is>
          <t>1</t>
        </is>
      </c>
      <c r="H968" t="inlineStr">
        <is>
          <t>No</t>
        </is>
      </c>
      <c r="I968" t="inlineStr">
        <is>
          <t>No</t>
        </is>
      </c>
      <c r="J968" t="inlineStr">
        <is>
          <t>0</t>
        </is>
      </c>
      <c r="K968" t="inlineStr">
        <is>
          <t>Cohen, Marcia.</t>
        </is>
      </c>
      <c r="L968" t="inlineStr">
        <is>
          <t>New York : Simon and Schuster, c1988.</t>
        </is>
      </c>
      <c r="M968" t="inlineStr">
        <is>
          <t>1988</t>
        </is>
      </c>
      <c r="O968" t="inlineStr">
        <is>
          <t>eng</t>
        </is>
      </c>
      <c r="P968" t="inlineStr">
        <is>
          <t>nyu</t>
        </is>
      </c>
      <c r="R968" t="inlineStr">
        <is>
          <t xml:space="preserve">HQ </t>
        </is>
      </c>
      <c r="S968" t="n">
        <v>2</v>
      </c>
      <c r="T968" t="n">
        <v>2</v>
      </c>
      <c r="U968" t="inlineStr">
        <is>
          <t>1993-10-07</t>
        </is>
      </c>
      <c r="V968" t="inlineStr">
        <is>
          <t>1993-10-07</t>
        </is>
      </c>
      <c r="W968" t="inlineStr">
        <is>
          <t>1990-07-05</t>
        </is>
      </c>
      <c r="X968" t="inlineStr">
        <is>
          <t>1990-07-05</t>
        </is>
      </c>
      <c r="Y968" t="n">
        <v>933</v>
      </c>
      <c r="Z968" t="n">
        <v>855</v>
      </c>
      <c r="AA968" t="n">
        <v>866</v>
      </c>
      <c r="AB968" t="n">
        <v>9</v>
      </c>
      <c r="AC968" t="n">
        <v>9</v>
      </c>
      <c r="AD968" t="n">
        <v>21</v>
      </c>
      <c r="AE968" t="n">
        <v>22</v>
      </c>
      <c r="AF968" t="n">
        <v>11</v>
      </c>
      <c r="AG968" t="n">
        <v>12</v>
      </c>
      <c r="AH968" t="n">
        <v>4</v>
      </c>
      <c r="AI968" t="n">
        <v>4</v>
      </c>
      <c r="AJ968" t="n">
        <v>10</v>
      </c>
      <c r="AK968" t="n">
        <v>10</v>
      </c>
      <c r="AL968" t="n">
        <v>4</v>
      </c>
      <c r="AM968" t="n">
        <v>4</v>
      </c>
      <c r="AN968" t="n">
        <v>0</v>
      </c>
      <c r="AO968" t="n">
        <v>0</v>
      </c>
      <c r="AP968" t="inlineStr">
        <is>
          <t>No</t>
        </is>
      </c>
      <c r="AQ968" t="inlineStr">
        <is>
          <t>Yes</t>
        </is>
      </c>
      <c r="AR968">
        <f>HYPERLINK("http://catalog.hathitrust.org/Record/000920460","HathiTrust Record")</f>
        <v/>
      </c>
      <c r="AS968">
        <f>HYPERLINK("https://creighton-primo.hosted.exlibrisgroup.com/primo-explore/search?tab=default_tab&amp;search_scope=EVERYTHING&amp;vid=01CRU&amp;lang=en_US&amp;offset=0&amp;query=any,contains,991001234759702656","Catalog Record")</f>
        <v/>
      </c>
      <c r="AT968">
        <f>HYPERLINK("http://www.worldcat.org/oclc/17549974","WorldCat Record")</f>
        <v/>
      </c>
      <c r="AU968" t="inlineStr">
        <is>
          <t>16203909:eng</t>
        </is>
      </c>
      <c r="AV968" t="inlineStr">
        <is>
          <t>17549974</t>
        </is>
      </c>
      <c r="AW968" t="inlineStr">
        <is>
          <t>991001234759702656</t>
        </is>
      </c>
      <c r="AX968" t="inlineStr">
        <is>
          <t>991001234759702656</t>
        </is>
      </c>
      <c r="AY968" t="inlineStr">
        <is>
          <t>2270856450002656</t>
        </is>
      </c>
      <c r="AZ968" t="inlineStr">
        <is>
          <t>BOOK</t>
        </is>
      </c>
      <c r="BB968" t="inlineStr">
        <is>
          <t>9780671495534</t>
        </is>
      </c>
      <c r="BC968" t="inlineStr">
        <is>
          <t>32285000221902</t>
        </is>
      </c>
      <c r="BD968" t="inlineStr">
        <is>
          <t>893250079</t>
        </is>
      </c>
    </row>
    <row r="969">
      <c r="A969" t="inlineStr">
        <is>
          <t>No</t>
        </is>
      </c>
      <c r="B969" t="inlineStr">
        <is>
          <t>HQ1426 .D365 1991</t>
        </is>
      </c>
      <c r="C969" t="inlineStr">
        <is>
          <t>0                      HQ 1426000D  365         1991</t>
        </is>
      </c>
      <c r="D969" t="inlineStr">
        <is>
          <t>Moving the mountain : the women's movement in America since 1960 / Flora Davis.</t>
        </is>
      </c>
      <c r="F969" t="inlineStr">
        <is>
          <t>No</t>
        </is>
      </c>
      <c r="G969" t="inlineStr">
        <is>
          <t>1</t>
        </is>
      </c>
      <c r="H969" t="inlineStr">
        <is>
          <t>No</t>
        </is>
      </c>
      <c r="I969" t="inlineStr">
        <is>
          <t>No</t>
        </is>
      </c>
      <c r="J969" t="inlineStr">
        <is>
          <t>0</t>
        </is>
      </c>
      <c r="K969" t="inlineStr">
        <is>
          <t>Davis, Flora.</t>
        </is>
      </c>
      <c r="L969" t="inlineStr">
        <is>
          <t>New York : Simon &amp; Schuster, c1991.</t>
        </is>
      </c>
      <c r="M969" t="inlineStr">
        <is>
          <t>1991</t>
        </is>
      </c>
      <c r="O969" t="inlineStr">
        <is>
          <t>eng</t>
        </is>
      </c>
      <c r="P969" t="inlineStr">
        <is>
          <t>nyu</t>
        </is>
      </c>
      <c r="R969" t="inlineStr">
        <is>
          <t xml:space="preserve">HQ </t>
        </is>
      </c>
      <c r="S969" t="n">
        <v>2</v>
      </c>
      <c r="T969" t="n">
        <v>2</v>
      </c>
      <c r="U969" t="inlineStr">
        <is>
          <t>2001-11-27</t>
        </is>
      </c>
      <c r="V969" t="inlineStr">
        <is>
          <t>2001-11-27</t>
        </is>
      </c>
      <c r="W969" t="inlineStr">
        <is>
          <t>1991-12-19</t>
        </is>
      </c>
      <c r="X969" t="inlineStr">
        <is>
          <t>1991-12-19</t>
        </is>
      </c>
      <c r="Y969" t="n">
        <v>1354</v>
      </c>
      <c r="Z969" t="n">
        <v>1246</v>
      </c>
      <c r="AA969" t="n">
        <v>1468</v>
      </c>
      <c r="AB969" t="n">
        <v>7</v>
      </c>
      <c r="AC969" t="n">
        <v>7</v>
      </c>
      <c r="AD969" t="n">
        <v>35</v>
      </c>
      <c r="AE969" t="n">
        <v>42</v>
      </c>
      <c r="AF969" t="n">
        <v>14</v>
      </c>
      <c r="AG969" t="n">
        <v>18</v>
      </c>
      <c r="AH969" t="n">
        <v>9</v>
      </c>
      <c r="AI969" t="n">
        <v>10</v>
      </c>
      <c r="AJ969" t="n">
        <v>15</v>
      </c>
      <c r="AK969" t="n">
        <v>19</v>
      </c>
      <c r="AL969" t="n">
        <v>4</v>
      </c>
      <c r="AM969" t="n">
        <v>4</v>
      </c>
      <c r="AN969" t="n">
        <v>2</v>
      </c>
      <c r="AO969" t="n">
        <v>3</v>
      </c>
      <c r="AP969" t="inlineStr">
        <is>
          <t>No</t>
        </is>
      </c>
      <c r="AQ969" t="inlineStr">
        <is>
          <t>Yes</t>
        </is>
      </c>
      <c r="AR969">
        <f>HYPERLINK("http://catalog.hathitrust.org/Record/002505713","HathiTrust Record")</f>
        <v/>
      </c>
      <c r="AS969">
        <f>HYPERLINK("https://creighton-primo.hosted.exlibrisgroup.com/primo-explore/search?tab=default_tab&amp;search_scope=EVERYTHING&amp;vid=01CRU&amp;lang=en_US&amp;offset=0&amp;query=any,contains,991001914649702656","Catalog Record")</f>
        <v/>
      </c>
      <c r="AT969">
        <f>HYPERLINK("http://www.worldcat.org/oclc/24174171","WorldCat Record")</f>
        <v/>
      </c>
      <c r="AU969" t="inlineStr">
        <is>
          <t>14167461:eng</t>
        </is>
      </c>
      <c r="AV969" t="inlineStr">
        <is>
          <t>24174171</t>
        </is>
      </c>
      <c r="AW969" t="inlineStr">
        <is>
          <t>991001914649702656</t>
        </is>
      </c>
      <c r="AX969" t="inlineStr">
        <is>
          <t>991001914649702656</t>
        </is>
      </c>
      <c r="AY969" t="inlineStr">
        <is>
          <t>2269348090002656</t>
        </is>
      </c>
      <c r="AZ969" t="inlineStr">
        <is>
          <t>BOOK</t>
        </is>
      </c>
      <c r="BB969" t="inlineStr">
        <is>
          <t>9780671602079</t>
        </is>
      </c>
      <c r="BC969" t="inlineStr">
        <is>
          <t>32285000861491</t>
        </is>
      </c>
      <c r="BD969" t="inlineStr">
        <is>
          <t>893703448</t>
        </is>
      </c>
    </row>
    <row r="970">
      <c r="A970" t="inlineStr">
        <is>
          <t>No</t>
        </is>
      </c>
      <c r="B970" t="inlineStr">
        <is>
          <t>HQ1426 .D38 1980</t>
        </is>
      </c>
      <c r="C970" t="inlineStr">
        <is>
          <t>0                      HQ 1426000D  38          1980</t>
        </is>
      </c>
      <c r="D970" t="inlineStr">
        <is>
          <t>The Decade of women : a Ms. history of the seventies in word and picture / edited and produced by Suzanne Levine and Harriet Lyons, with Joanne Edgar, Ellen Swett, Mary Thom ; introd. by Gloria Steinem ; designed by Steve Phillips.</t>
        </is>
      </c>
      <c r="F970" t="inlineStr">
        <is>
          <t>No</t>
        </is>
      </c>
      <c r="G970" t="inlineStr">
        <is>
          <t>1</t>
        </is>
      </c>
      <c r="H970" t="inlineStr">
        <is>
          <t>No</t>
        </is>
      </c>
      <c r="I970" t="inlineStr">
        <is>
          <t>No</t>
        </is>
      </c>
      <c r="J970" t="inlineStr">
        <is>
          <t>0</t>
        </is>
      </c>
      <c r="L970" t="inlineStr">
        <is>
          <t>New York : Putnam, c1980.</t>
        </is>
      </c>
      <c r="M970" t="inlineStr">
        <is>
          <t>1980</t>
        </is>
      </c>
      <c r="O970" t="inlineStr">
        <is>
          <t>eng</t>
        </is>
      </c>
      <c r="P970" t="inlineStr">
        <is>
          <t>nyu</t>
        </is>
      </c>
      <c r="R970" t="inlineStr">
        <is>
          <t xml:space="preserve">HQ </t>
        </is>
      </c>
      <c r="S970" t="n">
        <v>2</v>
      </c>
      <c r="T970" t="n">
        <v>2</v>
      </c>
      <c r="U970" t="inlineStr">
        <is>
          <t>1995-03-27</t>
        </is>
      </c>
      <c r="V970" t="inlineStr">
        <is>
          <t>1995-03-27</t>
        </is>
      </c>
      <c r="W970" t="inlineStr">
        <is>
          <t>1993-04-28</t>
        </is>
      </c>
      <c r="X970" t="inlineStr">
        <is>
          <t>1993-04-28</t>
        </is>
      </c>
      <c r="Y970" t="n">
        <v>678</v>
      </c>
      <c r="Z970" t="n">
        <v>628</v>
      </c>
      <c r="AA970" t="n">
        <v>651</v>
      </c>
      <c r="AB970" t="n">
        <v>6</v>
      </c>
      <c r="AC970" t="n">
        <v>6</v>
      </c>
      <c r="AD970" t="n">
        <v>12</v>
      </c>
      <c r="AE970" t="n">
        <v>12</v>
      </c>
      <c r="AF970" t="n">
        <v>3</v>
      </c>
      <c r="AG970" t="n">
        <v>3</v>
      </c>
      <c r="AH970" t="n">
        <v>3</v>
      </c>
      <c r="AI970" t="n">
        <v>3</v>
      </c>
      <c r="AJ970" t="n">
        <v>4</v>
      </c>
      <c r="AK970" t="n">
        <v>4</v>
      </c>
      <c r="AL970" t="n">
        <v>4</v>
      </c>
      <c r="AM970" t="n">
        <v>4</v>
      </c>
      <c r="AN970" t="n">
        <v>0</v>
      </c>
      <c r="AO970" t="n">
        <v>0</v>
      </c>
      <c r="AP970" t="inlineStr">
        <is>
          <t>No</t>
        </is>
      </c>
      <c r="AQ970" t="inlineStr">
        <is>
          <t>Yes</t>
        </is>
      </c>
      <c r="AR970">
        <f>HYPERLINK("http://catalog.hathitrust.org/Record/007115682","HathiTrust Record")</f>
        <v/>
      </c>
      <c r="AS970">
        <f>HYPERLINK("https://creighton-primo.hosted.exlibrisgroup.com/primo-explore/search?tab=default_tab&amp;search_scope=EVERYTHING&amp;vid=01CRU&amp;lang=en_US&amp;offset=0&amp;query=any,contains,991004861209702656","Catalog Record")</f>
        <v/>
      </c>
      <c r="AT970">
        <f>HYPERLINK("http://www.worldcat.org/oclc/5706302","WorldCat Record")</f>
        <v/>
      </c>
      <c r="AU970" t="inlineStr">
        <is>
          <t>899806215:eng</t>
        </is>
      </c>
      <c r="AV970" t="inlineStr">
        <is>
          <t>5706302</t>
        </is>
      </c>
      <c r="AW970" t="inlineStr">
        <is>
          <t>991004861209702656</t>
        </is>
      </c>
      <c r="AX970" t="inlineStr">
        <is>
          <t>991004861209702656</t>
        </is>
      </c>
      <c r="AY970" t="inlineStr">
        <is>
          <t>2261525980002656</t>
        </is>
      </c>
      <c r="AZ970" t="inlineStr">
        <is>
          <t>BOOK</t>
        </is>
      </c>
      <c r="BB970" t="inlineStr">
        <is>
          <t>9780399124907</t>
        </is>
      </c>
      <c r="BC970" t="inlineStr">
        <is>
          <t>32285001629913</t>
        </is>
      </c>
      <c r="BD970" t="inlineStr">
        <is>
          <t>893870192</t>
        </is>
      </c>
    </row>
    <row r="971">
      <c r="A971" t="inlineStr">
        <is>
          <t>No</t>
        </is>
      </c>
      <c r="B971" t="inlineStr">
        <is>
          <t>HQ1426 .D39 1987</t>
        </is>
      </c>
      <c r="C971" t="inlineStr">
        <is>
          <t>0                      HQ 1426000D  39          1987</t>
        </is>
      </c>
      <c r="D971" t="inlineStr">
        <is>
          <t>Decades of discontent : the women's movement, 1920-1940 / edited, with an introduction and a new foreword, by Lois Scharf and Joan M. Jensen.</t>
        </is>
      </c>
      <c r="F971" t="inlineStr">
        <is>
          <t>No</t>
        </is>
      </c>
      <c r="G971" t="inlineStr">
        <is>
          <t>1</t>
        </is>
      </c>
      <c r="H971" t="inlineStr">
        <is>
          <t>No</t>
        </is>
      </c>
      <c r="I971" t="inlineStr">
        <is>
          <t>No</t>
        </is>
      </c>
      <c r="J971" t="inlineStr">
        <is>
          <t>0</t>
        </is>
      </c>
      <c r="L971" t="inlineStr">
        <is>
          <t>Boston : Northeastern University Press, 1987, c1983.</t>
        </is>
      </c>
      <c r="M971" t="inlineStr">
        <is>
          <t>1987</t>
        </is>
      </c>
      <c r="N971" t="inlineStr">
        <is>
          <t>Northeastern University Press ed.</t>
        </is>
      </c>
      <c r="O971" t="inlineStr">
        <is>
          <t>eng</t>
        </is>
      </c>
      <c r="P971" t="inlineStr">
        <is>
          <t>mau</t>
        </is>
      </c>
      <c r="R971" t="inlineStr">
        <is>
          <t xml:space="preserve">HQ </t>
        </is>
      </c>
      <c r="S971" t="n">
        <v>5</v>
      </c>
      <c r="T971" t="n">
        <v>5</v>
      </c>
      <c r="U971" t="inlineStr">
        <is>
          <t>2009-11-16</t>
        </is>
      </c>
      <c r="V971" t="inlineStr">
        <is>
          <t>2009-11-16</t>
        </is>
      </c>
      <c r="W971" t="inlineStr">
        <is>
          <t>1990-07-19</t>
        </is>
      </c>
      <c r="X971" t="inlineStr">
        <is>
          <t>1990-07-19</t>
        </is>
      </c>
      <c r="Y971" t="n">
        <v>183</v>
      </c>
      <c r="Z971" t="n">
        <v>161</v>
      </c>
      <c r="AA971" t="n">
        <v>688</v>
      </c>
      <c r="AB971" t="n">
        <v>3</v>
      </c>
      <c r="AC971" t="n">
        <v>6</v>
      </c>
      <c r="AD971" t="n">
        <v>9</v>
      </c>
      <c r="AE971" t="n">
        <v>33</v>
      </c>
      <c r="AF971" t="n">
        <v>2</v>
      </c>
      <c r="AG971" t="n">
        <v>14</v>
      </c>
      <c r="AH971" t="n">
        <v>0</v>
      </c>
      <c r="AI971" t="n">
        <v>5</v>
      </c>
      <c r="AJ971" t="n">
        <v>4</v>
      </c>
      <c r="AK971" t="n">
        <v>14</v>
      </c>
      <c r="AL971" t="n">
        <v>2</v>
      </c>
      <c r="AM971" t="n">
        <v>5</v>
      </c>
      <c r="AN971" t="n">
        <v>1</v>
      </c>
      <c r="AO971" t="n">
        <v>1</v>
      </c>
      <c r="AP971" t="inlineStr">
        <is>
          <t>No</t>
        </is>
      </c>
      <c r="AQ971" t="inlineStr">
        <is>
          <t>No</t>
        </is>
      </c>
      <c r="AS971">
        <f>HYPERLINK("https://creighton-primo.hosted.exlibrisgroup.com/primo-explore/search?tab=default_tab&amp;search_scope=EVERYTHING&amp;vid=01CRU&amp;lang=en_US&amp;offset=0&amp;query=any,contains,991000957229702656","Catalog Record")</f>
        <v/>
      </c>
      <c r="AT971">
        <f>HYPERLINK("http://www.worldcat.org/oclc/14719519","WorldCat Record")</f>
        <v/>
      </c>
      <c r="AU971" t="inlineStr">
        <is>
          <t>836673730:eng</t>
        </is>
      </c>
      <c r="AV971" t="inlineStr">
        <is>
          <t>14719519</t>
        </is>
      </c>
      <c r="AW971" t="inlineStr">
        <is>
          <t>991000957229702656</t>
        </is>
      </c>
      <c r="AX971" t="inlineStr">
        <is>
          <t>991000957229702656</t>
        </is>
      </c>
      <c r="AY971" t="inlineStr">
        <is>
          <t>2254735470002656</t>
        </is>
      </c>
      <c r="AZ971" t="inlineStr">
        <is>
          <t>BOOK</t>
        </is>
      </c>
      <c r="BB971" t="inlineStr">
        <is>
          <t>9781555530136</t>
        </is>
      </c>
      <c r="BC971" t="inlineStr">
        <is>
          <t>32285000209055</t>
        </is>
      </c>
      <c r="BD971" t="inlineStr">
        <is>
          <t>893778426</t>
        </is>
      </c>
    </row>
    <row r="972">
      <c r="A972" t="inlineStr">
        <is>
          <t>No</t>
        </is>
      </c>
      <c r="B972" t="inlineStr">
        <is>
          <t>HQ1426 .D426 1974</t>
        </is>
      </c>
      <c r="C972" t="inlineStr">
        <is>
          <t>0                      HQ 1426000D  426         1974</t>
        </is>
      </c>
      <c r="D972" t="inlineStr">
        <is>
          <t>Who discriminates against women? / edited by Florence Denmark.</t>
        </is>
      </c>
      <c r="F972" t="inlineStr">
        <is>
          <t>No</t>
        </is>
      </c>
      <c r="G972" t="inlineStr">
        <is>
          <t>1</t>
        </is>
      </c>
      <c r="H972" t="inlineStr">
        <is>
          <t>No</t>
        </is>
      </c>
      <c r="I972" t="inlineStr">
        <is>
          <t>No</t>
        </is>
      </c>
      <c r="J972" t="inlineStr">
        <is>
          <t>0</t>
        </is>
      </c>
      <c r="K972" t="inlineStr">
        <is>
          <t>Denmark, Florence.</t>
        </is>
      </c>
      <c r="L972" t="inlineStr">
        <is>
          <t>Beverly Hills, Calif. : Sage Publications, 1974.</t>
        </is>
      </c>
      <c r="M972" t="inlineStr">
        <is>
          <t>1974</t>
        </is>
      </c>
      <c r="O972" t="inlineStr">
        <is>
          <t>eng</t>
        </is>
      </c>
      <c r="P972" t="inlineStr">
        <is>
          <t>cau</t>
        </is>
      </c>
      <c r="Q972" t="inlineStr">
        <is>
          <t>Sage contemporary social science issues ; no. 15</t>
        </is>
      </c>
      <c r="R972" t="inlineStr">
        <is>
          <t xml:space="preserve">HQ </t>
        </is>
      </c>
      <c r="S972" t="n">
        <v>2</v>
      </c>
      <c r="T972" t="n">
        <v>2</v>
      </c>
      <c r="U972" t="inlineStr">
        <is>
          <t>1992-01-20</t>
        </is>
      </c>
      <c r="V972" t="inlineStr">
        <is>
          <t>1992-01-20</t>
        </is>
      </c>
      <c r="W972" t="inlineStr">
        <is>
          <t>1990-07-05</t>
        </is>
      </c>
      <c r="X972" t="inlineStr">
        <is>
          <t>1990-07-05</t>
        </is>
      </c>
      <c r="Y972" t="n">
        <v>435</v>
      </c>
      <c r="Z972" t="n">
        <v>358</v>
      </c>
      <c r="AA972" t="n">
        <v>367</v>
      </c>
      <c r="AB972" t="n">
        <v>2</v>
      </c>
      <c r="AC972" t="n">
        <v>2</v>
      </c>
      <c r="AD972" t="n">
        <v>21</v>
      </c>
      <c r="AE972" t="n">
        <v>21</v>
      </c>
      <c r="AF972" t="n">
        <v>6</v>
      </c>
      <c r="AG972" t="n">
        <v>6</v>
      </c>
      <c r="AH972" t="n">
        <v>6</v>
      </c>
      <c r="AI972" t="n">
        <v>6</v>
      </c>
      <c r="AJ972" t="n">
        <v>7</v>
      </c>
      <c r="AK972" t="n">
        <v>7</v>
      </c>
      <c r="AL972" t="n">
        <v>1</v>
      </c>
      <c r="AM972" t="n">
        <v>1</v>
      </c>
      <c r="AN972" t="n">
        <v>6</v>
      </c>
      <c r="AO972" t="n">
        <v>6</v>
      </c>
      <c r="AP972" t="inlineStr">
        <is>
          <t>No</t>
        </is>
      </c>
      <c r="AQ972" t="inlineStr">
        <is>
          <t>No</t>
        </is>
      </c>
      <c r="AS972">
        <f>HYPERLINK("https://creighton-primo.hosted.exlibrisgroup.com/primo-explore/search?tab=default_tab&amp;search_scope=EVERYTHING&amp;vid=01CRU&amp;lang=en_US&amp;offset=0&amp;query=any,contains,991003612679702656","Catalog Record")</f>
        <v/>
      </c>
      <c r="AT972">
        <f>HYPERLINK("http://www.worldcat.org/oclc/1195191","WorldCat Record")</f>
        <v/>
      </c>
      <c r="AU972" t="inlineStr">
        <is>
          <t>55200509:eng</t>
        </is>
      </c>
      <c r="AV972" t="inlineStr">
        <is>
          <t>1195191</t>
        </is>
      </c>
      <c r="AW972" t="inlineStr">
        <is>
          <t>991003612679702656</t>
        </is>
      </c>
      <c r="AX972" t="inlineStr">
        <is>
          <t>991003612679702656</t>
        </is>
      </c>
      <c r="AY972" t="inlineStr">
        <is>
          <t>2260246680002656</t>
        </is>
      </c>
      <c r="AZ972" t="inlineStr">
        <is>
          <t>BOOK</t>
        </is>
      </c>
      <c r="BB972" t="inlineStr">
        <is>
          <t>9780803904408</t>
        </is>
      </c>
      <c r="BC972" t="inlineStr">
        <is>
          <t>32285000221928</t>
        </is>
      </c>
      <c r="BD972" t="inlineStr">
        <is>
          <t>893441487</t>
        </is>
      </c>
    </row>
    <row r="973">
      <c r="A973" t="inlineStr">
        <is>
          <t>No</t>
        </is>
      </c>
      <c r="B973" t="inlineStr">
        <is>
          <t>HQ1426 .D79 1986</t>
        </is>
      </c>
      <c r="C973" t="inlineStr">
        <is>
          <t>0                      HQ 1426000D  79          1986</t>
        </is>
      </c>
      <c r="D973" t="inlineStr">
        <is>
          <t>The American Victorian woman : the myth and the reality / Mabel Collins Donnelly ; foreword by Carol C. Nadelson.</t>
        </is>
      </c>
      <c r="F973" t="inlineStr">
        <is>
          <t>No</t>
        </is>
      </c>
      <c r="G973" t="inlineStr">
        <is>
          <t>1</t>
        </is>
      </c>
      <c r="H973" t="inlineStr">
        <is>
          <t>No</t>
        </is>
      </c>
      <c r="I973" t="inlineStr">
        <is>
          <t>No</t>
        </is>
      </c>
      <c r="J973" t="inlineStr">
        <is>
          <t>0</t>
        </is>
      </c>
      <c r="K973" t="inlineStr">
        <is>
          <t>Donnelly, Mabel Collins.</t>
        </is>
      </c>
      <c r="L973" t="inlineStr">
        <is>
          <t>New York : Greenwood Press, 1986.</t>
        </is>
      </c>
      <c r="M973" t="inlineStr">
        <is>
          <t>1986</t>
        </is>
      </c>
      <c r="O973" t="inlineStr">
        <is>
          <t>eng</t>
        </is>
      </c>
      <c r="P973" t="inlineStr">
        <is>
          <t>nyu</t>
        </is>
      </c>
      <c r="Q973" t="inlineStr">
        <is>
          <t>Contributions in women's studies, 0147-104X ; no. 71</t>
        </is>
      </c>
      <c r="R973" t="inlineStr">
        <is>
          <t xml:space="preserve">HQ </t>
        </is>
      </c>
      <c r="S973" t="n">
        <v>4</v>
      </c>
      <c r="T973" t="n">
        <v>4</v>
      </c>
      <c r="U973" t="inlineStr">
        <is>
          <t>1999-01-18</t>
        </is>
      </c>
      <c r="V973" t="inlineStr">
        <is>
          <t>1999-01-18</t>
        </is>
      </c>
      <c r="W973" t="inlineStr">
        <is>
          <t>1990-03-20</t>
        </is>
      </c>
      <c r="X973" t="inlineStr">
        <is>
          <t>1990-03-20</t>
        </is>
      </c>
      <c r="Y973" t="n">
        <v>472</v>
      </c>
      <c r="Z973" t="n">
        <v>408</v>
      </c>
      <c r="AA973" t="n">
        <v>422</v>
      </c>
      <c r="AB973" t="n">
        <v>4</v>
      </c>
      <c r="AC973" t="n">
        <v>4</v>
      </c>
      <c r="AD973" t="n">
        <v>16</v>
      </c>
      <c r="AE973" t="n">
        <v>16</v>
      </c>
      <c r="AF973" t="n">
        <v>4</v>
      </c>
      <c r="AG973" t="n">
        <v>4</v>
      </c>
      <c r="AH973" t="n">
        <v>5</v>
      </c>
      <c r="AI973" t="n">
        <v>5</v>
      </c>
      <c r="AJ973" t="n">
        <v>10</v>
      </c>
      <c r="AK973" t="n">
        <v>10</v>
      </c>
      <c r="AL973" t="n">
        <v>3</v>
      </c>
      <c r="AM973" t="n">
        <v>3</v>
      </c>
      <c r="AN973" t="n">
        <v>0</v>
      </c>
      <c r="AO973" t="n">
        <v>0</v>
      </c>
      <c r="AP973" t="inlineStr">
        <is>
          <t>No</t>
        </is>
      </c>
      <c r="AQ973" t="inlineStr">
        <is>
          <t>Yes</t>
        </is>
      </c>
      <c r="AR973">
        <f>HYPERLINK("http://catalog.hathitrust.org/Record/000396398","HathiTrust Record")</f>
        <v/>
      </c>
      <c r="AS973">
        <f>HYPERLINK("https://creighton-primo.hosted.exlibrisgroup.com/primo-explore/search?tab=default_tab&amp;search_scope=EVERYTHING&amp;vid=01CRU&amp;lang=en_US&amp;offset=0&amp;query=any,contains,991000785089702656","Catalog Record")</f>
        <v/>
      </c>
      <c r="AT973">
        <f>HYPERLINK("http://www.worldcat.org/oclc/13123685","WorldCat Record")</f>
        <v/>
      </c>
      <c r="AU973" t="inlineStr">
        <is>
          <t>2611972:eng</t>
        </is>
      </c>
      <c r="AV973" t="inlineStr">
        <is>
          <t>13123685</t>
        </is>
      </c>
      <c r="AW973" t="inlineStr">
        <is>
          <t>991000785089702656</t>
        </is>
      </c>
      <c r="AX973" t="inlineStr">
        <is>
          <t>991000785089702656</t>
        </is>
      </c>
      <c r="AY973" t="inlineStr">
        <is>
          <t>2256680100002656</t>
        </is>
      </c>
      <c r="AZ973" t="inlineStr">
        <is>
          <t>BOOK</t>
        </is>
      </c>
      <c r="BB973" t="inlineStr">
        <is>
          <t>9780313253270</t>
        </is>
      </c>
      <c r="BC973" t="inlineStr">
        <is>
          <t>32285000087261</t>
        </is>
      </c>
      <c r="BD973" t="inlineStr">
        <is>
          <t>893708725</t>
        </is>
      </c>
    </row>
    <row r="974">
      <c r="A974" t="inlineStr">
        <is>
          <t>No</t>
        </is>
      </c>
      <c r="B974" t="inlineStr">
        <is>
          <t>HQ1426 .D82 1976</t>
        </is>
      </c>
      <c r="C974" t="inlineStr">
        <is>
          <t>0                      HQ 1426000D  82          1976</t>
        </is>
      </c>
      <c r="D974" t="inlineStr">
        <is>
          <t>Frederick Douglass on women's rights / Philip S. Foner, editor.</t>
        </is>
      </c>
      <c r="F974" t="inlineStr">
        <is>
          <t>No</t>
        </is>
      </c>
      <c r="G974" t="inlineStr">
        <is>
          <t>1</t>
        </is>
      </c>
      <c r="H974" t="inlineStr">
        <is>
          <t>No</t>
        </is>
      </c>
      <c r="I974" t="inlineStr">
        <is>
          <t>No</t>
        </is>
      </c>
      <c r="J974" t="inlineStr">
        <is>
          <t>0</t>
        </is>
      </c>
      <c r="K974" t="inlineStr">
        <is>
          <t>Douglass, Frederick, 1818-1895.</t>
        </is>
      </c>
      <c r="L974" t="inlineStr">
        <is>
          <t>Westport, Conn. : Greenwood Press, 1976.</t>
        </is>
      </c>
      <c r="M974" t="inlineStr">
        <is>
          <t>1976</t>
        </is>
      </c>
      <c r="O974" t="inlineStr">
        <is>
          <t>eng</t>
        </is>
      </c>
      <c r="P974" t="inlineStr">
        <is>
          <t>ctu</t>
        </is>
      </c>
      <c r="Q974" t="inlineStr">
        <is>
          <t>Contributions in Afro-American and African studies ; no. 25</t>
        </is>
      </c>
      <c r="R974" t="inlineStr">
        <is>
          <t xml:space="preserve">HQ </t>
        </is>
      </c>
      <c r="S974" t="n">
        <v>3</v>
      </c>
      <c r="T974" t="n">
        <v>3</v>
      </c>
      <c r="U974" t="inlineStr">
        <is>
          <t>2007-10-01</t>
        </is>
      </c>
      <c r="V974" t="inlineStr">
        <is>
          <t>2007-10-01</t>
        </is>
      </c>
      <c r="W974" t="inlineStr">
        <is>
          <t>1997-08-15</t>
        </is>
      </c>
      <c r="X974" t="inlineStr">
        <is>
          <t>1997-08-15</t>
        </is>
      </c>
      <c r="Y974" t="n">
        <v>737</v>
      </c>
      <c r="Z974" t="n">
        <v>678</v>
      </c>
      <c r="AA974" t="n">
        <v>815</v>
      </c>
      <c r="AB974" t="n">
        <v>3</v>
      </c>
      <c r="AC974" t="n">
        <v>5</v>
      </c>
      <c r="AD974" t="n">
        <v>22</v>
      </c>
      <c r="AE974" t="n">
        <v>27</v>
      </c>
      <c r="AF974" t="n">
        <v>8</v>
      </c>
      <c r="AG974" t="n">
        <v>9</v>
      </c>
      <c r="AH974" t="n">
        <v>6</v>
      </c>
      <c r="AI974" t="n">
        <v>7</v>
      </c>
      <c r="AJ974" t="n">
        <v>9</v>
      </c>
      <c r="AK974" t="n">
        <v>12</v>
      </c>
      <c r="AL974" t="n">
        <v>2</v>
      </c>
      <c r="AM974" t="n">
        <v>3</v>
      </c>
      <c r="AN974" t="n">
        <v>3</v>
      </c>
      <c r="AO974" t="n">
        <v>3</v>
      </c>
      <c r="AP974" t="inlineStr">
        <is>
          <t>No</t>
        </is>
      </c>
      <c r="AQ974" t="inlineStr">
        <is>
          <t>Yes</t>
        </is>
      </c>
      <c r="AR974">
        <f>HYPERLINK("http://catalog.hathitrust.org/Record/000721273","HathiTrust Record")</f>
        <v/>
      </c>
      <c r="AS974">
        <f>HYPERLINK("https://creighton-primo.hosted.exlibrisgroup.com/primo-explore/search?tab=default_tab&amp;search_scope=EVERYTHING&amp;vid=01CRU&amp;lang=en_US&amp;offset=0&amp;query=any,contains,991004025849702656","Catalog Record")</f>
        <v/>
      </c>
      <c r="AT974">
        <f>HYPERLINK("http://www.worldcat.org/oclc/2136978","WorldCat Record")</f>
        <v/>
      </c>
      <c r="AU974" t="inlineStr">
        <is>
          <t>351061481:eng</t>
        </is>
      </c>
      <c r="AV974" t="inlineStr">
        <is>
          <t>2136978</t>
        </is>
      </c>
      <c r="AW974" t="inlineStr">
        <is>
          <t>991004025849702656</t>
        </is>
      </c>
      <c r="AX974" t="inlineStr">
        <is>
          <t>991004025849702656</t>
        </is>
      </c>
      <c r="AY974" t="inlineStr">
        <is>
          <t>2271477260002656</t>
        </is>
      </c>
      <c r="AZ974" t="inlineStr">
        <is>
          <t>BOOK</t>
        </is>
      </c>
      <c r="BB974" t="inlineStr">
        <is>
          <t>9780837188959</t>
        </is>
      </c>
      <c r="BC974" t="inlineStr">
        <is>
          <t>32285003104485</t>
        </is>
      </c>
      <c r="BD974" t="inlineStr">
        <is>
          <t>893810320</t>
        </is>
      </c>
    </row>
    <row r="975">
      <c r="A975" t="inlineStr">
        <is>
          <t>No</t>
        </is>
      </c>
      <c r="B975" t="inlineStr">
        <is>
          <t>HQ1426 .E39 1983</t>
        </is>
      </c>
      <c r="C975" t="inlineStr">
        <is>
          <t>0                      HQ 1426000E  39          1983</t>
        </is>
      </c>
      <c r="D975" t="inlineStr">
        <is>
          <t>Contemporary feminist thought / Hester Eisenstein.</t>
        </is>
      </c>
      <c r="F975" t="inlineStr">
        <is>
          <t>No</t>
        </is>
      </c>
      <c r="G975" t="inlineStr">
        <is>
          <t>1</t>
        </is>
      </c>
      <c r="H975" t="inlineStr">
        <is>
          <t>No</t>
        </is>
      </c>
      <c r="I975" t="inlineStr">
        <is>
          <t>No</t>
        </is>
      </c>
      <c r="J975" t="inlineStr">
        <is>
          <t>0</t>
        </is>
      </c>
      <c r="K975" t="inlineStr">
        <is>
          <t>Eisenstein, Hester.</t>
        </is>
      </c>
      <c r="L975" t="inlineStr">
        <is>
          <t>Boston : G.K. Hall, c1983.</t>
        </is>
      </c>
      <c r="M975" t="inlineStr">
        <is>
          <t>1983</t>
        </is>
      </c>
      <c r="O975" t="inlineStr">
        <is>
          <t>eng</t>
        </is>
      </c>
      <c r="P975" t="inlineStr">
        <is>
          <t>mau</t>
        </is>
      </c>
      <c r="Q975" t="inlineStr">
        <is>
          <t>A Publication in women's studies</t>
        </is>
      </c>
      <c r="R975" t="inlineStr">
        <is>
          <t xml:space="preserve">HQ </t>
        </is>
      </c>
      <c r="S975" t="n">
        <v>2</v>
      </c>
      <c r="T975" t="n">
        <v>2</v>
      </c>
      <c r="U975" t="inlineStr">
        <is>
          <t>1992-01-21</t>
        </is>
      </c>
      <c r="V975" t="inlineStr">
        <is>
          <t>1992-01-21</t>
        </is>
      </c>
      <c r="W975" t="inlineStr">
        <is>
          <t>1990-07-05</t>
        </is>
      </c>
      <c r="X975" t="inlineStr">
        <is>
          <t>1990-07-05</t>
        </is>
      </c>
      <c r="Y975" t="n">
        <v>841</v>
      </c>
      <c r="Z975" t="n">
        <v>732</v>
      </c>
      <c r="AA975" t="n">
        <v>818</v>
      </c>
      <c r="AB975" t="n">
        <v>7</v>
      </c>
      <c r="AC975" t="n">
        <v>8</v>
      </c>
      <c r="AD975" t="n">
        <v>36</v>
      </c>
      <c r="AE975" t="n">
        <v>39</v>
      </c>
      <c r="AF975" t="n">
        <v>14</v>
      </c>
      <c r="AG975" t="n">
        <v>15</v>
      </c>
      <c r="AH975" t="n">
        <v>8</v>
      </c>
      <c r="AI975" t="n">
        <v>8</v>
      </c>
      <c r="AJ975" t="n">
        <v>18</v>
      </c>
      <c r="AK975" t="n">
        <v>18</v>
      </c>
      <c r="AL975" t="n">
        <v>6</v>
      </c>
      <c r="AM975" t="n">
        <v>7</v>
      </c>
      <c r="AN975" t="n">
        <v>0</v>
      </c>
      <c r="AO975" t="n">
        <v>1</v>
      </c>
      <c r="AP975" t="inlineStr">
        <is>
          <t>No</t>
        </is>
      </c>
      <c r="AQ975" t="inlineStr">
        <is>
          <t>Yes</t>
        </is>
      </c>
      <c r="AR975">
        <f>HYPERLINK("http://catalog.hathitrust.org/Record/000777063","HathiTrust Record")</f>
        <v/>
      </c>
      <c r="AS975">
        <f>HYPERLINK("https://creighton-primo.hosted.exlibrisgroup.com/primo-explore/search?tab=default_tab&amp;search_scope=EVERYTHING&amp;vid=01CRU&amp;lang=en_US&amp;offset=0&amp;query=any,contains,991000228179702656","Catalog Record")</f>
        <v/>
      </c>
      <c r="AT975">
        <f>HYPERLINK("http://www.worldcat.org/oclc/9622340","WorldCat Record")</f>
        <v/>
      </c>
      <c r="AU975" t="inlineStr">
        <is>
          <t>4025684:eng</t>
        </is>
      </c>
      <c r="AV975" t="inlineStr">
        <is>
          <t>9622340</t>
        </is>
      </c>
      <c r="AW975" t="inlineStr">
        <is>
          <t>991000228179702656</t>
        </is>
      </c>
      <c r="AX975" t="inlineStr">
        <is>
          <t>991000228179702656</t>
        </is>
      </c>
      <c r="AY975" t="inlineStr">
        <is>
          <t>2269290320002656</t>
        </is>
      </c>
      <c r="AZ975" t="inlineStr">
        <is>
          <t>BOOK</t>
        </is>
      </c>
      <c r="BB975" t="inlineStr">
        <is>
          <t>9780816190423</t>
        </is>
      </c>
      <c r="BC975" t="inlineStr">
        <is>
          <t>32285000221944</t>
        </is>
      </c>
      <c r="BD975" t="inlineStr">
        <is>
          <t>893695703</t>
        </is>
      </c>
    </row>
    <row r="976">
      <c r="A976" t="inlineStr">
        <is>
          <t>No</t>
        </is>
      </c>
      <c r="B976" t="inlineStr">
        <is>
          <t>HQ1426 .F35 1991</t>
        </is>
      </c>
      <c r="C976" t="inlineStr">
        <is>
          <t>0                      HQ 1426000F  35          1991</t>
        </is>
      </c>
      <c r="D976" t="inlineStr">
        <is>
          <t>Backlash : the undeclared war against American women / by Susan Faludi.</t>
        </is>
      </c>
      <c r="F976" t="inlineStr">
        <is>
          <t>No</t>
        </is>
      </c>
      <c r="G976" t="inlineStr">
        <is>
          <t>1</t>
        </is>
      </c>
      <c r="H976" t="inlineStr">
        <is>
          <t>No</t>
        </is>
      </c>
      <c r="I976" t="inlineStr">
        <is>
          <t>No</t>
        </is>
      </c>
      <c r="J976" t="inlineStr">
        <is>
          <t>0</t>
        </is>
      </c>
      <c r="K976" t="inlineStr">
        <is>
          <t>Faludi, Susan.</t>
        </is>
      </c>
      <c r="L976" t="inlineStr">
        <is>
          <t>New York : Crown, 1991.</t>
        </is>
      </c>
      <c r="M976" t="inlineStr">
        <is>
          <t>1991</t>
        </is>
      </c>
      <c r="N976" t="inlineStr">
        <is>
          <t>1st ed.</t>
        </is>
      </c>
      <c r="O976" t="inlineStr">
        <is>
          <t>eng</t>
        </is>
      </c>
      <c r="P976" t="inlineStr">
        <is>
          <t>nyu</t>
        </is>
      </c>
      <c r="R976" t="inlineStr">
        <is>
          <t xml:space="preserve">HQ </t>
        </is>
      </c>
      <c r="S976" t="n">
        <v>42</v>
      </c>
      <c r="T976" t="n">
        <v>42</v>
      </c>
      <c r="U976" t="inlineStr">
        <is>
          <t>2010-02-08</t>
        </is>
      </c>
      <c r="V976" t="inlineStr">
        <is>
          <t>2010-02-08</t>
        </is>
      </c>
      <c r="W976" t="inlineStr">
        <is>
          <t>1991-11-04</t>
        </is>
      </c>
      <c r="X976" t="inlineStr">
        <is>
          <t>1991-11-04</t>
        </is>
      </c>
      <c r="Y976" t="n">
        <v>2744</v>
      </c>
      <c r="Z976" t="n">
        <v>2538</v>
      </c>
      <c r="AA976" t="n">
        <v>3053</v>
      </c>
      <c r="AB976" t="n">
        <v>19</v>
      </c>
      <c r="AC976" t="n">
        <v>20</v>
      </c>
      <c r="AD976" t="n">
        <v>63</v>
      </c>
      <c r="AE976" t="n">
        <v>69</v>
      </c>
      <c r="AF976" t="n">
        <v>24</v>
      </c>
      <c r="AG976" t="n">
        <v>28</v>
      </c>
      <c r="AH976" t="n">
        <v>10</v>
      </c>
      <c r="AI976" t="n">
        <v>11</v>
      </c>
      <c r="AJ976" t="n">
        <v>26</v>
      </c>
      <c r="AK976" t="n">
        <v>27</v>
      </c>
      <c r="AL976" t="n">
        <v>10</v>
      </c>
      <c r="AM976" t="n">
        <v>11</v>
      </c>
      <c r="AN976" t="n">
        <v>6</v>
      </c>
      <c r="AO976" t="n">
        <v>6</v>
      </c>
      <c r="AP976" t="inlineStr">
        <is>
          <t>No</t>
        </is>
      </c>
      <c r="AQ976" t="inlineStr">
        <is>
          <t>Yes</t>
        </is>
      </c>
      <c r="AR976">
        <f>HYPERLINK("http://catalog.hathitrust.org/Record/002487604","HathiTrust Record")</f>
        <v/>
      </c>
      <c r="AS976">
        <f>HYPERLINK("https://creighton-primo.hosted.exlibrisgroup.com/primo-explore/search?tab=default_tab&amp;search_scope=EVERYTHING&amp;vid=01CRU&amp;lang=en_US&amp;offset=0&amp;query=any,contains,991001832309702656","Catalog Record")</f>
        <v/>
      </c>
      <c r="AT976">
        <f>HYPERLINK("http://www.worldcat.org/oclc/23016353","WorldCat Record")</f>
        <v/>
      </c>
      <c r="AU976" t="inlineStr">
        <is>
          <t>773108620:eng</t>
        </is>
      </c>
      <c r="AV976" t="inlineStr">
        <is>
          <t>23016353</t>
        </is>
      </c>
      <c r="AW976" t="inlineStr">
        <is>
          <t>991001832309702656</t>
        </is>
      </c>
      <c r="AX976" t="inlineStr">
        <is>
          <t>991001832309702656</t>
        </is>
      </c>
      <c r="AY976" t="inlineStr">
        <is>
          <t>2264646930002656</t>
        </is>
      </c>
      <c r="AZ976" t="inlineStr">
        <is>
          <t>BOOK</t>
        </is>
      </c>
      <c r="BB976" t="inlineStr">
        <is>
          <t>9780517576984</t>
        </is>
      </c>
      <c r="BC976" t="inlineStr">
        <is>
          <t>32285000729292</t>
        </is>
      </c>
      <c r="BD976" t="inlineStr">
        <is>
          <t>893809204</t>
        </is>
      </c>
    </row>
    <row r="977">
      <c r="A977" t="inlineStr">
        <is>
          <t>No</t>
        </is>
      </c>
      <c r="B977" t="inlineStr">
        <is>
          <t>HQ1426 .F47 1993</t>
        </is>
      </c>
      <c r="C977" t="inlineStr">
        <is>
          <t>0                      HQ 1426000F  47          1993</t>
        </is>
      </c>
      <c r="D977" t="inlineStr">
        <is>
          <t>Feminist frameworks : alternative theoretical accounts of the relations between women and men / [edited by] Alison M. Jaggar, Paula S. Rothenberg.</t>
        </is>
      </c>
      <c r="F977" t="inlineStr">
        <is>
          <t>No</t>
        </is>
      </c>
      <c r="G977" t="inlineStr">
        <is>
          <t>1</t>
        </is>
      </c>
      <c r="H977" t="inlineStr">
        <is>
          <t>No</t>
        </is>
      </c>
      <c r="I977" t="inlineStr">
        <is>
          <t>No</t>
        </is>
      </c>
      <c r="J977" t="inlineStr">
        <is>
          <t>0</t>
        </is>
      </c>
      <c r="L977" t="inlineStr">
        <is>
          <t>New York : McGraw-Hill, c1993.</t>
        </is>
      </c>
      <c r="M977" t="inlineStr">
        <is>
          <t>1993</t>
        </is>
      </c>
      <c r="N977" t="inlineStr">
        <is>
          <t>3rd ed.</t>
        </is>
      </c>
      <c r="O977" t="inlineStr">
        <is>
          <t>eng</t>
        </is>
      </c>
      <c r="P977" t="inlineStr">
        <is>
          <t>nyu</t>
        </is>
      </c>
      <c r="R977" t="inlineStr">
        <is>
          <t xml:space="preserve">HQ </t>
        </is>
      </c>
      <c r="S977" t="n">
        <v>9</v>
      </c>
      <c r="T977" t="n">
        <v>9</v>
      </c>
      <c r="U977" t="inlineStr">
        <is>
          <t>1999-01-08</t>
        </is>
      </c>
      <c r="V977" t="inlineStr">
        <is>
          <t>1999-01-08</t>
        </is>
      </c>
      <c r="W977" t="inlineStr">
        <is>
          <t>1995-06-01</t>
        </is>
      </c>
      <c r="X977" t="inlineStr">
        <is>
          <t>1995-06-01</t>
        </is>
      </c>
      <c r="Y977" t="n">
        <v>434</v>
      </c>
      <c r="Z977" t="n">
        <v>307</v>
      </c>
      <c r="AA977" t="n">
        <v>822</v>
      </c>
      <c r="AB977" t="n">
        <v>2</v>
      </c>
      <c r="AC977" t="n">
        <v>4</v>
      </c>
      <c r="AD977" t="n">
        <v>17</v>
      </c>
      <c r="AE977" t="n">
        <v>39</v>
      </c>
      <c r="AF977" t="n">
        <v>6</v>
      </c>
      <c r="AG977" t="n">
        <v>16</v>
      </c>
      <c r="AH977" t="n">
        <v>3</v>
      </c>
      <c r="AI977" t="n">
        <v>9</v>
      </c>
      <c r="AJ977" t="n">
        <v>12</v>
      </c>
      <c r="AK977" t="n">
        <v>21</v>
      </c>
      <c r="AL977" t="n">
        <v>1</v>
      </c>
      <c r="AM977" t="n">
        <v>3</v>
      </c>
      <c r="AN977" t="n">
        <v>0</v>
      </c>
      <c r="AO977" t="n">
        <v>0</v>
      </c>
      <c r="AP977" t="inlineStr">
        <is>
          <t>No</t>
        </is>
      </c>
      <c r="AQ977" t="inlineStr">
        <is>
          <t>Yes</t>
        </is>
      </c>
      <c r="AR977">
        <f>HYPERLINK("http://catalog.hathitrust.org/Record/009926412","HathiTrust Record")</f>
        <v/>
      </c>
      <c r="AS977">
        <f>HYPERLINK("https://creighton-primo.hosted.exlibrisgroup.com/primo-explore/search?tab=default_tab&amp;search_scope=EVERYTHING&amp;vid=01CRU&amp;lang=en_US&amp;offset=0&amp;query=any,contains,991002080249702656","Catalog Record")</f>
        <v/>
      </c>
      <c r="AT977">
        <f>HYPERLINK("http://www.worldcat.org/oclc/26673835","WorldCat Record")</f>
        <v/>
      </c>
      <c r="AU977" t="inlineStr">
        <is>
          <t>836827339:eng</t>
        </is>
      </c>
      <c r="AV977" t="inlineStr">
        <is>
          <t>26673835</t>
        </is>
      </c>
      <c r="AW977" t="inlineStr">
        <is>
          <t>991002080249702656</t>
        </is>
      </c>
      <c r="AX977" t="inlineStr">
        <is>
          <t>991002080249702656</t>
        </is>
      </c>
      <c r="AY977" t="inlineStr">
        <is>
          <t>2270132750002656</t>
        </is>
      </c>
      <c r="AZ977" t="inlineStr">
        <is>
          <t>BOOK</t>
        </is>
      </c>
      <c r="BB977" t="inlineStr">
        <is>
          <t>9780070322530</t>
        </is>
      </c>
      <c r="BC977" t="inlineStr">
        <is>
          <t>32285002048881</t>
        </is>
      </c>
      <c r="BD977" t="inlineStr">
        <is>
          <t>893785685</t>
        </is>
      </c>
    </row>
    <row r="978">
      <c r="A978" t="inlineStr">
        <is>
          <t>No</t>
        </is>
      </c>
      <c r="B978" t="inlineStr">
        <is>
          <t>HQ1426 .F472 1993</t>
        </is>
      </c>
      <c r="C978" t="inlineStr">
        <is>
          <t>0                      HQ 1426000F  472         1993</t>
        </is>
      </c>
      <c r="D978" t="inlineStr">
        <is>
          <t>Feminist frontiers III / [edited by] Laurel Richardson, Verta Taylor.</t>
        </is>
      </c>
      <c r="F978" t="inlineStr">
        <is>
          <t>No</t>
        </is>
      </c>
      <c r="G978" t="inlineStr">
        <is>
          <t>1</t>
        </is>
      </c>
      <c r="H978" t="inlineStr">
        <is>
          <t>No</t>
        </is>
      </c>
      <c r="I978" t="inlineStr">
        <is>
          <t>No</t>
        </is>
      </c>
      <c r="J978" t="inlineStr">
        <is>
          <t>0</t>
        </is>
      </c>
      <c r="L978" t="inlineStr">
        <is>
          <t>New York : McGraw-Hill, c1993.</t>
        </is>
      </c>
      <c r="M978" t="inlineStr">
        <is>
          <t>1993</t>
        </is>
      </c>
      <c r="O978" t="inlineStr">
        <is>
          <t>eng</t>
        </is>
      </c>
      <c r="P978" t="inlineStr">
        <is>
          <t>nyu</t>
        </is>
      </c>
      <c r="R978" t="inlineStr">
        <is>
          <t xml:space="preserve">HQ </t>
        </is>
      </c>
      <c r="S978" t="n">
        <v>2</v>
      </c>
      <c r="T978" t="n">
        <v>2</v>
      </c>
      <c r="U978" t="inlineStr">
        <is>
          <t>1995-11-29</t>
        </is>
      </c>
      <c r="V978" t="inlineStr">
        <is>
          <t>1995-11-29</t>
        </is>
      </c>
      <c r="W978" t="inlineStr">
        <is>
          <t>1995-06-01</t>
        </is>
      </c>
      <c r="X978" t="inlineStr">
        <is>
          <t>1995-06-01</t>
        </is>
      </c>
      <c r="Y978" t="n">
        <v>273</v>
      </c>
      <c r="Z978" t="n">
        <v>212</v>
      </c>
      <c r="AA978" t="n">
        <v>215</v>
      </c>
      <c r="AB978" t="n">
        <v>2</v>
      </c>
      <c r="AC978" t="n">
        <v>2</v>
      </c>
      <c r="AD978" t="n">
        <v>11</v>
      </c>
      <c r="AE978" t="n">
        <v>11</v>
      </c>
      <c r="AF978" t="n">
        <v>2</v>
      </c>
      <c r="AG978" t="n">
        <v>2</v>
      </c>
      <c r="AH978" t="n">
        <v>5</v>
      </c>
      <c r="AI978" t="n">
        <v>5</v>
      </c>
      <c r="AJ978" t="n">
        <v>7</v>
      </c>
      <c r="AK978" t="n">
        <v>7</v>
      </c>
      <c r="AL978" t="n">
        <v>1</v>
      </c>
      <c r="AM978" t="n">
        <v>1</v>
      </c>
      <c r="AN978" t="n">
        <v>0</v>
      </c>
      <c r="AO978" t="n">
        <v>0</v>
      </c>
      <c r="AP978" t="inlineStr">
        <is>
          <t>No</t>
        </is>
      </c>
      <c r="AQ978" t="inlineStr">
        <is>
          <t>Yes</t>
        </is>
      </c>
      <c r="AR978">
        <f>HYPERLINK("http://catalog.hathitrust.org/Record/002785719","HathiTrust Record")</f>
        <v/>
      </c>
      <c r="AS978">
        <f>HYPERLINK("https://creighton-primo.hosted.exlibrisgroup.com/primo-explore/search?tab=default_tab&amp;search_scope=EVERYTHING&amp;vid=01CRU&amp;lang=en_US&amp;offset=0&amp;query=any,contains,991002039639702656","Catalog Record")</f>
        <v/>
      </c>
      <c r="AT978">
        <f>HYPERLINK("http://www.worldcat.org/oclc/26013717","WorldCat Record")</f>
        <v/>
      </c>
      <c r="AU978" t="inlineStr">
        <is>
          <t>5219214875:eng</t>
        </is>
      </c>
      <c r="AV978" t="inlineStr">
        <is>
          <t>26013717</t>
        </is>
      </c>
      <c r="AW978" t="inlineStr">
        <is>
          <t>991002039639702656</t>
        </is>
      </c>
      <c r="AX978" t="inlineStr">
        <is>
          <t>991002039639702656</t>
        </is>
      </c>
      <c r="AY978" t="inlineStr">
        <is>
          <t>2261672060002656</t>
        </is>
      </c>
      <c r="AZ978" t="inlineStr">
        <is>
          <t>BOOK</t>
        </is>
      </c>
      <c r="BB978" t="inlineStr">
        <is>
          <t>9780070522985</t>
        </is>
      </c>
      <c r="BC978" t="inlineStr">
        <is>
          <t>32285002048840</t>
        </is>
      </c>
      <c r="BD978" t="inlineStr">
        <is>
          <t>893244691</t>
        </is>
      </c>
    </row>
    <row r="979">
      <c r="A979" t="inlineStr">
        <is>
          <t>No</t>
        </is>
      </c>
      <c r="B979" t="inlineStr">
        <is>
          <t>HQ1426 .F54 1986</t>
        </is>
      </c>
      <c r="C979" t="inlineStr">
        <is>
          <t>0                      HQ 1426000F  54          1986</t>
        </is>
      </c>
      <c r="D979" t="inlineStr">
        <is>
          <t>Him/her/self : sex roles in modern America / by Peter G. Filene.</t>
        </is>
      </c>
      <c r="F979" t="inlineStr">
        <is>
          <t>No</t>
        </is>
      </c>
      <c r="G979" t="inlineStr">
        <is>
          <t>1</t>
        </is>
      </c>
      <c r="H979" t="inlineStr">
        <is>
          <t>No</t>
        </is>
      </c>
      <c r="I979" t="inlineStr">
        <is>
          <t>No</t>
        </is>
      </c>
      <c r="J979" t="inlineStr">
        <is>
          <t>0</t>
        </is>
      </c>
      <c r="K979" t="inlineStr">
        <is>
          <t>Filene, Peter G.</t>
        </is>
      </c>
      <c r="L979" t="inlineStr">
        <is>
          <t>Baltimore : Johns Hopkins University Press, c1986.</t>
        </is>
      </c>
      <c r="M979" t="inlineStr">
        <is>
          <t>1986</t>
        </is>
      </c>
      <c r="N979" t="inlineStr">
        <is>
          <t>2nd ed.</t>
        </is>
      </c>
      <c r="O979" t="inlineStr">
        <is>
          <t>eng</t>
        </is>
      </c>
      <c r="P979" t="inlineStr">
        <is>
          <t>mdu</t>
        </is>
      </c>
      <c r="R979" t="inlineStr">
        <is>
          <t xml:space="preserve">HQ </t>
        </is>
      </c>
      <c r="S979" t="n">
        <v>10</v>
      </c>
      <c r="T979" t="n">
        <v>10</v>
      </c>
      <c r="U979" t="inlineStr">
        <is>
          <t>1995-11-14</t>
        </is>
      </c>
      <c r="V979" t="inlineStr">
        <is>
          <t>1995-11-14</t>
        </is>
      </c>
      <c r="W979" t="inlineStr">
        <is>
          <t>1990-02-28</t>
        </is>
      </c>
      <c r="X979" t="inlineStr">
        <is>
          <t>1990-02-28</t>
        </is>
      </c>
      <c r="Y979" t="n">
        <v>659</v>
      </c>
      <c r="Z979" t="n">
        <v>582</v>
      </c>
      <c r="AA979" t="n">
        <v>981</v>
      </c>
      <c r="AB979" t="n">
        <v>4</v>
      </c>
      <c r="AC979" t="n">
        <v>5</v>
      </c>
      <c r="AD979" t="n">
        <v>25</v>
      </c>
      <c r="AE979" t="n">
        <v>36</v>
      </c>
      <c r="AF979" t="n">
        <v>11</v>
      </c>
      <c r="AG979" t="n">
        <v>14</v>
      </c>
      <c r="AH979" t="n">
        <v>6</v>
      </c>
      <c r="AI979" t="n">
        <v>7</v>
      </c>
      <c r="AJ979" t="n">
        <v>12</v>
      </c>
      <c r="AK979" t="n">
        <v>20</v>
      </c>
      <c r="AL979" t="n">
        <v>3</v>
      </c>
      <c r="AM979" t="n">
        <v>4</v>
      </c>
      <c r="AN979" t="n">
        <v>0</v>
      </c>
      <c r="AO979" t="n">
        <v>1</v>
      </c>
      <c r="AP979" t="inlineStr">
        <is>
          <t>No</t>
        </is>
      </c>
      <c r="AQ979" t="inlineStr">
        <is>
          <t>Yes</t>
        </is>
      </c>
      <c r="AR979">
        <f>HYPERLINK("http://catalog.hathitrust.org/Record/000481262","HathiTrust Record")</f>
        <v/>
      </c>
      <c r="AS979">
        <f>HYPERLINK("https://creighton-primo.hosted.exlibrisgroup.com/primo-explore/search?tab=default_tab&amp;search_scope=EVERYTHING&amp;vid=01CRU&amp;lang=en_US&amp;offset=0&amp;query=any,contains,991000792299702656","Catalog Record")</f>
        <v/>
      </c>
      <c r="AT979">
        <f>HYPERLINK("http://www.worldcat.org/oclc/13159273","WorldCat Record")</f>
        <v/>
      </c>
      <c r="AU979" t="inlineStr">
        <is>
          <t>2067457:eng</t>
        </is>
      </c>
      <c r="AV979" t="inlineStr">
        <is>
          <t>13159273</t>
        </is>
      </c>
      <c r="AW979" t="inlineStr">
        <is>
          <t>991000792299702656</t>
        </is>
      </c>
      <c r="AX979" t="inlineStr">
        <is>
          <t>991000792299702656</t>
        </is>
      </c>
      <c r="AY979" t="inlineStr">
        <is>
          <t>2267884530002656</t>
        </is>
      </c>
      <c r="AZ979" t="inlineStr">
        <is>
          <t>BOOK</t>
        </is>
      </c>
      <c r="BB979" t="inlineStr">
        <is>
          <t>9780801828959</t>
        </is>
      </c>
      <c r="BC979" t="inlineStr">
        <is>
          <t>32285000070770</t>
        </is>
      </c>
      <c r="BD979" t="inlineStr">
        <is>
          <t>893419778</t>
        </is>
      </c>
    </row>
    <row r="980">
      <c r="A980" t="inlineStr">
        <is>
          <t>No</t>
        </is>
      </c>
      <c r="B980" t="inlineStr">
        <is>
          <t>HQ1426 .F758 1996</t>
        </is>
      </c>
      <c r="C980" t="inlineStr">
        <is>
          <t>0                      HQ 1426000F  758         1996</t>
        </is>
      </c>
      <c r="D980" t="inlineStr">
        <is>
          <t>For crying out loud : women's poverty in the United States / edited by Diane Dujon and Ann Withorn.</t>
        </is>
      </c>
      <c r="F980" t="inlineStr">
        <is>
          <t>No</t>
        </is>
      </c>
      <c r="G980" t="inlineStr">
        <is>
          <t>1</t>
        </is>
      </c>
      <c r="H980" t="inlineStr">
        <is>
          <t>No</t>
        </is>
      </c>
      <c r="I980" t="inlineStr">
        <is>
          <t>No</t>
        </is>
      </c>
      <c r="J980" t="inlineStr">
        <is>
          <t>0</t>
        </is>
      </c>
      <c r="L980" t="inlineStr">
        <is>
          <t>Boston : South End Press, c1996.</t>
        </is>
      </c>
      <c r="M980" t="inlineStr">
        <is>
          <t>1996</t>
        </is>
      </c>
      <c r="O980" t="inlineStr">
        <is>
          <t>eng</t>
        </is>
      </c>
      <c r="P980" t="inlineStr">
        <is>
          <t>mau</t>
        </is>
      </c>
      <c r="R980" t="inlineStr">
        <is>
          <t xml:space="preserve">HQ </t>
        </is>
      </c>
      <c r="S980" t="n">
        <v>4</v>
      </c>
      <c r="T980" t="n">
        <v>4</v>
      </c>
      <c r="U980" t="inlineStr">
        <is>
          <t>2000-08-23</t>
        </is>
      </c>
      <c r="V980" t="inlineStr">
        <is>
          <t>2000-08-23</t>
        </is>
      </c>
      <c r="W980" t="inlineStr">
        <is>
          <t>1997-03-13</t>
        </is>
      </c>
      <c r="X980" t="inlineStr">
        <is>
          <t>1997-03-13</t>
        </is>
      </c>
      <c r="Y980" t="n">
        <v>524</v>
      </c>
      <c r="Z980" t="n">
        <v>495</v>
      </c>
      <c r="AA980" t="n">
        <v>679</v>
      </c>
      <c r="AB980" t="n">
        <v>5</v>
      </c>
      <c r="AC980" t="n">
        <v>5</v>
      </c>
      <c r="AD980" t="n">
        <v>30</v>
      </c>
      <c r="AE980" t="n">
        <v>34</v>
      </c>
      <c r="AF980" t="n">
        <v>13</v>
      </c>
      <c r="AG980" t="n">
        <v>14</v>
      </c>
      <c r="AH980" t="n">
        <v>6</v>
      </c>
      <c r="AI980" t="n">
        <v>7</v>
      </c>
      <c r="AJ980" t="n">
        <v>14</v>
      </c>
      <c r="AK980" t="n">
        <v>17</v>
      </c>
      <c r="AL980" t="n">
        <v>4</v>
      </c>
      <c r="AM980" t="n">
        <v>4</v>
      </c>
      <c r="AN980" t="n">
        <v>1</v>
      </c>
      <c r="AO980" t="n">
        <v>2</v>
      </c>
      <c r="AP980" t="inlineStr">
        <is>
          <t>No</t>
        </is>
      </c>
      <c r="AQ980" t="inlineStr">
        <is>
          <t>Yes</t>
        </is>
      </c>
      <c r="AR980">
        <f>HYPERLINK("http://catalog.hathitrust.org/Record/003137788","HathiTrust Record")</f>
        <v/>
      </c>
      <c r="AS980">
        <f>HYPERLINK("https://creighton-primo.hosted.exlibrisgroup.com/primo-explore/search?tab=default_tab&amp;search_scope=EVERYTHING&amp;vid=01CRU&amp;lang=en_US&amp;offset=0&amp;query=any,contains,991005424519702656","Catalog Record")</f>
        <v/>
      </c>
      <c r="AT980">
        <f>HYPERLINK("http://www.worldcat.org/oclc/35198566","WorldCat Record")</f>
        <v/>
      </c>
      <c r="AU980" t="inlineStr">
        <is>
          <t>367524462:eng</t>
        </is>
      </c>
      <c r="AV980" t="inlineStr">
        <is>
          <t>35198566</t>
        </is>
      </c>
      <c r="AW980" t="inlineStr">
        <is>
          <t>991005424519702656</t>
        </is>
      </c>
      <c r="AX980" t="inlineStr">
        <is>
          <t>991005424519702656</t>
        </is>
      </c>
      <c r="AY980" t="inlineStr">
        <is>
          <t>2260336500002656</t>
        </is>
      </c>
      <c r="AZ980" t="inlineStr">
        <is>
          <t>BOOK</t>
        </is>
      </c>
      <c r="BB980" t="inlineStr">
        <is>
          <t>9780896085299</t>
        </is>
      </c>
      <c r="BC980" t="inlineStr">
        <is>
          <t>32285002442324</t>
        </is>
      </c>
      <c r="BD980" t="inlineStr">
        <is>
          <t>893689176</t>
        </is>
      </c>
    </row>
    <row r="981">
      <c r="A981" t="inlineStr">
        <is>
          <t>No</t>
        </is>
      </c>
      <c r="B981" t="inlineStr">
        <is>
          <t>HQ1426 .F87 1988</t>
        </is>
      </c>
      <c r="C981" t="inlineStr">
        <is>
          <t>0                      HQ 1426000F  87          1988</t>
        </is>
      </c>
      <c r="D981" t="inlineStr">
        <is>
          <t>Women's quest for economic equality / Victor R. Fuchs.</t>
        </is>
      </c>
      <c r="F981" t="inlineStr">
        <is>
          <t>No</t>
        </is>
      </c>
      <c r="G981" t="inlineStr">
        <is>
          <t>1</t>
        </is>
      </c>
      <c r="H981" t="inlineStr">
        <is>
          <t>No</t>
        </is>
      </c>
      <c r="I981" t="inlineStr">
        <is>
          <t>No</t>
        </is>
      </c>
      <c r="J981" t="inlineStr">
        <is>
          <t>0</t>
        </is>
      </c>
      <c r="K981" t="inlineStr">
        <is>
          <t>Fuchs, Victor R.</t>
        </is>
      </c>
      <c r="L981" t="inlineStr">
        <is>
          <t>Cambridge, Mass. : Harvard University Press, 1988.</t>
        </is>
      </c>
      <c r="M981" t="inlineStr">
        <is>
          <t>1988</t>
        </is>
      </c>
      <c r="O981" t="inlineStr">
        <is>
          <t>eng</t>
        </is>
      </c>
      <c r="P981" t="inlineStr">
        <is>
          <t>mau</t>
        </is>
      </c>
      <c r="R981" t="inlineStr">
        <is>
          <t xml:space="preserve">HQ </t>
        </is>
      </c>
      <c r="S981" t="n">
        <v>2</v>
      </c>
      <c r="T981" t="n">
        <v>2</v>
      </c>
      <c r="U981" t="inlineStr">
        <is>
          <t>1994-09-03</t>
        </is>
      </c>
      <c r="V981" t="inlineStr">
        <is>
          <t>1994-09-03</t>
        </is>
      </c>
      <c r="W981" t="inlineStr">
        <is>
          <t>1993-04-28</t>
        </is>
      </c>
      <c r="X981" t="inlineStr">
        <is>
          <t>1993-04-28</t>
        </is>
      </c>
      <c r="Y981" t="n">
        <v>879</v>
      </c>
      <c r="Z981" t="n">
        <v>726</v>
      </c>
      <c r="AA981" t="n">
        <v>753</v>
      </c>
      <c r="AB981" t="n">
        <v>6</v>
      </c>
      <c r="AC981" t="n">
        <v>7</v>
      </c>
      <c r="AD981" t="n">
        <v>37</v>
      </c>
      <c r="AE981" t="n">
        <v>41</v>
      </c>
      <c r="AF981" t="n">
        <v>11</v>
      </c>
      <c r="AG981" t="n">
        <v>13</v>
      </c>
      <c r="AH981" t="n">
        <v>9</v>
      </c>
      <c r="AI981" t="n">
        <v>9</v>
      </c>
      <c r="AJ981" t="n">
        <v>20</v>
      </c>
      <c r="AK981" t="n">
        <v>21</v>
      </c>
      <c r="AL981" t="n">
        <v>5</v>
      </c>
      <c r="AM981" t="n">
        <v>6</v>
      </c>
      <c r="AN981" t="n">
        <v>3</v>
      </c>
      <c r="AO981" t="n">
        <v>4</v>
      </c>
      <c r="AP981" t="inlineStr">
        <is>
          <t>No</t>
        </is>
      </c>
      <c r="AQ981" t="inlineStr">
        <is>
          <t>Yes</t>
        </is>
      </c>
      <c r="AR981">
        <f>HYPERLINK("http://catalog.hathitrust.org/Record/000942637","HathiTrust Record")</f>
        <v/>
      </c>
      <c r="AS981">
        <f>HYPERLINK("https://creighton-primo.hosted.exlibrisgroup.com/primo-explore/search?tab=default_tab&amp;search_scope=EVERYTHING&amp;vid=01CRU&amp;lang=en_US&amp;offset=0&amp;query=any,contains,991001257309702656","Catalog Record")</f>
        <v/>
      </c>
      <c r="AT981">
        <f>HYPERLINK("http://www.worldcat.org/oclc/17732520","WorldCat Record")</f>
        <v/>
      </c>
      <c r="AU981" t="inlineStr">
        <is>
          <t>2685604:eng</t>
        </is>
      </c>
      <c r="AV981" t="inlineStr">
        <is>
          <t>17732520</t>
        </is>
      </c>
      <c r="AW981" t="inlineStr">
        <is>
          <t>991001257309702656</t>
        </is>
      </c>
      <c r="AX981" t="inlineStr">
        <is>
          <t>991001257309702656</t>
        </is>
      </c>
      <c r="AY981" t="inlineStr">
        <is>
          <t>2271031550002656</t>
        </is>
      </c>
      <c r="AZ981" t="inlineStr">
        <is>
          <t>BOOK</t>
        </is>
      </c>
      <c r="BB981" t="inlineStr">
        <is>
          <t>9780674955455</t>
        </is>
      </c>
      <c r="BC981" t="inlineStr">
        <is>
          <t>32285001629921</t>
        </is>
      </c>
      <c r="BD981" t="inlineStr">
        <is>
          <t>893778682</t>
        </is>
      </c>
    </row>
    <row r="982">
      <c r="A982" t="inlineStr">
        <is>
          <t>No</t>
        </is>
      </c>
      <c r="B982" t="inlineStr">
        <is>
          <t>HQ1426 .F88</t>
        </is>
      </c>
      <c r="C982" t="inlineStr">
        <is>
          <t>0                      HQ 1426000F  88</t>
        </is>
      </c>
      <c r="D982" t="inlineStr">
        <is>
          <t>Feminism in American politics : a study of ideological influence / Claire Knoche Fulenwider.</t>
        </is>
      </c>
      <c r="F982" t="inlineStr">
        <is>
          <t>No</t>
        </is>
      </c>
      <c r="G982" t="inlineStr">
        <is>
          <t>1</t>
        </is>
      </c>
      <c r="H982" t="inlineStr">
        <is>
          <t>No</t>
        </is>
      </c>
      <c r="I982" t="inlineStr">
        <is>
          <t>No</t>
        </is>
      </c>
      <c r="J982" t="inlineStr">
        <is>
          <t>0</t>
        </is>
      </c>
      <c r="K982" t="inlineStr">
        <is>
          <t>Fulenwider, Claire Knoche.</t>
        </is>
      </c>
      <c r="L982" t="inlineStr">
        <is>
          <t>New York, N.Y. : Praeger, 1980.</t>
        </is>
      </c>
      <c r="M982" t="inlineStr">
        <is>
          <t>1980</t>
        </is>
      </c>
      <c r="O982" t="inlineStr">
        <is>
          <t>eng</t>
        </is>
      </c>
      <c r="P982" t="inlineStr">
        <is>
          <t>nyu</t>
        </is>
      </c>
      <c r="Q982" t="inlineStr">
        <is>
          <t>American political parties and elections</t>
        </is>
      </c>
      <c r="R982" t="inlineStr">
        <is>
          <t xml:space="preserve">HQ </t>
        </is>
      </c>
      <c r="S982" t="n">
        <v>7</v>
      </c>
      <c r="T982" t="n">
        <v>7</v>
      </c>
      <c r="U982" t="inlineStr">
        <is>
          <t>1999-04-23</t>
        </is>
      </c>
      <c r="V982" t="inlineStr">
        <is>
          <t>1999-04-23</t>
        </is>
      </c>
      <c r="W982" t="inlineStr">
        <is>
          <t>1990-07-05</t>
        </is>
      </c>
      <c r="X982" t="inlineStr">
        <is>
          <t>1990-07-05</t>
        </is>
      </c>
      <c r="Y982" t="n">
        <v>605</v>
      </c>
      <c r="Z982" t="n">
        <v>529</v>
      </c>
      <c r="AA982" t="n">
        <v>536</v>
      </c>
      <c r="AB982" t="n">
        <v>3</v>
      </c>
      <c r="AC982" t="n">
        <v>3</v>
      </c>
      <c r="AD982" t="n">
        <v>26</v>
      </c>
      <c r="AE982" t="n">
        <v>26</v>
      </c>
      <c r="AF982" t="n">
        <v>11</v>
      </c>
      <c r="AG982" t="n">
        <v>11</v>
      </c>
      <c r="AH982" t="n">
        <v>6</v>
      </c>
      <c r="AI982" t="n">
        <v>6</v>
      </c>
      <c r="AJ982" t="n">
        <v>15</v>
      </c>
      <c r="AK982" t="n">
        <v>15</v>
      </c>
      <c r="AL982" t="n">
        <v>2</v>
      </c>
      <c r="AM982" t="n">
        <v>2</v>
      </c>
      <c r="AN982" t="n">
        <v>1</v>
      </c>
      <c r="AO982" t="n">
        <v>1</v>
      </c>
      <c r="AP982" t="inlineStr">
        <is>
          <t>No</t>
        </is>
      </c>
      <c r="AQ982" t="inlineStr">
        <is>
          <t>Yes</t>
        </is>
      </c>
      <c r="AR982">
        <f>HYPERLINK("http://catalog.hathitrust.org/Record/000682714","HathiTrust Record")</f>
        <v/>
      </c>
      <c r="AS982">
        <f>HYPERLINK("https://creighton-primo.hosted.exlibrisgroup.com/primo-explore/search?tab=default_tab&amp;search_scope=EVERYTHING&amp;vid=01CRU&amp;lang=en_US&amp;offset=0&amp;query=any,contains,991004873609702656","Catalog Record")</f>
        <v/>
      </c>
      <c r="AT982">
        <f>HYPERLINK("http://www.worldcat.org/oclc/5777035","WorldCat Record")</f>
        <v/>
      </c>
      <c r="AU982" t="inlineStr">
        <is>
          <t>864876272:eng</t>
        </is>
      </c>
      <c r="AV982" t="inlineStr">
        <is>
          <t>5777035</t>
        </is>
      </c>
      <c r="AW982" t="inlineStr">
        <is>
          <t>991004873609702656</t>
        </is>
      </c>
      <c r="AX982" t="inlineStr">
        <is>
          <t>991004873609702656</t>
        </is>
      </c>
      <c r="AY982" t="inlineStr">
        <is>
          <t>2256226770002656</t>
        </is>
      </c>
      <c r="AZ982" t="inlineStr">
        <is>
          <t>BOOK</t>
        </is>
      </c>
      <c r="BB982" t="inlineStr">
        <is>
          <t>9780030534614</t>
        </is>
      </c>
      <c r="BC982" t="inlineStr">
        <is>
          <t>32285000221985</t>
        </is>
      </c>
      <c r="BD982" t="inlineStr">
        <is>
          <t>893332139</t>
        </is>
      </c>
    </row>
    <row r="983">
      <c r="A983" t="inlineStr">
        <is>
          <t>No</t>
        </is>
      </c>
      <c r="B983" t="inlineStr">
        <is>
          <t>HQ1426 .G28</t>
        </is>
      </c>
      <c r="C983" t="inlineStr">
        <is>
          <t>0                      HQ 1426000G  28</t>
        </is>
      </c>
      <c r="D983" t="inlineStr">
        <is>
          <t>Changing learning, changing lives : a high school women's studies curriculum from The Group School / by Barbara Gates, Susan Klaw, and Adria Steinberg.</t>
        </is>
      </c>
      <c r="F983" t="inlineStr">
        <is>
          <t>No</t>
        </is>
      </c>
      <c r="G983" t="inlineStr">
        <is>
          <t>1</t>
        </is>
      </c>
      <c r="H983" t="inlineStr">
        <is>
          <t>No</t>
        </is>
      </c>
      <c r="I983" t="inlineStr">
        <is>
          <t>No</t>
        </is>
      </c>
      <c r="J983" t="inlineStr">
        <is>
          <t>0</t>
        </is>
      </c>
      <c r="K983" t="inlineStr">
        <is>
          <t>Gates, Barbara, 1946-</t>
        </is>
      </c>
      <c r="L983" t="inlineStr">
        <is>
          <t>Old Westbury, N.Y. : Feminist Press, c1979.</t>
        </is>
      </c>
      <c r="M983" t="inlineStr">
        <is>
          <t>1979</t>
        </is>
      </c>
      <c r="O983" t="inlineStr">
        <is>
          <t>eng</t>
        </is>
      </c>
      <c r="P983" t="inlineStr">
        <is>
          <t>nyu</t>
        </is>
      </c>
      <c r="R983" t="inlineStr">
        <is>
          <t xml:space="preserve">HQ </t>
        </is>
      </c>
      <c r="S983" t="n">
        <v>2</v>
      </c>
      <c r="T983" t="n">
        <v>2</v>
      </c>
      <c r="U983" t="inlineStr">
        <is>
          <t>1995-08-22</t>
        </is>
      </c>
      <c r="V983" t="inlineStr">
        <is>
          <t>1995-08-22</t>
        </is>
      </c>
      <c r="W983" t="inlineStr">
        <is>
          <t>1993-04-28</t>
        </is>
      </c>
      <c r="X983" t="inlineStr">
        <is>
          <t>1993-04-28</t>
        </is>
      </c>
      <c r="Y983" t="n">
        <v>236</v>
      </c>
      <c r="Z983" t="n">
        <v>208</v>
      </c>
      <c r="AA983" t="n">
        <v>216</v>
      </c>
      <c r="AB983" t="n">
        <v>2</v>
      </c>
      <c r="AC983" t="n">
        <v>2</v>
      </c>
      <c r="AD983" t="n">
        <v>8</v>
      </c>
      <c r="AE983" t="n">
        <v>8</v>
      </c>
      <c r="AF983" t="n">
        <v>3</v>
      </c>
      <c r="AG983" t="n">
        <v>3</v>
      </c>
      <c r="AH983" t="n">
        <v>1</v>
      </c>
      <c r="AI983" t="n">
        <v>1</v>
      </c>
      <c r="AJ983" t="n">
        <v>5</v>
      </c>
      <c r="AK983" t="n">
        <v>5</v>
      </c>
      <c r="AL983" t="n">
        <v>1</v>
      </c>
      <c r="AM983" t="n">
        <v>1</v>
      </c>
      <c r="AN983" t="n">
        <v>0</v>
      </c>
      <c r="AO983" t="n">
        <v>0</v>
      </c>
      <c r="AP983" t="inlineStr">
        <is>
          <t>No</t>
        </is>
      </c>
      <c r="AQ983" t="inlineStr">
        <is>
          <t>Yes</t>
        </is>
      </c>
      <c r="AR983">
        <f>HYPERLINK("http://catalog.hathitrust.org/Record/006235929","HathiTrust Record")</f>
        <v/>
      </c>
      <c r="AS983">
        <f>HYPERLINK("https://creighton-primo.hosted.exlibrisgroup.com/primo-explore/search?tab=default_tab&amp;search_scope=EVERYTHING&amp;vid=01CRU&amp;lang=en_US&amp;offset=0&amp;query=any,contains,991004610709702656","Catalog Record")</f>
        <v/>
      </c>
      <c r="AT983">
        <f>HYPERLINK("http://www.worldcat.org/oclc/4211257","WorldCat Record")</f>
        <v/>
      </c>
      <c r="AU983" t="inlineStr">
        <is>
          <t>309322260:eng</t>
        </is>
      </c>
      <c r="AV983" t="inlineStr">
        <is>
          <t>4211257</t>
        </is>
      </c>
      <c r="AW983" t="inlineStr">
        <is>
          <t>991004610709702656</t>
        </is>
      </c>
      <c r="AX983" t="inlineStr">
        <is>
          <t>991004610709702656</t>
        </is>
      </c>
      <c r="AY983" t="inlineStr">
        <is>
          <t>2256534430002656</t>
        </is>
      </c>
      <c r="AZ983" t="inlineStr">
        <is>
          <t>BOOK</t>
        </is>
      </c>
      <c r="BB983" t="inlineStr">
        <is>
          <t>9780912670478</t>
        </is>
      </c>
      <c r="BC983" t="inlineStr">
        <is>
          <t>32285001629939</t>
        </is>
      </c>
      <c r="BD983" t="inlineStr">
        <is>
          <t>893411752</t>
        </is>
      </c>
    </row>
    <row r="984">
      <c r="A984" t="inlineStr">
        <is>
          <t>No</t>
        </is>
      </c>
      <c r="B984" t="inlineStr">
        <is>
          <t>HQ1426 .G35 1982</t>
        </is>
      </c>
      <c r="C984" t="inlineStr">
        <is>
          <t>0                      HQ 1426000G  35          1982</t>
        </is>
      </c>
      <c r="D984" t="inlineStr">
        <is>
          <t>Women and public policies / Joyce Gelb and Marian Lief Palley.</t>
        </is>
      </c>
      <c r="F984" t="inlineStr">
        <is>
          <t>No</t>
        </is>
      </c>
      <c r="G984" t="inlineStr">
        <is>
          <t>1</t>
        </is>
      </c>
      <c r="H984" t="inlineStr">
        <is>
          <t>No</t>
        </is>
      </c>
      <c r="I984" t="inlineStr">
        <is>
          <t>No</t>
        </is>
      </c>
      <c r="J984" t="inlineStr">
        <is>
          <t>0</t>
        </is>
      </c>
      <c r="K984" t="inlineStr">
        <is>
          <t>Gelb, Joyce, 1940-</t>
        </is>
      </c>
      <c r="L984" t="inlineStr">
        <is>
          <t>Princeton, N.J. : Princeton University Press, c1982.</t>
        </is>
      </c>
      <c r="M984" t="inlineStr">
        <is>
          <t>1982</t>
        </is>
      </c>
      <c r="O984" t="inlineStr">
        <is>
          <t>eng</t>
        </is>
      </c>
      <c r="P984" t="inlineStr">
        <is>
          <t>nju</t>
        </is>
      </c>
      <c r="R984" t="inlineStr">
        <is>
          <t xml:space="preserve">HQ </t>
        </is>
      </c>
      <c r="S984" t="n">
        <v>2</v>
      </c>
      <c r="T984" t="n">
        <v>2</v>
      </c>
      <c r="U984" t="inlineStr">
        <is>
          <t>1993-09-06</t>
        </is>
      </c>
      <c r="V984" t="inlineStr">
        <is>
          <t>1993-09-06</t>
        </is>
      </c>
      <c r="W984" t="inlineStr">
        <is>
          <t>1990-07-05</t>
        </is>
      </c>
      <c r="X984" t="inlineStr">
        <is>
          <t>1990-07-05</t>
        </is>
      </c>
      <c r="Y984" t="n">
        <v>672</v>
      </c>
      <c r="Z984" t="n">
        <v>577</v>
      </c>
      <c r="AA984" t="n">
        <v>723</v>
      </c>
      <c r="AB984" t="n">
        <v>3</v>
      </c>
      <c r="AC984" t="n">
        <v>4</v>
      </c>
      <c r="AD984" t="n">
        <v>28</v>
      </c>
      <c r="AE984" t="n">
        <v>33</v>
      </c>
      <c r="AF984" t="n">
        <v>8</v>
      </c>
      <c r="AG984" t="n">
        <v>11</v>
      </c>
      <c r="AH984" t="n">
        <v>5</v>
      </c>
      <c r="AI984" t="n">
        <v>6</v>
      </c>
      <c r="AJ984" t="n">
        <v>12</v>
      </c>
      <c r="AK984" t="n">
        <v>14</v>
      </c>
      <c r="AL984" t="n">
        <v>2</v>
      </c>
      <c r="AM984" t="n">
        <v>3</v>
      </c>
      <c r="AN984" t="n">
        <v>5</v>
      </c>
      <c r="AO984" t="n">
        <v>6</v>
      </c>
      <c r="AP984" t="inlineStr">
        <is>
          <t>No</t>
        </is>
      </c>
      <c r="AQ984" t="inlineStr">
        <is>
          <t>No</t>
        </is>
      </c>
      <c r="AS984">
        <f>HYPERLINK("https://creighton-primo.hosted.exlibrisgroup.com/primo-explore/search?tab=default_tab&amp;search_scope=EVERYTHING&amp;vid=01CRU&amp;lang=en_US&amp;offset=0&amp;query=any,contains,991005210829702656","Catalog Record")</f>
        <v/>
      </c>
      <c r="AT984">
        <f>HYPERLINK("http://www.worldcat.org/oclc/8168766","WorldCat Record")</f>
        <v/>
      </c>
      <c r="AU984" t="inlineStr">
        <is>
          <t>10720299:eng</t>
        </is>
      </c>
      <c r="AV984" t="inlineStr">
        <is>
          <t>8168766</t>
        </is>
      </c>
      <c r="AW984" t="inlineStr">
        <is>
          <t>991005210829702656</t>
        </is>
      </c>
      <c r="AX984" t="inlineStr">
        <is>
          <t>991005210829702656</t>
        </is>
      </c>
      <c r="AY984" t="inlineStr">
        <is>
          <t>2271883250002656</t>
        </is>
      </c>
      <c r="AZ984" t="inlineStr">
        <is>
          <t>BOOK</t>
        </is>
      </c>
      <c r="BB984" t="inlineStr">
        <is>
          <t>9780691022093</t>
        </is>
      </c>
      <c r="BC984" t="inlineStr">
        <is>
          <t>32285000221993</t>
        </is>
      </c>
      <c r="BD984" t="inlineStr">
        <is>
          <t>893808007</t>
        </is>
      </c>
    </row>
    <row r="985">
      <c r="A985" t="inlineStr">
        <is>
          <t>No</t>
        </is>
      </c>
      <c r="B985" t="inlineStr">
        <is>
          <t>HQ1426 .G44</t>
        </is>
      </c>
      <c r="C985" t="inlineStr">
        <is>
          <t>0                      HQ 1426000G  44</t>
        </is>
      </c>
      <c r="D985" t="inlineStr">
        <is>
          <t>Women and the future : changing sex roles in America / Janet Zollinger Giele. --</t>
        </is>
      </c>
      <c r="F985" t="inlineStr">
        <is>
          <t>No</t>
        </is>
      </c>
      <c r="G985" t="inlineStr">
        <is>
          <t>1</t>
        </is>
      </c>
      <c r="H985" t="inlineStr">
        <is>
          <t>No</t>
        </is>
      </c>
      <c r="I985" t="inlineStr">
        <is>
          <t>No</t>
        </is>
      </c>
      <c r="J985" t="inlineStr">
        <is>
          <t>0</t>
        </is>
      </c>
      <c r="K985" t="inlineStr">
        <is>
          <t>Giele, Janet Zollinger.</t>
        </is>
      </c>
      <c r="L985" t="inlineStr">
        <is>
          <t>New York : Free Press, [1978], c1977.</t>
        </is>
      </c>
      <c r="M985" t="inlineStr">
        <is>
          <t>1978</t>
        </is>
      </c>
      <c r="O985" t="inlineStr">
        <is>
          <t>eng</t>
        </is>
      </c>
      <c r="P985" t="inlineStr">
        <is>
          <t>nyu</t>
        </is>
      </c>
      <c r="R985" t="inlineStr">
        <is>
          <t xml:space="preserve">HQ </t>
        </is>
      </c>
      <c r="S985" t="n">
        <v>5</v>
      </c>
      <c r="T985" t="n">
        <v>5</v>
      </c>
      <c r="U985" t="inlineStr">
        <is>
          <t>1996-04-22</t>
        </is>
      </c>
      <c r="V985" t="inlineStr">
        <is>
          <t>1996-04-22</t>
        </is>
      </c>
      <c r="W985" t="inlineStr">
        <is>
          <t>1990-07-05</t>
        </is>
      </c>
      <c r="X985" t="inlineStr">
        <is>
          <t>1990-07-05</t>
        </is>
      </c>
      <c r="Y985" t="n">
        <v>894</v>
      </c>
      <c r="Z985" t="n">
        <v>767</v>
      </c>
      <c r="AA985" t="n">
        <v>810</v>
      </c>
      <c r="AB985" t="n">
        <v>5</v>
      </c>
      <c r="AC985" t="n">
        <v>5</v>
      </c>
      <c r="AD985" t="n">
        <v>36</v>
      </c>
      <c r="AE985" t="n">
        <v>37</v>
      </c>
      <c r="AF985" t="n">
        <v>14</v>
      </c>
      <c r="AG985" t="n">
        <v>14</v>
      </c>
      <c r="AH985" t="n">
        <v>9</v>
      </c>
      <c r="AI985" t="n">
        <v>10</v>
      </c>
      <c r="AJ985" t="n">
        <v>16</v>
      </c>
      <c r="AK985" t="n">
        <v>17</v>
      </c>
      <c r="AL985" t="n">
        <v>4</v>
      </c>
      <c r="AM985" t="n">
        <v>4</v>
      </c>
      <c r="AN985" t="n">
        <v>3</v>
      </c>
      <c r="AO985" t="n">
        <v>3</v>
      </c>
      <c r="AP985" t="inlineStr">
        <is>
          <t>No</t>
        </is>
      </c>
      <c r="AQ985" t="inlineStr">
        <is>
          <t>Yes</t>
        </is>
      </c>
      <c r="AR985">
        <f>HYPERLINK("http://catalog.hathitrust.org/Record/000132928","HathiTrust Record")</f>
        <v/>
      </c>
      <c r="AS985">
        <f>HYPERLINK("https://creighton-primo.hosted.exlibrisgroup.com/primo-explore/search?tab=default_tab&amp;search_scope=EVERYTHING&amp;vid=01CRU&amp;lang=en_US&amp;offset=0&amp;query=any,contains,991004508979702656","Catalog Record")</f>
        <v/>
      </c>
      <c r="AT985">
        <f>HYPERLINK("http://www.worldcat.org/oclc/3751244","WorldCat Record")</f>
        <v/>
      </c>
      <c r="AU985" t="inlineStr">
        <is>
          <t>400517:eng</t>
        </is>
      </c>
      <c r="AV985" t="inlineStr">
        <is>
          <t>3751244</t>
        </is>
      </c>
      <c r="AW985" t="inlineStr">
        <is>
          <t>991004508979702656</t>
        </is>
      </c>
      <c r="AX985" t="inlineStr">
        <is>
          <t>991004508979702656</t>
        </is>
      </c>
      <c r="AY985" t="inlineStr">
        <is>
          <t>2254941040002656</t>
        </is>
      </c>
      <c r="AZ985" t="inlineStr">
        <is>
          <t>BOOK</t>
        </is>
      </c>
      <c r="BB985" t="inlineStr">
        <is>
          <t>9780029117002</t>
        </is>
      </c>
      <c r="BC985" t="inlineStr">
        <is>
          <t>32285000222009</t>
        </is>
      </c>
      <c r="BD985" t="inlineStr">
        <is>
          <t>893526172</t>
        </is>
      </c>
    </row>
    <row r="986">
      <c r="A986" t="inlineStr">
        <is>
          <t>No</t>
        </is>
      </c>
      <c r="B986" t="inlineStr">
        <is>
          <t>HQ1426 .G657 1991</t>
        </is>
      </c>
      <c r="C986" t="inlineStr">
        <is>
          <t>0                      HQ 1426000G  657         1991</t>
        </is>
      </c>
      <c r="D986" t="inlineStr">
        <is>
          <t>Prisoners of men's dreams : striking out for a new feminine future / Suzanne Gordon.</t>
        </is>
      </c>
      <c r="F986" t="inlineStr">
        <is>
          <t>No</t>
        </is>
      </c>
      <c r="G986" t="inlineStr">
        <is>
          <t>1</t>
        </is>
      </c>
      <c r="H986" t="inlineStr">
        <is>
          <t>Yes</t>
        </is>
      </c>
      <c r="I986" t="inlineStr">
        <is>
          <t>No</t>
        </is>
      </c>
      <c r="J986" t="inlineStr">
        <is>
          <t>0</t>
        </is>
      </c>
      <c r="K986" t="inlineStr">
        <is>
          <t>Gordon, Suzanne, 1945-</t>
        </is>
      </c>
      <c r="L986" t="inlineStr">
        <is>
          <t>Boston : Little, Brown, c1991.</t>
        </is>
      </c>
      <c r="M986" t="inlineStr">
        <is>
          <t>1991</t>
        </is>
      </c>
      <c r="N986" t="inlineStr">
        <is>
          <t>1st ed.</t>
        </is>
      </c>
      <c r="O986" t="inlineStr">
        <is>
          <t>eng</t>
        </is>
      </c>
      <c r="P986" t="inlineStr">
        <is>
          <t>mau</t>
        </is>
      </c>
      <c r="R986" t="inlineStr">
        <is>
          <t xml:space="preserve">HQ </t>
        </is>
      </c>
      <c r="S986" t="n">
        <v>5</v>
      </c>
      <c r="T986" t="n">
        <v>10</v>
      </c>
      <c r="U986" t="inlineStr">
        <is>
          <t>2004-11-22</t>
        </is>
      </c>
      <c r="V986" t="inlineStr">
        <is>
          <t>2004-11-22</t>
        </is>
      </c>
      <c r="W986" t="inlineStr">
        <is>
          <t>1991-04-29</t>
        </is>
      </c>
      <c r="X986" t="inlineStr">
        <is>
          <t>1991-04-29</t>
        </is>
      </c>
      <c r="Y986" t="n">
        <v>658</v>
      </c>
      <c r="Z986" t="n">
        <v>604</v>
      </c>
      <c r="AA986" t="n">
        <v>609</v>
      </c>
      <c r="AB986" t="n">
        <v>6</v>
      </c>
      <c r="AC986" t="n">
        <v>6</v>
      </c>
      <c r="AD986" t="n">
        <v>26</v>
      </c>
      <c r="AE986" t="n">
        <v>26</v>
      </c>
      <c r="AF986" t="n">
        <v>9</v>
      </c>
      <c r="AG986" t="n">
        <v>9</v>
      </c>
      <c r="AH986" t="n">
        <v>7</v>
      </c>
      <c r="AI986" t="n">
        <v>7</v>
      </c>
      <c r="AJ986" t="n">
        <v>15</v>
      </c>
      <c r="AK986" t="n">
        <v>15</v>
      </c>
      <c r="AL986" t="n">
        <v>4</v>
      </c>
      <c r="AM986" t="n">
        <v>4</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HYPERLINK("https://creighton-primo.hosted.exlibrisgroup.com/primo-explore/search?tab=default_tab&amp;search_scope=EVERYTHING&amp;vid=01CRU&amp;lang=en_US&amp;offset=0&amp;query=any,contains,991001768559702656","Catalog Record")</f>
        <v/>
      </c>
      <c r="AT986">
        <f>HYPERLINK("http://www.worldcat.org/oclc/22243591","WorldCat Record")</f>
        <v/>
      </c>
      <c r="AU986" t="inlineStr">
        <is>
          <t>198569972:eng</t>
        </is>
      </c>
      <c r="AV986" t="inlineStr">
        <is>
          <t>22243591</t>
        </is>
      </c>
      <c r="AW986" t="inlineStr">
        <is>
          <t>991001768559702656</t>
        </is>
      </c>
      <c r="AX986" t="inlineStr">
        <is>
          <t>991001768559702656</t>
        </is>
      </c>
      <c r="AY986" t="inlineStr">
        <is>
          <t>2271695830002656</t>
        </is>
      </c>
      <c r="AZ986" t="inlineStr">
        <is>
          <t>BOOK</t>
        </is>
      </c>
      <c r="BB986" t="inlineStr">
        <is>
          <t>9780316321068</t>
        </is>
      </c>
      <c r="BC986" t="inlineStr">
        <is>
          <t>32285000569706</t>
        </is>
      </c>
      <c r="BD986" t="inlineStr">
        <is>
          <t>893866466</t>
        </is>
      </c>
    </row>
    <row r="987">
      <c r="A987" t="inlineStr">
        <is>
          <t>No</t>
        </is>
      </c>
      <c r="B987" t="inlineStr">
        <is>
          <t>HQ1426 .H33</t>
        </is>
      </c>
      <c r="C987" t="inlineStr">
        <is>
          <t>0                      HQ 1426000H  33</t>
        </is>
      </c>
      <c r="D987" t="inlineStr">
        <is>
          <t>The grand domestic revolution : a history of feminist designs for American homes, neighborhoods, and cities / Dolores Hayden.</t>
        </is>
      </c>
      <c r="F987" t="inlineStr">
        <is>
          <t>No</t>
        </is>
      </c>
      <c r="G987" t="inlineStr">
        <is>
          <t>1</t>
        </is>
      </c>
      <c r="H987" t="inlineStr">
        <is>
          <t>No</t>
        </is>
      </c>
      <c r="I987" t="inlineStr">
        <is>
          <t>No</t>
        </is>
      </c>
      <c r="J987" t="inlineStr">
        <is>
          <t>0</t>
        </is>
      </c>
      <c r="K987" t="inlineStr">
        <is>
          <t>Hayden, Dolores.</t>
        </is>
      </c>
      <c r="L987" t="inlineStr">
        <is>
          <t>Cambridge, Mass. : MIT Press, c1981.</t>
        </is>
      </c>
      <c r="M987" t="inlineStr">
        <is>
          <t>1981</t>
        </is>
      </c>
      <c r="O987" t="inlineStr">
        <is>
          <t>eng</t>
        </is>
      </c>
      <c r="P987" t="inlineStr">
        <is>
          <t>mau</t>
        </is>
      </c>
      <c r="R987" t="inlineStr">
        <is>
          <t xml:space="preserve">HQ </t>
        </is>
      </c>
      <c r="S987" t="n">
        <v>5</v>
      </c>
      <c r="T987" t="n">
        <v>5</v>
      </c>
      <c r="U987" t="inlineStr">
        <is>
          <t>2004-04-13</t>
        </is>
      </c>
      <c r="V987" t="inlineStr">
        <is>
          <t>2004-04-13</t>
        </is>
      </c>
      <c r="W987" t="inlineStr">
        <is>
          <t>1993-04-28</t>
        </is>
      </c>
      <c r="X987" t="inlineStr">
        <is>
          <t>1993-04-28</t>
        </is>
      </c>
      <c r="Y987" t="n">
        <v>1057</v>
      </c>
      <c r="Z987" t="n">
        <v>858</v>
      </c>
      <c r="AA987" t="n">
        <v>920</v>
      </c>
      <c r="AB987" t="n">
        <v>5</v>
      </c>
      <c r="AC987" t="n">
        <v>5</v>
      </c>
      <c r="AD987" t="n">
        <v>36</v>
      </c>
      <c r="AE987" t="n">
        <v>39</v>
      </c>
      <c r="AF987" t="n">
        <v>18</v>
      </c>
      <c r="AG987" t="n">
        <v>18</v>
      </c>
      <c r="AH987" t="n">
        <v>6</v>
      </c>
      <c r="AI987" t="n">
        <v>7</v>
      </c>
      <c r="AJ987" t="n">
        <v>17</v>
      </c>
      <c r="AK987" t="n">
        <v>19</v>
      </c>
      <c r="AL987" t="n">
        <v>4</v>
      </c>
      <c r="AM987" t="n">
        <v>4</v>
      </c>
      <c r="AN987" t="n">
        <v>0</v>
      </c>
      <c r="AO987" t="n">
        <v>1</v>
      </c>
      <c r="AP987" t="inlineStr">
        <is>
          <t>No</t>
        </is>
      </c>
      <c r="AQ987" t="inlineStr">
        <is>
          <t>No</t>
        </is>
      </c>
      <c r="AS987">
        <f>HYPERLINK("https://creighton-primo.hosted.exlibrisgroup.com/primo-explore/search?tab=default_tab&amp;search_scope=EVERYTHING&amp;vid=01CRU&amp;lang=en_US&amp;offset=0&amp;query=any,contains,991004998759702656","Catalog Record")</f>
        <v/>
      </c>
      <c r="AT987">
        <f>HYPERLINK("http://www.worldcat.org/oclc/6532690","WorldCat Record")</f>
        <v/>
      </c>
      <c r="AU987" t="inlineStr">
        <is>
          <t>422139:eng</t>
        </is>
      </c>
      <c r="AV987" t="inlineStr">
        <is>
          <t>6532690</t>
        </is>
      </c>
      <c r="AW987" t="inlineStr">
        <is>
          <t>991004998759702656</t>
        </is>
      </c>
      <c r="AX987" t="inlineStr">
        <is>
          <t>991004998759702656</t>
        </is>
      </c>
      <c r="AY987" t="inlineStr">
        <is>
          <t>2262105080002656</t>
        </is>
      </c>
      <c r="AZ987" t="inlineStr">
        <is>
          <t>BOOK</t>
        </is>
      </c>
      <c r="BB987" t="inlineStr">
        <is>
          <t>9780262081085</t>
        </is>
      </c>
      <c r="BC987" t="inlineStr">
        <is>
          <t>32285001629947</t>
        </is>
      </c>
      <c r="BD987" t="inlineStr">
        <is>
          <t>893782890</t>
        </is>
      </c>
    </row>
    <row r="988">
      <c r="A988" t="inlineStr">
        <is>
          <t>No</t>
        </is>
      </c>
      <c r="B988" t="inlineStr">
        <is>
          <t>HQ1426 .H456 1986</t>
        </is>
      </c>
      <c r="C988" t="inlineStr">
        <is>
          <t>0                      HQ 1426000H  456         1986</t>
        </is>
      </c>
      <c r="D988" t="inlineStr">
        <is>
          <t>Changes of heart : reflections on women's independence/ Liz Heron.</t>
        </is>
      </c>
      <c r="F988" t="inlineStr">
        <is>
          <t>No</t>
        </is>
      </c>
      <c r="G988" t="inlineStr">
        <is>
          <t>1</t>
        </is>
      </c>
      <c r="H988" t="inlineStr">
        <is>
          <t>No</t>
        </is>
      </c>
      <c r="I988" t="inlineStr">
        <is>
          <t>No</t>
        </is>
      </c>
      <c r="J988" t="inlineStr">
        <is>
          <t>0</t>
        </is>
      </c>
      <c r="K988" t="inlineStr">
        <is>
          <t>Heron, Liz, 1947-</t>
        </is>
      </c>
      <c r="L988" t="inlineStr">
        <is>
          <t>London ; New York : Pandora Press, c1986.</t>
        </is>
      </c>
      <c r="M988" t="inlineStr">
        <is>
          <t>1986</t>
        </is>
      </c>
      <c r="O988" t="inlineStr">
        <is>
          <t>eng</t>
        </is>
      </c>
      <c r="P988" t="inlineStr">
        <is>
          <t>enk</t>
        </is>
      </c>
      <c r="R988" t="inlineStr">
        <is>
          <t xml:space="preserve">HQ </t>
        </is>
      </c>
      <c r="S988" t="n">
        <v>1</v>
      </c>
      <c r="T988" t="n">
        <v>1</v>
      </c>
      <c r="U988" t="inlineStr">
        <is>
          <t>1994-09-13</t>
        </is>
      </c>
      <c r="V988" t="inlineStr">
        <is>
          <t>1994-09-13</t>
        </is>
      </c>
      <c r="W988" t="inlineStr">
        <is>
          <t>1990-07-05</t>
        </is>
      </c>
      <c r="X988" t="inlineStr">
        <is>
          <t>1990-07-05</t>
        </is>
      </c>
      <c r="Y988" t="n">
        <v>156</v>
      </c>
      <c r="Z988" t="n">
        <v>106</v>
      </c>
      <c r="AA988" t="n">
        <v>118</v>
      </c>
      <c r="AB988" t="n">
        <v>2</v>
      </c>
      <c r="AC988" t="n">
        <v>2</v>
      </c>
      <c r="AD988" t="n">
        <v>4</v>
      </c>
      <c r="AE988" t="n">
        <v>4</v>
      </c>
      <c r="AF988" t="n">
        <v>1</v>
      </c>
      <c r="AG988" t="n">
        <v>1</v>
      </c>
      <c r="AH988" t="n">
        <v>1</v>
      </c>
      <c r="AI988" t="n">
        <v>1</v>
      </c>
      <c r="AJ988" t="n">
        <v>2</v>
      </c>
      <c r="AK988" t="n">
        <v>2</v>
      </c>
      <c r="AL988" t="n">
        <v>1</v>
      </c>
      <c r="AM988" t="n">
        <v>1</v>
      </c>
      <c r="AN988" t="n">
        <v>0</v>
      </c>
      <c r="AO988" t="n">
        <v>0</v>
      </c>
      <c r="AP988" t="inlineStr">
        <is>
          <t>No</t>
        </is>
      </c>
      <c r="AQ988" t="inlineStr">
        <is>
          <t>Yes</t>
        </is>
      </c>
      <c r="AR988">
        <f>HYPERLINK("http://catalog.hathitrust.org/Record/000817975","HathiTrust Record")</f>
        <v/>
      </c>
      <c r="AS988">
        <f>HYPERLINK("https://creighton-primo.hosted.exlibrisgroup.com/primo-explore/search?tab=default_tab&amp;search_scope=EVERYTHING&amp;vid=01CRU&amp;lang=en_US&amp;offset=0&amp;query=any,contains,991000821459702656","Catalog Record")</f>
        <v/>
      </c>
      <c r="AT988">
        <f>HYPERLINK("http://www.worldcat.org/oclc/13395525","WorldCat Record")</f>
        <v/>
      </c>
      <c r="AU988" t="inlineStr">
        <is>
          <t>7537237:eng</t>
        </is>
      </c>
      <c r="AV988" t="inlineStr">
        <is>
          <t>13395525</t>
        </is>
      </c>
      <c r="AW988" t="inlineStr">
        <is>
          <t>991000821459702656</t>
        </is>
      </c>
      <c r="AX988" t="inlineStr">
        <is>
          <t>991000821459702656</t>
        </is>
      </c>
      <c r="AY988" t="inlineStr">
        <is>
          <t>2262108630002656</t>
        </is>
      </c>
      <c r="AZ988" t="inlineStr">
        <is>
          <t>BOOK</t>
        </is>
      </c>
      <c r="BB988" t="inlineStr">
        <is>
          <t>9780863580284</t>
        </is>
      </c>
      <c r="BC988" t="inlineStr">
        <is>
          <t>32285000222017</t>
        </is>
      </c>
      <c r="BD988" t="inlineStr">
        <is>
          <t>893884791</t>
        </is>
      </c>
    </row>
    <row r="989">
      <c r="A989" t="inlineStr">
        <is>
          <t>No</t>
        </is>
      </c>
      <c r="B989" t="inlineStr">
        <is>
          <t>HQ1426 .H675 1984</t>
        </is>
      </c>
      <c r="C989" t="inlineStr">
        <is>
          <t>0                      HQ 1426000H  675         1984</t>
        </is>
      </c>
      <c r="D989" t="inlineStr">
        <is>
          <t>Feminist theory from margin to center / Bell Hooks.</t>
        </is>
      </c>
      <c r="F989" t="inlineStr">
        <is>
          <t>No</t>
        </is>
      </c>
      <c r="G989" t="inlineStr">
        <is>
          <t>1</t>
        </is>
      </c>
      <c r="H989" t="inlineStr">
        <is>
          <t>No</t>
        </is>
      </c>
      <c r="I989" t="inlineStr">
        <is>
          <t>Yes</t>
        </is>
      </c>
      <c r="J989" t="inlineStr">
        <is>
          <t>0</t>
        </is>
      </c>
      <c r="K989" t="inlineStr">
        <is>
          <t>hooks, bell, 1952-</t>
        </is>
      </c>
      <c r="L989" t="inlineStr">
        <is>
          <t>Boston, MA : South End Press, c1984.</t>
        </is>
      </c>
      <c r="M989" t="inlineStr">
        <is>
          <t>1984</t>
        </is>
      </c>
      <c r="O989" t="inlineStr">
        <is>
          <t>eng</t>
        </is>
      </c>
      <c r="P989" t="inlineStr">
        <is>
          <t>mau</t>
        </is>
      </c>
      <c r="R989" t="inlineStr">
        <is>
          <t xml:space="preserve">HQ </t>
        </is>
      </c>
      <c r="S989" t="n">
        <v>16</v>
      </c>
      <c r="T989" t="n">
        <v>16</v>
      </c>
      <c r="U989" t="inlineStr">
        <is>
          <t>2003-05-13</t>
        </is>
      </c>
      <c r="V989" t="inlineStr">
        <is>
          <t>2003-05-13</t>
        </is>
      </c>
      <c r="W989" t="inlineStr">
        <is>
          <t>1991-12-15</t>
        </is>
      </c>
      <c r="X989" t="inlineStr">
        <is>
          <t>1991-12-15</t>
        </is>
      </c>
      <c r="Y989" t="n">
        <v>1139</v>
      </c>
      <c r="Z989" t="n">
        <v>909</v>
      </c>
      <c r="AA989" t="n">
        <v>1378</v>
      </c>
      <c r="AB989" t="n">
        <v>7</v>
      </c>
      <c r="AC989" t="n">
        <v>9</v>
      </c>
      <c r="AD989" t="n">
        <v>44</v>
      </c>
      <c r="AE989" t="n">
        <v>55</v>
      </c>
      <c r="AF989" t="n">
        <v>17</v>
      </c>
      <c r="AG989" t="n">
        <v>25</v>
      </c>
      <c r="AH989" t="n">
        <v>9</v>
      </c>
      <c r="AI989" t="n">
        <v>10</v>
      </c>
      <c r="AJ989" t="n">
        <v>19</v>
      </c>
      <c r="AK989" t="n">
        <v>24</v>
      </c>
      <c r="AL989" t="n">
        <v>6</v>
      </c>
      <c r="AM989" t="n">
        <v>7</v>
      </c>
      <c r="AN989" t="n">
        <v>3</v>
      </c>
      <c r="AO989" t="n">
        <v>3</v>
      </c>
      <c r="AP989" t="inlineStr">
        <is>
          <t>No</t>
        </is>
      </c>
      <c r="AQ989" t="inlineStr">
        <is>
          <t>Yes</t>
        </is>
      </c>
      <c r="AR989">
        <f>HYPERLINK("http://catalog.hathitrust.org/Record/000564472","HathiTrust Record")</f>
        <v/>
      </c>
      <c r="AS989">
        <f>HYPERLINK("https://creighton-primo.hosted.exlibrisgroup.com/primo-explore/search?tab=default_tab&amp;search_scope=EVERYTHING&amp;vid=01CRU&amp;lang=en_US&amp;offset=0&amp;query=any,contains,991000458809702656","Catalog Record")</f>
        <v/>
      </c>
      <c r="AT989">
        <f>HYPERLINK("http://www.worldcat.org/oclc/10923867","WorldCat Record")</f>
        <v/>
      </c>
      <c r="AU989" t="inlineStr">
        <is>
          <t>4744532926:eng</t>
        </is>
      </c>
      <c r="AV989" t="inlineStr">
        <is>
          <t>10923867</t>
        </is>
      </c>
      <c r="AW989" t="inlineStr">
        <is>
          <t>991000458809702656</t>
        </is>
      </c>
      <c r="AX989" t="inlineStr">
        <is>
          <t>991000458809702656</t>
        </is>
      </c>
      <c r="AY989" t="inlineStr">
        <is>
          <t>2270118080002656</t>
        </is>
      </c>
      <c r="AZ989" t="inlineStr">
        <is>
          <t>BOOK</t>
        </is>
      </c>
      <c r="BB989" t="inlineStr">
        <is>
          <t>9780896082212</t>
        </is>
      </c>
      <c r="BC989" t="inlineStr">
        <is>
          <t>32285000819903</t>
        </is>
      </c>
      <c r="BD989" t="inlineStr">
        <is>
          <t>893589462</t>
        </is>
      </c>
    </row>
    <row r="990">
      <c r="A990" t="inlineStr">
        <is>
          <t>No</t>
        </is>
      </c>
      <c r="B990" t="inlineStr">
        <is>
          <t>HQ1426 .J67 1986</t>
        </is>
      </c>
      <c r="C990" t="inlineStr">
        <is>
          <t>0                      HQ 1426000J  67          1986</t>
        </is>
      </c>
      <c r="D990" t="inlineStr">
        <is>
          <t>Common differences : conflicts in black and white feminist perspectives / by Gloria I. Joseph and Jill Lewis.</t>
        </is>
      </c>
      <c r="F990" t="inlineStr">
        <is>
          <t>No</t>
        </is>
      </c>
      <c r="G990" t="inlineStr">
        <is>
          <t>1</t>
        </is>
      </c>
      <c r="H990" t="inlineStr">
        <is>
          <t>No</t>
        </is>
      </c>
      <c r="I990" t="inlineStr">
        <is>
          <t>No</t>
        </is>
      </c>
      <c r="J990" t="inlineStr">
        <is>
          <t>0</t>
        </is>
      </c>
      <c r="K990" t="inlineStr">
        <is>
          <t>Joseph, Gloria I.</t>
        </is>
      </c>
      <c r="L990" t="inlineStr">
        <is>
          <t>Boston, MA : South End Press, 1986, c1981.</t>
        </is>
      </c>
      <c r="M990" t="inlineStr">
        <is>
          <t>1986</t>
        </is>
      </c>
      <c r="O990" t="inlineStr">
        <is>
          <t>eng</t>
        </is>
      </c>
      <c r="P990" t="inlineStr">
        <is>
          <t>mau</t>
        </is>
      </c>
      <c r="R990" t="inlineStr">
        <is>
          <t xml:space="preserve">HQ </t>
        </is>
      </c>
      <c r="S990" t="n">
        <v>2</v>
      </c>
      <c r="T990" t="n">
        <v>2</v>
      </c>
      <c r="U990" t="inlineStr">
        <is>
          <t>2000-08-27</t>
        </is>
      </c>
      <c r="V990" t="inlineStr">
        <is>
          <t>2000-08-27</t>
        </is>
      </c>
      <c r="W990" t="inlineStr">
        <is>
          <t>1993-04-28</t>
        </is>
      </c>
      <c r="X990" t="inlineStr">
        <is>
          <t>1993-04-28</t>
        </is>
      </c>
      <c r="Y990" t="n">
        <v>362</v>
      </c>
      <c r="Z990" t="n">
        <v>314</v>
      </c>
      <c r="AA990" t="n">
        <v>703</v>
      </c>
      <c r="AB990" t="n">
        <v>4</v>
      </c>
      <c r="AC990" t="n">
        <v>7</v>
      </c>
      <c r="AD990" t="n">
        <v>17</v>
      </c>
      <c r="AE990" t="n">
        <v>29</v>
      </c>
      <c r="AF990" t="n">
        <v>6</v>
      </c>
      <c r="AG990" t="n">
        <v>10</v>
      </c>
      <c r="AH990" t="n">
        <v>4</v>
      </c>
      <c r="AI990" t="n">
        <v>7</v>
      </c>
      <c r="AJ990" t="n">
        <v>6</v>
      </c>
      <c r="AK990" t="n">
        <v>14</v>
      </c>
      <c r="AL990" t="n">
        <v>3</v>
      </c>
      <c r="AM990" t="n">
        <v>5</v>
      </c>
      <c r="AN990" t="n">
        <v>1</v>
      </c>
      <c r="AO990" t="n">
        <v>1</v>
      </c>
      <c r="AP990" t="inlineStr">
        <is>
          <t>No</t>
        </is>
      </c>
      <c r="AQ990" t="inlineStr">
        <is>
          <t>No</t>
        </is>
      </c>
      <c r="AS990">
        <f>HYPERLINK("https://creighton-primo.hosted.exlibrisgroup.com/primo-explore/search?tab=default_tab&amp;search_scope=EVERYTHING&amp;vid=01CRU&amp;lang=en_US&amp;offset=0&amp;query=any,contains,991000867189702656","Catalog Record")</f>
        <v/>
      </c>
      <c r="AT990">
        <f>HYPERLINK("http://www.worldcat.org/oclc/13760485","WorldCat Record")</f>
        <v/>
      </c>
      <c r="AU990" t="inlineStr">
        <is>
          <t>7021430:eng</t>
        </is>
      </c>
      <c r="AV990" t="inlineStr">
        <is>
          <t>13760485</t>
        </is>
      </c>
      <c r="AW990" t="inlineStr">
        <is>
          <t>991000867189702656</t>
        </is>
      </c>
      <c r="AX990" t="inlineStr">
        <is>
          <t>991000867189702656</t>
        </is>
      </c>
      <c r="AY990" t="inlineStr">
        <is>
          <t>2266295430002656</t>
        </is>
      </c>
      <c r="AZ990" t="inlineStr">
        <is>
          <t>BOOK</t>
        </is>
      </c>
      <c r="BB990" t="inlineStr">
        <is>
          <t>9780896083172</t>
        </is>
      </c>
      <c r="BC990" t="inlineStr">
        <is>
          <t>32285001629970</t>
        </is>
      </c>
      <c r="BD990" t="inlineStr">
        <is>
          <t>893243669</t>
        </is>
      </c>
    </row>
    <row r="991">
      <c r="A991" t="inlineStr">
        <is>
          <t>No</t>
        </is>
      </c>
      <c r="B991" t="inlineStr">
        <is>
          <t>HQ1426 .K55 1983</t>
        </is>
      </c>
      <c r="C991" t="inlineStr">
        <is>
          <t>0                      HQ 1426000K  55          1983</t>
        </is>
      </c>
      <c r="D991" t="inlineStr">
        <is>
          <t>The 50/50 marriage / Gayle Kimball.</t>
        </is>
      </c>
      <c r="F991" t="inlineStr">
        <is>
          <t>No</t>
        </is>
      </c>
      <c r="G991" t="inlineStr">
        <is>
          <t>1</t>
        </is>
      </c>
      <c r="H991" t="inlineStr">
        <is>
          <t>No</t>
        </is>
      </c>
      <c r="I991" t="inlineStr">
        <is>
          <t>No</t>
        </is>
      </c>
      <c r="J991" t="inlineStr">
        <is>
          <t>0</t>
        </is>
      </c>
      <c r="K991" t="inlineStr">
        <is>
          <t>Kimball, Gayle.</t>
        </is>
      </c>
      <c r="L991" t="inlineStr">
        <is>
          <t>Boston : Beacon Press, c1983.</t>
        </is>
      </c>
      <c r="M991" t="inlineStr">
        <is>
          <t>1983</t>
        </is>
      </c>
      <c r="O991" t="inlineStr">
        <is>
          <t>eng</t>
        </is>
      </c>
      <c r="P991" t="inlineStr">
        <is>
          <t>mau</t>
        </is>
      </c>
      <c r="R991" t="inlineStr">
        <is>
          <t xml:space="preserve">HQ </t>
        </is>
      </c>
      <c r="S991" t="n">
        <v>6</v>
      </c>
      <c r="T991" t="n">
        <v>6</v>
      </c>
      <c r="U991" t="inlineStr">
        <is>
          <t>1998-01-28</t>
        </is>
      </c>
      <c r="V991" t="inlineStr">
        <is>
          <t>1998-01-28</t>
        </is>
      </c>
      <c r="W991" t="inlineStr">
        <is>
          <t>1993-02-17</t>
        </is>
      </c>
      <c r="X991" t="inlineStr">
        <is>
          <t>1993-02-17</t>
        </is>
      </c>
      <c r="Y991" t="n">
        <v>687</v>
      </c>
      <c r="Z991" t="n">
        <v>635</v>
      </c>
      <c r="AA991" t="n">
        <v>642</v>
      </c>
      <c r="AB991" t="n">
        <v>4</v>
      </c>
      <c r="AC991" t="n">
        <v>4</v>
      </c>
      <c r="AD991" t="n">
        <v>18</v>
      </c>
      <c r="AE991" t="n">
        <v>18</v>
      </c>
      <c r="AF991" t="n">
        <v>8</v>
      </c>
      <c r="AG991" t="n">
        <v>8</v>
      </c>
      <c r="AH991" t="n">
        <v>4</v>
      </c>
      <c r="AI991" t="n">
        <v>4</v>
      </c>
      <c r="AJ991" t="n">
        <v>8</v>
      </c>
      <c r="AK991" t="n">
        <v>8</v>
      </c>
      <c r="AL991" t="n">
        <v>3</v>
      </c>
      <c r="AM991" t="n">
        <v>3</v>
      </c>
      <c r="AN991" t="n">
        <v>0</v>
      </c>
      <c r="AO991" t="n">
        <v>0</v>
      </c>
      <c r="AP991" t="inlineStr">
        <is>
          <t>No</t>
        </is>
      </c>
      <c r="AQ991" t="inlineStr">
        <is>
          <t>Yes</t>
        </is>
      </c>
      <c r="AR991">
        <f>HYPERLINK("http://catalog.hathitrust.org/Record/000314309","HathiTrust Record")</f>
        <v/>
      </c>
      <c r="AS991">
        <f>HYPERLINK("https://creighton-primo.hosted.exlibrisgroup.com/primo-explore/search?tab=default_tab&amp;search_scope=EVERYTHING&amp;vid=01CRU&amp;lang=en_US&amp;offset=0&amp;query=any,contains,991000059319702656","Catalog Record")</f>
        <v/>
      </c>
      <c r="AT991">
        <f>HYPERLINK("http://www.worldcat.org/oclc/8727504","WorldCat Record")</f>
        <v/>
      </c>
      <c r="AU991" t="inlineStr">
        <is>
          <t>4808237:eng</t>
        </is>
      </c>
      <c r="AV991" t="inlineStr">
        <is>
          <t>8727504</t>
        </is>
      </c>
      <c r="AW991" t="inlineStr">
        <is>
          <t>991000059319702656</t>
        </is>
      </c>
      <c r="AX991" t="inlineStr">
        <is>
          <t>991000059319702656</t>
        </is>
      </c>
      <c r="AY991" t="inlineStr">
        <is>
          <t>2272645240002656</t>
        </is>
      </c>
      <c r="AZ991" t="inlineStr">
        <is>
          <t>BOOK</t>
        </is>
      </c>
      <c r="BB991" t="inlineStr">
        <is>
          <t>9780807027264</t>
        </is>
      </c>
      <c r="BC991" t="inlineStr">
        <is>
          <t>32285001502748</t>
        </is>
      </c>
      <c r="BD991" t="inlineStr">
        <is>
          <t>893783917</t>
        </is>
      </c>
    </row>
    <row r="992">
      <c r="A992" t="inlineStr">
        <is>
          <t>No</t>
        </is>
      </c>
      <c r="B992" t="inlineStr">
        <is>
          <t>HQ1426 .M24</t>
        </is>
      </c>
      <c r="C992" t="inlineStr">
        <is>
          <t>0                      HQ 1426000M  24</t>
        </is>
      </c>
      <c r="D992" t="inlineStr">
        <is>
          <t>The American woman, who will she be? / Mary Louise McBee and Kathryn A. Blake.</t>
        </is>
      </c>
      <c r="F992" t="inlineStr">
        <is>
          <t>No</t>
        </is>
      </c>
      <c r="G992" t="inlineStr">
        <is>
          <t>1</t>
        </is>
      </c>
      <c r="H992" t="inlineStr">
        <is>
          <t>No</t>
        </is>
      </c>
      <c r="I992" t="inlineStr">
        <is>
          <t>No</t>
        </is>
      </c>
      <c r="J992" t="inlineStr">
        <is>
          <t>0</t>
        </is>
      </c>
      <c r="K992" t="inlineStr">
        <is>
          <t>McBee, Mary Louise.</t>
        </is>
      </c>
      <c r="L992" t="inlineStr">
        <is>
          <t>Beverly Hills, [Calif.] : Glencoe Press, 1974.</t>
        </is>
      </c>
      <c r="M992" t="inlineStr">
        <is>
          <t>1974</t>
        </is>
      </c>
      <c r="O992" t="inlineStr">
        <is>
          <t>eng</t>
        </is>
      </c>
      <c r="P992" t="inlineStr">
        <is>
          <t>cau</t>
        </is>
      </c>
      <c r="R992" t="inlineStr">
        <is>
          <t xml:space="preserve">HQ </t>
        </is>
      </c>
      <c r="S992" t="n">
        <v>1</v>
      </c>
      <c r="T992" t="n">
        <v>1</v>
      </c>
      <c r="U992" t="inlineStr">
        <is>
          <t>2000-09-22</t>
        </is>
      </c>
      <c r="V992" t="inlineStr">
        <is>
          <t>2000-09-22</t>
        </is>
      </c>
      <c r="W992" t="inlineStr">
        <is>
          <t>1993-04-23</t>
        </is>
      </c>
      <c r="X992" t="inlineStr">
        <is>
          <t>1993-04-23</t>
        </is>
      </c>
      <c r="Y992" t="n">
        <v>373</v>
      </c>
      <c r="Z992" t="n">
        <v>343</v>
      </c>
      <c r="AA992" t="n">
        <v>345</v>
      </c>
      <c r="AB992" t="n">
        <v>2</v>
      </c>
      <c r="AC992" t="n">
        <v>2</v>
      </c>
      <c r="AD992" t="n">
        <v>13</v>
      </c>
      <c r="AE992" t="n">
        <v>13</v>
      </c>
      <c r="AF992" t="n">
        <v>7</v>
      </c>
      <c r="AG992" t="n">
        <v>7</v>
      </c>
      <c r="AH992" t="n">
        <v>4</v>
      </c>
      <c r="AI992" t="n">
        <v>4</v>
      </c>
      <c r="AJ992" t="n">
        <v>6</v>
      </c>
      <c r="AK992" t="n">
        <v>6</v>
      </c>
      <c r="AL992" t="n">
        <v>1</v>
      </c>
      <c r="AM992" t="n">
        <v>1</v>
      </c>
      <c r="AN992" t="n">
        <v>1</v>
      </c>
      <c r="AO992" t="n">
        <v>1</v>
      </c>
      <c r="AP992" t="inlineStr">
        <is>
          <t>No</t>
        </is>
      </c>
      <c r="AQ992" t="inlineStr">
        <is>
          <t>Yes</t>
        </is>
      </c>
      <c r="AR992">
        <f>HYPERLINK("http://catalog.hathitrust.org/Record/001116996","HathiTrust Record")</f>
        <v/>
      </c>
      <c r="AS992">
        <f>HYPERLINK("https://creighton-primo.hosted.exlibrisgroup.com/primo-explore/search?tab=default_tab&amp;search_scope=EVERYTHING&amp;vid=01CRU&amp;lang=en_US&amp;offset=0&amp;query=any,contains,991003387279702656","Catalog Record")</f>
        <v/>
      </c>
      <c r="AT992">
        <f>HYPERLINK("http://www.worldcat.org/oclc/923828","WorldCat Record")</f>
        <v/>
      </c>
      <c r="AU992" t="inlineStr">
        <is>
          <t>1870639:eng</t>
        </is>
      </c>
      <c r="AV992" t="inlineStr">
        <is>
          <t>923828</t>
        </is>
      </c>
      <c r="AW992" t="inlineStr">
        <is>
          <t>991003387279702656</t>
        </is>
      </c>
      <c r="AX992" t="inlineStr">
        <is>
          <t>991003387279702656</t>
        </is>
      </c>
      <c r="AY992" t="inlineStr">
        <is>
          <t>2266391970002656</t>
        </is>
      </c>
      <c r="AZ992" t="inlineStr">
        <is>
          <t>BOOK</t>
        </is>
      </c>
      <c r="BC992" t="inlineStr">
        <is>
          <t>32285001624047</t>
        </is>
      </c>
      <c r="BD992" t="inlineStr">
        <is>
          <t>893441243</t>
        </is>
      </c>
    </row>
    <row r="993">
      <c r="A993" t="inlineStr">
        <is>
          <t>No</t>
        </is>
      </c>
      <c r="B993" t="inlineStr">
        <is>
          <t>HQ1426 .M27</t>
        </is>
      </c>
      <c r="C993" t="inlineStr">
        <is>
          <t>0                      HQ 1426000M  27</t>
        </is>
      </c>
      <c r="D993" t="inlineStr">
        <is>
          <t>Women &amp; social change in America / Joan D. Mandle.</t>
        </is>
      </c>
      <c r="F993" t="inlineStr">
        <is>
          <t>No</t>
        </is>
      </c>
      <c r="G993" t="inlineStr">
        <is>
          <t>1</t>
        </is>
      </c>
      <c r="H993" t="inlineStr">
        <is>
          <t>No</t>
        </is>
      </c>
      <c r="I993" t="inlineStr">
        <is>
          <t>No</t>
        </is>
      </c>
      <c r="J993" t="inlineStr">
        <is>
          <t>0</t>
        </is>
      </c>
      <c r="K993" t="inlineStr">
        <is>
          <t>Mandle, Joan D.</t>
        </is>
      </c>
      <c r="L993" t="inlineStr">
        <is>
          <t>Princeton : Princeton Book Co., c1979.</t>
        </is>
      </c>
      <c r="M993" t="inlineStr">
        <is>
          <t>1979</t>
        </is>
      </c>
      <c r="O993" t="inlineStr">
        <is>
          <t>eng</t>
        </is>
      </c>
      <c r="P993" t="inlineStr">
        <is>
          <t>nju</t>
        </is>
      </c>
      <c r="R993" t="inlineStr">
        <is>
          <t xml:space="preserve">HQ </t>
        </is>
      </c>
      <c r="S993" t="n">
        <v>3</v>
      </c>
      <c r="T993" t="n">
        <v>3</v>
      </c>
      <c r="U993" t="inlineStr">
        <is>
          <t>1998-11-21</t>
        </is>
      </c>
      <c r="V993" t="inlineStr">
        <is>
          <t>1998-11-21</t>
        </is>
      </c>
      <c r="W993" t="inlineStr">
        <is>
          <t>1993-04-28</t>
        </is>
      </c>
      <c r="X993" t="inlineStr">
        <is>
          <t>1993-04-28</t>
        </is>
      </c>
      <c r="Y993" t="n">
        <v>453</v>
      </c>
      <c r="Z993" t="n">
        <v>423</v>
      </c>
      <c r="AA993" t="n">
        <v>425</v>
      </c>
      <c r="AB993" t="n">
        <v>4</v>
      </c>
      <c r="AC993" t="n">
        <v>4</v>
      </c>
      <c r="AD993" t="n">
        <v>22</v>
      </c>
      <c r="AE993" t="n">
        <v>22</v>
      </c>
      <c r="AF993" t="n">
        <v>7</v>
      </c>
      <c r="AG993" t="n">
        <v>7</v>
      </c>
      <c r="AH993" t="n">
        <v>7</v>
      </c>
      <c r="AI993" t="n">
        <v>7</v>
      </c>
      <c r="AJ993" t="n">
        <v>12</v>
      </c>
      <c r="AK993" t="n">
        <v>12</v>
      </c>
      <c r="AL993" t="n">
        <v>3</v>
      </c>
      <c r="AM993" t="n">
        <v>3</v>
      </c>
      <c r="AN993" t="n">
        <v>0</v>
      </c>
      <c r="AO993" t="n">
        <v>0</v>
      </c>
      <c r="AP993" t="inlineStr">
        <is>
          <t>No</t>
        </is>
      </c>
      <c r="AQ993" t="inlineStr">
        <is>
          <t>Yes</t>
        </is>
      </c>
      <c r="AR993">
        <f>HYPERLINK("http://catalog.hathitrust.org/Record/000018628","HathiTrust Record")</f>
        <v/>
      </c>
      <c r="AS993">
        <f>HYPERLINK("https://creighton-primo.hosted.exlibrisgroup.com/primo-explore/search?tab=default_tab&amp;search_scope=EVERYTHING&amp;vid=01CRU&amp;lang=en_US&amp;offset=0&amp;query=any,contains,991004857879702656","Catalog Record")</f>
        <v/>
      </c>
      <c r="AT993">
        <f>HYPERLINK("http://www.worldcat.org/oclc/5676796","WorldCat Record")</f>
        <v/>
      </c>
      <c r="AU993" t="inlineStr">
        <is>
          <t>18929474:eng</t>
        </is>
      </c>
      <c r="AV993" t="inlineStr">
        <is>
          <t>5676796</t>
        </is>
      </c>
      <c r="AW993" t="inlineStr">
        <is>
          <t>991004857879702656</t>
        </is>
      </c>
      <c r="AX993" t="inlineStr">
        <is>
          <t>991004857879702656</t>
        </is>
      </c>
      <c r="AY993" t="inlineStr">
        <is>
          <t>2260124880002656</t>
        </is>
      </c>
      <c r="AZ993" t="inlineStr">
        <is>
          <t>BOOK</t>
        </is>
      </c>
      <c r="BB993" t="inlineStr">
        <is>
          <t>9780916622114</t>
        </is>
      </c>
      <c r="BC993" t="inlineStr">
        <is>
          <t>32285001629996</t>
        </is>
      </c>
      <c r="BD993" t="inlineStr">
        <is>
          <t>893501037</t>
        </is>
      </c>
    </row>
    <row r="994">
      <c r="A994" t="inlineStr">
        <is>
          <t>No</t>
        </is>
      </c>
      <c r="B994" t="inlineStr">
        <is>
          <t>HQ1426 .M44 1977</t>
        </is>
      </c>
      <c r="C994" t="inlineStr">
        <is>
          <t>0                      HQ 1426000M  44          1977</t>
        </is>
      </c>
      <c r="D994" t="inlineStr">
        <is>
          <t>Beginnings of sisterhood : the American woman's rights movement, 1800-1850 / Keith E. Melder.</t>
        </is>
      </c>
      <c r="F994" t="inlineStr">
        <is>
          <t>No</t>
        </is>
      </c>
      <c r="G994" t="inlineStr">
        <is>
          <t>1</t>
        </is>
      </c>
      <c r="H994" t="inlineStr">
        <is>
          <t>No</t>
        </is>
      </c>
      <c r="I994" t="inlineStr">
        <is>
          <t>No</t>
        </is>
      </c>
      <c r="J994" t="inlineStr">
        <is>
          <t>0</t>
        </is>
      </c>
      <c r="K994" t="inlineStr">
        <is>
          <t>Melder, Keith E.</t>
        </is>
      </c>
      <c r="L994" t="inlineStr">
        <is>
          <t>New York : Schocken Books, 1977.</t>
        </is>
      </c>
      <c r="M994" t="inlineStr">
        <is>
          <t>1977</t>
        </is>
      </c>
      <c r="O994" t="inlineStr">
        <is>
          <t>eng</t>
        </is>
      </c>
      <c r="P994" t="inlineStr">
        <is>
          <t>nyu</t>
        </is>
      </c>
      <c r="Q994" t="inlineStr">
        <is>
          <t>Studies in the life of women</t>
        </is>
      </c>
      <c r="R994" t="inlineStr">
        <is>
          <t xml:space="preserve">HQ </t>
        </is>
      </c>
      <c r="S994" t="n">
        <v>3</v>
      </c>
      <c r="T994" t="n">
        <v>3</v>
      </c>
      <c r="U994" t="inlineStr">
        <is>
          <t>2001-11-14</t>
        </is>
      </c>
      <c r="V994" t="inlineStr">
        <is>
          <t>2001-11-14</t>
        </is>
      </c>
      <c r="W994" t="inlineStr">
        <is>
          <t>1992-11-05</t>
        </is>
      </c>
      <c r="X994" t="inlineStr">
        <is>
          <t>1992-11-05</t>
        </is>
      </c>
      <c r="Y994" t="n">
        <v>987</v>
      </c>
      <c r="Z994" t="n">
        <v>881</v>
      </c>
      <c r="AA994" t="n">
        <v>887</v>
      </c>
      <c r="AB994" t="n">
        <v>6</v>
      </c>
      <c r="AC994" t="n">
        <v>6</v>
      </c>
      <c r="AD994" t="n">
        <v>38</v>
      </c>
      <c r="AE994" t="n">
        <v>38</v>
      </c>
      <c r="AF994" t="n">
        <v>15</v>
      </c>
      <c r="AG994" t="n">
        <v>15</v>
      </c>
      <c r="AH994" t="n">
        <v>8</v>
      </c>
      <c r="AI994" t="n">
        <v>8</v>
      </c>
      <c r="AJ994" t="n">
        <v>18</v>
      </c>
      <c r="AK994" t="n">
        <v>18</v>
      </c>
      <c r="AL994" t="n">
        <v>4</v>
      </c>
      <c r="AM994" t="n">
        <v>4</v>
      </c>
      <c r="AN994" t="n">
        <v>4</v>
      </c>
      <c r="AO994" t="n">
        <v>4</v>
      </c>
      <c r="AP994" t="inlineStr">
        <is>
          <t>No</t>
        </is>
      </c>
      <c r="AQ994" t="inlineStr">
        <is>
          <t>Yes</t>
        </is>
      </c>
      <c r="AR994">
        <f>HYPERLINK("http://catalog.hathitrust.org/Record/000214184","HathiTrust Record")</f>
        <v/>
      </c>
      <c r="AS994">
        <f>HYPERLINK("https://creighton-primo.hosted.exlibrisgroup.com/primo-explore/search?tab=default_tab&amp;search_scope=EVERYTHING&amp;vid=01CRU&amp;lang=en_US&amp;offset=0&amp;query=any,contains,991004301319702656","Catalog Record")</f>
        <v/>
      </c>
      <c r="AT994">
        <f>HYPERLINK("http://www.worldcat.org/oclc/2968433","WorldCat Record")</f>
        <v/>
      </c>
      <c r="AU994" t="inlineStr">
        <is>
          <t>346815842:eng</t>
        </is>
      </c>
      <c r="AV994" t="inlineStr">
        <is>
          <t>2968433</t>
        </is>
      </c>
      <c r="AW994" t="inlineStr">
        <is>
          <t>991004301319702656</t>
        </is>
      </c>
      <c r="AX994" t="inlineStr">
        <is>
          <t>991004301319702656</t>
        </is>
      </c>
      <c r="AY994" t="inlineStr">
        <is>
          <t>2268952950002656</t>
        </is>
      </c>
      <c r="AZ994" t="inlineStr">
        <is>
          <t>BOOK</t>
        </is>
      </c>
      <c r="BB994" t="inlineStr">
        <is>
          <t>9780805236491</t>
        </is>
      </c>
      <c r="BC994" t="inlineStr">
        <is>
          <t>32285001382687</t>
        </is>
      </c>
      <c r="BD994" t="inlineStr">
        <is>
          <t>893417452</t>
        </is>
      </c>
    </row>
    <row r="995">
      <c r="A995" t="inlineStr">
        <is>
          <t>No</t>
        </is>
      </c>
      <c r="B995" t="inlineStr">
        <is>
          <t>HQ1426 .M84 1978</t>
        </is>
      </c>
      <c r="C995" t="inlineStr">
        <is>
          <t>0                      HQ 1426000M  84          1978</t>
        </is>
      </c>
      <c r="D995" t="inlineStr">
        <is>
          <t>Going too far : the personal chronicle of a feminist / by Robin Morgan.</t>
        </is>
      </c>
      <c r="F995" t="inlineStr">
        <is>
          <t>No</t>
        </is>
      </c>
      <c r="G995" t="inlineStr">
        <is>
          <t>1</t>
        </is>
      </c>
      <c r="H995" t="inlineStr">
        <is>
          <t>No</t>
        </is>
      </c>
      <c r="I995" t="inlineStr">
        <is>
          <t>No</t>
        </is>
      </c>
      <c r="J995" t="inlineStr">
        <is>
          <t>0</t>
        </is>
      </c>
      <c r="K995" t="inlineStr">
        <is>
          <t>Morgan, Robin, 1941-</t>
        </is>
      </c>
      <c r="L995" t="inlineStr">
        <is>
          <t>New York : Vintage Books, 1978, c1977.</t>
        </is>
      </c>
      <c r="M995" t="inlineStr">
        <is>
          <t>1978</t>
        </is>
      </c>
      <c r="N995" t="inlineStr">
        <is>
          <t>1st Vintage Books ed.</t>
        </is>
      </c>
      <c r="O995" t="inlineStr">
        <is>
          <t>eng</t>
        </is>
      </c>
      <c r="P995" t="inlineStr">
        <is>
          <t>nyu</t>
        </is>
      </c>
      <c r="R995" t="inlineStr">
        <is>
          <t xml:space="preserve">HQ </t>
        </is>
      </c>
      <c r="S995" t="n">
        <v>1</v>
      </c>
      <c r="T995" t="n">
        <v>1</v>
      </c>
      <c r="U995" t="inlineStr">
        <is>
          <t>2004-12-11</t>
        </is>
      </c>
      <c r="V995" t="inlineStr">
        <is>
          <t>2004-12-11</t>
        </is>
      </c>
      <c r="W995" t="inlineStr">
        <is>
          <t>1992-01-28</t>
        </is>
      </c>
      <c r="X995" t="inlineStr">
        <is>
          <t>1992-01-28</t>
        </is>
      </c>
      <c r="Y995" t="n">
        <v>186</v>
      </c>
      <c r="Z995" t="n">
        <v>145</v>
      </c>
      <c r="AA995" t="n">
        <v>752</v>
      </c>
      <c r="AB995" t="n">
        <v>1</v>
      </c>
      <c r="AC995" t="n">
        <v>3</v>
      </c>
      <c r="AD995" t="n">
        <v>7</v>
      </c>
      <c r="AE995" t="n">
        <v>21</v>
      </c>
      <c r="AF995" t="n">
        <v>2</v>
      </c>
      <c r="AG995" t="n">
        <v>6</v>
      </c>
      <c r="AH995" t="n">
        <v>1</v>
      </c>
      <c r="AI995" t="n">
        <v>6</v>
      </c>
      <c r="AJ995" t="n">
        <v>5</v>
      </c>
      <c r="AK995" t="n">
        <v>10</v>
      </c>
      <c r="AL995" t="n">
        <v>0</v>
      </c>
      <c r="AM995" t="n">
        <v>2</v>
      </c>
      <c r="AN995" t="n">
        <v>1</v>
      </c>
      <c r="AO995" t="n">
        <v>1</v>
      </c>
      <c r="AP995" t="inlineStr">
        <is>
          <t>No</t>
        </is>
      </c>
      <c r="AQ995" t="inlineStr">
        <is>
          <t>No</t>
        </is>
      </c>
      <c r="AS995">
        <f>HYPERLINK("https://creighton-primo.hosted.exlibrisgroup.com/primo-explore/search?tab=default_tab&amp;search_scope=EVERYTHING&amp;vid=01CRU&amp;lang=en_US&amp;offset=0&amp;query=any,contains,991004527279702656","Catalog Record")</f>
        <v/>
      </c>
      <c r="AT995">
        <f>HYPERLINK("http://www.worldcat.org/oclc/3844035","WorldCat Record")</f>
        <v/>
      </c>
      <c r="AU995" t="inlineStr">
        <is>
          <t>821920407:eng</t>
        </is>
      </c>
      <c r="AV995" t="inlineStr">
        <is>
          <t>3844035</t>
        </is>
      </c>
      <c r="AW995" t="inlineStr">
        <is>
          <t>991004527279702656</t>
        </is>
      </c>
      <c r="AX995" t="inlineStr">
        <is>
          <t>991004527279702656</t>
        </is>
      </c>
      <c r="AY995" t="inlineStr">
        <is>
          <t>2264729440002656</t>
        </is>
      </c>
      <c r="AZ995" t="inlineStr">
        <is>
          <t>BOOK</t>
        </is>
      </c>
      <c r="BB995" t="inlineStr">
        <is>
          <t>9780394726120</t>
        </is>
      </c>
      <c r="BC995" t="inlineStr">
        <is>
          <t>32285000899160</t>
        </is>
      </c>
      <c r="BD995" t="inlineStr">
        <is>
          <t>893895102</t>
        </is>
      </c>
    </row>
    <row r="996">
      <c r="A996" t="inlineStr">
        <is>
          <t>No</t>
        </is>
      </c>
      <c r="B996" t="inlineStr">
        <is>
          <t>HQ1426 .N49</t>
        </is>
      </c>
      <c r="C996" t="inlineStr">
        <is>
          <t>0                      HQ 1426000N  49</t>
        </is>
      </c>
      <c r="D996" t="inlineStr">
        <is>
          <t>The New woman's survival sourcebook / [editors, Kirsten Grimstad and Susan Rennie].</t>
        </is>
      </c>
      <c r="F996" t="inlineStr">
        <is>
          <t>No</t>
        </is>
      </c>
      <c r="G996" t="inlineStr">
        <is>
          <t>1</t>
        </is>
      </c>
      <c r="H996" t="inlineStr">
        <is>
          <t>No</t>
        </is>
      </c>
      <c r="I996" t="inlineStr">
        <is>
          <t>No</t>
        </is>
      </c>
      <c r="J996" t="inlineStr">
        <is>
          <t>0</t>
        </is>
      </c>
      <c r="L996" t="inlineStr">
        <is>
          <t>New York : Knopf, 1975.</t>
        </is>
      </c>
      <c r="M996" t="inlineStr">
        <is>
          <t>1975</t>
        </is>
      </c>
      <c r="N996" t="inlineStr">
        <is>
          <t>1st ed.</t>
        </is>
      </c>
      <c r="O996" t="inlineStr">
        <is>
          <t>eng</t>
        </is>
      </c>
      <c r="P996" t="inlineStr">
        <is>
          <t>nyu</t>
        </is>
      </c>
      <c r="R996" t="inlineStr">
        <is>
          <t xml:space="preserve">HQ </t>
        </is>
      </c>
      <c r="S996" t="n">
        <v>3</v>
      </c>
      <c r="T996" t="n">
        <v>3</v>
      </c>
      <c r="U996" t="inlineStr">
        <is>
          <t>1993-04-21</t>
        </is>
      </c>
      <c r="V996" t="inlineStr">
        <is>
          <t>1993-04-21</t>
        </is>
      </c>
      <c r="W996" t="inlineStr">
        <is>
          <t>1993-04-21</t>
        </is>
      </c>
      <c r="X996" t="inlineStr">
        <is>
          <t>1993-04-21</t>
        </is>
      </c>
      <c r="Y996" t="n">
        <v>437</v>
      </c>
      <c r="Z996" t="n">
        <v>396</v>
      </c>
      <c r="AA996" t="n">
        <v>397</v>
      </c>
      <c r="AB996" t="n">
        <v>3</v>
      </c>
      <c r="AC996" t="n">
        <v>3</v>
      </c>
      <c r="AD996" t="n">
        <v>10</v>
      </c>
      <c r="AE996" t="n">
        <v>10</v>
      </c>
      <c r="AF996" t="n">
        <v>4</v>
      </c>
      <c r="AG996" t="n">
        <v>4</v>
      </c>
      <c r="AH996" t="n">
        <v>2</v>
      </c>
      <c r="AI996" t="n">
        <v>2</v>
      </c>
      <c r="AJ996" t="n">
        <v>5</v>
      </c>
      <c r="AK996" t="n">
        <v>5</v>
      </c>
      <c r="AL996" t="n">
        <v>1</v>
      </c>
      <c r="AM996" t="n">
        <v>1</v>
      </c>
      <c r="AN996" t="n">
        <v>0</v>
      </c>
      <c r="AO996" t="n">
        <v>0</v>
      </c>
      <c r="AP996" t="inlineStr">
        <is>
          <t>No</t>
        </is>
      </c>
      <c r="AQ996" t="inlineStr">
        <is>
          <t>Yes</t>
        </is>
      </c>
      <c r="AR996">
        <f>HYPERLINK("http://catalog.hathitrust.org/Record/102067431","HathiTrust Record")</f>
        <v/>
      </c>
      <c r="AS996">
        <f>HYPERLINK("https://creighton-primo.hosted.exlibrisgroup.com/primo-explore/search?tab=default_tab&amp;search_scope=EVERYTHING&amp;vid=01CRU&amp;lang=en_US&amp;offset=0&amp;query=any,contains,991003912169702656","Catalog Record")</f>
        <v/>
      </c>
      <c r="AT996">
        <f>HYPERLINK("http://www.worldcat.org/oclc/1854008","WorldCat Record")</f>
        <v/>
      </c>
      <c r="AU996" t="inlineStr">
        <is>
          <t>359426525:eng</t>
        </is>
      </c>
      <c r="AV996" t="inlineStr">
        <is>
          <t>1854008</t>
        </is>
      </c>
      <c r="AW996" t="inlineStr">
        <is>
          <t>991003912169702656</t>
        </is>
      </c>
      <c r="AX996" t="inlineStr">
        <is>
          <t>991003912169702656</t>
        </is>
      </c>
      <c r="AY996" t="inlineStr">
        <is>
          <t>2266428360002656</t>
        </is>
      </c>
      <c r="AZ996" t="inlineStr">
        <is>
          <t>BOOK</t>
        </is>
      </c>
      <c r="BB996" t="inlineStr">
        <is>
          <t>9780394730356</t>
        </is>
      </c>
      <c r="BC996" t="inlineStr">
        <is>
          <t>32285001580652</t>
        </is>
      </c>
      <c r="BD996" t="inlineStr">
        <is>
          <t>893416986</t>
        </is>
      </c>
    </row>
    <row r="997">
      <c r="A997" t="inlineStr">
        <is>
          <t>No</t>
        </is>
      </c>
      <c r="B997" t="inlineStr">
        <is>
          <t>HQ1426 .O89 1983</t>
        </is>
      </c>
      <c r="C997" t="inlineStr">
        <is>
          <t>0                      HQ 1426000O  89          1983</t>
        </is>
      </c>
      <c r="D997" t="inlineStr">
        <is>
          <t>Older women : issues and prospects / edited by Elizabeth W. Markson.</t>
        </is>
      </c>
      <c r="F997" t="inlineStr">
        <is>
          <t>No</t>
        </is>
      </c>
      <c r="G997" t="inlineStr">
        <is>
          <t>1</t>
        </is>
      </c>
      <c r="H997" t="inlineStr">
        <is>
          <t>Yes</t>
        </is>
      </c>
      <c r="I997" t="inlineStr">
        <is>
          <t>No</t>
        </is>
      </c>
      <c r="J997" t="inlineStr">
        <is>
          <t>0</t>
        </is>
      </c>
      <c r="L997" t="inlineStr">
        <is>
          <t>Lexington, Mass. : Lexington Books, c1983, 1985 printing.</t>
        </is>
      </c>
      <c r="M997" t="inlineStr">
        <is>
          <t>1983</t>
        </is>
      </c>
      <c r="O997" t="inlineStr">
        <is>
          <t>eng</t>
        </is>
      </c>
      <c r="P997" t="inlineStr">
        <is>
          <t>mau</t>
        </is>
      </c>
      <c r="R997" t="inlineStr">
        <is>
          <t xml:space="preserve">HQ </t>
        </is>
      </c>
      <c r="S997" t="n">
        <v>0</v>
      </c>
      <c r="T997" t="n">
        <v>3</v>
      </c>
      <c r="V997" t="inlineStr">
        <is>
          <t>2002-11-14</t>
        </is>
      </c>
      <c r="W997" t="inlineStr">
        <is>
          <t>1993-04-28</t>
        </is>
      </c>
      <c r="X997" t="inlineStr">
        <is>
          <t>1993-04-28</t>
        </is>
      </c>
      <c r="Y997" t="n">
        <v>587</v>
      </c>
      <c r="Z997" t="n">
        <v>505</v>
      </c>
      <c r="AA997" t="n">
        <v>513</v>
      </c>
      <c r="AB997" t="n">
        <v>4</v>
      </c>
      <c r="AC997" t="n">
        <v>4</v>
      </c>
      <c r="AD997" t="n">
        <v>20</v>
      </c>
      <c r="AE997" t="n">
        <v>20</v>
      </c>
      <c r="AF997" t="n">
        <v>6</v>
      </c>
      <c r="AG997" t="n">
        <v>6</v>
      </c>
      <c r="AH997" t="n">
        <v>5</v>
      </c>
      <c r="AI997" t="n">
        <v>5</v>
      </c>
      <c r="AJ997" t="n">
        <v>12</v>
      </c>
      <c r="AK997" t="n">
        <v>12</v>
      </c>
      <c r="AL997" t="n">
        <v>2</v>
      </c>
      <c r="AM997" t="n">
        <v>2</v>
      </c>
      <c r="AN997" t="n">
        <v>0</v>
      </c>
      <c r="AO997" t="n">
        <v>0</v>
      </c>
      <c r="AP997" t="inlineStr">
        <is>
          <t>No</t>
        </is>
      </c>
      <c r="AQ997" t="inlineStr">
        <is>
          <t>Yes</t>
        </is>
      </c>
      <c r="AR997">
        <f>HYPERLINK("http://catalog.hathitrust.org/Record/000155853","HathiTrust Record")</f>
        <v/>
      </c>
      <c r="AS997">
        <f>HYPERLINK("https://creighton-primo.hosted.exlibrisgroup.com/primo-explore/search?tab=default_tab&amp;search_scope=EVERYTHING&amp;vid=01CRU&amp;lang=en_US&amp;offset=0&amp;query=any,contains,991001782599702656","Catalog Record")</f>
        <v/>
      </c>
      <c r="AT997">
        <f>HYPERLINK("http://www.worldcat.org/oclc/8952491","WorldCat Record")</f>
        <v/>
      </c>
      <c r="AU997" t="inlineStr">
        <is>
          <t>836706112:eng</t>
        </is>
      </c>
      <c r="AV997" t="inlineStr">
        <is>
          <t>8952491</t>
        </is>
      </c>
      <c r="AW997" t="inlineStr">
        <is>
          <t>991001782599702656</t>
        </is>
      </c>
      <c r="AX997" t="inlineStr">
        <is>
          <t>991001782599702656</t>
        </is>
      </c>
      <c r="AY997" t="inlineStr">
        <is>
          <t>2271836720002656</t>
        </is>
      </c>
      <c r="AZ997" t="inlineStr">
        <is>
          <t>BOOK</t>
        </is>
      </c>
      <c r="BB997" t="inlineStr">
        <is>
          <t>9780669052459</t>
        </is>
      </c>
      <c r="BC997" t="inlineStr">
        <is>
          <t>32285001630028</t>
        </is>
      </c>
      <c r="BD997" t="inlineStr">
        <is>
          <t>893322251</t>
        </is>
      </c>
    </row>
    <row r="998">
      <c r="A998" t="inlineStr">
        <is>
          <t>No</t>
        </is>
      </c>
      <c r="B998" t="inlineStr">
        <is>
          <t>HQ1426 .P34</t>
        </is>
      </c>
      <c r="C998" t="inlineStr">
        <is>
          <t>0                      HQ 1426000P  34</t>
        </is>
      </c>
      <c r="D998" t="inlineStr">
        <is>
          <t>Women together : a history in documents of the women's movement in the United States / by Judith Papachristou.</t>
        </is>
      </c>
      <c r="F998" t="inlineStr">
        <is>
          <t>No</t>
        </is>
      </c>
      <c r="G998" t="inlineStr">
        <is>
          <t>1</t>
        </is>
      </c>
      <c r="H998" t="inlineStr">
        <is>
          <t>No</t>
        </is>
      </c>
      <c r="I998" t="inlineStr">
        <is>
          <t>No</t>
        </is>
      </c>
      <c r="J998" t="inlineStr">
        <is>
          <t>0</t>
        </is>
      </c>
      <c r="K998" t="inlineStr">
        <is>
          <t>Papachristou, Judith.</t>
        </is>
      </c>
      <c r="L998" t="inlineStr">
        <is>
          <t>New York : Knopf : distributed by Random House, 1976.</t>
        </is>
      </c>
      <c r="M998" t="inlineStr">
        <is>
          <t>1976</t>
        </is>
      </c>
      <c r="N998" t="inlineStr">
        <is>
          <t>1st American ed.</t>
        </is>
      </c>
      <c r="O998" t="inlineStr">
        <is>
          <t>eng</t>
        </is>
      </c>
      <c r="P998" t="inlineStr">
        <is>
          <t>nyu</t>
        </is>
      </c>
      <c r="R998" t="inlineStr">
        <is>
          <t xml:space="preserve">HQ </t>
        </is>
      </c>
      <c r="S998" t="n">
        <v>7</v>
      </c>
      <c r="T998" t="n">
        <v>7</v>
      </c>
      <c r="U998" t="inlineStr">
        <is>
          <t>2010-11-18</t>
        </is>
      </c>
      <c r="V998" t="inlineStr">
        <is>
          <t>2010-11-18</t>
        </is>
      </c>
      <c r="W998" t="inlineStr">
        <is>
          <t>1993-02-23</t>
        </is>
      </c>
      <c r="X998" t="inlineStr">
        <is>
          <t>1993-02-23</t>
        </is>
      </c>
      <c r="Y998" t="n">
        <v>1478</v>
      </c>
      <c r="Z998" t="n">
        <v>1392</v>
      </c>
      <c r="AA998" t="n">
        <v>1401</v>
      </c>
      <c r="AB998" t="n">
        <v>16</v>
      </c>
      <c r="AC998" t="n">
        <v>16</v>
      </c>
      <c r="AD998" t="n">
        <v>44</v>
      </c>
      <c r="AE998" t="n">
        <v>44</v>
      </c>
      <c r="AF998" t="n">
        <v>15</v>
      </c>
      <c r="AG998" t="n">
        <v>15</v>
      </c>
      <c r="AH998" t="n">
        <v>9</v>
      </c>
      <c r="AI998" t="n">
        <v>9</v>
      </c>
      <c r="AJ998" t="n">
        <v>19</v>
      </c>
      <c r="AK998" t="n">
        <v>19</v>
      </c>
      <c r="AL998" t="n">
        <v>8</v>
      </c>
      <c r="AM998" t="n">
        <v>8</v>
      </c>
      <c r="AN998" t="n">
        <v>2</v>
      </c>
      <c r="AO998" t="n">
        <v>2</v>
      </c>
      <c r="AP998" t="inlineStr">
        <is>
          <t>No</t>
        </is>
      </c>
      <c r="AQ998" t="inlineStr">
        <is>
          <t>Yes</t>
        </is>
      </c>
      <c r="AR998">
        <f>HYPERLINK("http://catalog.hathitrust.org/Record/000698194","HathiTrust Record")</f>
        <v/>
      </c>
      <c r="AS998">
        <f>HYPERLINK("https://creighton-primo.hosted.exlibrisgroup.com/primo-explore/search?tab=default_tab&amp;search_scope=EVERYTHING&amp;vid=01CRU&amp;lang=en_US&amp;offset=0&amp;query=any,contains,991003917899702656","Catalog Record")</f>
        <v/>
      </c>
      <c r="AT998">
        <f>HYPERLINK("http://www.worldcat.org/oclc/1863515","WorldCat Record")</f>
        <v/>
      </c>
      <c r="AU998" t="inlineStr">
        <is>
          <t>495552281:eng</t>
        </is>
      </c>
      <c r="AV998" t="inlineStr">
        <is>
          <t>1863515</t>
        </is>
      </c>
      <c r="AW998" t="inlineStr">
        <is>
          <t>991003917899702656</t>
        </is>
      </c>
      <c r="AX998" t="inlineStr">
        <is>
          <t>991003917899702656</t>
        </is>
      </c>
      <c r="AY998" t="inlineStr">
        <is>
          <t>2263243440002656</t>
        </is>
      </c>
      <c r="AZ998" t="inlineStr">
        <is>
          <t>BOOK</t>
        </is>
      </c>
      <c r="BB998" t="inlineStr">
        <is>
          <t>9780394494296</t>
        </is>
      </c>
      <c r="BC998" t="inlineStr">
        <is>
          <t>32285001535045</t>
        </is>
      </c>
      <c r="BD998" t="inlineStr">
        <is>
          <t>893875459</t>
        </is>
      </c>
    </row>
    <row r="999">
      <c r="A999" t="inlineStr">
        <is>
          <t>No</t>
        </is>
      </c>
      <c r="B999" t="inlineStr">
        <is>
          <t>HQ1426 .P67</t>
        </is>
      </c>
      <c r="C999" t="inlineStr">
        <is>
          <t>0                      HQ 1426000P  67</t>
        </is>
      </c>
      <c r="D999" t="inlineStr">
        <is>
          <t>Feminine spirituality in America : from Sarah Edwards to Martha Graham / Amanda Porterfield.</t>
        </is>
      </c>
      <c r="F999" t="inlineStr">
        <is>
          <t>No</t>
        </is>
      </c>
      <c r="G999" t="inlineStr">
        <is>
          <t>1</t>
        </is>
      </c>
      <c r="H999" t="inlineStr">
        <is>
          <t>No</t>
        </is>
      </c>
      <c r="I999" t="inlineStr">
        <is>
          <t>No</t>
        </is>
      </c>
      <c r="J999" t="inlineStr">
        <is>
          <t>0</t>
        </is>
      </c>
      <c r="K999" t="inlineStr">
        <is>
          <t>Porterfield, Amanda, 1947-</t>
        </is>
      </c>
      <c r="L999" t="inlineStr">
        <is>
          <t>Philadelphia : Temple University Press, 1980.</t>
        </is>
      </c>
      <c r="M999" t="inlineStr">
        <is>
          <t>1980</t>
        </is>
      </c>
      <c r="O999" t="inlineStr">
        <is>
          <t>eng</t>
        </is>
      </c>
      <c r="P999" t="inlineStr">
        <is>
          <t>pau</t>
        </is>
      </c>
      <c r="R999" t="inlineStr">
        <is>
          <t xml:space="preserve">HQ </t>
        </is>
      </c>
      <c r="S999" t="n">
        <v>1</v>
      </c>
      <c r="T999" t="n">
        <v>1</v>
      </c>
      <c r="U999" t="inlineStr">
        <is>
          <t>2000-06-19</t>
        </is>
      </c>
      <c r="V999" t="inlineStr">
        <is>
          <t>2000-06-19</t>
        </is>
      </c>
      <c r="W999" t="inlineStr">
        <is>
          <t>1993-04-28</t>
        </is>
      </c>
      <c r="X999" t="inlineStr">
        <is>
          <t>1993-04-28</t>
        </is>
      </c>
      <c r="Y999" t="n">
        <v>741</v>
      </c>
      <c r="Z999" t="n">
        <v>693</v>
      </c>
      <c r="AA999" t="n">
        <v>706</v>
      </c>
      <c r="AB999" t="n">
        <v>5</v>
      </c>
      <c r="AC999" t="n">
        <v>5</v>
      </c>
      <c r="AD999" t="n">
        <v>33</v>
      </c>
      <c r="AE999" t="n">
        <v>33</v>
      </c>
      <c r="AF999" t="n">
        <v>11</v>
      </c>
      <c r="AG999" t="n">
        <v>11</v>
      </c>
      <c r="AH999" t="n">
        <v>8</v>
      </c>
      <c r="AI999" t="n">
        <v>8</v>
      </c>
      <c r="AJ999" t="n">
        <v>18</v>
      </c>
      <c r="AK999" t="n">
        <v>18</v>
      </c>
      <c r="AL999" t="n">
        <v>4</v>
      </c>
      <c r="AM999" t="n">
        <v>4</v>
      </c>
      <c r="AN999" t="n">
        <v>0</v>
      </c>
      <c r="AO999" t="n">
        <v>0</v>
      </c>
      <c r="AP999" t="inlineStr">
        <is>
          <t>No</t>
        </is>
      </c>
      <c r="AQ999" t="inlineStr">
        <is>
          <t>Yes</t>
        </is>
      </c>
      <c r="AR999">
        <f>HYPERLINK("http://catalog.hathitrust.org/Record/000732760","HathiTrust Record")</f>
        <v/>
      </c>
      <c r="AS999">
        <f>HYPERLINK("https://creighton-primo.hosted.exlibrisgroup.com/primo-explore/search?tab=default_tab&amp;search_scope=EVERYTHING&amp;vid=01CRU&amp;lang=en_US&amp;offset=0&amp;query=any,contains,991004927729702656","Catalog Record")</f>
        <v/>
      </c>
      <c r="AT999">
        <f>HYPERLINK("http://www.worldcat.org/oclc/6087311","WorldCat Record")</f>
        <v/>
      </c>
      <c r="AU999" t="inlineStr">
        <is>
          <t>892199779:eng</t>
        </is>
      </c>
      <c r="AV999" t="inlineStr">
        <is>
          <t>6087311</t>
        </is>
      </c>
      <c r="AW999" t="inlineStr">
        <is>
          <t>991004927729702656</t>
        </is>
      </c>
      <c r="AX999" t="inlineStr">
        <is>
          <t>991004927729702656</t>
        </is>
      </c>
      <c r="AY999" t="inlineStr">
        <is>
          <t>2259585920002656</t>
        </is>
      </c>
      <c r="AZ999" t="inlineStr">
        <is>
          <t>BOOK</t>
        </is>
      </c>
      <c r="BB999" t="inlineStr">
        <is>
          <t>9780877221753</t>
        </is>
      </c>
      <c r="BC999" t="inlineStr">
        <is>
          <t>32285001630044</t>
        </is>
      </c>
      <c r="BD999" t="inlineStr">
        <is>
          <t>893883119</t>
        </is>
      </c>
    </row>
    <row r="1000">
      <c r="A1000" t="inlineStr">
        <is>
          <t>No</t>
        </is>
      </c>
      <c r="B1000" t="inlineStr">
        <is>
          <t>HQ1426 .R72</t>
        </is>
      </c>
      <c r="C1000" t="inlineStr">
        <is>
          <t>0                      HQ 1426000R  72</t>
        </is>
      </c>
      <c r="D1000" t="inlineStr">
        <is>
          <t>Sex, class, and culture / Lillian S. Robinson. --</t>
        </is>
      </c>
      <c r="F1000" t="inlineStr">
        <is>
          <t>No</t>
        </is>
      </c>
      <c r="G1000" t="inlineStr">
        <is>
          <t>1</t>
        </is>
      </c>
      <c r="H1000" t="inlineStr">
        <is>
          <t>No</t>
        </is>
      </c>
      <c r="I1000" t="inlineStr">
        <is>
          <t>No</t>
        </is>
      </c>
      <c r="J1000" t="inlineStr">
        <is>
          <t>0</t>
        </is>
      </c>
      <c r="K1000" t="inlineStr">
        <is>
          <t>Robinson, Lillian S.</t>
        </is>
      </c>
      <c r="L1000" t="inlineStr">
        <is>
          <t>Bloomington : Indiana University Press, c1978.</t>
        </is>
      </c>
      <c r="M1000" t="inlineStr">
        <is>
          <t>1978</t>
        </is>
      </c>
      <c r="O1000" t="inlineStr">
        <is>
          <t>eng</t>
        </is>
      </c>
      <c r="P1000" t="inlineStr">
        <is>
          <t>inu</t>
        </is>
      </c>
      <c r="R1000" t="inlineStr">
        <is>
          <t xml:space="preserve">HQ </t>
        </is>
      </c>
      <c r="S1000" t="n">
        <v>5</v>
      </c>
      <c r="T1000" t="n">
        <v>5</v>
      </c>
      <c r="U1000" t="inlineStr">
        <is>
          <t>2004-04-13</t>
        </is>
      </c>
      <c r="V1000" t="inlineStr">
        <is>
          <t>2004-04-13</t>
        </is>
      </c>
      <c r="W1000" t="inlineStr">
        <is>
          <t>1992-02-03</t>
        </is>
      </c>
      <c r="X1000" t="inlineStr">
        <is>
          <t>1992-02-03</t>
        </is>
      </c>
      <c r="Y1000" t="n">
        <v>649</v>
      </c>
      <c r="Z1000" t="n">
        <v>555</v>
      </c>
      <c r="AA1000" t="n">
        <v>689</v>
      </c>
      <c r="AB1000" t="n">
        <v>4</v>
      </c>
      <c r="AC1000" t="n">
        <v>5</v>
      </c>
      <c r="AD1000" t="n">
        <v>23</v>
      </c>
      <c r="AE1000" t="n">
        <v>33</v>
      </c>
      <c r="AF1000" t="n">
        <v>9</v>
      </c>
      <c r="AG1000" t="n">
        <v>13</v>
      </c>
      <c r="AH1000" t="n">
        <v>8</v>
      </c>
      <c r="AI1000" t="n">
        <v>9</v>
      </c>
      <c r="AJ1000" t="n">
        <v>8</v>
      </c>
      <c r="AK1000" t="n">
        <v>14</v>
      </c>
      <c r="AL1000" t="n">
        <v>3</v>
      </c>
      <c r="AM1000" t="n">
        <v>4</v>
      </c>
      <c r="AN1000" t="n">
        <v>0</v>
      </c>
      <c r="AO1000" t="n">
        <v>0</v>
      </c>
      <c r="AP1000" t="inlineStr">
        <is>
          <t>No</t>
        </is>
      </c>
      <c r="AQ1000" t="inlineStr">
        <is>
          <t>Yes</t>
        </is>
      </c>
      <c r="AR1000">
        <f>HYPERLINK("http://catalog.hathitrust.org/Record/000751363","HathiTrust Record")</f>
        <v/>
      </c>
      <c r="AS1000">
        <f>HYPERLINK("https://creighton-primo.hosted.exlibrisgroup.com/primo-explore/search?tab=default_tab&amp;search_scope=EVERYTHING&amp;vid=01CRU&amp;lang=en_US&amp;offset=0&amp;query=any,contains,991004425909702656","Catalog Record")</f>
        <v/>
      </c>
      <c r="AT1000">
        <f>HYPERLINK("http://www.worldcat.org/oclc/3397285","WorldCat Record")</f>
        <v/>
      </c>
      <c r="AU1000" t="inlineStr">
        <is>
          <t>5510206:eng</t>
        </is>
      </c>
      <c r="AV1000" t="inlineStr">
        <is>
          <t>3397285</t>
        </is>
      </c>
      <c r="AW1000" t="inlineStr">
        <is>
          <t>991004425909702656</t>
        </is>
      </c>
      <c r="AX1000" t="inlineStr">
        <is>
          <t>991004425909702656</t>
        </is>
      </c>
      <c r="AY1000" t="inlineStr">
        <is>
          <t>2267151710002656</t>
        </is>
      </c>
      <c r="AZ1000" t="inlineStr">
        <is>
          <t>BOOK</t>
        </is>
      </c>
      <c r="BB1000" t="inlineStr">
        <is>
          <t>9780253351869</t>
        </is>
      </c>
      <c r="BC1000" t="inlineStr">
        <is>
          <t>32285000934538</t>
        </is>
      </c>
      <c r="BD1000" t="inlineStr">
        <is>
          <t>893526091</t>
        </is>
      </c>
    </row>
    <row r="1001">
      <c r="A1001" t="inlineStr">
        <is>
          <t>No</t>
        </is>
      </c>
      <c r="B1001" t="inlineStr">
        <is>
          <t>HQ1426 .R8 1979</t>
        </is>
      </c>
      <c r="C1001" t="inlineStr">
        <is>
          <t>0                      HQ 1426000R  8           1979</t>
        </is>
      </c>
      <c r="D1001" t="inlineStr">
        <is>
          <t>Women of a certain age : the midlife search for self / by Lillian B. Rubin.</t>
        </is>
      </c>
      <c r="F1001" t="inlineStr">
        <is>
          <t>No</t>
        </is>
      </c>
      <c r="G1001" t="inlineStr">
        <is>
          <t>1</t>
        </is>
      </c>
      <c r="H1001" t="inlineStr">
        <is>
          <t>No</t>
        </is>
      </c>
      <c r="I1001" t="inlineStr">
        <is>
          <t>No</t>
        </is>
      </c>
      <c r="J1001" t="inlineStr">
        <is>
          <t>0</t>
        </is>
      </c>
      <c r="K1001" t="inlineStr">
        <is>
          <t>Rubin, Lillian B.</t>
        </is>
      </c>
      <c r="L1001" t="inlineStr">
        <is>
          <t>New York : Harper &amp; Row, c1979.</t>
        </is>
      </c>
      <c r="M1001" t="inlineStr">
        <is>
          <t>1979</t>
        </is>
      </c>
      <c r="N1001" t="inlineStr">
        <is>
          <t>1st ed.</t>
        </is>
      </c>
      <c r="O1001" t="inlineStr">
        <is>
          <t>eng</t>
        </is>
      </c>
      <c r="P1001" t="inlineStr">
        <is>
          <t>nyu</t>
        </is>
      </c>
      <c r="R1001" t="inlineStr">
        <is>
          <t xml:space="preserve">HQ </t>
        </is>
      </c>
      <c r="S1001" t="n">
        <v>3</v>
      </c>
      <c r="T1001" t="n">
        <v>3</v>
      </c>
      <c r="U1001" t="inlineStr">
        <is>
          <t>1992-12-07</t>
        </is>
      </c>
      <c r="V1001" t="inlineStr">
        <is>
          <t>1992-12-07</t>
        </is>
      </c>
      <c r="W1001" t="inlineStr">
        <is>
          <t>1990-06-06</t>
        </is>
      </c>
      <c r="X1001" t="inlineStr">
        <is>
          <t>1990-06-06</t>
        </is>
      </c>
      <c r="Y1001" t="n">
        <v>916</v>
      </c>
      <c r="Z1001" t="n">
        <v>830</v>
      </c>
      <c r="AA1001" t="n">
        <v>959</v>
      </c>
      <c r="AB1001" t="n">
        <v>3</v>
      </c>
      <c r="AC1001" t="n">
        <v>5</v>
      </c>
      <c r="AD1001" t="n">
        <v>24</v>
      </c>
      <c r="AE1001" t="n">
        <v>29</v>
      </c>
      <c r="AF1001" t="n">
        <v>11</v>
      </c>
      <c r="AG1001" t="n">
        <v>11</v>
      </c>
      <c r="AH1001" t="n">
        <v>4</v>
      </c>
      <c r="AI1001" t="n">
        <v>5</v>
      </c>
      <c r="AJ1001" t="n">
        <v>14</v>
      </c>
      <c r="AK1001" t="n">
        <v>17</v>
      </c>
      <c r="AL1001" t="n">
        <v>2</v>
      </c>
      <c r="AM1001" t="n">
        <v>4</v>
      </c>
      <c r="AN1001" t="n">
        <v>0</v>
      </c>
      <c r="AO1001" t="n">
        <v>0</v>
      </c>
      <c r="AP1001" t="inlineStr">
        <is>
          <t>No</t>
        </is>
      </c>
      <c r="AQ1001" t="inlineStr">
        <is>
          <t>Yes</t>
        </is>
      </c>
      <c r="AR1001">
        <f>HYPERLINK("http://catalog.hathitrust.org/Record/000728265","HathiTrust Record")</f>
        <v/>
      </c>
      <c r="AS1001">
        <f>HYPERLINK("https://creighton-primo.hosted.exlibrisgroup.com/primo-explore/search?tab=default_tab&amp;search_scope=EVERYTHING&amp;vid=01CRU&amp;lang=en_US&amp;offset=0&amp;query=any,contains,991004717349702656","Catalog Record")</f>
        <v/>
      </c>
      <c r="AT1001">
        <f>HYPERLINK("http://www.worldcat.org/oclc/4776799","WorldCat Record")</f>
        <v/>
      </c>
      <c r="AU1001" t="inlineStr">
        <is>
          <t>15039191:eng</t>
        </is>
      </c>
      <c r="AV1001" t="inlineStr">
        <is>
          <t>4776799</t>
        </is>
      </c>
      <c r="AW1001" t="inlineStr">
        <is>
          <t>991004717349702656</t>
        </is>
      </c>
      <c r="AX1001" t="inlineStr">
        <is>
          <t>991004717349702656</t>
        </is>
      </c>
      <c r="AY1001" t="inlineStr">
        <is>
          <t>2254970220002656</t>
        </is>
      </c>
      <c r="AZ1001" t="inlineStr">
        <is>
          <t>BOOK</t>
        </is>
      </c>
      <c r="BB1001" t="inlineStr">
        <is>
          <t>9780060137069</t>
        </is>
      </c>
      <c r="BC1001" t="inlineStr">
        <is>
          <t>32285000182195</t>
        </is>
      </c>
      <c r="BD1001" t="inlineStr">
        <is>
          <t>893436661</t>
        </is>
      </c>
    </row>
    <row r="1002">
      <c r="A1002" t="inlineStr">
        <is>
          <t>No</t>
        </is>
      </c>
      <c r="B1002" t="inlineStr">
        <is>
          <t>HQ1426 .S32 2004</t>
        </is>
      </c>
      <c r="C1002" t="inlineStr">
        <is>
          <t>0                      HQ 1426000S  32          2004</t>
        </is>
      </c>
      <c r="D1002" t="inlineStr">
        <is>
          <t>Feminism with men : bridging the gender gap / Steven P. Schacht and Doris W. Ewing.</t>
        </is>
      </c>
      <c r="F1002" t="inlineStr">
        <is>
          <t>No</t>
        </is>
      </c>
      <c r="G1002" t="inlineStr">
        <is>
          <t>1</t>
        </is>
      </c>
      <c r="H1002" t="inlineStr">
        <is>
          <t>No</t>
        </is>
      </c>
      <c r="I1002" t="inlineStr">
        <is>
          <t>No</t>
        </is>
      </c>
      <c r="J1002" t="inlineStr">
        <is>
          <t>0</t>
        </is>
      </c>
      <c r="K1002" t="inlineStr">
        <is>
          <t>Schacht, Steven P.</t>
        </is>
      </c>
      <c r="L1002" t="inlineStr">
        <is>
          <t>Lanham, Md. : Rowman &amp; Littlefield, c2004.</t>
        </is>
      </c>
      <c r="M1002" t="inlineStr">
        <is>
          <t>2004</t>
        </is>
      </c>
      <c r="O1002" t="inlineStr">
        <is>
          <t>eng</t>
        </is>
      </c>
      <c r="P1002" t="inlineStr">
        <is>
          <t>mdu</t>
        </is>
      </c>
      <c r="R1002" t="inlineStr">
        <is>
          <t xml:space="preserve">HQ </t>
        </is>
      </c>
      <c r="S1002" t="n">
        <v>1</v>
      </c>
      <c r="T1002" t="n">
        <v>1</v>
      </c>
      <c r="U1002" t="inlineStr">
        <is>
          <t>2005-12-21</t>
        </is>
      </c>
      <c r="V1002" t="inlineStr">
        <is>
          <t>2005-12-21</t>
        </is>
      </c>
      <c r="W1002" t="inlineStr">
        <is>
          <t>2005-12-21</t>
        </is>
      </c>
      <c r="X1002" t="inlineStr">
        <is>
          <t>2005-12-21</t>
        </is>
      </c>
      <c r="Y1002" t="n">
        <v>388</v>
      </c>
      <c r="Z1002" t="n">
        <v>330</v>
      </c>
      <c r="AA1002" t="n">
        <v>331</v>
      </c>
      <c r="AB1002" t="n">
        <v>3</v>
      </c>
      <c r="AC1002" t="n">
        <v>3</v>
      </c>
      <c r="AD1002" t="n">
        <v>23</v>
      </c>
      <c r="AE1002" t="n">
        <v>23</v>
      </c>
      <c r="AF1002" t="n">
        <v>10</v>
      </c>
      <c r="AG1002" t="n">
        <v>10</v>
      </c>
      <c r="AH1002" t="n">
        <v>9</v>
      </c>
      <c r="AI1002" t="n">
        <v>9</v>
      </c>
      <c r="AJ1002" t="n">
        <v>8</v>
      </c>
      <c r="AK1002" t="n">
        <v>8</v>
      </c>
      <c r="AL1002" t="n">
        <v>2</v>
      </c>
      <c r="AM1002" t="n">
        <v>2</v>
      </c>
      <c r="AN1002" t="n">
        <v>0</v>
      </c>
      <c r="AO1002" t="n">
        <v>0</v>
      </c>
      <c r="AP1002" t="inlineStr">
        <is>
          <t>No</t>
        </is>
      </c>
      <c r="AQ1002" t="inlineStr">
        <is>
          <t>Yes</t>
        </is>
      </c>
      <c r="AR1002">
        <f>HYPERLINK("http://catalog.hathitrust.org/Record/004925719","HathiTrust Record")</f>
        <v/>
      </c>
      <c r="AS1002">
        <f>HYPERLINK("https://creighton-primo.hosted.exlibrisgroup.com/primo-explore/search?tab=default_tab&amp;search_scope=EVERYTHING&amp;vid=01CRU&amp;lang=en_US&amp;offset=0&amp;query=any,contains,991004689469702656","Catalog Record")</f>
        <v/>
      </c>
      <c r="AT1002">
        <f>HYPERLINK("http://www.worldcat.org/oclc/55067563","WorldCat Record")</f>
        <v/>
      </c>
      <c r="AU1002" t="inlineStr">
        <is>
          <t>315493958:eng</t>
        </is>
      </c>
      <c r="AV1002" t="inlineStr">
        <is>
          <t>55067563</t>
        </is>
      </c>
      <c r="AW1002" t="inlineStr">
        <is>
          <t>991004689469702656</t>
        </is>
      </c>
      <c r="AX1002" t="inlineStr">
        <is>
          <t>991004689469702656</t>
        </is>
      </c>
      <c r="AY1002" t="inlineStr">
        <is>
          <t>2265071940002656</t>
        </is>
      </c>
      <c r="AZ1002" t="inlineStr">
        <is>
          <t>BOOK</t>
        </is>
      </c>
      <c r="BB1002" t="inlineStr">
        <is>
          <t>9780742541696</t>
        </is>
      </c>
      <c r="BC1002" t="inlineStr">
        <is>
          <t>32285005152946</t>
        </is>
      </c>
      <c r="BD1002" t="inlineStr">
        <is>
          <t>893519947</t>
        </is>
      </c>
    </row>
    <row r="1003">
      <c r="A1003" t="inlineStr">
        <is>
          <t>No</t>
        </is>
      </c>
      <c r="B1003" t="inlineStr">
        <is>
          <t>HQ1426 .S33</t>
        </is>
      </c>
      <c r="C1003" t="inlineStr">
        <is>
          <t>0                      HQ 1426000S  33</t>
        </is>
      </c>
      <c r="D1003" t="inlineStr">
        <is>
          <t>The power of the positive woman / Phyllis Schlafly.</t>
        </is>
      </c>
      <c r="F1003" t="inlineStr">
        <is>
          <t>No</t>
        </is>
      </c>
      <c r="G1003" t="inlineStr">
        <is>
          <t>1</t>
        </is>
      </c>
      <c r="H1003" t="inlineStr">
        <is>
          <t>No</t>
        </is>
      </c>
      <c r="I1003" t="inlineStr">
        <is>
          <t>No</t>
        </is>
      </c>
      <c r="J1003" t="inlineStr">
        <is>
          <t>0</t>
        </is>
      </c>
      <c r="K1003" t="inlineStr">
        <is>
          <t>Schlafly, Phyllis.</t>
        </is>
      </c>
      <c r="L1003" t="inlineStr">
        <is>
          <t>New Rochelle, N.Y. : Arlington House, c1977.</t>
        </is>
      </c>
      <c r="M1003" t="inlineStr">
        <is>
          <t>1977</t>
        </is>
      </c>
      <c r="O1003" t="inlineStr">
        <is>
          <t>eng</t>
        </is>
      </c>
      <c r="P1003" t="inlineStr">
        <is>
          <t>nyu</t>
        </is>
      </c>
      <c r="R1003" t="inlineStr">
        <is>
          <t xml:space="preserve">HQ </t>
        </is>
      </c>
      <c r="S1003" t="n">
        <v>1</v>
      </c>
      <c r="T1003" t="n">
        <v>1</v>
      </c>
      <c r="U1003" t="inlineStr">
        <is>
          <t>2003-12-02</t>
        </is>
      </c>
      <c r="V1003" t="inlineStr">
        <is>
          <t>2003-12-02</t>
        </is>
      </c>
      <c r="W1003" t="inlineStr">
        <is>
          <t>1997-08-15</t>
        </is>
      </c>
      <c r="X1003" t="inlineStr">
        <is>
          <t>1997-08-15</t>
        </is>
      </c>
      <c r="Y1003" t="n">
        <v>597</v>
      </c>
      <c r="Z1003" t="n">
        <v>564</v>
      </c>
      <c r="AA1003" t="n">
        <v>642</v>
      </c>
      <c r="AB1003" t="n">
        <v>7</v>
      </c>
      <c r="AC1003" t="n">
        <v>7</v>
      </c>
      <c r="AD1003" t="n">
        <v>13</v>
      </c>
      <c r="AE1003" t="n">
        <v>16</v>
      </c>
      <c r="AF1003" t="n">
        <v>4</v>
      </c>
      <c r="AG1003" t="n">
        <v>5</v>
      </c>
      <c r="AH1003" t="n">
        <v>3</v>
      </c>
      <c r="AI1003" t="n">
        <v>5</v>
      </c>
      <c r="AJ1003" t="n">
        <v>6</v>
      </c>
      <c r="AK1003" t="n">
        <v>8</v>
      </c>
      <c r="AL1003" t="n">
        <v>3</v>
      </c>
      <c r="AM1003" t="n">
        <v>3</v>
      </c>
      <c r="AN1003" t="n">
        <v>0</v>
      </c>
      <c r="AO1003" t="n">
        <v>0</v>
      </c>
      <c r="AP1003" t="inlineStr">
        <is>
          <t>No</t>
        </is>
      </c>
      <c r="AQ1003" t="inlineStr">
        <is>
          <t>Yes</t>
        </is>
      </c>
      <c r="AR1003">
        <f>HYPERLINK("http://catalog.hathitrust.org/Record/000727005","HathiTrust Record")</f>
        <v/>
      </c>
      <c r="AS1003">
        <f>HYPERLINK("https://creighton-primo.hosted.exlibrisgroup.com/primo-explore/search?tab=default_tab&amp;search_scope=EVERYTHING&amp;vid=01CRU&amp;lang=en_US&amp;offset=0&amp;query=any,contains,991004269949702656","Catalog Record")</f>
        <v/>
      </c>
      <c r="AT1003">
        <f>HYPERLINK("http://www.worldcat.org/oclc/2875046","WorldCat Record")</f>
        <v/>
      </c>
      <c r="AU1003" t="inlineStr">
        <is>
          <t>513691:eng</t>
        </is>
      </c>
      <c r="AV1003" t="inlineStr">
        <is>
          <t>2875046</t>
        </is>
      </c>
      <c r="AW1003" t="inlineStr">
        <is>
          <t>991004269949702656</t>
        </is>
      </c>
      <c r="AX1003" t="inlineStr">
        <is>
          <t>991004269949702656</t>
        </is>
      </c>
      <c r="AY1003" t="inlineStr">
        <is>
          <t>2259780090002656</t>
        </is>
      </c>
      <c r="AZ1003" t="inlineStr">
        <is>
          <t>BOOK</t>
        </is>
      </c>
      <c r="BB1003" t="inlineStr">
        <is>
          <t>9780870003738</t>
        </is>
      </c>
      <c r="BC1003" t="inlineStr">
        <is>
          <t>32285003104550</t>
        </is>
      </c>
      <c r="BD1003" t="inlineStr">
        <is>
          <t>893782050</t>
        </is>
      </c>
    </row>
    <row r="1004">
      <c r="A1004" t="inlineStr">
        <is>
          <t>No</t>
        </is>
      </c>
      <c r="B1004" t="inlineStr">
        <is>
          <t>HQ1426 .T53 1987</t>
        </is>
      </c>
      <c r="C1004" t="inlineStr">
        <is>
          <t>0                      HQ 1426000T  53          1987</t>
        </is>
      </c>
      <c r="D1004" t="inlineStr">
        <is>
          <t>The dissenting feminist academy : a history of the barriers to feminist scholarship / Gisele Marie Thibault.</t>
        </is>
      </c>
      <c r="F1004" t="inlineStr">
        <is>
          <t>No</t>
        </is>
      </c>
      <c r="G1004" t="inlineStr">
        <is>
          <t>1</t>
        </is>
      </c>
      <c r="H1004" t="inlineStr">
        <is>
          <t>No</t>
        </is>
      </c>
      <c r="I1004" t="inlineStr">
        <is>
          <t>No</t>
        </is>
      </c>
      <c r="J1004" t="inlineStr">
        <is>
          <t>0</t>
        </is>
      </c>
      <c r="K1004" t="inlineStr">
        <is>
          <t>Thibault, Gisele Marie, 1958-</t>
        </is>
      </c>
      <c r="L1004" t="inlineStr">
        <is>
          <t>New York : P. Lang, c1987.</t>
        </is>
      </c>
      <c r="M1004" t="inlineStr">
        <is>
          <t>1987</t>
        </is>
      </c>
      <c r="O1004" t="inlineStr">
        <is>
          <t>eng</t>
        </is>
      </c>
      <c r="P1004" t="inlineStr">
        <is>
          <t>nyu</t>
        </is>
      </c>
      <c r="Q1004" t="inlineStr">
        <is>
          <t>American university studies. Series XI, Anthropology/sociology ; v. 9</t>
        </is>
      </c>
      <c r="R1004" t="inlineStr">
        <is>
          <t xml:space="preserve">HQ </t>
        </is>
      </c>
      <c r="S1004" t="n">
        <v>2</v>
      </c>
      <c r="T1004" t="n">
        <v>2</v>
      </c>
      <c r="U1004" t="inlineStr">
        <is>
          <t>2001-03-24</t>
        </is>
      </c>
      <c r="V1004" t="inlineStr">
        <is>
          <t>2001-03-24</t>
        </is>
      </c>
      <c r="W1004" t="inlineStr">
        <is>
          <t>1993-04-28</t>
        </is>
      </c>
      <c r="X1004" t="inlineStr">
        <is>
          <t>1993-04-28</t>
        </is>
      </c>
      <c r="Y1004" t="n">
        <v>185</v>
      </c>
      <c r="Z1004" t="n">
        <v>138</v>
      </c>
      <c r="AA1004" t="n">
        <v>140</v>
      </c>
      <c r="AB1004" t="n">
        <v>2</v>
      </c>
      <c r="AC1004" t="n">
        <v>2</v>
      </c>
      <c r="AD1004" t="n">
        <v>4</v>
      </c>
      <c r="AE1004" t="n">
        <v>4</v>
      </c>
      <c r="AF1004" t="n">
        <v>0</v>
      </c>
      <c r="AG1004" t="n">
        <v>0</v>
      </c>
      <c r="AH1004" t="n">
        <v>1</v>
      </c>
      <c r="AI1004" t="n">
        <v>1</v>
      </c>
      <c r="AJ1004" t="n">
        <v>3</v>
      </c>
      <c r="AK1004" t="n">
        <v>3</v>
      </c>
      <c r="AL1004" t="n">
        <v>1</v>
      </c>
      <c r="AM1004" t="n">
        <v>1</v>
      </c>
      <c r="AN1004" t="n">
        <v>0</v>
      </c>
      <c r="AO1004" t="n">
        <v>0</v>
      </c>
      <c r="AP1004" t="inlineStr">
        <is>
          <t>No</t>
        </is>
      </c>
      <c r="AQ1004" t="inlineStr">
        <is>
          <t>Yes</t>
        </is>
      </c>
      <c r="AR1004">
        <f>HYPERLINK("http://catalog.hathitrust.org/Record/000879502","HathiTrust Record")</f>
        <v/>
      </c>
      <c r="AS1004">
        <f>HYPERLINK("https://creighton-primo.hosted.exlibrisgroup.com/primo-explore/search?tab=default_tab&amp;search_scope=EVERYTHING&amp;vid=01CRU&amp;lang=en_US&amp;offset=0&amp;query=any,contains,991000983719702656","Catalog Record")</f>
        <v/>
      </c>
      <c r="AT1004">
        <f>HYPERLINK("http://www.worldcat.org/oclc/15054743","WorldCat Record")</f>
        <v/>
      </c>
      <c r="AU1004" t="inlineStr">
        <is>
          <t>355668:eng</t>
        </is>
      </c>
      <c r="AV1004" t="inlineStr">
        <is>
          <t>15054743</t>
        </is>
      </c>
      <c r="AW1004" t="inlineStr">
        <is>
          <t>991000983719702656</t>
        </is>
      </c>
      <c r="AX1004" t="inlineStr">
        <is>
          <t>991000983719702656</t>
        </is>
      </c>
      <c r="AY1004" t="inlineStr">
        <is>
          <t>2255689310002656</t>
        </is>
      </c>
      <c r="AZ1004" t="inlineStr">
        <is>
          <t>BOOK</t>
        </is>
      </c>
      <c r="BB1004" t="inlineStr">
        <is>
          <t>9780820403960</t>
        </is>
      </c>
      <c r="BC1004" t="inlineStr">
        <is>
          <t>32285001630077</t>
        </is>
      </c>
      <c r="BD1004" t="inlineStr">
        <is>
          <t>893683920</t>
        </is>
      </c>
    </row>
    <row r="1005">
      <c r="A1005" t="inlineStr">
        <is>
          <t>No</t>
        </is>
      </c>
      <c r="B1005" t="inlineStr">
        <is>
          <t>HQ1426 .T64 1997</t>
        </is>
      </c>
      <c r="C1005" t="inlineStr">
        <is>
          <t>0                      HQ 1426000T  64          1997</t>
        </is>
      </c>
      <c r="D1005" t="inlineStr">
        <is>
          <t>Faces of feminism : an activist's reflections on the women's movement / Sheila Tobias.</t>
        </is>
      </c>
      <c r="F1005" t="inlineStr">
        <is>
          <t>No</t>
        </is>
      </c>
      <c r="G1005" t="inlineStr">
        <is>
          <t>1</t>
        </is>
      </c>
      <c r="H1005" t="inlineStr">
        <is>
          <t>No</t>
        </is>
      </c>
      <c r="I1005" t="inlineStr">
        <is>
          <t>No</t>
        </is>
      </c>
      <c r="J1005" t="inlineStr">
        <is>
          <t>0</t>
        </is>
      </c>
      <c r="K1005" t="inlineStr">
        <is>
          <t>Tobias, Sheila.</t>
        </is>
      </c>
      <c r="L1005" t="inlineStr">
        <is>
          <t>Boulder, Colo. : Westview Press, 1997.</t>
        </is>
      </c>
      <c r="M1005" t="inlineStr">
        <is>
          <t>1997</t>
        </is>
      </c>
      <c r="O1005" t="inlineStr">
        <is>
          <t>eng</t>
        </is>
      </c>
      <c r="P1005" t="inlineStr">
        <is>
          <t>cou</t>
        </is>
      </c>
      <c r="Q1005" t="inlineStr">
        <is>
          <t>Foundations of social inquiry</t>
        </is>
      </c>
      <c r="R1005" t="inlineStr">
        <is>
          <t xml:space="preserve">HQ </t>
        </is>
      </c>
      <c r="S1005" t="n">
        <v>10</v>
      </c>
      <c r="T1005" t="n">
        <v>10</v>
      </c>
      <c r="U1005" t="inlineStr">
        <is>
          <t>2005-10-16</t>
        </is>
      </c>
      <c r="V1005" t="inlineStr">
        <is>
          <t>2005-10-16</t>
        </is>
      </c>
      <c r="W1005" t="inlineStr">
        <is>
          <t>1998-08-31</t>
        </is>
      </c>
      <c r="X1005" t="inlineStr">
        <is>
          <t>1998-08-31</t>
        </is>
      </c>
      <c r="Y1005" t="n">
        <v>860</v>
      </c>
      <c r="Z1005" t="n">
        <v>749</v>
      </c>
      <c r="AA1005" t="n">
        <v>806</v>
      </c>
      <c r="AB1005" t="n">
        <v>5</v>
      </c>
      <c r="AC1005" t="n">
        <v>5</v>
      </c>
      <c r="AD1005" t="n">
        <v>31</v>
      </c>
      <c r="AE1005" t="n">
        <v>31</v>
      </c>
      <c r="AF1005" t="n">
        <v>10</v>
      </c>
      <c r="AG1005" t="n">
        <v>10</v>
      </c>
      <c r="AH1005" t="n">
        <v>7</v>
      </c>
      <c r="AI1005" t="n">
        <v>7</v>
      </c>
      <c r="AJ1005" t="n">
        <v>17</v>
      </c>
      <c r="AK1005" t="n">
        <v>17</v>
      </c>
      <c r="AL1005" t="n">
        <v>4</v>
      </c>
      <c r="AM1005" t="n">
        <v>4</v>
      </c>
      <c r="AN1005" t="n">
        <v>0</v>
      </c>
      <c r="AO1005" t="n">
        <v>0</v>
      </c>
      <c r="AP1005" t="inlineStr">
        <is>
          <t>No</t>
        </is>
      </c>
      <c r="AQ1005" t="inlineStr">
        <is>
          <t>Yes</t>
        </is>
      </c>
      <c r="AR1005">
        <f>HYPERLINK("http://catalog.hathitrust.org/Record/003135868","HathiTrust Record")</f>
        <v/>
      </c>
      <c r="AS1005">
        <f>HYPERLINK("https://creighton-primo.hosted.exlibrisgroup.com/primo-explore/search?tab=default_tab&amp;search_scope=EVERYTHING&amp;vid=01CRU&amp;lang=en_US&amp;offset=0&amp;query=any,contains,991002729029702656","Catalog Record")</f>
        <v/>
      </c>
      <c r="AT1005">
        <f>HYPERLINK("http://www.worldcat.org/oclc/35792254","WorldCat Record")</f>
        <v/>
      </c>
      <c r="AU1005" t="inlineStr">
        <is>
          <t>44084796:eng</t>
        </is>
      </c>
      <c r="AV1005" t="inlineStr">
        <is>
          <t>35792254</t>
        </is>
      </c>
      <c r="AW1005" t="inlineStr">
        <is>
          <t>991002729029702656</t>
        </is>
      </c>
      <c r="AX1005" t="inlineStr">
        <is>
          <t>991002729029702656</t>
        </is>
      </c>
      <c r="AY1005" t="inlineStr">
        <is>
          <t>2260902720002656</t>
        </is>
      </c>
      <c r="AZ1005" t="inlineStr">
        <is>
          <t>BOOK</t>
        </is>
      </c>
      <c r="BB1005" t="inlineStr">
        <is>
          <t>9780813328423</t>
        </is>
      </c>
      <c r="BC1005" t="inlineStr">
        <is>
          <t>32285004896089</t>
        </is>
      </c>
      <c r="BD1005" t="inlineStr">
        <is>
          <t>893245558</t>
        </is>
      </c>
    </row>
    <row r="1006">
      <c r="A1006" t="inlineStr">
        <is>
          <t>No</t>
        </is>
      </c>
      <c r="B1006" t="inlineStr">
        <is>
          <t>HQ1426 .W35 1988</t>
        </is>
      </c>
      <c r="C1006" t="inlineStr">
        <is>
          <t>0                      HQ 1426000W  35          1988</t>
        </is>
      </c>
      <c r="D1006" t="inlineStr">
        <is>
          <t>On the move : American women in the 1970s / Winifred D. Wandersee.</t>
        </is>
      </c>
      <c r="F1006" t="inlineStr">
        <is>
          <t>No</t>
        </is>
      </c>
      <c r="G1006" t="inlineStr">
        <is>
          <t>1</t>
        </is>
      </c>
      <c r="H1006" t="inlineStr">
        <is>
          <t>No</t>
        </is>
      </c>
      <c r="I1006" t="inlineStr">
        <is>
          <t>No</t>
        </is>
      </c>
      <c r="J1006" t="inlineStr">
        <is>
          <t>0</t>
        </is>
      </c>
      <c r="K1006" t="inlineStr">
        <is>
          <t>Wandersee, Winifred D.</t>
        </is>
      </c>
      <c r="L1006" t="inlineStr">
        <is>
          <t>Boston : Twayne Publishers, c1988.</t>
        </is>
      </c>
      <c r="M1006" t="inlineStr">
        <is>
          <t>1988</t>
        </is>
      </c>
      <c r="O1006" t="inlineStr">
        <is>
          <t>eng</t>
        </is>
      </c>
      <c r="P1006" t="inlineStr">
        <is>
          <t>mau</t>
        </is>
      </c>
      <c r="Q1006" t="inlineStr">
        <is>
          <t>American women in the twentieth century</t>
        </is>
      </c>
      <c r="R1006" t="inlineStr">
        <is>
          <t xml:space="preserve">HQ </t>
        </is>
      </c>
      <c r="S1006" t="n">
        <v>1</v>
      </c>
      <c r="T1006" t="n">
        <v>1</v>
      </c>
      <c r="U1006" t="inlineStr">
        <is>
          <t>1993-11-16</t>
        </is>
      </c>
      <c r="V1006" t="inlineStr">
        <is>
          <t>1993-11-16</t>
        </is>
      </c>
      <c r="W1006" t="inlineStr">
        <is>
          <t>1993-04-28</t>
        </is>
      </c>
      <c r="X1006" t="inlineStr">
        <is>
          <t>1993-04-28</t>
        </is>
      </c>
      <c r="Y1006" t="n">
        <v>1137</v>
      </c>
      <c r="Z1006" t="n">
        <v>1057</v>
      </c>
      <c r="AA1006" t="n">
        <v>1066</v>
      </c>
      <c r="AB1006" t="n">
        <v>7</v>
      </c>
      <c r="AC1006" t="n">
        <v>7</v>
      </c>
      <c r="AD1006" t="n">
        <v>41</v>
      </c>
      <c r="AE1006" t="n">
        <v>41</v>
      </c>
      <c r="AF1006" t="n">
        <v>17</v>
      </c>
      <c r="AG1006" t="n">
        <v>17</v>
      </c>
      <c r="AH1006" t="n">
        <v>8</v>
      </c>
      <c r="AI1006" t="n">
        <v>8</v>
      </c>
      <c r="AJ1006" t="n">
        <v>19</v>
      </c>
      <c r="AK1006" t="n">
        <v>19</v>
      </c>
      <c r="AL1006" t="n">
        <v>6</v>
      </c>
      <c r="AM1006" t="n">
        <v>6</v>
      </c>
      <c r="AN1006" t="n">
        <v>1</v>
      </c>
      <c r="AO1006" t="n">
        <v>1</v>
      </c>
      <c r="AP1006" t="inlineStr">
        <is>
          <t>No</t>
        </is>
      </c>
      <c r="AQ1006" t="inlineStr">
        <is>
          <t>Yes</t>
        </is>
      </c>
      <c r="AR1006">
        <f>HYPERLINK("http://catalog.hathitrust.org/Record/000908268","HathiTrust Record")</f>
        <v/>
      </c>
      <c r="AS1006">
        <f>HYPERLINK("https://creighton-primo.hosted.exlibrisgroup.com/primo-explore/search?tab=default_tab&amp;search_scope=EVERYTHING&amp;vid=01CRU&amp;lang=en_US&amp;offset=0&amp;query=any,contains,991001161569702656","Catalog Record")</f>
        <v/>
      </c>
      <c r="AT1006">
        <f>HYPERLINK("http://www.worldcat.org/oclc/16900711","WorldCat Record")</f>
        <v/>
      </c>
      <c r="AU1006" t="inlineStr">
        <is>
          <t>346145094:eng</t>
        </is>
      </c>
      <c r="AV1006" t="inlineStr">
        <is>
          <t>16900711</t>
        </is>
      </c>
      <c r="AW1006" t="inlineStr">
        <is>
          <t>991001161569702656</t>
        </is>
      </c>
      <c r="AX1006" t="inlineStr">
        <is>
          <t>991001161569702656</t>
        </is>
      </c>
      <c r="AY1006" t="inlineStr">
        <is>
          <t>2268588730002656</t>
        </is>
      </c>
      <c r="AZ1006" t="inlineStr">
        <is>
          <t>BOOK</t>
        </is>
      </c>
      <c r="BB1006" t="inlineStr">
        <is>
          <t>9780805799101</t>
        </is>
      </c>
      <c r="BC1006" t="inlineStr">
        <is>
          <t>32285001630093</t>
        </is>
      </c>
      <c r="BD1006" t="inlineStr">
        <is>
          <t>893444601</t>
        </is>
      </c>
    </row>
    <row r="1007">
      <c r="A1007" t="inlineStr">
        <is>
          <t>No</t>
        </is>
      </c>
      <c r="B1007" t="inlineStr">
        <is>
          <t>HQ1426 .W423</t>
        </is>
      </c>
      <c r="C1007" t="inlineStr">
        <is>
          <t>0                      HQ 1426000W  423</t>
        </is>
      </c>
      <c r="D1007" t="inlineStr">
        <is>
          <t>Mirror, mirror : images of women reflected in popular culture / Kathryn Weibel.</t>
        </is>
      </c>
      <c r="F1007" t="inlineStr">
        <is>
          <t>No</t>
        </is>
      </c>
      <c r="G1007" t="inlineStr">
        <is>
          <t>1</t>
        </is>
      </c>
      <c r="H1007" t="inlineStr">
        <is>
          <t>No</t>
        </is>
      </c>
      <c r="I1007" t="inlineStr">
        <is>
          <t>No</t>
        </is>
      </c>
      <c r="J1007" t="inlineStr">
        <is>
          <t>0</t>
        </is>
      </c>
      <c r="K1007" t="inlineStr">
        <is>
          <t>Weibel, Kathryn.</t>
        </is>
      </c>
      <c r="L1007" t="inlineStr">
        <is>
          <t>Garden City, N.Y. : Anchor Books, 1977.</t>
        </is>
      </c>
      <c r="M1007" t="inlineStr">
        <is>
          <t>1977</t>
        </is>
      </c>
      <c r="O1007" t="inlineStr">
        <is>
          <t>eng</t>
        </is>
      </c>
      <c r="P1007" t="inlineStr">
        <is>
          <t>nyu</t>
        </is>
      </c>
      <c r="R1007" t="inlineStr">
        <is>
          <t xml:space="preserve">HQ </t>
        </is>
      </c>
      <c r="S1007" t="n">
        <v>2</v>
      </c>
      <c r="T1007" t="n">
        <v>2</v>
      </c>
      <c r="U1007" t="inlineStr">
        <is>
          <t>2005-01-17</t>
        </is>
      </c>
      <c r="V1007" t="inlineStr">
        <is>
          <t>2005-01-17</t>
        </is>
      </c>
      <c r="W1007" t="inlineStr">
        <is>
          <t>1997-08-15</t>
        </is>
      </c>
      <c r="X1007" t="inlineStr">
        <is>
          <t>1997-08-15</t>
        </is>
      </c>
      <c r="Y1007" t="n">
        <v>659</v>
      </c>
      <c r="Z1007" t="n">
        <v>601</v>
      </c>
      <c r="AA1007" t="n">
        <v>633</v>
      </c>
      <c r="AB1007" t="n">
        <v>4</v>
      </c>
      <c r="AC1007" t="n">
        <v>4</v>
      </c>
      <c r="AD1007" t="n">
        <v>26</v>
      </c>
      <c r="AE1007" t="n">
        <v>27</v>
      </c>
      <c r="AF1007" t="n">
        <v>13</v>
      </c>
      <c r="AG1007" t="n">
        <v>14</v>
      </c>
      <c r="AH1007" t="n">
        <v>7</v>
      </c>
      <c r="AI1007" t="n">
        <v>7</v>
      </c>
      <c r="AJ1007" t="n">
        <v>9</v>
      </c>
      <c r="AK1007" t="n">
        <v>10</v>
      </c>
      <c r="AL1007" t="n">
        <v>2</v>
      </c>
      <c r="AM1007" t="n">
        <v>2</v>
      </c>
      <c r="AN1007" t="n">
        <v>0</v>
      </c>
      <c r="AO1007" t="n">
        <v>0</v>
      </c>
      <c r="AP1007" t="inlineStr">
        <is>
          <t>No</t>
        </is>
      </c>
      <c r="AQ1007" t="inlineStr">
        <is>
          <t>Yes</t>
        </is>
      </c>
      <c r="AR1007">
        <f>HYPERLINK("http://catalog.hathitrust.org/Record/004399621","HathiTrust Record")</f>
        <v/>
      </c>
      <c r="AS1007">
        <f>HYPERLINK("https://creighton-primo.hosted.exlibrisgroup.com/primo-explore/search?tab=default_tab&amp;search_scope=EVERYTHING&amp;vid=01CRU&amp;lang=en_US&amp;offset=0&amp;query=any,contains,991004313969702656","Catalog Record")</f>
        <v/>
      </c>
      <c r="AT1007">
        <f>HYPERLINK("http://www.worldcat.org/oclc/3002712","WorldCat Record")</f>
        <v/>
      </c>
      <c r="AU1007" t="inlineStr">
        <is>
          <t>347460897:eng</t>
        </is>
      </c>
      <c r="AV1007" t="inlineStr">
        <is>
          <t>3002712</t>
        </is>
      </c>
      <c r="AW1007" t="inlineStr">
        <is>
          <t>991004313969702656</t>
        </is>
      </c>
      <c r="AX1007" t="inlineStr">
        <is>
          <t>991004313969702656</t>
        </is>
      </c>
      <c r="AY1007" t="inlineStr">
        <is>
          <t>2272175650002656</t>
        </is>
      </c>
      <c r="AZ1007" t="inlineStr">
        <is>
          <t>BOOK</t>
        </is>
      </c>
      <c r="BB1007" t="inlineStr">
        <is>
          <t>9780385111317</t>
        </is>
      </c>
      <c r="BC1007" t="inlineStr">
        <is>
          <t>32285003104568</t>
        </is>
      </c>
      <c r="BD1007" t="inlineStr">
        <is>
          <t>893241264</t>
        </is>
      </c>
    </row>
    <row r="1008">
      <c r="A1008" t="inlineStr">
        <is>
          <t>No</t>
        </is>
      </c>
      <c r="B1008" t="inlineStr">
        <is>
          <t>HQ1426 .W425</t>
        </is>
      </c>
      <c r="C1008" t="inlineStr">
        <is>
          <t>0                      HQ 1426000W  425</t>
        </is>
      </c>
      <c r="D1008" t="inlineStr">
        <is>
          <t>Dimity convictions : the American woman in the nineteenth century / Barbara Welter.</t>
        </is>
      </c>
      <c r="F1008" t="inlineStr">
        <is>
          <t>No</t>
        </is>
      </c>
      <c r="G1008" t="inlineStr">
        <is>
          <t>1</t>
        </is>
      </c>
      <c r="H1008" t="inlineStr">
        <is>
          <t>No</t>
        </is>
      </c>
      <c r="I1008" t="inlineStr">
        <is>
          <t>No</t>
        </is>
      </c>
      <c r="J1008" t="inlineStr">
        <is>
          <t>0</t>
        </is>
      </c>
      <c r="K1008" t="inlineStr">
        <is>
          <t>Welter, Barbara.</t>
        </is>
      </c>
      <c r="L1008" t="inlineStr">
        <is>
          <t>Athens : Ohio University Press, 1976.</t>
        </is>
      </c>
      <c r="M1008" t="inlineStr">
        <is>
          <t>1976</t>
        </is>
      </c>
      <c r="O1008" t="inlineStr">
        <is>
          <t>eng</t>
        </is>
      </c>
      <c r="P1008" t="inlineStr">
        <is>
          <t>ohu</t>
        </is>
      </c>
      <c r="R1008" t="inlineStr">
        <is>
          <t xml:space="preserve">HQ </t>
        </is>
      </c>
      <c r="S1008" t="n">
        <v>7</v>
      </c>
      <c r="T1008" t="n">
        <v>7</v>
      </c>
      <c r="U1008" t="inlineStr">
        <is>
          <t>2009-11-30</t>
        </is>
      </c>
      <c r="V1008" t="inlineStr">
        <is>
          <t>2009-11-30</t>
        </is>
      </c>
      <c r="W1008" t="inlineStr">
        <is>
          <t>1991-12-16</t>
        </is>
      </c>
      <c r="X1008" t="inlineStr">
        <is>
          <t>1991-12-16</t>
        </is>
      </c>
      <c r="Y1008" t="n">
        <v>895</v>
      </c>
      <c r="Z1008" t="n">
        <v>795</v>
      </c>
      <c r="AA1008" t="n">
        <v>801</v>
      </c>
      <c r="AB1008" t="n">
        <v>6</v>
      </c>
      <c r="AC1008" t="n">
        <v>6</v>
      </c>
      <c r="AD1008" t="n">
        <v>35</v>
      </c>
      <c r="AE1008" t="n">
        <v>35</v>
      </c>
      <c r="AF1008" t="n">
        <v>12</v>
      </c>
      <c r="AG1008" t="n">
        <v>12</v>
      </c>
      <c r="AH1008" t="n">
        <v>9</v>
      </c>
      <c r="AI1008" t="n">
        <v>9</v>
      </c>
      <c r="AJ1008" t="n">
        <v>19</v>
      </c>
      <c r="AK1008" t="n">
        <v>19</v>
      </c>
      <c r="AL1008" t="n">
        <v>5</v>
      </c>
      <c r="AM1008" t="n">
        <v>5</v>
      </c>
      <c r="AN1008" t="n">
        <v>0</v>
      </c>
      <c r="AO1008" t="n">
        <v>0</v>
      </c>
      <c r="AP1008" t="inlineStr">
        <is>
          <t>No</t>
        </is>
      </c>
      <c r="AQ1008" t="inlineStr">
        <is>
          <t>Yes</t>
        </is>
      </c>
      <c r="AR1008">
        <f>HYPERLINK("http://catalog.hathitrust.org/Record/000170620","HathiTrust Record")</f>
        <v/>
      </c>
      <c r="AS1008">
        <f>HYPERLINK("https://creighton-primo.hosted.exlibrisgroup.com/primo-explore/search?tab=default_tab&amp;search_scope=EVERYTHING&amp;vid=01CRU&amp;lang=en_US&amp;offset=0&amp;query=any,contains,991004212239702656","Catalog Record")</f>
        <v/>
      </c>
      <c r="AT1008">
        <f>HYPERLINK("http://www.worldcat.org/oclc/2686825","WorldCat Record")</f>
        <v/>
      </c>
      <c r="AU1008" t="inlineStr">
        <is>
          <t>890376539:eng</t>
        </is>
      </c>
      <c r="AV1008" t="inlineStr">
        <is>
          <t>2686825</t>
        </is>
      </c>
      <c r="AW1008" t="inlineStr">
        <is>
          <t>991004212239702656</t>
        </is>
      </c>
      <c r="AX1008" t="inlineStr">
        <is>
          <t>991004212239702656</t>
        </is>
      </c>
      <c r="AY1008" t="inlineStr">
        <is>
          <t>2261549120002656</t>
        </is>
      </c>
      <c r="AZ1008" t="inlineStr">
        <is>
          <t>BOOK</t>
        </is>
      </c>
      <c r="BB1008" t="inlineStr">
        <is>
          <t>9780821403525</t>
        </is>
      </c>
      <c r="BC1008" t="inlineStr">
        <is>
          <t>32285000906577</t>
        </is>
      </c>
      <c r="BD1008" t="inlineStr">
        <is>
          <t>893781975</t>
        </is>
      </c>
    </row>
    <row r="1009">
      <c r="A1009" t="inlineStr">
        <is>
          <t>No</t>
        </is>
      </c>
      <c r="B1009" t="inlineStr">
        <is>
          <t>HQ1426 .W43</t>
        </is>
      </c>
      <c r="C1009" t="inlineStr">
        <is>
          <t>0                      HQ 1426000W  43</t>
        </is>
      </c>
      <c r="D1009" t="inlineStr">
        <is>
          <t>The woman question in American history.</t>
        </is>
      </c>
      <c r="F1009" t="inlineStr">
        <is>
          <t>No</t>
        </is>
      </c>
      <c r="G1009" t="inlineStr">
        <is>
          <t>1</t>
        </is>
      </c>
      <c r="H1009" t="inlineStr">
        <is>
          <t>No</t>
        </is>
      </c>
      <c r="I1009" t="inlineStr">
        <is>
          <t>No</t>
        </is>
      </c>
      <c r="J1009" t="inlineStr">
        <is>
          <t>0</t>
        </is>
      </c>
      <c r="K1009" t="inlineStr">
        <is>
          <t>Welter, Barbara, compiler.</t>
        </is>
      </c>
      <c r="L1009" t="inlineStr">
        <is>
          <t>Hinsdale, Ill., Dryden Press [c1973]</t>
        </is>
      </c>
      <c r="M1009" t="inlineStr">
        <is>
          <t>1973</t>
        </is>
      </c>
      <c r="O1009" t="inlineStr">
        <is>
          <t>eng</t>
        </is>
      </c>
      <c r="P1009" t="inlineStr">
        <is>
          <t>ilu</t>
        </is>
      </c>
      <c r="Q1009" t="inlineStr">
        <is>
          <t>American problem studies</t>
        </is>
      </c>
      <c r="R1009" t="inlineStr">
        <is>
          <t xml:space="preserve">HQ </t>
        </is>
      </c>
      <c r="S1009" t="n">
        <v>8</v>
      </c>
      <c r="T1009" t="n">
        <v>8</v>
      </c>
      <c r="U1009" t="inlineStr">
        <is>
          <t>2003-10-12</t>
        </is>
      </c>
      <c r="V1009" t="inlineStr">
        <is>
          <t>2003-10-12</t>
        </is>
      </c>
      <c r="W1009" t="inlineStr">
        <is>
          <t>1997-08-15</t>
        </is>
      </c>
      <c r="X1009" t="inlineStr">
        <is>
          <t>1997-08-15</t>
        </is>
      </c>
      <c r="Y1009" t="n">
        <v>397</v>
      </c>
      <c r="Z1009" t="n">
        <v>344</v>
      </c>
      <c r="AA1009" t="n">
        <v>345</v>
      </c>
      <c r="AB1009" t="n">
        <v>4</v>
      </c>
      <c r="AC1009" t="n">
        <v>4</v>
      </c>
      <c r="AD1009" t="n">
        <v>18</v>
      </c>
      <c r="AE1009" t="n">
        <v>18</v>
      </c>
      <c r="AF1009" t="n">
        <v>8</v>
      </c>
      <c r="AG1009" t="n">
        <v>8</v>
      </c>
      <c r="AH1009" t="n">
        <v>3</v>
      </c>
      <c r="AI1009" t="n">
        <v>3</v>
      </c>
      <c r="AJ1009" t="n">
        <v>9</v>
      </c>
      <c r="AK1009" t="n">
        <v>9</v>
      </c>
      <c r="AL1009" t="n">
        <v>3</v>
      </c>
      <c r="AM1009" t="n">
        <v>3</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HYPERLINK("https://creighton-primo.hosted.exlibrisgroup.com/primo-explore/search?tab=default_tab&amp;search_scope=EVERYTHING&amp;vid=01CRU&amp;lang=en_US&amp;offset=0&amp;query=any,contains,991003327939702656","Catalog Record")</f>
        <v/>
      </c>
      <c r="AT1009">
        <f>HYPERLINK("http://www.worldcat.org/oclc/858211","WorldCat Record")</f>
        <v/>
      </c>
      <c r="AU1009" t="inlineStr">
        <is>
          <t>1812493:eng</t>
        </is>
      </c>
      <c r="AV1009" t="inlineStr">
        <is>
          <t>858211</t>
        </is>
      </c>
      <c r="AW1009" t="inlineStr">
        <is>
          <t>991003327939702656</t>
        </is>
      </c>
      <c r="AX1009" t="inlineStr">
        <is>
          <t>991003327939702656</t>
        </is>
      </c>
      <c r="AY1009" t="inlineStr">
        <is>
          <t>2267260500002656</t>
        </is>
      </c>
      <c r="AZ1009" t="inlineStr">
        <is>
          <t>BOOK</t>
        </is>
      </c>
      <c r="BB1009" t="inlineStr">
        <is>
          <t>9780030855115</t>
        </is>
      </c>
      <c r="BC1009" t="inlineStr">
        <is>
          <t>32285003104576</t>
        </is>
      </c>
      <c r="BD1009" t="inlineStr">
        <is>
          <t>893342462</t>
        </is>
      </c>
    </row>
    <row r="1010">
      <c r="A1010" t="inlineStr">
        <is>
          <t>No</t>
        </is>
      </c>
      <c r="B1010" t="inlineStr">
        <is>
          <t>HQ1426 .W48</t>
        </is>
      </c>
      <c r="C1010" t="inlineStr">
        <is>
          <t>0                      HQ 1426000W  48</t>
        </is>
      </c>
      <c r="D1010" t="inlineStr">
        <is>
          <t>Women in America : the oppressed majority / Carol A. Whitehurst.</t>
        </is>
      </c>
      <c r="F1010" t="inlineStr">
        <is>
          <t>No</t>
        </is>
      </c>
      <c r="G1010" t="inlineStr">
        <is>
          <t>1</t>
        </is>
      </c>
      <c r="H1010" t="inlineStr">
        <is>
          <t>No</t>
        </is>
      </c>
      <c r="I1010" t="inlineStr">
        <is>
          <t>No</t>
        </is>
      </c>
      <c r="J1010" t="inlineStr">
        <is>
          <t>0</t>
        </is>
      </c>
      <c r="K1010" t="inlineStr">
        <is>
          <t>Whitehurst, Carol A.</t>
        </is>
      </c>
      <c r="L1010" t="inlineStr">
        <is>
          <t>Santa Monica, Calif. : Goodyear Pub. Co., c1977.</t>
        </is>
      </c>
      <c r="M1010" t="inlineStr">
        <is>
          <t>1977</t>
        </is>
      </c>
      <c r="O1010" t="inlineStr">
        <is>
          <t>eng</t>
        </is>
      </c>
      <c r="P1010" t="inlineStr">
        <is>
          <t>cau</t>
        </is>
      </c>
      <c r="Q1010" t="inlineStr">
        <is>
          <t>Goodyear series in American society</t>
        </is>
      </c>
      <c r="R1010" t="inlineStr">
        <is>
          <t xml:space="preserve">HQ </t>
        </is>
      </c>
      <c r="S1010" t="n">
        <v>4</v>
      </c>
      <c r="T1010" t="n">
        <v>4</v>
      </c>
      <c r="U1010" t="inlineStr">
        <is>
          <t>2003-10-12</t>
        </is>
      </c>
      <c r="V1010" t="inlineStr">
        <is>
          <t>2003-10-12</t>
        </is>
      </c>
      <c r="W1010" t="inlineStr">
        <is>
          <t>1992-12-23</t>
        </is>
      </c>
      <c r="X1010" t="inlineStr">
        <is>
          <t>1992-12-23</t>
        </is>
      </c>
      <c r="Y1010" t="n">
        <v>519</v>
      </c>
      <c r="Z1010" t="n">
        <v>465</v>
      </c>
      <c r="AA1010" t="n">
        <v>468</v>
      </c>
      <c r="AB1010" t="n">
        <v>3</v>
      </c>
      <c r="AC1010" t="n">
        <v>3</v>
      </c>
      <c r="AD1010" t="n">
        <v>16</v>
      </c>
      <c r="AE1010" t="n">
        <v>16</v>
      </c>
      <c r="AF1010" t="n">
        <v>5</v>
      </c>
      <c r="AG1010" t="n">
        <v>5</v>
      </c>
      <c r="AH1010" t="n">
        <v>4</v>
      </c>
      <c r="AI1010" t="n">
        <v>4</v>
      </c>
      <c r="AJ1010" t="n">
        <v>11</v>
      </c>
      <c r="AK1010" t="n">
        <v>11</v>
      </c>
      <c r="AL1010" t="n">
        <v>2</v>
      </c>
      <c r="AM1010" t="n">
        <v>2</v>
      </c>
      <c r="AN1010" t="n">
        <v>0</v>
      </c>
      <c r="AO1010" t="n">
        <v>0</v>
      </c>
      <c r="AP1010" t="inlineStr">
        <is>
          <t>No</t>
        </is>
      </c>
      <c r="AQ1010" t="inlineStr">
        <is>
          <t>Yes</t>
        </is>
      </c>
      <c r="AR1010">
        <f>HYPERLINK("http://catalog.hathitrust.org/Record/004399901","HathiTrust Record")</f>
        <v/>
      </c>
      <c r="AS1010">
        <f>HYPERLINK("https://creighton-primo.hosted.exlibrisgroup.com/primo-explore/search?tab=default_tab&amp;search_scope=EVERYTHING&amp;vid=01CRU&amp;lang=en_US&amp;offset=0&amp;query=any,contains,991004156979702656","Catalog Record")</f>
        <v/>
      </c>
      <c r="AT1010">
        <f>HYPERLINK("http://www.worldcat.org/oclc/2542306","WorldCat Record")</f>
        <v/>
      </c>
      <c r="AU1010" t="inlineStr">
        <is>
          <t>293143177:eng</t>
        </is>
      </c>
      <c r="AV1010" t="inlineStr">
        <is>
          <t>2542306</t>
        </is>
      </c>
      <c r="AW1010" t="inlineStr">
        <is>
          <t>991004156979702656</t>
        </is>
      </c>
      <c r="AX1010" t="inlineStr">
        <is>
          <t>991004156979702656</t>
        </is>
      </c>
      <c r="AY1010" t="inlineStr">
        <is>
          <t>2272005520002656</t>
        </is>
      </c>
      <c r="AZ1010" t="inlineStr">
        <is>
          <t>BOOK</t>
        </is>
      </c>
      <c r="BB1010" t="inlineStr">
        <is>
          <t>9780876209813</t>
        </is>
      </c>
      <c r="BC1010" t="inlineStr">
        <is>
          <t>32285001452985</t>
        </is>
      </c>
      <c r="BD1010" t="inlineStr">
        <is>
          <t>893500184</t>
        </is>
      </c>
    </row>
    <row r="1011">
      <c r="A1011" t="inlineStr">
        <is>
          <t>No</t>
        </is>
      </c>
      <c r="B1011" t="inlineStr">
        <is>
          <t>HQ1426 .W565 1994</t>
        </is>
      </c>
      <c r="C1011" t="inlineStr">
        <is>
          <t>0                      HQ 1426000W  565         1994</t>
        </is>
      </c>
      <c r="D1011" t="inlineStr">
        <is>
          <t>Fire with fire : the new female power and how to use it / Naomi Wolf.</t>
        </is>
      </c>
      <c r="F1011" t="inlineStr">
        <is>
          <t>No</t>
        </is>
      </c>
      <c r="G1011" t="inlineStr">
        <is>
          <t>1</t>
        </is>
      </c>
      <c r="H1011" t="inlineStr">
        <is>
          <t>No</t>
        </is>
      </c>
      <c r="I1011" t="inlineStr">
        <is>
          <t>No</t>
        </is>
      </c>
      <c r="J1011" t="inlineStr">
        <is>
          <t>0</t>
        </is>
      </c>
      <c r="K1011" t="inlineStr">
        <is>
          <t>Wolf, Naomi.</t>
        </is>
      </c>
      <c r="L1011" t="inlineStr">
        <is>
          <t>New York : Fawcett Columbine, c1994.</t>
        </is>
      </c>
      <c r="M1011" t="inlineStr">
        <is>
          <t>1994</t>
        </is>
      </c>
      <c r="N1011" t="inlineStr">
        <is>
          <t>1st Ballantine Books ed.</t>
        </is>
      </c>
      <c r="O1011" t="inlineStr">
        <is>
          <t>eng</t>
        </is>
      </c>
      <c r="P1011" t="inlineStr">
        <is>
          <t>nyu</t>
        </is>
      </c>
      <c r="R1011" t="inlineStr">
        <is>
          <t xml:space="preserve">HQ </t>
        </is>
      </c>
      <c r="S1011" t="n">
        <v>4</v>
      </c>
      <c r="T1011" t="n">
        <v>4</v>
      </c>
      <c r="U1011" t="inlineStr">
        <is>
          <t>1997-12-17</t>
        </is>
      </c>
      <c r="V1011" t="inlineStr">
        <is>
          <t>1997-12-17</t>
        </is>
      </c>
      <c r="W1011" t="inlineStr">
        <is>
          <t>1997-02-07</t>
        </is>
      </c>
      <c r="X1011" t="inlineStr">
        <is>
          <t>1997-02-07</t>
        </is>
      </c>
      <c r="Y1011" t="n">
        <v>128</v>
      </c>
      <c r="Z1011" t="n">
        <v>117</v>
      </c>
      <c r="AA1011" t="n">
        <v>119</v>
      </c>
      <c r="AB1011" t="n">
        <v>3</v>
      </c>
      <c r="AC1011" t="n">
        <v>3</v>
      </c>
      <c r="AD1011" t="n">
        <v>7</v>
      </c>
      <c r="AE1011" t="n">
        <v>7</v>
      </c>
      <c r="AF1011" t="n">
        <v>4</v>
      </c>
      <c r="AG1011" t="n">
        <v>4</v>
      </c>
      <c r="AH1011" t="n">
        <v>0</v>
      </c>
      <c r="AI1011" t="n">
        <v>0</v>
      </c>
      <c r="AJ1011" t="n">
        <v>2</v>
      </c>
      <c r="AK1011" t="n">
        <v>2</v>
      </c>
      <c r="AL1011" t="n">
        <v>2</v>
      </c>
      <c r="AM1011" t="n">
        <v>2</v>
      </c>
      <c r="AN1011" t="n">
        <v>0</v>
      </c>
      <c r="AO1011" t="n">
        <v>0</v>
      </c>
      <c r="AP1011" t="inlineStr">
        <is>
          <t>No</t>
        </is>
      </c>
      <c r="AQ1011" t="inlineStr">
        <is>
          <t>No</t>
        </is>
      </c>
      <c r="AS1011">
        <f>HYPERLINK("https://creighton-primo.hosted.exlibrisgroup.com/primo-explore/search?tab=default_tab&amp;search_scope=EVERYTHING&amp;vid=01CRU&amp;lang=en_US&amp;offset=0&amp;query=any,contains,991002406969702656","Catalog Record")</f>
        <v/>
      </c>
      <c r="AT1011">
        <f>HYPERLINK("http://www.worldcat.org/oclc/31307333","WorldCat Record")</f>
        <v/>
      </c>
      <c r="AU1011" t="inlineStr">
        <is>
          <t>3943793346:eng</t>
        </is>
      </c>
      <c r="AV1011" t="inlineStr">
        <is>
          <t>31307333</t>
        </is>
      </c>
      <c r="AW1011" t="inlineStr">
        <is>
          <t>991002406969702656</t>
        </is>
      </c>
      <c r="AX1011" t="inlineStr">
        <is>
          <t>991002406969702656</t>
        </is>
      </c>
      <c r="AY1011" t="inlineStr">
        <is>
          <t>2263621680002656</t>
        </is>
      </c>
      <c r="AZ1011" t="inlineStr">
        <is>
          <t>BOOK</t>
        </is>
      </c>
      <c r="BB1011" t="inlineStr">
        <is>
          <t>9780449909515</t>
        </is>
      </c>
      <c r="BC1011" t="inlineStr">
        <is>
          <t>32285002414851</t>
        </is>
      </c>
      <c r="BD1011" t="inlineStr">
        <is>
          <t>893773589</t>
        </is>
      </c>
    </row>
    <row r="1012">
      <c r="A1012" t="inlineStr">
        <is>
          <t>No</t>
        </is>
      </c>
      <c r="B1012" t="inlineStr">
        <is>
          <t>HQ1426 .W58 1980</t>
        </is>
      </c>
      <c r="C1012" t="inlineStr">
        <is>
          <t>0                      HQ 1426000W  58          1980</t>
        </is>
      </c>
      <c r="D1012" t="inlineStr">
        <is>
          <t>Equality and the rights of women / Elizabeth H. Wolgast.</t>
        </is>
      </c>
      <c r="F1012" t="inlineStr">
        <is>
          <t>No</t>
        </is>
      </c>
      <c r="G1012" t="inlineStr">
        <is>
          <t>1</t>
        </is>
      </c>
      <c r="H1012" t="inlineStr">
        <is>
          <t>No</t>
        </is>
      </c>
      <c r="I1012" t="inlineStr">
        <is>
          <t>No</t>
        </is>
      </c>
      <c r="J1012" t="inlineStr">
        <is>
          <t>0</t>
        </is>
      </c>
      <c r="K1012" t="inlineStr">
        <is>
          <t>Wolgast, Elizabeth Hankins, 1929-</t>
        </is>
      </c>
      <c r="L1012" t="inlineStr">
        <is>
          <t>Ithaca : Cornell University Press, c1980.</t>
        </is>
      </c>
      <c r="M1012" t="inlineStr">
        <is>
          <t>1980</t>
        </is>
      </c>
      <c r="O1012" t="inlineStr">
        <is>
          <t>eng</t>
        </is>
      </c>
      <c r="P1012" t="inlineStr">
        <is>
          <t>nyu</t>
        </is>
      </c>
      <c r="R1012" t="inlineStr">
        <is>
          <t xml:space="preserve">HQ </t>
        </is>
      </c>
      <c r="S1012" t="n">
        <v>13</v>
      </c>
      <c r="T1012" t="n">
        <v>13</v>
      </c>
      <c r="U1012" t="inlineStr">
        <is>
          <t>2000-04-09</t>
        </is>
      </c>
      <c r="V1012" t="inlineStr">
        <is>
          <t>2000-04-09</t>
        </is>
      </c>
      <c r="W1012" t="inlineStr">
        <is>
          <t>1993-04-28</t>
        </is>
      </c>
      <c r="X1012" t="inlineStr">
        <is>
          <t>1993-04-28</t>
        </is>
      </c>
      <c r="Y1012" t="n">
        <v>864</v>
      </c>
      <c r="Z1012" t="n">
        <v>729</v>
      </c>
      <c r="AA1012" t="n">
        <v>745</v>
      </c>
      <c r="AB1012" t="n">
        <v>5</v>
      </c>
      <c r="AC1012" t="n">
        <v>5</v>
      </c>
      <c r="AD1012" t="n">
        <v>50</v>
      </c>
      <c r="AE1012" t="n">
        <v>51</v>
      </c>
      <c r="AF1012" t="n">
        <v>15</v>
      </c>
      <c r="AG1012" t="n">
        <v>16</v>
      </c>
      <c r="AH1012" t="n">
        <v>8</v>
      </c>
      <c r="AI1012" t="n">
        <v>8</v>
      </c>
      <c r="AJ1012" t="n">
        <v>18</v>
      </c>
      <c r="AK1012" t="n">
        <v>18</v>
      </c>
      <c r="AL1012" t="n">
        <v>4</v>
      </c>
      <c r="AM1012" t="n">
        <v>4</v>
      </c>
      <c r="AN1012" t="n">
        <v>14</v>
      </c>
      <c r="AO1012" t="n">
        <v>14</v>
      </c>
      <c r="AP1012" t="inlineStr">
        <is>
          <t>No</t>
        </is>
      </c>
      <c r="AQ1012" t="inlineStr">
        <is>
          <t>Yes</t>
        </is>
      </c>
      <c r="AR1012">
        <f>HYPERLINK("http://catalog.hathitrust.org/Record/000705710","HathiTrust Record")</f>
        <v/>
      </c>
      <c r="AS1012">
        <f>HYPERLINK("https://creighton-primo.hosted.exlibrisgroup.com/primo-explore/search?tab=default_tab&amp;search_scope=EVERYTHING&amp;vid=01CRU&amp;lang=en_US&amp;offset=0&amp;query=any,contains,991004864599702656","Catalog Record")</f>
        <v/>
      </c>
      <c r="AT1012">
        <f>HYPERLINK("http://www.worldcat.org/oclc/5726335","WorldCat Record")</f>
        <v/>
      </c>
      <c r="AU1012" t="inlineStr">
        <is>
          <t>450451:eng</t>
        </is>
      </c>
      <c r="AV1012" t="inlineStr">
        <is>
          <t>5726335</t>
        </is>
      </c>
      <c r="AW1012" t="inlineStr">
        <is>
          <t>991004864599702656</t>
        </is>
      </c>
      <c r="AX1012" t="inlineStr">
        <is>
          <t>991004864599702656</t>
        </is>
      </c>
      <c r="AY1012" t="inlineStr">
        <is>
          <t>2263255780002656</t>
        </is>
      </c>
      <c r="AZ1012" t="inlineStr">
        <is>
          <t>BOOK</t>
        </is>
      </c>
      <c r="BB1012" t="inlineStr">
        <is>
          <t>9780801412110</t>
        </is>
      </c>
      <c r="BC1012" t="inlineStr">
        <is>
          <t>32285001630119</t>
        </is>
      </c>
      <c r="BD1012" t="inlineStr">
        <is>
          <t>893418103</t>
        </is>
      </c>
    </row>
    <row r="1013">
      <c r="A1013" t="inlineStr">
        <is>
          <t>No</t>
        </is>
      </c>
      <c r="B1013" t="inlineStr">
        <is>
          <t>HQ1426 .W62 1989</t>
        </is>
      </c>
      <c r="C1013" t="inlineStr">
        <is>
          <t>0                      HQ 1426000W  62          1989</t>
        </is>
      </c>
      <c r="D1013" t="inlineStr">
        <is>
          <t>Women : a feminist perspective / edited by Jo Freeman.</t>
        </is>
      </c>
      <c r="F1013" t="inlineStr">
        <is>
          <t>No</t>
        </is>
      </c>
      <c r="G1013" t="inlineStr">
        <is>
          <t>1</t>
        </is>
      </c>
      <c r="H1013" t="inlineStr">
        <is>
          <t>No</t>
        </is>
      </c>
      <c r="I1013" t="inlineStr">
        <is>
          <t>No</t>
        </is>
      </c>
      <c r="J1013" t="inlineStr">
        <is>
          <t>0</t>
        </is>
      </c>
      <c r="L1013" t="inlineStr">
        <is>
          <t>Mountain View, Calif. : Mayfield Pub. Co., c1989.</t>
        </is>
      </c>
      <c r="M1013" t="inlineStr">
        <is>
          <t>1989</t>
        </is>
      </c>
      <c r="N1013" t="inlineStr">
        <is>
          <t>4th ed.</t>
        </is>
      </c>
      <c r="O1013" t="inlineStr">
        <is>
          <t>eng</t>
        </is>
      </c>
      <c r="P1013" t="inlineStr">
        <is>
          <t>cau</t>
        </is>
      </c>
      <c r="R1013" t="inlineStr">
        <is>
          <t xml:space="preserve">HQ </t>
        </is>
      </c>
      <c r="S1013" t="n">
        <v>8</v>
      </c>
      <c r="T1013" t="n">
        <v>8</v>
      </c>
      <c r="U1013" t="inlineStr">
        <is>
          <t>2000-08-27</t>
        </is>
      </c>
      <c r="V1013" t="inlineStr">
        <is>
          <t>2000-08-27</t>
        </is>
      </c>
      <c r="W1013" t="inlineStr">
        <is>
          <t>1994-10-06</t>
        </is>
      </c>
      <c r="X1013" t="inlineStr">
        <is>
          <t>1994-10-06</t>
        </is>
      </c>
      <c r="Y1013" t="n">
        <v>350</v>
      </c>
      <c r="Z1013" t="n">
        <v>266</v>
      </c>
      <c r="AA1013" t="n">
        <v>1127</v>
      </c>
      <c r="AB1013" t="n">
        <v>1</v>
      </c>
      <c r="AC1013" t="n">
        <v>8</v>
      </c>
      <c r="AD1013" t="n">
        <v>9</v>
      </c>
      <c r="AE1013" t="n">
        <v>45</v>
      </c>
      <c r="AF1013" t="n">
        <v>7</v>
      </c>
      <c r="AG1013" t="n">
        <v>21</v>
      </c>
      <c r="AH1013" t="n">
        <v>2</v>
      </c>
      <c r="AI1013" t="n">
        <v>9</v>
      </c>
      <c r="AJ1013" t="n">
        <v>4</v>
      </c>
      <c r="AK1013" t="n">
        <v>21</v>
      </c>
      <c r="AL1013" t="n">
        <v>0</v>
      </c>
      <c r="AM1013" t="n">
        <v>6</v>
      </c>
      <c r="AN1013" t="n">
        <v>0</v>
      </c>
      <c r="AO1013" t="n">
        <v>0</v>
      </c>
      <c r="AP1013" t="inlineStr">
        <is>
          <t>No</t>
        </is>
      </c>
      <c r="AQ1013" t="inlineStr">
        <is>
          <t>Yes</t>
        </is>
      </c>
      <c r="AR1013">
        <f>HYPERLINK("http://catalog.hathitrust.org/Record/002973921","HathiTrust Record")</f>
        <v/>
      </c>
      <c r="AS1013">
        <f>HYPERLINK("https://creighton-primo.hosted.exlibrisgroup.com/primo-explore/search?tab=default_tab&amp;search_scope=EVERYTHING&amp;vid=01CRU&amp;lang=en_US&amp;offset=0&amp;query=any,contains,991001412109702656","Catalog Record")</f>
        <v/>
      </c>
      <c r="AT1013">
        <f>HYPERLINK("http://www.worldcat.org/oclc/18908434","WorldCat Record")</f>
        <v/>
      </c>
      <c r="AU1013" t="inlineStr">
        <is>
          <t>54034051:eng</t>
        </is>
      </c>
      <c r="AV1013" t="inlineStr">
        <is>
          <t>18908434</t>
        </is>
      </c>
      <c r="AW1013" t="inlineStr">
        <is>
          <t>991001412109702656</t>
        </is>
      </c>
      <c r="AX1013" t="inlineStr">
        <is>
          <t>991001412109702656</t>
        </is>
      </c>
      <c r="AY1013" t="inlineStr">
        <is>
          <t>2255605920002656</t>
        </is>
      </c>
      <c r="AZ1013" t="inlineStr">
        <is>
          <t>BOOK</t>
        </is>
      </c>
      <c r="BB1013" t="inlineStr">
        <is>
          <t>9780874848014</t>
        </is>
      </c>
      <c r="BC1013" t="inlineStr">
        <is>
          <t>32285001949147</t>
        </is>
      </c>
      <c r="BD1013" t="inlineStr">
        <is>
          <t>893885289</t>
        </is>
      </c>
    </row>
    <row r="1014">
      <c r="A1014" t="inlineStr">
        <is>
          <t>No</t>
        </is>
      </c>
      <c r="B1014" t="inlineStr">
        <is>
          <t>HQ1426 .W645 1988</t>
        </is>
      </c>
      <c r="C1014" t="inlineStr">
        <is>
          <t>0                      HQ 1426000W  645         1988</t>
        </is>
      </c>
      <c r="D1014" t="inlineStr">
        <is>
          <t>Women, power, and policy : toward the year 2000 / edited by Ellen Boneparth, Emily Stoper.</t>
        </is>
      </c>
      <c r="F1014" t="inlineStr">
        <is>
          <t>No</t>
        </is>
      </c>
      <c r="G1014" t="inlineStr">
        <is>
          <t>1</t>
        </is>
      </c>
      <c r="H1014" t="inlineStr">
        <is>
          <t>No</t>
        </is>
      </c>
      <c r="I1014" t="inlineStr">
        <is>
          <t>No</t>
        </is>
      </c>
      <c r="J1014" t="inlineStr">
        <is>
          <t>0</t>
        </is>
      </c>
      <c r="L1014" t="inlineStr">
        <is>
          <t>New York : Pergamon Press, 1988.</t>
        </is>
      </c>
      <c r="M1014" t="inlineStr">
        <is>
          <t>1988</t>
        </is>
      </c>
      <c r="N1014" t="inlineStr">
        <is>
          <t>2nd ed.</t>
        </is>
      </c>
      <c r="O1014" t="inlineStr">
        <is>
          <t>eng</t>
        </is>
      </c>
      <c r="P1014" t="inlineStr">
        <is>
          <t>nyu</t>
        </is>
      </c>
      <c r="R1014" t="inlineStr">
        <is>
          <t xml:space="preserve">HQ </t>
        </is>
      </c>
      <c r="S1014" t="n">
        <v>7</v>
      </c>
      <c r="T1014" t="n">
        <v>7</v>
      </c>
      <c r="U1014" t="inlineStr">
        <is>
          <t>1997-11-20</t>
        </is>
      </c>
      <c r="V1014" t="inlineStr">
        <is>
          <t>1997-11-20</t>
        </is>
      </c>
      <c r="W1014" t="inlineStr">
        <is>
          <t>1990-02-06</t>
        </is>
      </c>
      <c r="X1014" t="inlineStr">
        <is>
          <t>1990-02-06</t>
        </is>
      </c>
      <c r="Y1014" t="n">
        <v>423</v>
      </c>
      <c r="Z1014" t="n">
        <v>335</v>
      </c>
      <c r="AA1014" t="n">
        <v>636</v>
      </c>
      <c r="AB1014" t="n">
        <v>3</v>
      </c>
      <c r="AC1014" t="n">
        <v>6</v>
      </c>
      <c r="AD1014" t="n">
        <v>19</v>
      </c>
      <c r="AE1014" t="n">
        <v>32</v>
      </c>
      <c r="AF1014" t="n">
        <v>5</v>
      </c>
      <c r="AG1014" t="n">
        <v>11</v>
      </c>
      <c r="AH1014" t="n">
        <v>4</v>
      </c>
      <c r="AI1014" t="n">
        <v>7</v>
      </c>
      <c r="AJ1014" t="n">
        <v>14</v>
      </c>
      <c r="AK1014" t="n">
        <v>18</v>
      </c>
      <c r="AL1014" t="n">
        <v>2</v>
      </c>
      <c r="AM1014" t="n">
        <v>5</v>
      </c>
      <c r="AN1014" t="n">
        <v>1</v>
      </c>
      <c r="AO1014" t="n">
        <v>1</v>
      </c>
      <c r="AP1014" t="inlineStr">
        <is>
          <t>No</t>
        </is>
      </c>
      <c r="AQ1014" t="inlineStr">
        <is>
          <t>Yes</t>
        </is>
      </c>
      <c r="AR1014">
        <f>HYPERLINK("http://catalog.hathitrust.org/Record/000914325","HathiTrust Record")</f>
        <v/>
      </c>
      <c r="AS1014">
        <f>HYPERLINK("https://creighton-primo.hosted.exlibrisgroup.com/primo-explore/search?tab=default_tab&amp;search_scope=EVERYTHING&amp;vid=01CRU&amp;lang=en_US&amp;offset=0&amp;query=any,contains,991001084859702656","Catalog Record")</f>
        <v/>
      </c>
      <c r="AT1014">
        <f>HYPERLINK("http://www.worldcat.org/oclc/16095128","WorldCat Record")</f>
        <v/>
      </c>
      <c r="AU1014" t="inlineStr">
        <is>
          <t>509653923:eng</t>
        </is>
      </c>
      <c r="AV1014" t="inlineStr">
        <is>
          <t>16095128</t>
        </is>
      </c>
      <c r="AW1014" t="inlineStr">
        <is>
          <t>991001084859702656</t>
        </is>
      </c>
      <c r="AX1014" t="inlineStr">
        <is>
          <t>991001084859702656</t>
        </is>
      </c>
      <c r="AY1014" t="inlineStr">
        <is>
          <t>2260324990002656</t>
        </is>
      </c>
      <c r="AZ1014" t="inlineStr">
        <is>
          <t>BOOK</t>
        </is>
      </c>
      <c r="BB1014" t="inlineStr">
        <is>
          <t>9780080344850</t>
        </is>
      </c>
      <c r="BC1014" t="inlineStr">
        <is>
          <t>32285000033091</t>
        </is>
      </c>
      <c r="BD1014" t="inlineStr">
        <is>
          <t>893778544</t>
        </is>
      </c>
    </row>
    <row r="1015">
      <c r="A1015" t="inlineStr">
        <is>
          <t>No</t>
        </is>
      </c>
      <c r="B1015" t="inlineStr">
        <is>
          <t>HQ1426 .W65 1973</t>
        </is>
      </c>
      <c r="C1015" t="inlineStr">
        <is>
          <t>0                      HQ 1426000W  65          1973</t>
        </is>
      </c>
      <c r="D1015" t="inlineStr">
        <is>
          <t>Women: their changing roles. Elizabeth Janeway, advisory editor.</t>
        </is>
      </c>
      <c r="F1015" t="inlineStr">
        <is>
          <t>No</t>
        </is>
      </c>
      <c r="G1015" t="inlineStr">
        <is>
          <t>1</t>
        </is>
      </c>
      <c r="H1015" t="inlineStr">
        <is>
          <t>No</t>
        </is>
      </c>
      <c r="I1015" t="inlineStr">
        <is>
          <t>No</t>
        </is>
      </c>
      <c r="J1015" t="inlineStr">
        <is>
          <t>0</t>
        </is>
      </c>
      <c r="L1015" t="inlineStr">
        <is>
          <t>New York, New York times, 1973.</t>
        </is>
      </c>
      <c r="M1015" t="inlineStr">
        <is>
          <t>1973</t>
        </is>
      </c>
      <c r="O1015" t="inlineStr">
        <is>
          <t>eng</t>
        </is>
      </c>
      <c r="P1015" t="inlineStr">
        <is>
          <t>nyu</t>
        </is>
      </c>
      <c r="Q1015" t="inlineStr">
        <is>
          <t>The Great contemporary issues</t>
        </is>
      </c>
      <c r="R1015" t="inlineStr">
        <is>
          <t xml:space="preserve">HQ </t>
        </is>
      </c>
      <c r="S1015" t="n">
        <v>5</v>
      </c>
      <c r="T1015" t="n">
        <v>5</v>
      </c>
      <c r="U1015" t="inlineStr">
        <is>
          <t>2005-11-10</t>
        </is>
      </c>
      <c r="V1015" t="inlineStr">
        <is>
          <t>2005-11-10</t>
        </is>
      </c>
      <c r="W1015" t="inlineStr">
        <is>
          <t>1991-09-26</t>
        </is>
      </c>
      <c r="X1015" t="inlineStr">
        <is>
          <t>1991-09-26</t>
        </is>
      </c>
      <c r="Y1015" t="n">
        <v>708</v>
      </c>
      <c r="Z1015" t="n">
        <v>651</v>
      </c>
      <c r="AA1015" t="n">
        <v>903</v>
      </c>
      <c r="AB1015" t="n">
        <v>2</v>
      </c>
      <c r="AC1015" t="n">
        <v>4</v>
      </c>
      <c r="AD1015" t="n">
        <v>21</v>
      </c>
      <c r="AE1015" t="n">
        <v>28</v>
      </c>
      <c r="AF1015" t="n">
        <v>10</v>
      </c>
      <c r="AG1015" t="n">
        <v>13</v>
      </c>
      <c r="AH1015" t="n">
        <v>3</v>
      </c>
      <c r="AI1015" t="n">
        <v>4</v>
      </c>
      <c r="AJ1015" t="n">
        <v>9</v>
      </c>
      <c r="AK1015" t="n">
        <v>12</v>
      </c>
      <c r="AL1015" t="n">
        <v>1</v>
      </c>
      <c r="AM1015" t="n">
        <v>3</v>
      </c>
      <c r="AN1015" t="n">
        <v>1</v>
      </c>
      <c r="AO1015" t="n">
        <v>1</v>
      </c>
      <c r="AP1015" t="inlineStr">
        <is>
          <t>No</t>
        </is>
      </c>
      <c r="AQ1015" t="inlineStr">
        <is>
          <t>Yes</t>
        </is>
      </c>
      <c r="AR1015">
        <f>HYPERLINK("http://catalog.hathitrust.org/Record/007115893","HathiTrust Record")</f>
        <v/>
      </c>
      <c r="AS1015">
        <f>HYPERLINK("https://creighton-primo.hosted.exlibrisgroup.com/primo-explore/search?tab=default_tab&amp;search_scope=EVERYTHING&amp;vid=01CRU&amp;lang=en_US&amp;offset=0&amp;query=any,contains,991003024219702656","Catalog Record")</f>
        <v/>
      </c>
      <c r="AT1015">
        <f>HYPERLINK("http://www.worldcat.org/oclc/588897","WorldCat Record")</f>
        <v/>
      </c>
      <c r="AU1015" t="inlineStr">
        <is>
          <t>53988609:eng</t>
        </is>
      </c>
      <c r="AV1015" t="inlineStr">
        <is>
          <t>588897</t>
        </is>
      </c>
      <c r="AW1015" t="inlineStr">
        <is>
          <t>991003024219702656</t>
        </is>
      </c>
      <c r="AX1015" t="inlineStr">
        <is>
          <t>991003024219702656</t>
        </is>
      </c>
      <c r="AY1015" t="inlineStr">
        <is>
          <t>2270147020002656</t>
        </is>
      </c>
      <c r="AZ1015" t="inlineStr">
        <is>
          <t>BOOK</t>
        </is>
      </c>
      <c r="BB1015" t="inlineStr">
        <is>
          <t>9780405041648</t>
        </is>
      </c>
      <c r="BC1015" t="inlineStr">
        <is>
          <t>32285000716307</t>
        </is>
      </c>
      <c r="BD1015" t="inlineStr">
        <is>
          <t>893692305</t>
        </is>
      </c>
    </row>
    <row r="1016">
      <c r="A1016" t="inlineStr">
        <is>
          <t>No</t>
        </is>
      </c>
      <c r="B1016" t="inlineStr">
        <is>
          <t>HQ1426 .W665 1981</t>
        </is>
      </c>
      <c r="C1016" t="inlineStr">
        <is>
          <t>0                      HQ 1426000W  665         1981</t>
        </is>
      </c>
      <c r="D1016" t="inlineStr">
        <is>
          <t>The Women's movement, agenda for the '80s : timely reports to keep journalists, scholars, and the public abreast of developing issues, events, and trends.</t>
        </is>
      </c>
      <c r="F1016" t="inlineStr">
        <is>
          <t>No</t>
        </is>
      </c>
      <c r="G1016" t="inlineStr">
        <is>
          <t>1</t>
        </is>
      </c>
      <c r="H1016" t="inlineStr">
        <is>
          <t>No</t>
        </is>
      </c>
      <c r="I1016" t="inlineStr">
        <is>
          <t>No</t>
        </is>
      </c>
      <c r="J1016" t="inlineStr">
        <is>
          <t>0</t>
        </is>
      </c>
      <c r="L1016" t="inlineStr">
        <is>
          <t>Washington, D.C. : Congressional Quarterly, Inc., c1981.</t>
        </is>
      </c>
      <c r="M1016" t="inlineStr">
        <is>
          <t>1981</t>
        </is>
      </c>
      <c r="O1016" t="inlineStr">
        <is>
          <t>eng</t>
        </is>
      </c>
      <c r="P1016" t="inlineStr">
        <is>
          <t>dcu</t>
        </is>
      </c>
      <c r="R1016" t="inlineStr">
        <is>
          <t xml:space="preserve">HQ </t>
        </is>
      </c>
      <c r="S1016" t="n">
        <v>3</v>
      </c>
      <c r="T1016" t="n">
        <v>3</v>
      </c>
      <c r="U1016" t="inlineStr">
        <is>
          <t>1996-04-17</t>
        </is>
      </c>
      <c r="V1016" t="inlineStr">
        <is>
          <t>1996-04-17</t>
        </is>
      </c>
      <c r="W1016" t="inlineStr">
        <is>
          <t>1992-01-21</t>
        </is>
      </c>
      <c r="X1016" t="inlineStr">
        <is>
          <t>1992-01-21</t>
        </is>
      </c>
      <c r="Y1016" t="n">
        <v>513</v>
      </c>
      <c r="Z1016" t="n">
        <v>484</v>
      </c>
      <c r="AA1016" t="n">
        <v>491</v>
      </c>
      <c r="AB1016" t="n">
        <v>3</v>
      </c>
      <c r="AC1016" t="n">
        <v>3</v>
      </c>
      <c r="AD1016" t="n">
        <v>20</v>
      </c>
      <c r="AE1016" t="n">
        <v>20</v>
      </c>
      <c r="AF1016" t="n">
        <v>6</v>
      </c>
      <c r="AG1016" t="n">
        <v>6</v>
      </c>
      <c r="AH1016" t="n">
        <v>4</v>
      </c>
      <c r="AI1016" t="n">
        <v>4</v>
      </c>
      <c r="AJ1016" t="n">
        <v>9</v>
      </c>
      <c r="AK1016" t="n">
        <v>9</v>
      </c>
      <c r="AL1016" t="n">
        <v>2</v>
      </c>
      <c r="AM1016" t="n">
        <v>2</v>
      </c>
      <c r="AN1016" t="n">
        <v>3</v>
      </c>
      <c r="AO1016" t="n">
        <v>3</v>
      </c>
      <c r="AP1016" t="inlineStr">
        <is>
          <t>No</t>
        </is>
      </c>
      <c r="AQ1016" t="inlineStr">
        <is>
          <t>Yes</t>
        </is>
      </c>
      <c r="AR1016">
        <f>HYPERLINK("http://catalog.hathitrust.org/Record/000104970","HathiTrust Record")</f>
        <v/>
      </c>
      <c r="AS1016">
        <f>HYPERLINK("https://creighton-primo.hosted.exlibrisgroup.com/primo-explore/search?tab=default_tab&amp;search_scope=EVERYTHING&amp;vid=01CRU&amp;lang=en_US&amp;offset=0&amp;query=any,contains,991005180359702656","Catalog Record")</f>
        <v/>
      </c>
      <c r="AT1016">
        <f>HYPERLINK("http://www.worldcat.org/oclc/7945368","WorldCat Record")</f>
        <v/>
      </c>
      <c r="AU1016" t="inlineStr">
        <is>
          <t>8939238157:eng</t>
        </is>
      </c>
      <c r="AV1016" t="inlineStr">
        <is>
          <t>7945368</t>
        </is>
      </c>
      <c r="AW1016" t="inlineStr">
        <is>
          <t>991005180359702656</t>
        </is>
      </c>
      <c r="AX1016" t="inlineStr">
        <is>
          <t>991005180359702656</t>
        </is>
      </c>
      <c r="AY1016" t="inlineStr">
        <is>
          <t>2271055050002656</t>
        </is>
      </c>
      <c r="AZ1016" t="inlineStr">
        <is>
          <t>BOOK</t>
        </is>
      </c>
      <c r="BB1016" t="inlineStr">
        <is>
          <t>9780871872234</t>
        </is>
      </c>
      <c r="BC1016" t="inlineStr">
        <is>
          <t>32285000916345</t>
        </is>
      </c>
      <c r="BD1016" t="inlineStr">
        <is>
          <t>893260684</t>
        </is>
      </c>
    </row>
    <row r="1017">
      <c r="A1017" t="inlineStr">
        <is>
          <t>No</t>
        </is>
      </c>
      <c r="B1017" t="inlineStr">
        <is>
          <t>HQ1438.A13 C58 1982</t>
        </is>
      </c>
      <c r="C1017" t="inlineStr">
        <is>
          <t>0                      HQ 1438000A  13                 C  58          1982</t>
        </is>
      </c>
      <c r="D1017" t="inlineStr">
        <is>
          <t>The plantation mistress : woman's world in the old South / Catherine Clinton.</t>
        </is>
      </c>
      <c r="F1017" t="inlineStr">
        <is>
          <t>No</t>
        </is>
      </c>
      <c r="G1017" t="inlineStr">
        <is>
          <t>1</t>
        </is>
      </c>
      <c r="H1017" t="inlineStr">
        <is>
          <t>No</t>
        </is>
      </c>
      <c r="I1017" t="inlineStr">
        <is>
          <t>No</t>
        </is>
      </c>
      <c r="J1017" t="inlineStr">
        <is>
          <t>0</t>
        </is>
      </c>
      <c r="K1017" t="inlineStr">
        <is>
          <t>Clinton, Catherine, 1952-</t>
        </is>
      </c>
      <c r="L1017" t="inlineStr">
        <is>
          <t>New York : Pantheon Books, c1982.</t>
        </is>
      </c>
      <c r="M1017" t="inlineStr">
        <is>
          <t>1982</t>
        </is>
      </c>
      <c r="N1017" t="inlineStr">
        <is>
          <t>1st ed.</t>
        </is>
      </c>
      <c r="O1017" t="inlineStr">
        <is>
          <t>eng</t>
        </is>
      </c>
      <c r="P1017" t="inlineStr">
        <is>
          <t>nyu</t>
        </is>
      </c>
      <c r="R1017" t="inlineStr">
        <is>
          <t xml:space="preserve">HQ </t>
        </is>
      </c>
      <c r="S1017" t="n">
        <v>5</v>
      </c>
      <c r="T1017" t="n">
        <v>5</v>
      </c>
      <c r="U1017" t="inlineStr">
        <is>
          <t>2009-04-26</t>
        </is>
      </c>
      <c r="V1017" t="inlineStr">
        <is>
          <t>2009-04-26</t>
        </is>
      </c>
      <c r="W1017" t="inlineStr">
        <is>
          <t>1998-08-06</t>
        </is>
      </c>
      <c r="X1017" t="inlineStr">
        <is>
          <t>1998-08-06</t>
        </is>
      </c>
      <c r="Y1017" t="n">
        <v>1612</v>
      </c>
      <c r="Z1017" t="n">
        <v>1500</v>
      </c>
      <c r="AA1017" t="n">
        <v>1540</v>
      </c>
      <c r="AB1017" t="n">
        <v>7</v>
      </c>
      <c r="AC1017" t="n">
        <v>7</v>
      </c>
      <c r="AD1017" t="n">
        <v>41</v>
      </c>
      <c r="AE1017" t="n">
        <v>41</v>
      </c>
      <c r="AF1017" t="n">
        <v>18</v>
      </c>
      <c r="AG1017" t="n">
        <v>18</v>
      </c>
      <c r="AH1017" t="n">
        <v>8</v>
      </c>
      <c r="AI1017" t="n">
        <v>8</v>
      </c>
      <c r="AJ1017" t="n">
        <v>20</v>
      </c>
      <c r="AK1017" t="n">
        <v>20</v>
      </c>
      <c r="AL1017" t="n">
        <v>4</v>
      </c>
      <c r="AM1017" t="n">
        <v>4</v>
      </c>
      <c r="AN1017" t="n">
        <v>2</v>
      </c>
      <c r="AO1017" t="n">
        <v>2</v>
      </c>
      <c r="AP1017" t="inlineStr">
        <is>
          <t>No</t>
        </is>
      </c>
      <c r="AQ1017" t="inlineStr">
        <is>
          <t>Yes</t>
        </is>
      </c>
      <c r="AR1017">
        <f>HYPERLINK("http://catalog.hathitrust.org/Record/000309661","HathiTrust Record")</f>
        <v/>
      </c>
      <c r="AS1017">
        <f>HYPERLINK("https://creighton-primo.hosted.exlibrisgroup.com/primo-explore/search?tab=default_tab&amp;search_scope=EVERYTHING&amp;vid=01CRU&amp;lang=en_US&amp;offset=0&amp;query=any,contains,991005229929702656","Catalog Record")</f>
        <v/>
      </c>
      <c r="AT1017">
        <f>HYPERLINK("http://www.worldcat.org/oclc/8306802","WorldCat Record")</f>
        <v/>
      </c>
      <c r="AU1017" t="inlineStr">
        <is>
          <t>463288:eng</t>
        </is>
      </c>
      <c r="AV1017" t="inlineStr">
        <is>
          <t>8306802</t>
        </is>
      </c>
      <c r="AW1017" t="inlineStr">
        <is>
          <t>991005229929702656</t>
        </is>
      </c>
      <c r="AX1017" t="inlineStr">
        <is>
          <t>991005229929702656</t>
        </is>
      </c>
      <c r="AY1017" t="inlineStr">
        <is>
          <t>2269241840002656</t>
        </is>
      </c>
      <c r="AZ1017" t="inlineStr">
        <is>
          <t>BOOK</t>
        </is>
      </c>
      <c r="BB1017" t="inlineStr">
        <is>
          <t>9780394516868</t>
        </is>
      </c>
      <c r="BC1017" t="inlineStr">
        <is>
          <t>32285003262135</t>
        </is>
      </c>
      <c r="BD1017" t="inlineStr">
        <is>
          <t>893418591</t>
        </is>
      </c>
    </row>
    <row r="1018">
      <c r="A1018" t="inlineStr">
        <is>
          <t>No</t>
        </is>
      </c>
      <c r="B1018" t="inlineStr">
        <is>
          <t>HQ1438.A13 I5 1991</t>
        </is>
      </c>
      <c r="C1018" t="inlineStr">
        <is>
          <t>0                      HQ 1438000A  13                 I  5           1991</t>
        </is>
      </c>
      <c r="D1018" t="inlineStr">
        <is>
          <t>In joy and in sorrow : women, family, and marriage in the Victorian South, 1830-1900 / edited by Carol Bleser.</t>
        </is>
      </c>
      <c r="F1018" t="inlineStr">
        <is>
          <t>No</t>
        </is>
      </c>
      <c r="G1018" t="inlineStr">
        <is>
          <t>1</t>
        </is>
      </c>
      <c r="H1018" t="inlineStr">
        <is>
          <t>No</t>
        </is>
      </c>
      <c r="I1018" t="inlineStr">
        <is>
          <t>No</t>
        </is>
      </c>
      <c r="J1018" t="inlineStr">
        <is>
          <t>0</t>
        </is>
      </c>
      <c r="L1018" t="inlineStr">
        <is>
          <t>New York : Oxford University Press, 1991.</t>
        </is>
      </c>
      <c r="M1018" t="inlineStr">
        <is>
          <t>1991</t>
        </is>
      </c>
      <c r="O1018" t="inlineStr">
        <is>
          <t>eng</t>
        </is>
      </c>
      <c r="P1018" t="inlineStr">
        <is>
          <t>nyu</t>
        </is>
      </c>
      <c r="R1018" t="inlineStr">
        <is>
          <t xml:space="preserve">HQ </t>
        </is>
      </c>
      <c r="S1018" t="n">
        <v>6</v>
      </c>
      <c r="T1018" t="n">
        <v>6</v>
      </c>
      <c r="U1018" t="inlineStr">
        <is>
          <t>2008-03-26</t>
        </is>
      </c>
      <c r="V1018" t="inlineStr">
        <is>
          <t>2008-03-26</t>
        </is>
      </c>
      <c r="W1018" t="inlineStr">
        <is>
          <t>1991-01-14</t>
        </is>
      </c>
      <c r="X1018" t="inlineStr">
        <is>
          <t>1991-01-14</t>
        </is>
      </c>
      <c r="Y1018" t="n">
        <v>630</v>
      </c>
      <c r="Z1018" t="n">
        <v>540</v>
      </c>
      <c r="AA1018" t="n">
        <v>594</v>
      </c>
      <c r="AB1018" t="n">
        <v>4</v>
      </c>
      <c r="AC1018" t="n">
        <v>5</v>
      </c>
      <c r="AD1018" t="n">
        <v>27</v>
      </c>
      <c r="AE1018" t="n">
        <v>28</v>
      </c>
      <c r="AF1018" t="n">
        <v>12</v>
      </c>
      <c r="AG1018" t="n">
        <v>12</v>
      </c>
      <c r="AH1018" t="n">
        <v>4</v>
      </c>
      <c r="AI1018" t="n">
        <v>4</v>
      </c>
      <c r="AJ1018" t="n">
        <v>15</v>
      </c>
      <c r="AK1018" t="n">
        <v>15</v>
      </c>
      <c r="AL1018" t="n">
        <v>3</v>
      </c>
      <c r="AM1018" t="n">
        <v>4</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HYPERLINK("https://creighton-primo.hosted.exlibrisgroup.com/primo-explore/search?tab=default_tab&amp;search_scope=EVERYTHING&amp;vid=01CRU&amp;lang=en_US&amp;offset=0&amp;query=any,contains,991001675929702656","Catalog Record")</f>
        <v/>
      </c>
      <c r="AT1018">
        <f>HYPERLINK("http://www.worldcat.org/oclc/21331085","WorldCat Record")</f>
        <v/>
      </c>
      <c r="AU1018" t="inlineStr">
        <is>
          <t>836885612:eng</t>
        </is>
      </c>
      <c r="AV1018" t="inlineStr">
        <is>
          <t>21331085</t>
        </is>
      </c>
      <c r="AW1018" t="inlineStr">
        <is>
          <t>991001675929702656</t>
        </is>
      </c>
      <c r="AX1018" t="inlineStr">
        <is>
          <t>991001675929702656</t>
        </is>
      </c>
      <c r="AY1018" t="inlineStr">
        <is>
          <t>2261639340002656</t>
        </is>
      </c>
      <c r="AZ1018" t="inlineStr">
        <is>
          <t>BOOK</t>
        </is>
      </c>
      <c r="BB1018" t="inlineStr">
        <is>
          <t>9780195060478</t>
        </is>
      </c>
      <c r="BC1018" t="inlineStr">
        <is>
          <t>32285000407998</t>
        </is>
      </c>
      <c r="BD1018" t="inlineStr">
        <is>
          <t>893503588</t>
        </is>
      </c>
    </row>
    <row r="1019">
      <c r="A1019" t="inlineStr">
        <is>
          <t>No</t>
        </is>
      </c>
      <c r="B1019" t="inlineStr">
        <is>
          <t>HQ1438.A14 H35 1982</t>
        </is>
      </c>
      <c r="C1019" t="inlineStr">
        <is>
          <t>0                      HQ 1438000A  14                 H  35          1982</t>
        </is>
      </c>
      <c r="D1019" t="inlineStr">
        <is>
          <t>Read this only to yourself : the private writings of Midwestern women, 1880-1910 / Elizabeth Hampsten.</t>
        </is>
      </c>
      <c r="F1019" t="inlineStr">
        <is>
          <t>No</t>
        </is>
      </c>
      <c r="G1019" t="inlineStr">
        <is>
          <t>1</t>
        </is>
      </c>
      <c r="H1019" t="inlineStr">
        <is>
          <t>No</t>
        </is>
      </c>
      <c r="I1019" t="inlineStr">
        <is>
          <t>No</t>
        </is>
      </c>
      <c r="J1019" t="inlineStr">
        <is>
          <t>0</t>
        </is>
      </c>
      <c r="K1019" t="inlineStr">
        <is>
          <t>Hampsten, Elizabeth, 1932-</t>
        </is>
      </c>
      <c r="L1019" t="inlineStr">
        <is>
          <t>Bloomington : Indiana University Press, c1982.</t>
        </is>
      </c>
      <c r="M1019" t="inlineStr">
        <is>
          <t>1982</t>
        </is>
      </c>
      <c r="O1019" t="inlineStr">
        <is>
          <t>eng</t>
        </is>
      </c>
      <c r="P1019" t="inlineStr">
        <is>
          <t>inu</t>
        </is>
      </c>
      <c r="R1019" t="inlineStr">
        <is>
          <t xml:space="preserve">HQ </t>
        </is>
      </c>
      <c r="S1019" t="n">
        <v>3</v>
      </c>
      <c r="T1019" t="n">
        <v>3</v>
      </c>
      <c r="U1019" t="inlineStr">
        <is>
          <t>2000-04-10</t>
        </is>
      </c>
      <c r="V1019" t="inlineStr">
        <is>
          <t>2000-04-10</t>
        </is>
      </c>
      <c r="W1019" t="inlineStr">
        <is>
          <t>1993-04-29</t>
        </is>
      </c>
      <c r="X1019" t="inlineStr">
        <is>
          <t>1993-04-29</t>
        </is>
      </c>
      <c r="Y1019" t="n">
        <v>694</v>
      </c>
      <c r="Z1019" t="n">
        <v>637</v>
      </c>
      <c r="AA1019" t="n">
        <v>653</v>
      </c>
      <c r="AB1019" t="n">
        <v>10</v>
      </c>
      <c r="AC1019" t="n">
        <v>10</v>
      </c>
      <c r="AD1019" t="n">
        <v>22</v>
      </c>
      <c r="AE1019" t="n">
        <v>22</v>
      </c>
      <c r="AF1019" t="n">
        <v>4</v>
      </c>
      <c r="AG1019" t="n">
        <v>4</v>
      </c>
      <c r="AH1019" t="n">
        <v>7</v>
      </c>
      <c r="AI1019" t="n">
        <v>7</v>
      </c>
      <c r="AJ1019" t="n">
        <v>10</v>
      </c>
      <c r="AK1019" t="n">
        <v>10</v>
      </c>
      <c r="AL1019" t="n">
        <v>6</v>
      </c>
      <c r="AM1019" t="n">
        <v>6</v>
      </c>
      <c r="AN1019" t="n">
        <v>0</v>
      </c>
      <c r="AO1019" t="n">
        <v>0</v>
      </c>
      <c r="AP1019" t="inlineStr">
        <is>
          <t>No</t>
        </is>
      </c>
      <c r="AQ1019" t="inlineStr">
        <is>
          <t>Yes</t>
        </is>
      </c>
      <c r="AR1019">
        <f>HYPERLINK("http://catalog.hathitrust.org/Record/000304101","HathiTrust Record")</f>
        <v/>
      </c>
      <c r="AS1019">
        <f>HYPERLINK("https://creighton-primo.hosted.exlibrisgroup.com/primo-explore/search?tab=default_tab&amp;search_scope=EVERYTHING&amp;vid=01CRU&amp;lang=en_US&amp;offset=0&amp;query=any,contains,991005173229702656","Catalog Record")</f>
        <v/>
      </c>
      <c r="AT1019">
        <f>HYPERLINK("http://www.worldcat.org/oclc/7876753","WorldCat Record")</f>
        <v/>
      </c>
      <c r="AU1019" t="inlineStr">
        <is>
          <t>29645140:eng</t>
        </is>
      </c>
      <c r="AV1019" t="inlineStr">
        <is>
          <t>7876753</t>
        </is>
      </c>
      <c r="AW1019" t="inlineStr">
        <is>
          <t>991005173229702656</t>
        </is>
      </c>
      <c r="AX1019" t="inlineStr">
        <is>
          <t>991005173229702656</t>
        </is>
      </c>
      <c r="AY1019" t="inlineStr">
        <is>
          <t>2268755580002656</t>
        </is>
      </c>
      <c r="AZ1019" t="inlineStr">
        <is>
          <t>BOOK</t>
        </is>
      </c>
      <c r="BB1019" t="inlineStr">
        <is>
          <t>9780253348364</t>
        </is>
      </c>
      <c r="BC1019" t="inlineStr">
        <is>
          <t>32285001630903</t>
        </is>
      </c>
      <c r="BD1019" t="inlineStr">
        <is>
          <t>893437287</t>
        </is>
      </c>
    </row>
    <row r="1020">
      <c r="A1020" t="inlineStr">
        <is>
          <t>No</t>
        </is>
      </c>
      <c r="B1020" t="inlineStr">
        <is>
          <t>HQ1438.A17 F34 1983</t>
        </is>
      </c>
      <c r="C1020" t="inlineStr">
        <is>
          <t>0                      HQ 1438000A  17                 F  34          1983</t>
        </is>
      </c>
      <c r="D1020" t="inlineStr">
        <is>
          <t>Farm women on the prairie frontier : a sourcebook for Canada and the United States / by Carol Fairbanks and Sara Brooks Sundberg ; illustrations by Ted F. Myers.</t>
        </is>
      </c>
      <c r="F1020" t="inlineStr">
        <is>
          <t>No</t>
        </is>
      </c>
      <c r="G1020" t="inlineStr">
        <is>
          <t>1</t>
        </is>
      </c>
      <c r="H1020" t="inlineStr">
        <is>
          <t>No</t>
        </is>
      </c>
      <c r="I1020" t="inlineStr">
        <is>
          <t>No</t>
        </is>
      </c>
      <c r="J1020" t="inlineStr">
        <is>
          <t>0</t>
        </is>
      </c>
      <c r="K1020" t="inlineStr">
        <is>
          <t>Fairbanks, Carol, 1935-</t>
        </is>
      </c>
      <c r="L1020" t="inlineStr">
        <is>
          <t>Metuchen, N.J. : Scarecrow Press, 1983.</t>
        </is>
      </c>
      <c r="M1020" t="inlineStr">
        <is>
          <t>1983</t>
        </is>
      </c>
      <c r="O1020" t="inlineStr">
        <is>
          <t>eng</t>
        </is>
      </c>
      <c r="P1020" t="inlineStr">
        <is>
          <t>nju</t>
        </is>
      </c>
      <c r="R1020" t="inlineStr">
        <is>
          <t xml:space="preserve">HQ </t>
        </is>
      </c>
      <c r="S1020" t="n">
        <v>10</v>
      </c>
      <c r="T1020" t="n">
        <v>10</v>
      </c>
      <c r="U1020" t="inlineStr">
        <is>
          <t>2006-04-08</t>
        </is>
      </c>
      <c r="V1020" t="inlineStr">
        <is>
          <t>2006-04-08</t>
        </is>
      </c>
      <c r="W1020" t="inlineStr">
        <is>
          <t>1993-03-30</t>
        </is>
      </c>
      <c r="X1020" t="inlineStr">
        <is>
          <t>1993-03-30</t>
        </is>
      </c>
      <c r="Y1020" t="n">
        <v>558</v>
      </c>
      <c r="Z1020" t="n">
        <v>474</v>
      </c>
      <c r="AA1020" t="n">
        <v>477</v>
      </c>
      <c r="AB1020" t="n">
        <v>8</v>
      </c>
      <c r="AC1020" t="n">
        <v>8</v>
      </c>
      <c r="AD1020" t="n">
        <v>24</v>
      </c>
      <c r="AE1020" t="n">
        <v>24</v>
      </c>
      <c r="AF1020" t="n">
        <v>9</v>
      </c>
      <c r="AG1020" t="n">
        <v>9</v>
      </c>
      <c r="AH1020" t="n">
        <v>5</v>
      </c>
      <c r="AI1020" t="n">
        <v>5</v>
      </c>
      <c r="AJ1020" t="n">
        <v>11</v>
      </c>
      <c r="AK1020" t="n">
        <v>11</v>
      </c>
      <c r="AL1020" t="n">
        <v>6</v>
      </c>
      <c r="AM1020" t="n">
        <v>6</v>
      </c>
      <c r="AN1020" t="n">
        <v>0</v>
      </c>
      <c r="AO1020" t="n">
        <v>0</v>
      </c>
      <c r="AP1020" t="inlineStr">
        <is>
          <t>No</t>
        </is>
      </c>
      <c r="AQ1020" t="inlineStr">
        <is>
          <t>Yes</t>
        </is>
      </c>
      <c r="AR1020">
        <f>HYPERLINK("http://catalog.hathitrust.org/Record/000773043","HathiTrust Record")</f>
        <v/>
      </c>
      <c r="AS1020">
        <f>HYPERLINK("https://creighton-primo.hosted.exlibrisgroup.com/primo-explore/search?tab=default_tab&amp;search_scope=EVERYTHING&amp;vid=01CRU&amp;lang=en_US&amp;offset=0&amp;query=any,contains,991000187039702656","Catalog Record")</f>
        <v/>
      </c>
      <c r="AT1020">
        <f>HYPERLINK("http://www.worldcat.org/oclc/9394273","WorldCat Record")</f>
        <v/>
      </c>
      <c r="AU1020" t="inlineStr">
        <is>
          <t>836719997:eng</t>
        </is>
      </c>
      <c r="AV1020" t="inlineStr">
        <is>
          <t>9394273</t>
        </is>
      </c>
      <c r="AW1020" t="inlineStr">
        <is>
          <t>991000187039702656</t>
        </is>
      </c>
      <c r="AX1020" t="inlineStr">
        <is>
          <t>991000187039702656</t>
        </is>
      </c>
      <c r="AY1020" t="inlineStr">
        <is>
          <t>2262931330002656</t>
        </is>
      </c>
      <c r="AZ1020" t="inlineStr">
        <is>
          <t>BOOK</t>
        </is>
      </c>
      <c r="BB1020" t="inlineStr">
        <is>
          <t>9780810816251</t>
        </is>
      </c>
      <c r="BC1020" t="inlineStr">
        <is>
          <t>32285001593473</t>
        </is>
      </c>
      <c r="BD1020" t="inlineStr">
        <is>
          <t>893314757</t>
        </is>
      </c>
    </row>
    <row r="1021">
      <c r="A1021" t="inlineStr">
        <is>
          <t>No</t>
        </is>
      </c>
      <c r="B1021" t="inlineStr">
        <is>
          <t>HQ1438.K2 S77</t>
        </is>
      </c>
      <c r="C1021" t="inlineStr">
        <is>
          <t>0                      HQ 1438000K  2                  S  77</t>
        </is>
      </c>
      <c r="D1021" t="inlineStr">
        <is>
          <t>Pioneer women : voices from the Kansas frontier / Joanna L. Stratton ; introd. by Arthur M. Schlesinger, Jr.</t>
        </is>
      </c>
      <c r="F1021" t="inlineStr">
        <is>
          <t>No</t>
        </is>
      </c>
      <c r="G1021" t="inlineStr">
        <is>
          <t>1</t>
        </is>
      </c>
      <c r="H1021" t="inlineStr">
        <is>
          <t>No</t>
        </is>
      </c>
      <c r="I1021" t="inlineStr">
        <is>
          <t>No</t>
        </is>
      </c>
      <c r="J1021" t="inlineStr">
        <is>
          <t>0</t>
        </is>
      </c>
      <c r="K1021" t="inlineStr">
        <is>
          <t>Stratton, Joanna L.</t>
        </is>
      </c>
      <c r="L1021" t="inlineStr">
        <is>
          <t>New York : Simon and Schuster, c1981.</t>
        </is>
      </c>
      <c r="M1021" t="inlineStr">
        <is>
          <t>1981</t>
        </is>
      </c>
      <c r="O1021" t="inlineStr">
        <is>
          <t>eng</t>
        </is>
      </c>
      <c r="P1021" t="inlineStr">
        <is>
          <t>nyu</t>
        </is>
      </c>
      <c r="R1021" t="inlineStr">
        <is>
          <t xml:space="preserve">HQ </t>
        </is>
      </c>
      <c r="S1021" t="n">
        <v>10</v>
      </c>
      <c r="T1021" t="n">
        <v>10</v>
      </c>
      <c r="U1021" t="inlineStr">
        <is>
          <t>2001-03-22</t>
        </is>
      </c>
      <c r="V1021" t="inlineStr">
        <is>
          <t>2001-03-22</t>
        </is>
      </c>
      <c r="W1021" t="inlineStr">
        <is>
          <t>1990-02-23</t>
        </is>
      </c>
      <c r="X1021" t="inlineStr">
        <is>
          <t>1990-02-23</t>
        </is>
      </c>
      <c r="Y1021" t="n">
        <v>2780</v>
      </c>
      <c r="Z1021" t="n">
        <v>2695</v>
      </c>
      <c r="AA1021" t="n">
        <v>3169</v>
      </c>
      <c r="AB1021" t="n">
        <v>38</v>
      </c>
      <c r="AC1021" t="n">
        <v>50</v>
      </c>
      <c r="AD1021" t="n">
        <v>45</v>
      </c>
      <c r="AE1021" t="n">
        <v>55</v>
      </c>
      <c r="AF1021" t="n">
        <v>16</v>
      </c>
      <c r="AG1021" t="n">
        <v>17</v>
      </c>
      <c r="AH1021" t="n">
        <v>9</v>
      </c>
      <c r="AI1021" t="n">
        <v>9</v>
      </c>
      <c r="AJ1021" t="n">
        <v>20</v>
      </c>
      <c r="AK1021" t="n">
        <v>23</v>
      </c>
      <c r="AL1021" t="n">
        <v>11</v>
      </c>
      <c r="AM1021" t="n">
        <v>17</v>
      </c>
      <c r="AN1021" t="n">
        <v>1</v>
      </c>
      <c r="AO1021" t="n">
        <v>1</v>
      </c>
      <c r="AP1021" t="inlineStr">
        <is>
          <t>No</t>
        </is>
      </c>
      <c r="AQ1021" t="inlineStr">
        <is>
          <t>Yes</t>
        </is>
      </c>
      <c r="AR1021">
        <f>HYPERLINK("http://catalog.hathitrust.org/Record/000736368","HathiTrust Record")</f>
        <v/>
      </c>
      <c r="AS1021">
        <f>HYPERLINK("https://creighton-primo.hosted.exlibrisgroup.com/primo-explore/search?tab=default_tab&amp;search_scope=EVERYTHING&amp;vid=01CRU&amp;lang=en_US&amp;offset=0&amp;query=any,contains,991004965439702656","Catalog Record")</f>
        <v/>
      </c>
      <c r="AT1021">
        <f>HYPERLINK("http://www.worldcat.org/oclc/6331419","WorldCat Record")</f>
        <v/>
      </c>
      <c r="AU1021" t="inlineStr">
        <is>
          <t>518739:eng</t>
        </is>
      </c>
      <c r="AV1021" t="inlineStr">
        <is>
          <t>6331419</t>
        </is>
      </c>
      <c r="AW1021" t="inlineStr">
        <is>
          <t>991004965439702656</t>
        </is>
      </c>
      <c r="AX1021" t="inlineStr">
        <is>
          <t>991004965439702656</t>
        </is>
      </c>
      <c r="AY1021" t="inlineStr">
        <is>
          <t>2272331180002656</t>
        </is>
      </c>
      <c r="AZ1021" t="inlineStr">
        <is>
          <t>BOOK</t>
        </is>
      </c>
      <c r="BB1021" t="inlineStr">
        <is>
          <t>9780671226114</t>
        </is>
      </c>
      <c r="BC1021" t="inlineStr">
        <is>
          <t>32285000049550</t>
        </is>
      </c>
      <c r="BD1021" t="inlineStr">
        <is>
          <t>893344457</t>
        </is>
      </c>
    </row>
    <row r="1022">
      <c r="A1022" t="inlineStr">
        <is>
          <t>No</t>
        </is>
      </c>
      <c r="B1022" t="inlineStr">
        <is>
          <t>HQ1438.N57 O88 1991</t>
        </is>
      </c>
      <c r="C1022" t="inlineStr">
        <is>
          <t>0                      HQ 1438000N  57                 O  88          1991</t>
        </is>
      </c>
      <c r="D1022" t="inlineStr">
        <is>
          <t>Bonds of community : the lives of farm women in nineteenth-century New York / Nancy Grey Osterud.</t>
        </is>
      </c>
      <c r="F1022" t="inlineStr">
        <is>
          <t>No</t>
        </is>
      </c>
      <c r="G1022" t="inlineStr">
        <is>
          <t>1</t>
        </is>
      </c>
      <c r="H1022" t="inlineStr">
        <is>
          <t>No</t>
        </is>
      </c>
      <c r="I1022" t="inlineStr">
        <is>
          <t>No</t>
        </is>
      </c>
      <c r="J1022" t="inlineStr">
        <is>
          <t>0</t>
        </is>
      </c>
      <c r="K1022" t="inlineStr">
        <is>
          <t>Osterud, Nancy Grey, 1948-</t>
        </is>
      </c>
      <c r="L1022" t="inlineStr">
        <is>
          <t>Ithaca : Cornell University Press, 1991.</t>
        </is>
      </c>
      <c r="M1022" t="inlineStr">
        <is>
          <t>1991</t>
        </is>
      </c>
      <c r="O1022" t="inlineStr">
        <is>
          <t>eng</t>
        </is>
      </c>
      <c r="P1022" t="inlineStr">
        <is>
          <t>nyu</t>
        </is>
      </c>
      <c r="R1022" t="inlineStr">
        <is>
          <t xml:space="preserve">HQ </t>
        </is>
      </c>
      <c r="S1022" t="n">
        <v>13</v>
      </c>
      <c r="T1022" t="n">
        <v>13</v>
      </c>
      <c r="U1022" t="inlineStr">
        <is>
          <t>2008-03-11</t>
        </is>
      </c>
      <c r="V1022" t="inlineStr">
        <is>
          <t>2008-03-11</t>
        </is>
      </c>
      <c r="W1022" t="inlineStr">
        <is>
          <t>1992-05-08</t>
        </is>
      </c>
      <c r="X1022" t="inlineStr">
        <is>
          <t>1992-05-08</t>
        </is>
      </c>
      <c r="Y1022" t="n">
        <v>554</v>
      </c>
      <c r="Z1022" t="n">
        <v>486</v>
      </c>
      <c r="AA1022" t="n">
        <v>649</v>
      </c>
      <c r="AB1022" t="n">
        <v>3</v>
      </c>
      <c r="AC1022" t="n">
        <v>3</v>
      </c>
      <c r="AD1022" t="n">
        <v>28</v>
      </c>
      <c r="AE1022" t="n">
        <v>35</v>
      </c>
      <c r="AF1022" t="n">
        <v>11</v>
      </c>
      <c r="AG1022" t="n">
        <v>16</v>
      </c>
      <c r="AH1022" t="n">
        <v>6</v>
      </c>
      <c r="AI1022" t="n">
        <v>8</v>
      </c>
      <c r="AJ1022" t="n">
        <v>15</v>
      </c>
      <c r="AK1022" t="n">
        <v>18</v>
      </c>
      <c r="AL1022" t="n">
        <v>2</v>
      </c>
      <c r="AM1022" t="n">
        <v>2</v>
      </c>
      <c r="AN1022" t="n">
        <v>1</v>
      </c>
      <c r="AO1022" t="n">
        <v>1</v>
      </c>
      <c r="AP1022" t="inlineStr">
        <is>
          <t>No</t>
        </is>
      </c>
      <c r="AQ1022" t="inlineStr">
        <is>
          <t>Yes</t>
        </is>
      </c>
      <c r="AR1022">
        <f>HYPERLINK("http://catalog.hathitrust.org/Record/002463361","HathiTrust Record")</f>
        <v/>
      </c>
      <c r="AS1022">
        <f>HYPERLINK("https://creighton-primo.hosted.exlibrisgroup.com/primo-explore/search?tab=default_tab&amp;search_scope=EVERYTHING&amp;vid=01CRU&amp;lang=en_US&amp;offset=0&amp;query=any,contains,991001740829702656","Catalog Record")</f>
        <v/>
      </c>
      <c r="AT1022">
        <f>HYPERLINK("http://www.worldcat.org/oclc/22004130","WorldCat Record")</f>
        <v/>
      </c>
      <c r="AU1022" t="inlineStr">
        <is>
          <t>433620059:eng</t>
        </is>
      </c>
      <c r="AV1022" t="inlineStr">
        <is>
          <t>22004130</t>
        </is>
      </c>
      <c r="AW1022" t="inlineStr">
        <is>
          <t>991001740829702656</t>
        </is>
      </c>
      <c r="AX1022" t="inlineStr">
        <is>
          <t>991001740829702656</t>
        </is>
      </c>
      <c r="AY1022" t="inlineStr">
        <is>
          <t>2271900080002656</t>
        </is>
      </c>
      <c r="AZ1022" t="inlineStr">
        <is>
          <t>BOOK</t>
        </is>
      </c>
      <c r="BB1022" t="inlineStr">
        <is>
          <t>9780801497988</t>
        </is>
      </c>
      <c r="BC1022" t="inlineStr">
        <is>
          <t>32285001038693</t>
        </is>
      </c>
      <c r="BD1022" t="inlineStr">
        <is>
          <t>893715673</t>
        </is>
      </c>
    </row>
    <row r="1023">
      <c r="A1023" t="inlineStr">
        <is>
          <t>No</t>
        </is>
      </c>
      <c r="B1023" t="inlineStr">
        <is>
          <t>HQ1438.W45 J43 1998</t>
        </is>
      </c>
      <c r="C1023" t="inlineStr">
        <is>
          <t>0                      HQ 1438000W  45                 J  43          1998</t>
        </is>
      </c>
      <c r="D1023" t="inlineStr">
        <is>
          <t>Frontier women : "civilizing" the West? 1840-1880 / Julie Roy Jeffrey.</t>
        </is>
      </c>
      <c r="F1023" t="inlineStr">
        <is>
          <t>No</t>
        </is>
      </c>
      <c r="G1023" t="inlineStr">
        <is>
          <t>1</t>
        </is>
      </c>
      <c r="H1023" t="inlineStr">
        <is>
          <t>No</t>
        </is>
      </c>
      <c r="I1023" t="inlineStr">
        <is>
          <t>No</t>
        </is>
      </c>
      <c r="J1023" t="inlineStr">
        <is>
          <t>0</t>
        </is>
      </c>
      <c r="K1023" t="inlineStr">
        <is>
          <t>Jeffrey, Julie Roy.</t>
        </is>
      </c>
      <c r="L1023" t="inlineStr">
        <is>
          <t>New York : Hill and Wang, 1998.</t>
        </is>
      </c>
      <c r="M1023" t="inlineStr">
        <is>
          <t>1998</t>
        </is>
      </c>
      <c r="N1023" t="inlineStr">
        <is>
          <t>Rev. ed.</t>
        </is>
      </c>
      <c r="O1023" t="inlineStr">
        <is>
          <t>eng</t>
        </is>
      </c>
      <c r="P1023" t="inlineStr">
        <is>
          <t>nyu</t>
        </is>
      </c>
      <c r="R1023" t="inlineStr">
        <is>
          <t xml:space="preserve">HQ </t>
        </is>
      </c>
      <c r="S1023" t="n">
        <v>9</v>
      </c>
      <c r="T1023" t="n">
        <v>9</v>
      </c>
      <c r="U1023" t="inlineStr">
        <is>
          <t>2006-10-30</t>
        </is>
      </c>
      <c r="V1023" t="inlineStr">
        <is>
          <t>2006-10-30</t>
        </is>
      </c>
      <c r="W1023" t="inlineStr">
        <is>
          <t>1998-03-26</t>
        </is>
      </c>
      <c r="X1023" t="inlineStr">
        <is>
          <t>1998-03-26</t>
        </is>
      </c>
      <c r="Y1023" t="n">
        <v>683</v>
      </c>
      <c r="Z1023" t="n">
        <v>627</v>
      </c>
      <c r="AA1023" t="n">
        <v>675</v>
      </c>
      <c r="AB1023" t="n">
        <v>7</v>
      </c>
      <c r="AC1023" t="n">
        <v>7</v>
      </c>
      <c r="AD1023" t="n">
        <v>13</v>
      </c>
      <c r="AE1023" t="n">
        <v>13</v>
      </c>
      <c r="AF1023" t="n">
        <v>3</v>
      </c>
      <c r="AG1023" t="n">
        <v>3</v>
      </c>
      <c r="AH1023" t="n">
        <v>3</v>
      </c>
      <c r="AI1023" t="n">
        <v>3</v>
      </c>
      <c r="AJ1023" t="n">
        <v>7</v>
      </c>
      <c r="AK1023" t="n">
        <v>7</v>
      </c>
      <c r="AL1023" t="n">
        <v>3</v>
      </c>
      <c r="AM1023" t="n">
        <v>3</v>
      </c>
      <c r="AN1023" t="n">
        <v>0</v>
      </c>
      <c r="AO1023" t="n">
        <v>0</v>
      </c>
      <c r="AP1023" t="inlineStr">
        <is>
          <t>No</t>
        </is>
      </c>
      <c r="AQ1023" t="inlineStr">
        <is>
          <t>No</t>
        </is>
      </c>
      <c r="AS1023">
        <f>HYPERLINK("https://creighton-primo.hosted.exlibrisgroup.com/primo-explore/search?tab=default_tab&amp;search_scope=EVERYTHING&amp;vid=01CRU&amp;lang=en_US&amp;offset=0&amp;query=any,contains,991002846509702656","Catalog Record")</f>
        <v/>
      </c>
      <c r="AT1023">
        <f>HYPERLINK("http://www.worldcat.org/oclc/37509907","WorldCat Record")</f>
        <v/>
      </c>
      <c r="AU1023" t="inlineStr">
        <is>
          <t>535949:eng</t>
        </is>
      </c>
      <c r="AV1023" t="inlineStr">
        <is>
          <t>37509907</t>
        </is>
      </c>
      <c r="AW1023" t="inlineStr">
        <is>
          <t>991002846509702656</t>
        </is>
      </c>
      <c r="AX1023" t="inlineStr">
        <is>
          <t>991002846509702656</t>
        </is>
      </c>
      <c r="AY1023" t="inlineStr">
        <is>
          <t>2266598380002656</t>
        </is>
      </c>
      <c r="AZ1023" t="inlineStr">
        <is>
          <t>BOOK</t>
        </is>
      </c>
      <c r="BB1023" t="inlineStr">
        <is>
          <t>9780809016013</t>
        </is>
      </c>
      <c r="BC1023" t="inlineStr">
        <is>
          <t>32285003381257</t>
        </is>
      </c>
      <c r="BD1023" t="inlineStr">
        <is>
          <t>893774104</t>
        </is>
      </c>
    </row>
    <row r="1024">
      <c r="A1024" t="inlineStr">
        <is>
          <t>No</t>
        </is>
      </c>
      <c r="B1024" t="inlineStr">
        <is>
          <t>HQ1438.W5 J46 2006</t>
        </is>
      </c>
      <c r="C1024" t="inlineStr">
        <is>
          <t>0                      HQ 1438000W  5                  J  46          2006</t>
        </is>
      </c>
      <c r="D1024" t="inlineStr">
        <is>
          <t>Calling this place home : women on the Wisconsin frontier, 1850-1925 / Joan M. Jensen.</t>
        </is>
      </c>
      <c r="F1024" t="inlineStr">
        <is>
          <t>No</t>
        </is>
      </c>
      <c r="G1024" t="inlineStr">
        <is>
          <t>1</t>
        </is>
      </c>
      <c r="H1024" t="inlineStr">
        <is>
          <t>No</t>
        </is>
      </c>
      <c r="I1024" t="inlineStr">
        <is>
          <t>No</t>
        </is>
      </c>
      <c r="J1024" t="inlineStr">
        <is>
          <t>0</t>
        </is>
      </c>
      <c r="K1024" t="inlineStr">
        <is>
          <t>Jensen, Joan M.</t>
        </is>
      </c>
      <c r="L1024" t="inlineStr">
        <is>
          <t>St. Paul : Minnesota Historical Society Press, c2006.</t>
        </is>
      </c>
      <c r="M1024" t="inlineStr">
        <is>
          <t>2006</t>
        </is>
      </c>
      <c r="O1024" t="inlineStr">
        <is>
          <t>eng</t>
        </is>
      </c>
      <c r="P1024" t="inlineStr">
        <is>
          <t>mnu</t>
        </is>
      </c>
      <c r="R1024" t="inlineStr">
        <is>
          <t xml:space="preserve">HQ </t>
        </is>
      </c>
      <c r="S1024" t="n">
        <v>2</v>
      </c>
      <c r="T1024" t="n">
        <v>2</v>
      </c>
      <c r="U1024" t="inlineStr">
        <is>
          <t>2008-04-08</t>
        </is>
      </c>
      <c r="V1024" t="inlineStr">
        <is>
          <t>2008-04-08</t>
        </is>
      </c>
      <c r="W1024" t="inlineStr">
        <is>
          <t>2008-04-08</t>
        </is>
      </c>
      <c r="X1024" t="inlineStr">
        <is>
          <t>2008-04-08</t>
        </is>
      </c>
      <c r="Y1024" t="n">
        <v>275</v>
      </c>
      <c r="Z1024" t="n">
        <v>256</v>
      </c>
      <c r="AA1024" t="n">
        <v>288</v>
      </c>
      <c r="AB1024" t="n">
        <v>1</v>
      </c>
      <c r="AC1024" t="n">
        <v>1</v>
      </c>
      <c r="AD1024" t="n">
        <v>11</v>
      </c>
      <c r="AE1024" t="n">
        <v>11</v>
      </c>
      <c r="AF1024" t="n">
        <v>5</v>
      </c>
      <c r="AG1024" t="n">
        <v>5</v>
      </c>
      <c r="AH1024" t="n">
        <v>4</v>
      </c>
      <c r="AI1024" t="n">
        <v>4</v>
      </c>
      <c r="AJ1024" t="n">
        <v>6</v>
      </c>
      <c r="AK1024" t="n">
        <v>6</v>
      </c>
      <c r="AL1024" t="n">
        <v>0</v>
      </c>
      <c r="AM1024" t="n">
        <v>0</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HYPERLINK("https://creighton-primo.hosted.exlibrisgroup.com/primo-explore/search?tab=default_tab&amp;search_scope=EVERYTHING&amp;vid=01CRU&amp;lang=en_US&amp;offset=0&amp;query=any,contains,991005200299702656","Catalog Record")</f>
        <v/>
      </c>
      <c r="AT1024">
        <f>HYPERLINK("http://www.worldcat.org/oclc/63692552","WorldCat Record")</f>
        <v/>
      </c>
      <c r="AU1024" t="inlineStr">
        <is>
          <t>896258330:eng</t>
        </is>
      </c>
      <c r="AV1024" t="inlineStr">
        <is>
          <t>63692552</t>
        </is>
      </c>
      <c r="AW1024" t="inlineStr">
        <is>
          <t>991005200299702656</t>
        </is>
      </c>
      <c r="AX1024" t="inlineStr">
        <is>
          <t>991005200299702656</t>
        </is>
      </c>
      <c r="AY1024" t="inlineStr">
        <is>
          <t>2263105990002656</t>
        </is>
      </c>
      <c r="AZ1024" t="inlineStr">
        <is>
          <t>BOOK</t>
        </is>
      </c>
      <c r="BB1024" t="inlineStr">
        <is>
          <t>9780873515634</t>
        </is>
      </c>
      <c r="BC1024" t="inlineStr">
        <is>
          <t>32285005401715</t>
        </is>
      </c>
      <c r="BD1024" t="inlineStr">
        <is>
          <t>893501491</t>
        </is>
      </c>
    </row>
    <row r="1025">
      <c r="A1025" t="inlineStr">
        <is>
          <t>No</t>
        </is>
      </c>
      <c r="B1025" t="inlineStr">
        <is>
          <t>HQ1439.C47 F53 2002</t>
        </is>
      </c>
      <c r="C1025" t="inlineStr">
        <is>
          <t>0                      HQ 1439000C  47                 F  53          2002</t>
        </is>
      </c>
      <c r="D1025" t="inlineStr">
        <is>
          <t>Seeing with their hearts : Chicago women and the vision of the good city, 1871-1933 / Maureen A. Flanagan.</t>
        </is>
      </c>
      <c r="F1025" t="inlineStr">
        <is>
          <t>No</t>
        </is>
      </c>
      <c r="G1025" t="inlineStr">
        <is>
          <t>1</t>
        </is>
      </c>
      <c r="H1025" t="inlineStr">
        <is>
          <t>No</t>
        </is>
      </c>
      <c r="I1025" t="inlineStr">
        <is>
          <t>No</t>
        </is>
      </c>
      <c r="J1025" t="inlineStr">
        <is>
          <t>0</t>
        </is>
      </c>
      <c r="K1025" t="inlineStr">
        <is>
          <t>Flanagan, Maureen A., 1948-</t>
        </is>
      </c>
      <c r="L1025" t="inlineStr">
        <is>
          <t>Princeton, N.J. : Princeton University Press, c2002.</t>
        </is>
      </c>
      <c r="M1025" t="inlineStr">
        <is>
          <t>2002</t>
        </is>
      </c>
      <c r="O1025" t="inlineStr">
        <is>
          <t>eng</t>
        </is>
      </c>
      <c r="P1025" t="inlineStr">
        <is>
          <t>nju</t>
        </is>
      </c>
      <c r="R1025" t="inlineStr">
        <is>
          <t xml:space="preserve">HQ </t>
        </is>
      </c>
      <c r="S1025" t="n">
        <v>1</v>
      </c>
      <c r="T1025" t="n">
        <v>1</v>
      </c>
      <c r="U1025" t="inlineStr">
        <is>
          <t>2003-11-13</t>
        </is>
      </c>
      <c r="V1025" t="inlineStr">
        <is>
          <t>2003-11-13</t>
        </is>
      </c>
      <c r="W1025" t="inlineStr">
        <is>
          <t>2003-11-13</t>
        </is>
      </c>
      <c r="X1025" t="inlineStr">
        <is>
          <t>2003-11-13</t>
        </is>
      </c>
      <c r="Y1025" t="n">
        <v>505</v>
      </c>
      <c r="Z1025" t="n">
        <v>450</v>
      </c>
      <c r="AA1025" t="n">
        <v>603</v>
      </c>
      <c r="AB1025" t="n">
        <v>3</v>
      </c>
      <c r="AC1025" t="n">
        <v>4</v>
      </c>
      <c r="AD1025" t="n">
        <v>27</v>
      </c>
      <c r="AE1025" t="n">
        <v>35</v>
      </c>
      <c r="AF1025" t="n">
        <v>14</v>
      </c>
      <c r="AG1025" t="n">
        <v>18</v>
      </c>
      <c r="AH1025" t="n">
        <v>8</v>
      </c>
      <c r="AI1025" t="n">
        <v>9</v>
      </c>
      <c r="AJ1025" t="n">
        <v>11</v>
      </c>
      <c r="AK1025" t="n">
        <v>16</v>
      </c>
      <c r="AL1025" t="n">
        <v>2</v>
      </c>
      <c r="AM1025" t="n">
        <v>3</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HYPERLINK("https://creighton-primo.hosted.exlibrisgroup.com/primo-explore/search?tab=default_tab&amp;search_scope=EVERYTHING&amp;vid=01CRU&amp;lang=en_US&amp;offset=0&amp;query=any,contains,991004164409702656","Catalog Record")</f>
        <v/>
      </c>
      <c r="AT1025">
        <f>HYPERLINK("http://www.worldcat.org/oclc/48501158","WorldCat Record")</f>
        <v/>
      </c>
      <c r="AU1025" t="inlineStr">
        <is>
          <t>285076327:eng</t>
        </is>
      </c>
      <c r="AV1025" t="inlineStr">
        <is>
          <t>48501158</t>
        </is>
      </c>
      <c r="AW1025" t="inlineStr">
        <is>
          <t>991004164409702656</t>
        </is>
      </c>
      <c r="AX1025" t="inlineStr">
        <is>
          <t>991004164409702656</t>
        </is>
      </c>
      <c r="AY1025" t="inlineStr">
        <is>
          <t>2269280000002656</t>
        </is>
      </c>
      <c r="AZ1025" t="inlineStr">
        <is>
          <t>BOOK</t>
        </is>
      </c>
      <c r="BB1025" t="inlineStr">
        <is>
          <t>9780691095394</t>
        </is>
      </c>
      <c r="BC1025" t="inlineStr">
        <is>
          <t>32285004797972</t>
        </is>
      </c>
      <c r="BD1025" t="inlineStr">
        <is>
          <t>893343537</t>
        </is>
      </c>
    </row>
    <row r="1026">
      <c r="A1026" t="inlineStr">
        <is>
          <t>No</t>
        </is>
      </c>
      <c r="B1026" t="inlineStr">
        <is>
          <t>HQ1439.C47 P43 1997</t>
        </is>
      </c>
      <c r="C1026" t="inlineStr">
        <is>
          <t>0                      HQ 1439000C  47                 P  43          1997</t>
        </is>
      </c>
      <c r="D1026" t="inlineStr">
        <is>
          <t>Peasant maids, city women : from the European countryside to urban America / Christiane Harzig ... [et al.] ; edited by Christiane Harzig.</t>
        </is>
      </c>
      <c r="F1026" t="inlineStr">
        <is>
          <t>No</t>
        </is>
      </c>
      <c r="G1026" t="inlineStr">
        <is>
          <t>1</t>
        </is>
      </c>
      <c r="H1026" t="inlineStr">
        <is>
          <t>No</t>
        </is>
      </c>
      <c r="I1026" t="inlineStr">
        <is>
          <t>No</t>
        </is>
      </c>
      <c r="J1026" t="inlineStr">
        <is>
          <t>0</t>
        </is>
      </c>
      <c r="L1026" t="inlineStr">
        <is>
          <t>Ithaca : Cornell University Press, c1997.</t>
        </is>
      </c>
      <c r="M1026" t="inlineStr">
        <is>
          <t>1997</t>
        </is>
      </c>
      <c r="O1026" t="inlineStr">
        <is>
          <t>eng</t>
        </is>
      </c>
      <c r="P1026" t="inlineStr">
        <is>
          <t>nyu</t>
        </is>
      </c>
      <c r="R1026" t="inlineStr">
        <is>
          <t xml:space="preserve">HQ </t>
        </is>
      </c>
      <c r="S1026" t="n">
        <v>6</v>
      </c>
      <c r="T1026" t="n">
        <v>6</v>
      </c>
      <c r="U1026" t="inlineStr">
        <is>
          <t>2004-03-09</t>
        </is>
      </c>
      <c r="V1026" t="inlineStr">
        <is>
          <t>2004-03-09</t>
        </is>
      </c>
      <c r="W1026" t="inlineStr">
        <is>
          <t>1998-10-08</t>
        </is>
      </c>
      <c r="X1026" t="inlineStr">
        <is>
          <t>1998-10-08</t>
        </is>
      </c>
      <c r="Y1026" t="n">
        <v>344</v>
      </c>
      <c r="Z1026" t="n">
        <v>281</v>
      </c>
      <c r="AA1026" t="n">
        <v>470</v>
      </c>
      <c r="AB1026" t="n">
        <v>2</v>
      </c>
      <c r="AC1026" t="n">
        <v>2</v>
      </c>
      <c r="AD1026" t="n">
        <v>16</v>
      </c>
      <c r="AE1026" t="n">
        <v>26</v>
      </c>
      <c r="AF1026" t="n">
        <v>6</v>
      </c>
      <c r="AG1026" t="n">
        <v>12</v>
      </c>
      <c r="AH1026" t="n">
        <v>5</v>
      </c>
      <c r="AI1026" t="n">
        <v>8</v>
      </c>
      <c r="AJ1026" t="n">
        <v>11</v>
      </c>
      <c r="AK1026" t="n">
        <v>15</v>
      </c>
      <c r="AL1026" t="n">
        <v>1</v>
      </c>
      <c r="AM1026" t="n">
        <v>1</v>
      </c>
      <c r="AN1026" t="n">
        <v>0</v>
      </c>
      <c r="AO1026" t="n">
        <v>0</v>
      </c>
      <c r="AP1026" t="inlineStr">
        <is>
          <t>No</t>
        </is>
      </c>
      <c r="AQ1026" t="inlineStr">
        <is>
          <t>Yes</t>
        </is>
      </c>
      <c r="AR1026">
        <f>HYPERLINK("http://catalog.hathitrust.org/Record/003182999","HathiTrust Record")</f>
        <v/>
      </c>
      <c r="AS1026">
        <f>HYPERLINK("https://creighton-primo.hosted.exlibrisgroup.com/primo-explore/search?tab=default_tab&amp;search_scope=EVERYTHING&amp;vid=01CRU&amp;lang=en_US&amp;offset=0&amp;query=any,contains,991002772219702656","Catalog Record")</f>
        <v/>
      </c>
      <c r="AT1026">
        <f>HYPERLINK("http://www.worldcat.org/oclc/36407723","WorldCat Record")</f>
        <v/>
      </c>
      <c r="AU1026" t="inlineStr">
        <is>
          <t>837072306:eng</t>
        </is>
      </c>
      <c r="AV1026" t="inlineStr">
        <is>
          <t>36407723</t>
        </is>
      </c>
      <c r="AW1026" t="inlineStr">
        <is>
          <t>991002772219702656</t>
        </is>
      </c>
      <c r="AX1026" t="inlineStr">
        <is>
          <t>991002772219702656</t>
        </is>
      </c>
      <c r="AY1026" t="inlineStr">
        <is>
          <t>2257408780002656</t>
        </is>
      </c>
      <c r="AZ1026" t="inlineStr">
        <is>
          <t>BOOK</t>
        </is>
      </c>
      <c r="BB1026" t="inlineStr">
        <is>
          <t>9780801432736</t>
        </is>
      </c>
      <c r="BC1026" t="inlineStr">
        <is>
          <t>32285003473963</t>
        </is>
      </c>
      <c r="BD1026" t="inlineStr">
        <is>
          <t>893597860</t>
        </is>
      </c>
    </row>
    <row r="1027">
      <c r="A1027" t="inlineStr">
        <is>
          <t>No</t>
        </is>
      </c>
      <c r="B1027" t="inlineStr">
        <is>
          <t>HQ1439.D39 E94 2002</t>
        </is>
      </c>
      <c r="C1027" t="inlineStr">
        <is>
          <t>0                      HQ 1439000D  39                 E  94          2002</t>
        </is>
      </c>
      <c r="D1027" t="inlineStr">
        <is>
          <t>Feminism in the heartland / Judith Ezekiel.</t>
        </is>
      </c>
      <c r="F1027" t="inlineStr">
        <is>
          <t>No</t>
        </is>
      </c>
      <c r="G1027" t="inlineStr">
        <is>
          <t>1</t>
        </is>
      </c>
      <c r="H1027" t="inlineStr">
        <is>
          <t>No</t>
        </is>
      </c>
      <c r="I1027" t="inlineStr">
        <is>
          <t>No</t>
        </is>
      </c>
      <c r="J1027" t="inlineStr">
        <is>
          <t>0</t>
        </is>
      </c>
      <c r="K1027" t="inlineStr">
        <is>
          <t>Ezekiel, Judith, 1956-</t>
        </is>
      </c>
      <c r="L1027" t="inlineStr">
        <is>
          <t>Columbus : Ohio State University Press, c2002.</t>
        </is>
      </c>
      <c r="M1027" t="inlineStr">
        <is>
          <t>2002</t>
        </is>
      </c>
      <c r="O1027" t="inlineStr">
        <is>
          <t>eng</t>
        </is>
      </c>
      <c r="P1027" t="inlineStr">
        <is>
          <t>ohu</t>
        </is>
      </c>
      <c r="R1027" t="inlineStr">
        <is>
          <t xml:space="preserve">HQ </t>
        </is>
      </c>
      <c r="S1027" t="n">
        <v>1</v>
      </c>
      <c r="T1027" t="n">
        <v>1</v>
      </c>
      <c r="U1027" t="inlineStr">
        <is>
          <t>2004-11-22</t>
        </is>
      </c>
      <c r="V1027" t="inlineStr">
        <is>
          <t>2004-11-22</t>
        </is>
      </c>
      <c r="W1027" t="inlineStr">
        <is>
          <t>2004-11-22</t>
        </is>
      </c>
      <c r="X1027" t="inlineStr">
        <is>
          <t>2004-11-22</t>
        </is>
      </c>
      <c r="Y1027" t="n">
        <v>365</v>
      </c>
      <c r="Z1027" t="n">
        <v>337</v>
      </c>
      <c r="AA1027" t="n">
        <v>339</v>
      </c>
      <c r="AB1027" t="n">
        <v>3</v>
      </c>
      <c r="AC1027" t="n">
        <v>3</v>
      </c>
      <c r="AD1027" t="n">
        <v>25</v>
      </c>
      <c r="AE1027" t="n">
        <v>25</v>
      </c>
      <c r="AF1027" t="n">
        <v>9</v>
      </c>
      <c r="AG1027" t="n">
        <v>9</v>
      </c>
      <c r="AH1027" t="n">
        <v>7</v>
      </c>
      <c r="AI1027" t="n">
        <v>7</v>
      </c>
      <c r="AJ1027" t="n">
        <v>14</v>
      </c>
      <c r="AK1027" t="n">
        <v>14</v>
      </c>
      <c r="AL1027" t="n">
        <v>2</v>
      </c>
      <c r="AM1027" t="n">
        <v>2</v>
      </c>
      <c r="AN1027" t="n">
        <v>1</v>
      </c>
      <c r="AO1027" t="n">
        <v>1</v>
      </c>
      <c r="AP1027" t="inlineStr">
        <is>
          <t>No</t>
        </is>
      </c>
      <c r="AQ1027" t="inlineStr">
        <is>
          <t>Yes</t>
        </is>
      </c>
      <c r="AR1027">
        <f>HYPERLINK("http://catalog.hathitrust.org/Record/004282230","HathiTrust Record")</f>
        <v/>
      </c>
      <c r="AS1027">
        <f>HYPERLINK("https://creighton-primo.hosted.exlibrisgroup.com/primo-explore/search?tab=default_tab&amp;search_scope=EVERYTHING&amp;vid=01CRU&amp;lang=en_US&amp;offset=0&amp;query=any,contains,991004412709702656","Catalog Record")</f>
        <v/>
      </c>
      <c r="AT1027">
        <f>HYPERLINK("http://www.worldcat.org/oclc/49566364","WorldCat Record")</f>
        <v/>
      </c>
      <c r="AU1027" t="inlineStr">
        <is>
          <t>1013550:eng</t>
        </is>
      </c>
      <c r="AV1027" t="inlineStr">
        <is>
          <t>49566364</t>
        </is>
      </c>
      <c r="AW1027" t="inlineStr">
        <is>
          <t>991004412709702656</t>
        </is>
      </c>
      <c r="AX1027" t="inlineStr">
        <is>
          <t>991004412709702656</t>
        </is>
      </c>
      <c r="AY1027" t="inlineStr">
        <is>
          <t>2259879440002656</t>
        </is>
      </c>
      <c r="AZ1027" t="inlineStr">
        <is>
          <t>BOOK</t>
        </is>
      </c>
      <c r="BB1027" t="inlineStr">
        <is>
          <t>9780814209035</t>
        </is>
      </c>
      <c r="BC1027" t="inlineStr">
        <is>
          <t>32285005012686</t>
        </is>
      </c>
      <c r="BD1027" t="inlineStr">
        <is>
          <t>893624705</t>
        </is>
      </c>
    </row>
    <row r="1028">
      <c r="A1028" t="inlineStr">
        <is>
          <t>No</t>
        </is>
      </c>
      <c r="B1028" t="inlineStr">
        <is>
          <t>HQ1439.G35 T87 1997</t>
        </is>
      </c>
      <c r="C1028" t="inlineStr">
        <is>
          <t>0                      HQ 1439000G  35                 T  87          1997</t>
        </is>
      </c>
      <c r="D1028" t="inlineStr">
        <is>
          <t>Women, culture, and community : religion and reform in Galveston, 1880-1920 / Elizabeth Hayes Turner.</t>
        </is>
      </c>
      <c r="F1028" t="inlineStr">
        <is>
          <t>No</t>
        </is>
      </c>
      <c r="G1028" t="inlineStr">
        <is>
          <t>1</t>
        </is>
      </c>
      <c r="H1028" t="inlineStr">
        <is>
          <t>No</t>
        </is>
      </c>
      <c r="I1028" t="inlineStr">
        <is>
          <t>No</t>
        </is>
      </c>
      <c r="J1028" t="inlineStr">
        <is>
          <t>0</t>
        </is>
      </c>
      <c r="K1028" t="inlineStr">
        <is>
          <t>Turner, Elizabeth Hayes.</t>
        </is>
      </c>
      <c r="L1028" t="inlineStr">
        <is>
          <t>New York : Oxford University Press, 1997.</t>
        </is>
      </c>
      <c r="M1028" t="inlineStr">
        <is>
          <t>1997</t>
        </is>
      </c>
      <c r="O1028" t="inlineStr">
        <is>
          <t>eng</t>
        </is>
      </c>
      <c r="P1028" t="inlineStr">
        <is>
          <t>nyu</t>
        </is>
      </c>
      <c r="R1028" t="inlineStr">
        <is>
          <t xml:space="preserve">HQ </t>
        </is>
      </c>
      <c r="S1028" t="n">
        <v>4</v>
      </c>
      <c r="T1028" t="n">
        <v>4</v>
      </c>
      <c r="U1028" t="inlineStr">
        <is>
          <t>1999-10-05</t>
        </is>
      </c>
      <c r="V1028" t="inlineStr">
        <is>
          <t>1999-10-05</t>
        </is>
      </c>
      <c r="W1028" t="inlineStr">
        <is>
          <t>1998-01-07</t>
        </is>
      </c>
      <c r="X1028" t="inlineStr">
        <is>
          <t>1998-01-07</t>
        </is>
      </c>
      <c r="Y1028" t="n">
        <v>357</v>
      </c>
      <c r="Z1028" t="n">
        <v>334</v>
      </c>
      <c r="AA1028" t="n">
        <v>905</v>
      </c>
      <c r="AB1028" t="n">
        <v>3</v>
      </c>
      <c r="AC1028" t="n">
        <v>4</v>
      </c>
      <c r="AD1028" t="n">
        <v>17</v>
      </c>
      <c r="AE1028" t="n">
        <v>24</v>
      </c>
      <c r="AF1028" t="n">
        <v>5</v>
      </c>
      <c r="AG1028" t="n">
        <v>9</v>
      </c>
      <c r="AH1028" t="n">
        <v>4</v>
      </c>
      <c r="AI1028" t="n">
        <v>6</v>
      </c>
      <c r="AJ1028" t="n">
        <v>11</v>
      </c>
      <c r="AK1028" t="n">
        <v>11</v>
      </c>
      <c r="AL1028" t="n">
        <v>2</v>
      </c>
      <c r="AM1028" t="n">
        <v>3</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HYPERLINK("https://creighton-primo.hosted.exlibrisgroup.com/primo-explore/search?tab=default_tab&amp;search_scope=EVERYTHING&amp;vid=01CRU&amp;lang=en_US&amp;offset=0&amp;query=any,contains,991002792799702656","Catalog Record")</f>
        <v/>
      </c>
      <c r="AT1028">
        <f>HYPERLINK("http://www.worldcat.org/oclc/36672093","WorldCat Record")</f>
        <v/>
      </c>
      <c r="AU1028" t="inlineStr">
        <is>
          <t>116908803:eng</t>
        </is>
      </c>
      <c r="AV1028" t="inlineStr">
        <is>
          <t>36672093</t>
        </is>
      </c>
      <c r="AW1028" t="inlineStr">
        <is>
          <t>991002792799702656</t>
        </is>
      </c>
      <c r="AX1028" t="inlineStr">
        <is>
          <t>991002792799702656</t>
        </is>
      </c>
      <c r="AY1028" t="inlineStr">
        <is>
          <t>2264115700002656</t>
        </is>
      </c>
      <c r="AZ1028" t="inlineStr">
        <is>
          <t>BOOK</t>
        </is>
      </c>
      <c r="BB1028" t="inlineStr">
        <is>
          <t>9780195086881</t>
        </is>
      </c>
      <c r="BC1028" t="inlineStr">
        <is>
          <t>32285003301677</t>
        </is>
      </c>
      <c r="BD1028" t="inlineStr">
        <is>
          <t>893341862</t>
        </is>
      </c>
    </row>
    <row r="1029">
      <c r="A1029" t="inlineStr">
        <is>
          <t>No</t>
        </is>
      </c>
      <c r="B1029" t="inlineStr">
        <is>
          <t>HQ1439.H4 P48 1987</t>
        </is>
      </c>
      <c r="C1029" t="inlineStr">
        <is>
          <t>0                      HQ 1439000H  4                  P  48          1987</t>
        </is>
      </c>
      <c r="D1029" t="inlineStr">
        <is>
          <t>No step backward : women and family on the Rocky Mountain mining frontier, Helena, Montana, 1865-1900 / by Paula Petrik.</t>
        </is>
      </c>
      <c r="F1029" t="inlineStr">
        <is>
          <t>No</t>
        </is>
      </c>
      <c r="G1029" t="inlineStr">
        <is>
          <t>1</t>
        </is>
      </c>
      <c r="H1029" t="inlineStr">
        <is>
          <t>No</t>
        </is>
      </c>
      <c r="I1029" t="inlineStr">
        <is>
          <t>No</t>
        </is>
      </c>
      <c r="J1029" t="inlineStr">
        <is>
          <t>0</t>
        </is>
      </c>
      <c r="K1029" t="inlineStr">
        <is>
          <t>Petrik, Paula.</t>
        </is>
      </c>
      <c r="L1029" t="inlineStr">
        <is>
          <t>Helena : Montana Historical Society Press, 1987.</t>
        </is>
      </c>
      <c r="M1029" t="inlineStr">
        <is>
          <t>1987</t>
        </is>
      </c>
      <c r="O1029" t="inlineStr">
        <is>
          <t>eng</t>
        </is>
      </c>
      <c r="P1029" t="inlineStr">
        <is>
          <t>mtu</t>
        </is>
      </c>
      <c r="R1029" t="inlineStr">
        <is>
          <t xml:space="preserve">HQ </t>
        </is>
      </c>
      <c r="S1029" t="n">
        <v>4</v>
      </c>
      <c r="T1029" t="n">
        <v>4</v>
      </c>
      <c r="U1029" t="inlineStr">
        <is>
          <t>2005-02-02</t>
        </is>
      </c>
      <c r="V1029" t="inlineStr">
        <is>
          <t>2005-02-02</t>
        </is>
      </c>
      <c r="W1029" t="inlineStr">
        <is>
          <t>1993-04-29</t>
        </is>
      </c>
      <c r="X1029" t="inlineStr">
        <is>
          <t>1993-04-29</t>
        </is>
      </c>
      <c r="Y1029" t="n">
        <v>547</v>
      </c>
      <c r="Z1029" t="n">
        <v>503</v>
      </c>
      <c r="AA1029" t="n">
        <v>522</v>
      </c>
      <c r="AB1029" t="n">
        <v>5</v>
      </c>
      <c r="AC1029" t="n">
        <v>5</v>
      </c>
      <c r="AD1029" t="n">
        <v>22</v>
      </c>
      <c r="AE1029" t="n">
        <v>22</v>
      </c>
      <c r="AF1029" t="n">
        <v>8</v>
      </c>
      <c r="AG1029" t="n">
        <v>8</v>
      </c>
      <c r="AH1029" t="n">
        <v>7</v>
      </c>
      <c r="AI1029" t="n">
        <v>7</v>
      </c>
      <c r="AJ1029" t="n">
        <v>9</v>
      </c>
      <c r="AK1029" t="n">
        <v>9</v>
      </c>
      <c r="AL1029" t="n">
        <v>3</v>
      </c>
      <c r="AM1029" t="n">
        <v>3</v>
      </c>
      <c r="AN1029" t="n">
        <v>1</v>
      </c>
      <c r="AO1029" t="n">
        <v>1</v>
      </c>
      <c r="AP1029" t="inlineStr">
        <is>
          <t>No</t>
        </is>
      </c>
      <c r="AQ1029" t="inlineStr">
        <is>
          <t>Yes</t>
        </is>
      </c>
      <c r="AR1029">
        <f>HYPERLINK("http://catalog.hathitrust.org/Record/000866723","HathiTrust Record")</f>
        <v/>
      </c>
      <c r="AS1029">
        <f>HYPERLINK("https://creighton-primo.hosted.exlibrisgroup.com/primo-explore/search?tab=default_tab&amp;search_scope=EVERYTHING&amp;vid=01CRU&amp;lang=en_US&amp;offset=0&amp;query=any,contains,991001048449702656","Catalog Record")</f>
        <v/>
      </c>
      <c r="AT1029">
        <f>HYPERLINK("http://www.worldcat.org/oclc/15630746","WorldCat Record")</f>
        <v/>
      </c>
      <c r="AU1029" t="inlineStr">
        <is>
          <t>197758743:eng</t>
        </is>
      </c>
      <c r="AV1029" t="inlineStr">
        <is>
          <t>15630746</t>
        </is>
      </c>
      <c r="AW1029" t="inlineStr">
        <is>
          <t>991001048449702656</t>
        </is>
      </c>
      <c r="AX1029" t="inlineStr">
        <is>
          <t>991001048449702656</t>
        </is>
      </c>
      <c r="AY1029" t="inlineStr">
        <is>
          <t>2262369090002656</t>
        </is>
      </c>
      <c r="AZ1029" t="inlineStr">
        <is>
          <t>BOOK</t>
        </is>
      </c>
      <c r="BB1029" t="inlineStr">
        <is>
          <t>9780917298134</t>
        </is>
      </c>
      <c r="BC1029" t="inlineStr">
        <is>
          <t>32285001630952</t>
        </is>
      </c>
      <c r="BD1029" t="inlineStr">
        <is>
          <t>893237837</t>
        </is>
      </c>
    </row>
    <row r="1030">
      <c r="A1030" t="inlineStr">
        <is>
          <t>No</t>
        </is>
      </c>
      <c r="B1030" t="inlineStr">
        <is>
          <t>HQ1439.N6 S6 1972</t>
        </is>
      </c>
      <c r="C1030" t="inlineStr">
        <is>
          <t>0                      HQ 1439000N  6                  S  6           1972</t>
        </is>
      </c>
      <c r="D1030" t="inlineStr">
        <is>
          <t>The new woman : feminism in Greenwich Village, 1910-1920 / by June Sochen.</t>
        </is>
      </c>
      <c r="F1030" t="inlineStr">
        <is>
          <t>No</t>
        </is>
      </c>
      <c r="G1030" t="inlineStr">
        <is>
          <t>1</t>
        </is>
      </c>
      <c r="H1030" t="inlineStr">
        <is>
          <t>No</t>
        </is>
      </c>
      <c r="I1030" t="inlineStr">
        <is>
          <t>No</t>
        </is>
      </c>
      <c r="J1030" t="inlineStr">
        <is>
          <t>0</t>
        </is>
      </c>
      <c r="K1030" t="inlineStr">
        <is>
          <t>Sochen, June, 1937-</t>
        </is>
      </c>
      <c r="L1030" t="inlineStr">
        <is>
          <t>New York : Quadrangle Books, 1972.</t>
        </is>
      </c>
      <c r="M1030" t="inlineStr">
        <is>
          <t>1972</t>
        </is>
      </c>
      <c r="O1030" t="inlineStr">
        <is>
          <t>eng</t>
        </is>
      </c>
      <c r="P1030" t="inlineStr">
        <is>
          <t>nyu</t>
        </is>
      </c>
      <c r="R1030" t="inlineStr">
        <is>
          <t xml:space="preserve">HQ </t>
        </is>
      </c>
      <c r="S1030" t="n">
        <v>0</v>
      </c>
      <c r="T1030" t="n">
        <v>0</v>
      </c>
      <c r="U1030" t="inlineStr">
        <is>
          <t>2002-01-21</t>
        </is>
      </c>
      <c r="V1030" t="inlineStr">
        <is>
          <t>2002-01-21</t>
        </is>
      </c>
      <c r="W1030" t="inlineStr">
        <is>
          <t>1993-04-29</t>
        </is>
      </c>
      <c r="X1030" t="inlineStr">
        <is>
          <t>1993-04-29</t>
        </is>
      </c>
      <c r="Y1030" t="n">
        <v>632</v>
      </c>
      <c r="Z1030" t="n">
        <v>565</v>
      </c>
      <c r="AA1030" t="n">
        <v>571</v>
      </c>
      <c r="AB1030" t="n">
        <v>2</v>
      </c>
      <c r="AC1030" t="n">
        <v>2</v>
      </c>
      <c r="AD1030" t="n">
        <v>20</v>
      </c>
      <c r="AE1030" t="n">
        <v>20</v>
      </c>
      <c r="AF1030" t="n">
        <v>6</v>
      </c>
      <c r="AG1030" t="n">
        <v>6</v>
      </c>
      <c r="AH1030" t="n">
        <v>6</v>
      </c>
      <c r="AI1030" t="n">
        <v>6</v>
      </c>
      <c r="AJ1030" t="n">
        <v>14</v>
      </c>
      <c r="AK1030" t="n">
        <v>14</v>
      </c>
      <c r="AL1030" t="n">
        <v>1</v>
      </c>
      <c r="AM1030" t="n">
        <v>1</v>
      </c>
      <c r="AN1030" t="n">
        <v>0</v>
      </c>
      <c r="AO1030" t="n">
        <v>0</v>
      </c>
      <c r="AP1030" t="inlineStr">
        <is>
          <t>No</t>
        </is>
      </c>
      <c r="AQ1030" t="inlineStr">
        <is>
          <t>Yes</t>
        </is>
      </c>
      <c r="AR1030">
        <f>HYPERLINK("http://catalog.hathitrust.org/Record/001117004","HathiTrust Record")</f>
        <v/>
      </c>
      <c r="AS1030">
        <f>HYPERLINK("https://creighton-primo.hosted.exlibrisgroup.com/primo-explore/search?tab=default_tab&amp;search_scope=EVERYTHING&amp;vid=01CRU&amp;lang=en_US&amp;offset=0&amp;query=any,contains,991002995459702656","Catalog Record")</f>
        <v/>
      </c>
      <c r="AT1030">
        <f>HYPERLINK("http://www.worldcat.org/oclc/563704","WorldCat Record")</f>
        <v/>
      </c>
      <c r="AU1030" t="inlineStr">
        <is>
          <t>365403105:eng</t>
        </is>
      </c>
      <c r="AV1030" t="inlineStr">
        <is>
          <t>563704</t>
        </is>
      </c>
      <c r="AW1030" t="inlineStr">
        <is>
          <t>991002995459702656</t>
        </is>
      </c>
      <c r="AX1030" t="inlineStr">
        <is>
          <t>991002995459702656</t>
        </is>
      </c>
      <c r="AY1030" t="inlineStr">
        <is>
          <t>2255694100002656</t>
        </is>
      </c>
      <c r="AZ1030" t="inlineStr">
        <is>
          <t>BOOK</t>
        </is>
      </c>
      <c r="BB1030" t="inlineStr">
        <is>
          <t>9780812902570</t>
        </is>
      </c>
      <c r="BC1030" t="inlineStr">
        <is>
          <t>32285001630960</t>
        </is>
      </c>
      <c r="BD1030" t="inlineStr">
        <is>
          <t>893498813</t>
        </is>
      </c>
    </row>
    <row r="1031">
      <c r="A1031" t="inlineStr">
        <is>
          <t>No</t>
        </is>
      </c>
      <c r="B1031" t="inlineStr">
        <is>
          <t>HQ1439.R62 H48 1984</t>
        </is>
      </c>
      <c r="C1031" t="inlineStr">
        <is>
          <t>0                      HQ 1439000R  62                 H  48          1984</t>
        </is>
      </c>
      <c r="D1031" t="inlineStr">
        <is>
          <t>Women's activism and social change : Rochester, New York, 1822-1872 / Nancy A. Hewitt.</t>
        </is>
      </c>
      <c r="F1031" t="inlineStr">
        <is>
          <t>No</t>
        </is>
      </c>
      <c r="G1031" t="inlineStr">
        <is>
          <t>1</t>
        </is>
      </c>
      <c r="H1031" t="inlineStr">
        <is>
          <t>No</t>
        </is>
      </c>
      <c r="I1031" t="inlineStr">
        <is>
          <t>No</t>
        </is>
      </c>
      <c r="J1031" t="inlineStr">
        <is>
          <t>0</t>
        </is>
      </c>
      <c r="K1031" t="inlineStr">
        <is>
          <t>Hewitt, Nancy A., 1951-</t>
        </is>
      </c>
      <c r="L1031" t="inlineStr">
        <is>
          <t>Ithaca, N.Y. : Cornell University Press, 1984.</t>
        </is>
      </c>
      <c r="M1031" t="inlineStr">
        <is>
          <t>1984</t>
        </is>
      </c>
      <c r="O1031" t="inlineStr">
        <is>
          <t>eng</t>
        </is>
      </c>
      <c r="P1031" t="inlineStr">
        <is>
          <t>nyu</t>
        </is>
      </c>
      <c r="R1031" t="inlineStr">
        <is>
          <t xml:space="preserve">HQ </t>
        </is>
      </c>
      <c r="S1031" t="n">
        <v>1</v>
      </c>
      <c r="T1031" t="n">
        <v>1</v>
      </c>
      <c r="U1031" t="inlineStr">
        <is>
          <t>1992-02-24</t>
        </is>
      </c>
      <c r="V1031" t="inlineStr">
        <is>
          <t>1992-02-24</t>
        </is>
      </c>
      <c r="W1031" t="inlineStr">
        <is>
          <t>1992-02-24</t>
        </is>
      </c>
      <c r="X1031" t="inlineStr">
        <is>
          <t>1992-02-24</t>
        </is>
      </c>
      <c r="Y1031" t="n">
        <v>675</v>
      </c>
      <c r="Z1031" t="n">
        <v>580</v>
      </c>
      <c r="AA1031" t="n">
        <v>634</v>
      </c>
      <c r="AB1031" t="n">
        <v>4</v>
      </c>
      <c r="AC1031" t="n">
        <v>5</v>
      </c>
      <c r="AD1031" t="n">
        <v>22</v>
      </c>
      <c r="AE1031" t="n">
        <v>25</v>
      </c>
      <c r="AF1031" t="n">
        <v>7</v>
      </c>
      <c r="AG1031" t="n">
        <v>8</v>
      </c>
      <c r="AH1031" t="n">
        <v>5</v>
      </c>
      <c r="AI1031" t="n">
        <v>6</v>
      </c>
      <c r="AJ1031" t="n">
        <v>13</v>
      </c>
      <c r="AK1031" t="n">
        <v>14</v>
      </c>
      <c r="AL1031" t="n">
        <v>3</v>
      </c>
      <c r="AM1031" t="n">
        <v>4</v>
      </c>
      <c r="AN1031" t="n">
        <v>0</v>
      </c>
      <c r="AO1031" t="n">
        <v>0</v>
      </c>
      <c r="AP1031" t="inlineStr">
        <is>
          <t>No</t>
        </is>
      </c>
      <c r="AQ1031" t="inlineStr">
        <is>
          <t>Yes</t>
        </is>
      </c>
      <c r="AR1031">
        <f>HYPERLINK("http://catalog.hathitrust.org/Record/000784853","HathiTrust Record")</f>
        <v/>
      </c>
      <c r="AS1031">
        <f>HYPERLINK("https://creighton-primo.hosted.exlibrisgroup.com/primo-explore/search?tab=default_tab&amp;search_scope=EVERYTHING&amp;vid=01CRU&amp;lang=en_US&amp;offset=0&amp;query=any,contains,991000371909702656","Catalog Record")</f>
        <v/>
      </c>
      <c r="AT1031">
        <f>HYPERLINK("http://www.worldcat.org/oclc/10432291","WorldCat Record")</f>
        <v/>
      </c>
      <c r="AU1031" t="inlineStr">
        <is>
          <t>2715323:eng</t>
        </is>
      </c>
      <c r="AV1031" t="inlineStr">
        <is>
          <t>10432291</t>
        </is>
      </c>
      <c r="AW1031" t="inlineStr">
        <is>
          <t>991000371909702656</t>
        </is>
      </c>
      <c r="AX1031" t="inlineStr">
        <is>
          <t>991000371909702656</t>
        </is>
      </c>
      <c r="AY1031" t="inlineStr">
        <is>
          <t>2262822110002656</t>
        </is>
      </c>
      <c r="AZ1031" t="inlineStr">
        <is>
          <t>BOOK</t>
        </is>
      </c>
      <c r="BB1031" t="inlineStr">
        <is>
          <t>9780801416163</t>
        </is>
      </c>
      <c r="BC1031" t="inlineStr">
        <is>
          <t>32285000975804</t>
        </is>
      </c>
      <c r="BD1031" t="inlineStr">
        <is>
          <t>893589375</t>
        </is>
      </c>
    </row>
    <row r="1032">
      <c r="A1032" t="inlineStr">
        <is>
          <t>No</t>
        </is>
      </c>
      <c r="B1032" t="inlineStr">
        <is>
          <t>HQ144 .C66</t>
        </is>
      </c>
      <c r="C1032" t="inlineStr">
        <is>
          <t>0                      HQ 0144000C  66</t>
        </is>
      </c>
      <c r="D1032" t="inlineStr">
        <is>
          <t>The response to prostitution in the progressive era / Mark Thomas Connelly.</t>
        </is>
      </c>
      <c r="F1032" t="inlineStr">
        <is>
          <t>No</t>
        </is>
      </c>
      <c r="G1032" t="inlineStr">
        <is>
          <t>1</t>
        </is>
      </c>
      <c r="H1032" t="inlineStr">
        <is>
          <t>No</t>
        </is>
      </c>
      <c r="I1032" t="inlineStr">
        <is>
          <t>No</t>
        </is>
      </c>
      <c r="J1032" t="inlineStr">
        <is>
          <t>0</t>
        </is>
      </c>
      <c r="K1032" t="inlineStr">
        <is>
          <t>Connelly, Mark Thomas, 1948-</t>
        </is>
      </c>
      <c r="L1032" t="inlineStr">
        <is>
          <t>Chapel Hill : University of North Carolina Press, c1980.</t>
        </is>
      </c>
      <c r="M1032" t="inlineStr">
        <is>
          <t>1980</t>
        </is>
      </c>
      <c r="O1032" t="inlineStr">
        <is>
          <t>eng</t>
        </is>
      </c>
      <c r="P1032" t="inlineStr">
        <is>
          <t>ncu</t>
        </is>
      </c>
      <c r="R1032" t="inlineStr">
        <is>
          <t xml:space="preserve">HQ </t>
        </is>
      </c>
      <c r="S1032" t="n">
        <v>7</v>
      </c>
      <c r="T1032" t="n">
        <v>7</v>
      </c>
      <c r="U1032" t="inlineStr">
        <is>
          <t>1998-09-12</t>
        </is>
      </c>
      <c r="V1032" t="inlineStr">
        <is>
          <t>1998-09-12</t>
        </is>
      </c>
      <c r="W1032" t="inlineStr">
        <is>
          <t>1992-12-14</t>
        </is>
      </c>
      <c r="X1032" t="inlineStr">
        <is>
          <t>1992-12-14</t>
        </is>
      </c>
      <c r="Y1032" t="n">
        <v>686</v>
      </c>
      <c r="Z1032" t="n">
        <v>603</v>
      </c>
      <c r="AA1032" t="n">
        <v>605</v>
      </c>
      <c r="AB1032" t="n">
        <v>6</v>
      </c>
      <c r="AC1032" t="n">
        <v>6</v>
      </c>
      <c r="AD1032" t="n">
        <v>30</v>
      </c>
      <c r="AE1032" t="n">
        <v>30</v>
      </c>
      <c r="AF1032" t="n">
        <v>15</v>
      </c>
      <c r="AG1032" t="n">
        <v>15</v>
      </c>
      <c r="AH1032" t="n">
        <v>5</v>
      </c>
      <c r="AI1032" t="n">
        <v>5</v>
      </c>
      <c r="AJ1032" t="n">
        <v>13</v>
      </c>
      <c r="AK1032" t="n">
        <v>13</v>
      </c>
      <c r="AL1032" t="n">
        <v>5</v>
      </c>
      <c r="AM1032" t="n">
        <v>5</v>
      </c>
      <c r="AN1032" t="n">
        <v>0</v>
      </c>
      <c r="AO1032" t="n">
        <v>0</v>
      </c>
      <c r="AP1032" t="inlineStr">
        <is>
          <t>No</t>
        </is>
      </c>
      <c r="AQ1032" t="inlineStr">
        <is>
          <t>Yes</t>
        </is>
      </c>
      <c r="AR1032">
        <f>HYPERLINK("http://catalog.hathitrust.org/Record/000745182","HathiTrust Record")</f>
        <v/>
      </c>
      <c r="AS1032">
        <f>HYPERLINK("https://creighton-primo.hosted.exlibrisgroup.com/primo-explore/search?tab=default_tab&amp;search_scope=EVERYTHING&amp;vid=01CRU&amp;lang=en_US&amp;offset=0&amp;query=any,contains,991004857489702656","Catalog Record")</f>
        <v/>
      </c>
      <c r="AT1032">
        <f>HYPERLINK("http://www.worldcat.org/oclc/5676375","WorldCat Record")</f>
        <v/>
      </c>
      <c r="AU1032" t="inlineStr">
        <is>
          <t>465339:eng</t>
        </is>
      </c>
      <c r="AV1032" t="inlineStr">
        <is>
          <t>5676375</t>
        </is>
      </c>
      <c r="AW1032" t="inlineStr">
        <is>
          <t>991004857489702656</t>
        </is>
      </c>
      <c r="AX1032" t="inlineStr">
        <is>
          <t>991004857489702656</t>
        </is>
      </c>
      <c r="AY1032" t="inlineStr">
        <is>
          <t>2260224710002656</t>
        </is>
      </c>
      <c r="AZ1032" t="inlineStr">
        <is>
          <t>BOOK</t>
        </is>
      </c>
      <c r="BB1032" t="inlineStr">
        <is>
          <t>9780807814246</t>
        </is>
      </c>
      <c r="BC1032" t="inlineStr">
        <is>
          <t>32285001466217</t>
        </is>
      </c>
      <c r="BD1032" t="inlineStr">
        <is>
          <t>893424266</t>
        </is>
      </c>
    </row>
    <row r="1033">
      <c r="A1033" t="inlineStr">
        <is>
          <t>No</t>
        </is>
      </c>
      <c r="B1033" t="inlineStr">
        <is>
          <t>HQ144 .D53 1985</t>
        </is>
      </c>
      <c r="C1033" t="inlineStr">
        <is>
          <t>0                      HQ 0144000D  53          1985</t>
        </is>
      </c>
      <c r="D1033" t="inlineStr">
        <is>
          <t>The prostitute and her clients : your pleasure is her business / by Lewis Diana.</t>
        </is>
      </c>
      <c r="F1033" t="inlineStr">
        <is>
          <t>No</t>
        </is>
      </c>
      <c r="G1033" t="inlineStr">
        <is>
          <t>1</t>
        </is>
      </c>
      <c r="H1033" t="inlineStr">
        <is>
          <t>No</t>
        </is>
      </c>
      <c r="I1033" t="inlineStr">
        <is>
          <t>No</t>
        </is>
      </c>
      <c r="J1033" t="inlineStr">
        <is>
          <t>0</t>
        </is>
      </c>
      <c r="K1033" t="inlineStr">
        <is>
          <t>Diana, Lewis.</t>
        </is>
      </c>
      <c r="L1033" t="inlineStr">
        <is>
          <t>Springfield, Ill., U.S.A. : Thomas, c1985.</t>
        </is>
      </c>
      <c r="M1033" t="inlineStr">
        <is>
          <t>1985</t>
        </is>
      </c>
      <c r="O1033" t="inlineStr">
        <is>
          <t>eng</t>
        </is>
      </c>
      <c r="P1033" t="inlineStr">
        <is>
          <t>ilu</t>
        </is>
      </c>
      <c r="R1033" t="inlineStr">
        <is>
          <t xml:space="preserve">HQ </t>
        </is>
      </c>
      <c r="S1033" t="n">
        <v>28</v>
      </c>
      <c r="T1033" t="n">
        <v>28</v>
      </c>
      <c r="U1033" t="inlineStr">
        <is>
          <t>2010-07-14</t>
        </is>
      </c>
      <c r="V1033" t="inlineStr">
        <is>
          <t>2010-07-14</t>
        </is>
      </c>
      <c r="W1033" t="inlineStr">
        <is>
          <t>1992-09-29</t>
        </is>
      </c>
      <c r="X1033" t="inlineStr">
        <is>
          <t>1992-09-29</t>
        </is>
      </c>
      <c r="Y1033" t="n">
        <v>230</v>
      </c>
      <c r="Z1033" t="n">
        <v>180</v>
      </c>
      <c r="AA1033" t="n">
        <v>188</v>
      </c>
      <c r="AB1033" t="n">
        <v>5</v>
      </c>
      <c r="AC1033" t="n">
        <v>5</v>
      </c>
      <c r="AD1033" t="n">
        <v>5</v>
      </c>
      <c r="AE1033" t="n">
        <v>5</v>
      </c>
      <c r="AF1033" t="n">
        <v>0</v>
      </c>
      <c r="AG1033" t="n">
        <v>0</v>
      </c>
      <c r="AH1033" t="n">
        <v>1</v>
      </c>
      <c r="AI1033" t="n">
        <v>1</v>
      </c>
      <c r="AJ1033" t="n">
        <v>0</v>
      </c>
      <c r="AK1033" t="n">
        <v>0</v>
      </c>
      <c r="AL1033" t="n">
        <v>4</v>
      </c>
      <c r="AM1033" t="n">
        <v>4</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HYPERLINK("https://creighton-primo.hosted.exlibrisgroup.com/primo-explore/search?tab=default_tab&amp;search_scope=EVERYTHING&amp;vid=01CRU&amp;lang=en_US&amp;offset=0&amp;query=any,contains,991000442369702656","Catalog Record")</f>
        <v/>
      </c>
      <c r="AT1033">
        <f>HYPERLINK("http://www.worldcat.org/oclc/10825556","WorldCat Record")</f>
        <v/>
      </c>
      <c r="AU1033" t="inlineStr">
        <is>
          <t>3392195:eng</t>
        </is>
      </c>
      <c r="AV1033" t="inlineStr">
        <is>
          <t>10825556</t>
        </is>
      </c>
      <c r="AW1033" t="inlineStr">
        <is>
          <t>991000442369702656</t>
        </is>
      </c>
      <c r="AX1033" t="inlineStr">
        <is>
          <t>991000442369702656</t>
        </is>
      </c>
      <c r="AY1033" t="inlineStr">
        <is>
          <t>2264493060002656</t>
        </is>
      </c>
      <c r="AZ1033" t="inlineStr">
        <is>
          <t>BOOK</t>
        </is>
      </c>
      <c r="BB1033" t="inlineStr">
        <is>
          <t>9780398050429</t>
        </is>
      </c>
      <c r="BC1033" t="inlineStr">
        <is>
          <t>32285001322873</t>
        </is>
      </c>
      <c r="BD1033" t="inlineStr">
        <is>
          <t>893903007</t>
        </is>
      </c>
    </row>
    <row r="1034">
      <c r="A1034" t="inlineStr">
        <is>
          <t>No</t>
        </is>
      </c>
      <c r="B1034" t="inlineStr">
        <is>
          <t>HQ144 .H62 1987</t>
        </is>
      </c>
      <c r="C1034" t="inlineStr">
        <is>
          <t>0                      HQ 0144000H  62          1987</t>
        </is>
      </c>
      <c r="D1034" t="inlineStr">
        <is>
          <t>Uneasy virtue : the politics of prostitution and the American Reform tradition / Barbara Meil Hobson.</t>
        </is>
      </c>
      <c r="F1034" t="inlineStr">
        <is>
          <t>No</t>
        </is>
      </c>
      <c r="G1034" t="inlineStr">
        <is>
          <t>1</t>
        </is>
      </c>
      <c r="H1034" t="inlineStr">
        <is>
          <t>No</t>
        </is>
      </c>
      <c r="I1034" t="inlineStr">
        <is>
          <t>No</t>
        </is>
      </c>
      <c r="J1034" t="inlineStr">
        <is>
          <t>0</t>
        </is>
      </c>
      <c r="K1034" t="inlineStr">
        <is>
          <t>Hobson, Barbara Meil, 1945-</t>
        </is>
      </c>
      <c r="L1034" t="inlineStr">
        <is>
          <t>New York : Basic Books, c1987.</t>
        </is>
      </c>
      <c r="M1034" t="inlineStr">
        <is>
          <t>1987</t>
        </is>
      </c>
      <c r="O1034" t="inlineStr">
        <is>
          <t>eng</t>
        </is>
      </c>
      <c r="P1034" t="inlineStr">
        <is>
          <t>nyu</t>
        </is>
      </c>
      <c r="R1034" t="inlineStr">
        <is>
          <t xml:space="preserve">HQ </t>
        </is>
      </c>
      <c r="S1034" t="n">
        <v>15</v>
      </c>
      <c r="T1034" t="n">
        <v>15</v>
      </c>
      <c r="U1034" t="inlineStr">
        <is>
          <t>1999-03-28</t>
        </is>
      </c>
      <c r="V1034" t="inlineStr">
        <is>
          <t>1999-03-28</t>
        </is>
      </c>
      <c r="W1034" t="inlineStr">
        <is>
          <t>1991-12-13</t>
        </is>
      </c>
      <c r="X1034" t="inlineStr">
        <is>
          <t>1991-12-13</t>
        </is>
      </c>
      <c r="Y1034" t="n">
        <v>728</v>
      </c>
      <c r="Z1034" t="n">
        <v>645</v>
      </c>
      <c r="AA1034" t="n">
        <v>818</v>
      </c>
      <c r="AB1034" t="n">
        <v>6</v>
      </c>
      <c r="AC1034" t="n">
        <v>6</v>
      </c>
      <c r="AD1034" t="n">
        <v>23</v>
      </c>
      <c r="AE1034" t="n">
        <v>34</v>
      </c>
      <c r="AF1034" t="n">
        <v>7</v>
      </c>
      <c r="AG1034" t="n">
        <v>10</v>
      </c>
      <c r="AH1034" t="n">
        <v>4</v>
      </c>
      <c r="AI1034" t="n">
        <v>5</v>
      </c>
      <c r="AJ1034" t="n">
        <v>10</v>
      </c>
      <c r="AK1034" t="n">
        <v>15</v>
      </c>
      <c r="AL1034" t="n">
        <v>5</v>
      </c>
      <c r="AM1034" t="n">
        <v>5</v>
      </c>
      <c r="AN1034" t="n">
        <v>2</v>
      </c>
      <c r="AO1034" t="n">
        <v>7</v>
      </c>
      <c r="AP1034" t="inlineStr">
        <is>
          <t>No</t>
        </is>
      </c>
      <c r="AQ1034" t="inlineStr">
        <is>
          <t>No</t>
        </is>
      </c>
      <c r="AS1034">
        <f>HYPERLINK("https://creighton-primo.hosted.exlibrisgroup.com/primo-explore/search?tab=default_tab&amp;search_scope=EVERYTHING&amp;vid=01CRU&amp;lang=en_US&amp;offset=0&amp;query=any,contains,991001087039702656","Catalog Record")</f>
        <v/>
      </c>
      <c r="AT1034">
        <f>HYPERLINK("http://www.worldcat.org/oclc/16130479","WorldCat Record")</f>
        <v/>
      </c>
      <c r="AU1034" t="inlineStr">
        <is>
          <t>890633727:eng</t>
        </is>
      </c>
      <c r="AV1034" t="inlineStr">
        <is>
          <t>16130479</t>
        </is>
      </c>
      <c r="AW1034" t="inlineStr">
        <is>
          <t>991001087039702656</t>
        </is>
      </c>
      <c r="AX1034" t="inlineStr">
        <is>
          <t>991001087039702656</t>
        </is>
      </c>
      <c r="AY1034" t="inlineStr">
        <is>
          <t>2268157160002656</t>
        </is>
      </c>
      <c r="AZ1034" t="inlineStr">
        <is>
          <t>BOOK</t>
        </is>
      </c>
      <c r="BB1034" t="inlineStr">
        <is>
          <t>9780465088683</t>
        </is>
      </c>
      <c r="BC1034" t="inlineStr">
        <is>
          <t>32285000895549</t>
        </is>
      </c>
      <c r="BD1034" t="inlineStr">
        <is>
          <t>893690310</t>
        </is>
      </c>
    </row>
    <row r="1035">
      <c r="A1035" t="inlineStr">
        <is>
          <t>No</t>
        </is>
      </c>
      <c r="B1035" t="inlineStr">
        <is>
          <t>HQ144 .M8 1978</t>
        </is>
      </c>
      <c r="C1035" t="inlineStr">
        <is>
          <t>0                      HQ 0144000M  8           1978</t>
        </is>
      </c>
      <c r="D1035" t="inlineStr">
        <is>
          <t>Cast the first stone / John M. Murtagh, Sara Harris. --</t>
        </is>
      </c>
      <c r="F1035" t="inlineStr">
        <is>
          <t>No</t>
        </is>
      </c>
      <c r="G1035" t="inlineStr">
        <is>
          <t>1</t>
        </is>
      </c>
      <c r="H1035" t="inlineStr">
        <is>
          <t>No</t>
        </is>
      </c>
      <c r="I1035" t="inlineStr">
        <is>
          <t>No</t>
        </is>
      </c>
      <c r="J1035" t="inlineStr">
        <is>
          <t>0</t>
        </is>
      </c>
      <c r="K1035" t="inlineStr">
        <is>
          <t>Murtagh, John M., 1911-</t>
        </is>
      </c>
      <c r="L1035" t="inlineStr">
        <is>
          <t>Westport, Conn. : Greenwood Press, [1978] c1957.</t>
        </is>
      </c>
      <c r="M1035" t="inlineStr">
        <is>
          <t>1978</t>
        </is>
      </c>
      <c r="O1035" t="inlineStr">
        <is>
          <t>eng</t>
        </is>
      </c>
      <c r="P1035" t="inlineStr">
        <is>
          <t>ctu</t>
        </is>
      </c>
      <c r="R1035" t="inlineStr">
        <is>
          <t xml:space="preserve">HQ </t>
        </is>
      </c>
      <c r="S1035" t="n">
        <v>2</v>
      </c>
      <c r="T1035" t="n">
        <v>2</v>
      </c>
      <c r="U1035" t="inlineStr">
        <is>
          <t>1994-02-10</t>
        </is>
      </c>
      <c r="V1035" t="inlineStr">
        <is>
          <t>1994-02-10</t>
        </is>
      </c>
      <c r="W1035" t="inlineStr">
        <is>
          <t>1992-10-26</t>
        </is>
      </c>
      <c r="X1035" t="inlineStr">
        <is>
          <t>1992-10-26</t>
        </is>
      </c>
      <c r="Y1035" t="n">
        <v>86</v>
      </c>
      <c r="Z1035" t="n">
        <v>82</v>
      </c>
      <c r="AA1035" t="n">
        <v>476</v>
      </c>
      <c r="AB1035" t="n">
        <v>1</v>
      </c>
      <c r="AC1035" t="n">
        <v>3</v>
      </c>
      <c r="AD1035" t="n">
        <v>3</v>
      </c>
      <c r="AE1035" t="n">
        <v>18</v>
      </c>
      <c r="AF1035" t="n">
        <v>2</v>
      </c>
      <c r="AG1035" t="n">
        <v>6</v>
      </c>
      <c r="AH1035" t="n">
        <v>2</v>
      </c>
      <c r="AI1035" t="n">
        <v>4</v>
      </c>
      <c r="AJ1035" t="n">
        <v>1</v>
      </c>
      <c r="AK1035" t="n">
        <v>9</v>
      </c>
      <c r="AL1035" t="n">
        <v>0</v>
      </c>
      <c r="AM1035" t="n">
        <v>2</v>
      </c>
      <c r="AN1035" t="n">
        <v>0</v>
      </c>
      <c r="AO1035" t="n">
        <v>4</v>
      </c>
      <c r="AP1035" t="inlineStr">
        <is>
          <t>No</t>
        </is>
      </c>
      <c r="AQ1035" t="inlineStr">
        <is>
          <t>No</t>
        </is>
      </c>
      <c r="AS1035">
        <f>HYPERLINK("https://creighton-primo.hosted.exlibrisgroup.com/primo-explore/search?tab=default_tab&amp;search_scope=EVERYTHING&amp;vid=01CRU&amp;lang=en_US&amp;offset=0&amp;query=any,contains,991004572529702656","Catalog Record")</f>
        <v/>
      </c>
      <c r="AT1035">
        <f>HYPERLINK("http://www.worldcat.org/oclc/4036471","WorldCat Record")</f>
        <v/>
      </c>
      <c r="AU1035" t="inlineStr">
        <is>
          <t>2542133986:eng</t>
        </is>
      </c>
      <c r="AV1035" t="inlineStr">
        <is>
          <t>4036471</t>
        </is>
      </c>
      <c r="AW1035" t="inlineStr">
        <is>
          <t>991004572529702656</t>
        </is>
      </c>
      <c r="AX1035" t="inlineStr">
        <is>
          <t>991004572529702656</t>
        </is>
      </c>
      <c r="AY1035" t="inlineStr">
        <is>
          <t>2269558790002656</t>
        </is>
      </c>
      <c r="AZ1035" t="inlineStr">
        <is>
          <t>BOOK</t>
        </is>
      </c>
      <c r="BB1035" t="inlineStr">
        <is>
          <t>9780313205736</t>
        </is>
      </c>
      <c r="BC1035" t="inlineStr">
        <is>
          <t>32285001358323</t>
        </is>
      </c>
      <c r="BD1035" t="inlineStr">
        <is>
          <t>893436435</t>
        </is>
      </c>
    </row>
    <row r="1036">
      <c r="A1036" t="inlineStr">
        <is>
          <t>No</t>
        </is>
      </c>
      <c r="B1036" t="inlineStr">
        <is>
          <t>HQ144 .P76 1976</t>
        </is>
      </c>
      <c r="C1036" t="inlineStr">
        <is>
          <t>0                      HQ 0144000P  76          1976</t>
        </is>
      </c>
      <c r="D1036" t="inlineStr">
        <is>
          <t>Prostitution in America : three investigations, 1902-1914.</t>
        </is>
      </c>
      <c r="F1036" t="inlineStr">
        <is>
          <t>No</t>
        </is>
      </c>
      <c r="G1036" t="inlineStr">
        <is>
          <t>1</t>
        </is>
      </c>
      <c r="H1036" t="inlineStr">
        <is>
          <t>No</t>
        </is>
      </c>
      <c r="I1036" t="inlineStr">
        <is>
          <t>No</t>
        </is>
      </c>
      <c r="J1036" t="inlineStr">
        <is>
          <t>0</t>
        </is>
      </c>
      <c r="L1036" t="inlineStr">
        <is>
          <t>New York : Arno Press, 1976.</t>
        </is>
      </c>
      <c r="M1036" t="inlineStr">
        <is>
          <t>1976</t>
        </is>
      </c>
      <c r="O1036" t="inlineStr">
        <is>
          <t>eng</t>
        </is>
      </c>
      <c r="P1036" t="inlineStr">
        <is>
          <t>nyu</t>
        </is>
      </c>
      <c r="Q1036" t="inlineStr">
        <is>
          <t>Social problems and social policy--the American experience</t>
        </is>
      </c>
      <c r="R1036" t="inlineStr">
        <is>
          <t xml:space="preserve">HQ </t>
        </is>
      </c>
      <c r="S1036" t="n">
        <v>10</v>
      </c>
      <c r="T1036" t="n">
        <v>10</v>
      </c>
      <c r="U1036" t="inlineStr">
        <is>
          <t>2010-07-14</t>
        </is>
      </c>
      <c r="V1036" t="inlineStr">
        <is>
          <t>2010-07-14</t>
        </is>
      </c>
      <c r="W1036" t="inlineStr">
        <is>
          <t>1992-12-23</t>
        </is>
      </c>
      <c r="X1036" t="inlineStr">
        <is>
          <t>1992-12-23</t>
        </is>
      </c>
      <c r="Y1036" t="n">
        <v>121</v>
      </c>
      <c r="Z1036" t="n">
        <v>109</v>
      </c>
      <c r="AA1036" t="n">
        <v>110</v>
      </c>
      <c r="AB1036" t="n">
        <v>1</v>
      </c>
      <c r="AC1036" t="n">
        <v>1</v>
      </c>
      <c r="AD1036" t="n">
        <v>2</v>
      </c>
      <c r="AE1036" t="n">
        <v>2</v>
      </c>
      <c r="AF1036" t="n">
        <v>0</v>
      </c>
      <c r="AG1036" t="n">
        <v>0</v>
      </c>
      <c r="AH1036" t="n">
        <v>1</v>
      </c>
      <c r="AI1036" t="n">
        <v>1</v>
      </c>
      <c r="AJ1036" t="n">
        <v>1</v>
      </c>
      <c r="AK1036" t="n">
        <v>1</v>
      </c>
      <c r="AL1036" t="n">
        <v>0</v>
      </c>
      <c r="AM1036" t="n">
        <v>0</v>
      </c>
      <c r="AN1036" t="n">
        <v>1</v>
      </c>
      <c r="AO1036" t="n">
        <v>1</v>
      </c>
      <c r="AP1036" t="inlineStr">
        <is>
          <t>No</t>
        </is>
      </c>
      <c r="AQ1036" t="inlineStr">
        <is>
          <t>Yes</t>
        </is>
      </c>
      <c r="AR1036">
        <f>HYPERLINK("http://catalog.hathitrust.org/Record/102290244","HathiTrust Record")</f>
        <v/>
      </c>
      <c r="AS1036">
        <f>HYPERLINK("https://creighton-primo.hosted.exlibrisgroup.com/primo-explore/search?tab=default_tab&amp;search_scope=EVERYTHING&amp;vid=01CRU&amp;lang=en_US&amp;offset=0&amp;query=any,contains,991003828569702656","Catalog Record")</f>
        <v/>
      </c>
      <c r="AT1036">
        <f>HYPERLINK("http://www.worldcat.org/oclc/1582583","WorldCat Record")</f>
        <v/>
      </c>
      <c r="AU1036" t="inlineStr">
        <is>
          <t>8960661515:eng</t>
        </is>
      </c>
      <c r="AV1036" t="inlineStr">
        <is>
          <t>1582583</t>
        </is>
      </c>
      <c r="AW1036" t="inlineStr">
        <is>
          <t>991003828569702656</t>
        </is>
      </c>
      <c r="AX1036" t="inlineStr">
        <is>
          <t>991003828569702656</t>
        </is>
      </c>
      <c r="AY1036" t="inlineStr">
        <is>
          <t>2270728160002656</t>
        </is>
      </c>
      <c r="AZ1036" t="inlineStr">
        <is>
          <t>BOOK</t>
        </is>
      </c>
      <c r="BB1036" t="inlineStr">
        <is>
          <t>9780405075117</t>
        </is>
      </c>
      <c r="BC1036" t="inlineStr">
        <is>
          <t>32285001470599</t>
        </is>
      </c>
      <c r="BD1036" t="inlineStr">
        <is>
          <t>893330861</t>
        </is>
      </c>
    </row>
    <row r="1037">
      <c r="A1037" t="inlineStr">
        <is>
          <t>No</t>
        </is>
      </c>
      <c r="B1037" t="inlineStr">
        <is>
          <t>HQ144 .S47 1985</t>
        </is>
      </c>
      <c r="C1037" t="inlineStr">
        <is>
          <t>0                      HQ 0144000S  47          1985</t>
        </is>
      </c>
      <c r="D1037" t="inlineStr">
        <is>
          <t>The invisible children : child prostitution in America, West Germany, and Great Britain / Gitta Sereny.</t>
        </is>
      </c>
      <c r="F1037" t="inlineStr">
        <is>
          <t>No</t>
        </is>
      </c>
      <c r="G1037" t="inlineStr">
        <is>
          <t>1</t>
        </is>
      </c>
      <c r="H1037" t="inlineStr">
        <is>
          <t>No</t>
        </is>
      </c>
      <c r="I1037" t="inlineStr">
        <is>
          <t>No</t>
        </is>
      </c>
      <c r="J1037" t="inlineStr">
        <is>
          <t>0</t>
        </is>
      </c>
      <c r="K1037" t="inlineStr">
        <is>
          <t>Sereny, Gitta.</t>
        </is>
      </c>
      <c r="L1037" t="inlineStr">
        <is>
          <t>New York : Knopf : Distributed by Random House, 1985, c1984.</t>
        </is>
      </c>
      <c r="M1037" t="inlineStr">
        <is>
          <t>1985</t>
        </is>
      </c>
      <c r="N1037" t="inlineStr">
        <is>
          <t>1st American ed.</t>
        </is>
      </c>
      <c r="O1037" t="inlineStr">
        <is>
          <t>eng</t>
        </is>
      </c>
      <c r="P1037" t="inlineStr">
        <is>
          <t>nyu</t>
        </is>
      </c>
      <c r="R1037" t="inlineStr">
        <is>
          <t xml:space="preserve">HQ </t>
        </is>
      </c>
      <c r="S1037" t="n">
        <v>6</v>
      </c>
      <c r="T1037" t="n">
        <v>6</v>
      </c>
      <c r="U1037" t="inlineStr">
        <is>
          <t>2007-03-26</t>
        </is>
      </c>
      <c r="V1037" t="inlineStr">
        <is>
          <t>2007-03-26</t>
        </is>
      </c>
      <c r="W1037" t="inlineStr">
        <is>
          <t>1992-11-13</t>
        </is>
      </c>
      <c r="X1037" t="inlineStr">
        <is>
          <t>1992-11-13</t>
        </is>
      </c>
      <c r="Y1037" t="n">
        <v>847</v>
      </c>
      <c r="Z1037" t="n">
        <v>801</v>
      </c>
      <c r="AA1037" t="n">
        <v>847</v>
      </c>
      <c r="AB1037" t="n">
        <v>5</v>
      </c>
      <c r="AC1037" t="n">
        <v>7</v>
      </c>
      <c r="AD1037" t="n">
        <v>25</v>
      </c>
      <c r="AE1037" t="n">
        <v>27</v>
      </c>
      <c r="AF1037" t="n">
        <v>11</v>
      </c>
      <c r="AG1037" t="n">
        <v>11</v>
      </c>
      <c r="AH1037" t="n">
        <v>5</v>
      </c>
      <c r="AI1037" t="n">
        <v>5</v>
      </c>
      <c r="AJ1037" t="n">
        <v>11</v>
      </c>
      <c r="AK1037" t="n">
        <v>11</v>
      </c>
      <c r="AL1037" t="n">
        <v>4</v>
      </c>
      <c r="AM1037" t="n">
        <v>6</v>
      </c>
      <c r="AN1037" t="n">
        <v>0</v>
      </c>
      <c r="AO1037" t="n">
        <v>0</v>
      </c>
      <c r="AP1037" t="inlineStr">
        <is>
          <t>No</t>
        </is>
      </c>
      <c r="AQ1037" t="inlineStr">
        <is>
          <t>Yes</t>
        </is>
      </c>
      <c r="AR1037">
        <f>HYPERLINK("http://catalog.hathitrust.org/Record/102077321","HathiTrust Record")</f>
        <v/>
      </c>
      <c r="AS1037">
        <f>HYPERLINK("https://creighton-primo.hosted.exlibrisgroup.com/primo-explore/search?tab=default_tab&amp;search_scope=EVERYTHING&amp;vid=01CRU&amp;lang=en_US&amp;offset=0&amp;query=any,contains,991000546679702656","Catalog Record")</f>
        <v/>
      </c>
      <c r="AT1037">
        <f>HYPERLINK("http://www.worldcat.org/oclc/11518721","WorldCat Record")</f>
        <v/>
      </c>
      <c r="AU1037" t="inlineStr">
        <is>
          <t>839962679:eng</t>
        </is>
      </c>
      <c r="AV1037" t="inlineStr">
        <is>
          <t>11518721</t>
        </is>
      </c>
      <c r="AW1037" t="inlineStr">
        <is>
          <t>991000546679702656</t>
        </is>
      </c>
      <c r="AX1037" t="inlineStr">
        <is>
          <t>991000546679702656</t>
        </is>
      </c>
      <c r="AY1037" t="inlineStr">
        <is>
          <t>2269501180002656</t>
        </is>
      </c>
      <c r="AZ1037" t="inlineStr">
        <is>
          <t>BOOK</t>
        </is>
      </c>
      <c r="BB1037" t="inlineStr">
        <is>
          <t>9780394533896</t>
        </is>
      </c>
      <c r="BC1037" t="inlineStr">
        <is>
          <t>32285001384899</t>
        </is>
      </c>
      <c r="BD1037" t="inlineStr">
        <is>
          <t>893802871</t>
        </is>
      </c>
    </row>
    <row r="1038">
      <c r="A1038" t="inlineStr">
        <is>
          <t>No</t>
        </is>
      </c>
      <c r="B1038" t="inlineStr">
        <is>
          <t>HQ144 .S53</t>
        </is>
      </c>
      <c r="C1038" t="inlineStr">
        <is>
          <t>0                      HQ 0144000S  53</t>
        </is>
      </c>
      <c r="D1038" t="inlineStr">
        <is>
          <t>Hustling : prostitution in our wide open society.</t>
        </is>
      </c>
      <c r="F1038" t="inlineStr">
        <is>
          <t>No</t>
        </is>
      </c>
      <c r="G1038" t="inlineStr">
        <is>
          <t>1</t>
        </is>
      </c>
      <c r="H1038" t="inlineStr">
        <is>
          <t>No</t>
        </is>
      </c>
      <c r="I1038" t="inlineStr">
        <is>
          <t>No</t>
        </is>
      </c>
      <c r="J1038" t="inlineStr">
        <is>
          <t>0</t>
        </is>
      </c>
      <c r="K1038" t="inlineStr">
        <is>
          <t>Sheehy, Gail.</t>
        </is>
      </c>
      <c r="L1038" t="inlineStr">
        <is>
          <t>New York : Delacorte Press, [1973]</t>
        </is>
      </c>
      <c r="M1038" t="inlineStr">
        <is>
          <t>1973</t>
        </is>
      </c>
      <c r="O1038" t="inlineStr">
        <is>
          <t>eng</t>
        </is>
      </c>
      <c r="P1038" t="inlineStr">
        <is>
          <t>nyu</t>
        </is>
      </c>
      <c r="R1038" t="inlineStr">
        <is>
          <t xml:space="preserve">HQ </t>
        </is>
      </c>
      <c r="S1038" t="n">
        <v>15</v>
      </c>
      <c r="T1038" t="n">
        <v>15</v>
      </c>
      <c r="U1038" t="inlineStr">
        <is>
          <t>1995-04-21</t>
        </is>
      </c>
      <c r="V1038" t="inlineStr">
        <is>
          <t>1995-04-21</t>
        </is>
      </c>
      <c r="W1038" t="inlineStr">
        <is>
          <t>1992-09-30</t>
        </is>
      </c>
      <c r="X1038" t="inlineStr">
        <is>
          <t>1992-09-30</t>
        </is>
      </c>
      <c r="Y1038" t="n">
        <v>424</v>
      </c>
      <c r="Z1038" t="n">
        <v>386</v>
      </c>
      <c r="AA1038" t="n">
        <v>417</v>
      </c>
      <c r="AB1038" t="n">
        <v>4</v>
      </c>
      <c r="AC1038" t="n">
        <v>4</v>
      </c>
      <c r="AD1038" t="n">
        <v>13</v>
      </c>
      <c r="AE1038" t="n">
        <v>14</v>
      </c>
      <c r="AF1038" t="n">
        <v>5</v>
      </c>
      <c r="AG1038" t="n">
        <v>6</v>
      </c>
      <c r="AH1038" t="n">
        <v>2</v>
      </c>
      <c r="AI1038" t="n">
        <v>2</v>
      </c>
      <c r="AJ1038" t="n">
        <v>3</v>
      </c>
      <c r="AK1038" t="n">
        <v>4</v>
      </c>
      <c r="AL1038" t="n">
        <v>2</v>
      </c>
      <c r="AM1038" t="n">
        <v>2</v>
      </c>
      <c r="AN1038" t="n">
        <v>2</v>
      </c>
      <c r="AO1038" t="n">
        <v>2</v>
      </c>
      <c r="AP1038" t="inlineStr">
        <is>
          <t>No</t>
        </is>
      </c>
      <c r="AQ1038" t="inlineStr">
        <is>
          <t>Yes</t>
        </is>
      </c>
      <c r="AR1038">
        <f>HYPERLINK("http://catalog.hathitrust.org/Record/001108275","HathiTrust Record")</f>
        <v/>
      </c>
      <c r="AS1038">
        <f>HYPERLINK("https://creighton-primo.hosted.exlibrisgroup.com/primo-explore/search?tab=default_tab&amp;search_scope=EVERYTHING&amp;vid=01CRU&amp;lang=en_US&amp;offset=0&amp;query=any,contains,991003061729702656","Catalog Record")</f>
        <v/>
      </c>
      <c r="AT1038">
        <f>HYPERLINK("http://www.worldcat.org/oclc/618506","WorldCat Record")</f>
        <v/>
      </c>
      <c r="AU1038" t="inlineStr">
        <is>
          <t>315501576:eng</t>
        </is>
      </c>
      <c r="AV1038" t="inlineStr">
        <is>
          <t>618506</t>
        </is>
      </c>
      <c r="AW1038" t="inlineStr">
        <is>
          <t>991003061729702656</t>
        </is>
      </c>
      <c r="AX1038" t="inlineStr">
        <is>
          <t>991003061729702656</t>
        </is>
      </c>
      <c r="AY1038" t="inlineStr">
        <is>
          <t>2272147890002656</t>
        </is>
      </c>
      <c r="AZ1038" t="inlineStr">
        <is>
          <t>BOOK</t>
        </is>
      </c>
      <c r="BC1038" t="inlineStr">
        <is>
          <t>32285001322865</t>
        </is>
      </c>
      <c r="BD1038" t="inlineStr">
        <is>
          <t>893592152</t>
        </is>
      </c>
    </row>
    <row r="1039">
      <c r="A1039" t="inlineStr">
        <is>
          <t>No</t>
        </is>
      </c>
      <c r="B1039" t="inlineStr">
        <is>
          <t>HQ144 .W44 1985</t>
        </is>
      </c>
      <c r="C1039" t="inlineStr">
        <is>
          <t>0                      HQ 0144000W  44          1985</t>
        </is>
      </c>
      <c r="D1039" t="inlineStr">
        <is>
          <t>Children of the night : a study of adolescent prostitution / D. Kelly Weisberg.</t>
        </is>
      </c>
      <c r="F1039" t="inlineStr">
        <is>
          <t>No</t>
        </is>
      </c>
      <c r="G1039" t="inlineStr">
        <is>
          <t>1</t>
        </is>
      </c>
      <c r="H1039" t="inlineStr">
        <is>
          <t>No</t>
        </is>
      </c>
      <c r="I1039" t="inlineStr">
        <is>
          <t>No</t>
        </is>
      </c>
      <c r="J1039" t="inlineStr">
        <is>
          <t>0</t>
        </is>
      </c>
      <c r="K1039" t="inlineStr">
        <is>
          <t>Weisberg, D. Kelly.</t>
        </is>
      </c>
      <c r="L1039" t="inlineStr">
        <is>
          <t>Lexington, Mass. : Lexington Books, c1985.</t>
        </is>
      </c>
      <c r="M1039" t="inlineStr">
        <is>
          <t>1985</t>
        </is>
      </c>
      <c r="O1039" t="inlineStr">
        <is>
          <t>eng</t>
        </is>
      </c>
      <c r="P1039" t="inlineStr">
        <is>
          <t>mau</t>
        </is>
      </c>
      <c r="R1039" t="inlineStr">
        <is>
          <t xml:space="preserve">HQ </t>
        </is>
      </c>
      <c r="S1039" t="n">
        <v>17</v>
      </c>
      <c r="T1039" t="n">
        <v>17</v>
      </c>
      <c r="U1039" t="inlineStr">
        <is>
          <t>2007-03-26</t>
        </is>
      </c>
      <c r="V1039" t="inlineStr">
        <is>
          <t>2007-03-26</t>
        </is>
      </c>
      <c r="W1039" t="inlineStr">
        <is>
          <t>1992-11-13</t>
        </is>
      </c>
      <c r="X1039" t="inlineStr">
        <is>
          <t>1992-11-13</t>
        </is>
      </c>
      <c r="Y1039" t="n">
        <v>979</v>
      </c>
      <c r="Z1039" t="n">
        <v>871</v>
      </c>
      <c r="AA1039" t="n">
        <v>873</v>
      </c>
      <c r="AB1039" t="n">
        <v>9</v>
      </c>
      <c r="AC1039" t="n">
        <v>9</v>
      </c>
      <c r="AD1039" t="n">
        <v>43</v>
      </c>
      <c r="AE1039" t="n">
        <v>43</v>
      </c>
      <c r="AF1039" t="n">
        <v>15</v>
      </c>
      <c r="AG1039" t="n">
        <v>15</v>
      </c>
      <c r="AH1039" t="n">
        <v>10</v>
      </c>
      <c r="AI1039" t="n">
        <v>10</v>
      </c>
      <c r="AJ1039" t="n">
        <v>17</v>
      </c>
      <c r="AK1039" t="n">
        <v>17</v>
      </c>
      <c r="AL1039" t="n">
        <v>7</v>
      </c>
      <c r="AM1039" t="n">
        <v>7</v>
      </c>
      <c r="AN1039" t="n">
        <v>4</v>
      </c>
      <c r="AO1039" t="n">
        <v>4</v>
      </c>
      <c r="AP1039" t="inlineStr">
        <is>
          <t>No</t>
        </is>
      </c>
      <c r="AQ1039" t="inlineStr">
        <is>
          <t>Yes</t>
        </is>
      </c>
      <c r="AR1039">
        <f>HYPERLINK("http://catalog.hathitrust.org/Record/000364406","HathiTrust Record")</f>
        <v/>
      </c>
      <c r="AS1039">
        <f>HYPERLINK("https://creighton-primo.hosted.exlibrisgroup.com/primo-explore/search?tab=default_tab&amp;search_scope=EVERYTHING&amp;vid=01CRU&amp;lang=en_US&amp;offset=0&amp;query=any,contains,991000468459702656","Catalog Record")</f>
        <v/>
      </c>
      <c r="AT1039">
        <f>HYPERLINK("http://www.worldcat.org/oclc/10995800","WorldCat Record")</f>
        <v/>
      </c>
      <c r="AU1039" t="inlineStr">
        <is>
          <t>288194129:eng</t>
        </is>
      </c>
      <c r="AV1039" t="inlineStr">
        <is>
          <t>10995800</t>
        </is>
      </c>
      <c r="AW1039" t="inlineStr">
        <is>
          <t>991000468459702656</t>
        </is>
      </c>
      <c r="AX1039" t="inlineStr">
        <is>
          <t>991000468459702656</t>
        </is>
      </c>
      <c r="AY1039" t="inlineStr">
        <is>
          <t>2263962040002656</t>
        </is>
      </c>
      <c r="AZ1039" t="inlineStr">
        <is>
          <t>BOOK</t>
        </is>
      </c>
      <c r="BB1039" t="inlineStr">
        <is>
          <t>9780669063899</t>
        </is>
      </c>
      <c r="BC1039" t="inlineStr">
        <is>
          <t>32285001384881</t>
        </is>
      </c>
      <c r="BD1039" t="inlineStr">
        <is>
          <t>893683438</t>
        </is>
      </c>
    </row>
    <row r="1040">
      <c r="A1040" t="inlineStr">
        <is>
          <t>No</t>
        </is>
      </c>
      <c r="B1040" t="inlineStr">
        <is>
          <t>HQ144 .W6 1969</t>
        </is>
      </c>
      <c r="C1040" t="inlineStr">
        <is>
          <t>0                      HQ 0144000W  6           1969</t>
        </is>
      </c>
      <c r="D1040" t="inlineStr">
        <is>
          <t>Prostitution in the United States : [vol. I] Prior to the entrance of the United States into the World War.</t>
        </is>
      </c>
      <c r="F1040" t="inlineStr">
        <is>
          <t>No</t>
        </is>
      </c>
      <c r="G1040" t="inlineStr">
        <is>
          <t>1</t>
        </is>
      </c>
      <c r="H1040" t="inlineStr">
        <is>
          <t>No</t>
        </is>
      </c>
      <c r="I1040" t="inlineStr">
        <is>
          <t>No</t>
        </is>
      </c>
      <c r="J1040" t="inlineStr">
        <is>
          <t>0</t>
        </is>
      </c>
      <c r="K1040" t="inlineStr">
        <is>
          <t>Woolston, Howard Brown, 1876-1961.</t>
        </is>
      </c>
      <c r="L1040" t="inlineStr">
        <is>
          <t>Montclair, N.J. : Patterson Smith, 1969 [c1921]</t>
        </is>
      </c>
      <c r="M1040" t="inlineStr">
        <is>
          <t>1969</t>
        </is>
      </c>
      <c r="O1040" t="inlineStr">
        <is>
          <t>eng</t>
        </is>
      </c>
      <c r="P1040" t="inlineStr">
        <is>
          <t>nju</t>
        </is>
      </c>
      <c r="Q1040" t="inlineStr">
        <is>
          <t>Patterson Smith reprint series in criminology, law enforcement, and social problems ; publication no. 29</t>
        </is>
      </c>
      <c r="R1040" t="inlineStr">
        <is>
          <t xml:space="preserve">HQ </t>
        </is>
      </c>
      <c r="S1040" t="n">
        <v>19</v>
      </c>
      <c r="T1040" t="n">
        <v>19</v>
      </c>
      <c r="U1040" t="inlineStr">
        <is>
          <t>1998-09-12</t>
        </is>
      </c>
      <c r="V1040" t="inlineStr">
        <is>
          <t>1998-09-12</t>
        </is>
      </c>
      <c r="W1040" t="inlineStr">
        <is>
          <t>1991-12-17</t>
        </is>
      </c>
      <c r="X1040" t="inlineStr">
        <is>
          <t>1991-12-17</t>
        </is>
      </c>
      <c r="Y1040" t="n">
        <v>263</v>
      </c>
      <c r="Z1040" t="n">
        <v>238</v>
      </c>
      <c r="AA1040" t="n">
        <v>467</v>
      </c>
      <c r="AB1040" t="n">
        <v>1</v>
      </c>
      <c r="AC1040" t="n">
        <v>4</v>
      </c>
      <c r="AD1040" t="n">
        <v>13</v>
      </c>
      <c r="AE1040" t="n">
        <v>28</v>
      </c>
      <c r="AF1040" t="n">
        <v>4</v>
      </c>
      <c r="AG1040" t="n">
        <v>9</v>
      </c>
      <c r="AH1040" t="n">
        <v>1</v>
      </c>
      <c r="AI1040" t="n">
        <v>4</v>
      </c>
      <c r="AJ1040" t="n">
        <v>8</v>
      </c>
      <c r="AK1040" t="n">
        <v>9</v>
      </c>
      <c r="AL1040" t="n">
        <v>0</v>
      </c>
      <c r="AM1040" t="n">
        <v>2</v>
      </c>
      <c r="AN1040" t="n">
        <v>1</v>
      </c>
      <c r="AO1040" t="n">
        <v>6</v>
      </c>
      <c r="AP1040" t="inlineStr">
        <is>
          <t>No</t>
        </is>
      </c>
      <c r="AQ1040" t="inlineStr">
        <is>
          <t>Yes</t>
        </is>
      </c>
      <c r="AR1040">
        <f>HYPERLINK("http://catalog.hathitrust.org/Record/000977154","HathiTrust Record")</f>
        <v/>
      </c>
      <c r="AS1040">
        <f>HYPERLINK("https://creighton-primo.hosted.exlibrisgroup.com/primo-explore/search?tab=default_tab&amp;search_scope=EVERYTHING&amp;vid=01CRU&amp;lang=en_US&amp;offset=0&amp;query=any,contains,991000003709702656","Catalog Record")</f>
        <v/>
      </c>
      <c r="AT1040">
        <f>HYPERLINK("http://www.worldcat.org/oclc/12279","WorldCat Record")</f>
        <v/>
      </c>
      <c r="AU1040" t="inlineStr">
        <is>
          <t>52887026:eng</t>
        </is>
      </c>
      <c r="AV1040" t="inlineStr">
        <is>
          <t>12279</t>
        </is>
      </c>
      <c r="AW1040" t="inlineStr">
        <is>
          <t>991000003709702656</t>
        </is>
      </c>
      <c r="AX1040" t="inlineStr">
        <is>
          <t>991000003709702656</t>
        </is>
      </c>
      <c r="AY1040" t="inlineStr">
        <is>
          <t>2265020140002656</t>
        </is>
      </c>
      <c r="AZ1040" t="inlineStr">
        <is>
          <t>BOOK</t>
        </is>
      </c>
      <c r="BB1040" t="inlineStr">
        <is>
          <t>9780875850290</t>
        </is>
      </c>
      <c r="BC1040" t="inlineStr">
        <is>
          <t>32285000879691</t>
        </is>
      </c>
      <c r="BD1040" t="inlineStr">
        <is>
          <t>893607536</t>
        </is>
      </c>
    </row>
    <row r="1041">
      <c r="A1041" t="inlineStr">
        <is>
          <t>No</t>
        </is>
      </c>
      <c r="B1041" t="inlineStr">
        <is>
          <t>HQ145.N7 R62</t>
        </is>
      </c>
      <c r="C1041" t="inlineStr">
        <is>
          <t>0                      HQ 0145000N  7                  R  62</t>
        </is>
      </c>
      <c r="D1041" t="inlineStr">
        <is>
          <t>Politics and prostitution : a case study of the formulation, enforcement and judicial administration of the New York State penal laws on prostitution, 1870-1970.</t>
        </is>
      </c>
      <c r="F1041" t="inlineStr">
        <is>
          <t>No</t>
        </is>
      </c>
      <c r="G1041" t="inlineStr">
        <is>
          <t>1</t>
        </is>
      </c>
      <c r="H1041" t="inlineStr">
        <is>
          <t>No</t>
        </is>
      </c>
      <c r="I1041" t="inlineStr">
        <is>
          <t>No</t>
        </is>
      </c>
      <c r="J1041" t="inlineStr">
        <is>
          <t>0</t>
        </is>
      </c>
      <c r="K1041" t="inlineStr">
        <is>
          <t>Roby, Pamela Ann.</t>
        </is>
      </c>
      <c r="L1041" t="inlineStr">
        <is>
          <t>[Ann Arbor, Mich. : University Microfilms, 1973.]</t>
        </is>
      </c>
      <c r="M1041" t="inlineStr">
        <is>
          <t>1971</t>
        </is>
      </c>
      <c r="O1041" t="inlineStr">
        <is>
          <t>eng</t>
        </is>
      </c>
      <c r="P1041" t="inlineStr">
        <is>
          <t>miu</t>
        </is>
      </c>
      <c r="R1041" t="inlineStr">
        <is>
          <t xml:space="preserve">HQ </t>
        </is>
      </c>
      <c r="S1041" t="n">
        <v>10</v>
      </c>
      <c r="T1041" t="n">
        <v>10</v>
      </c>
      <c r="U1041" t="inlineStr">
        <is>
          <t>2002-02-13</t>
        </is>
      </c>
      <c r="V1041" t="inlineStr">
        <is>
          <t>2002-02-13</t>
        </is>
      </c>
      <c r="W1041" t="inlineStr">
        <is>
          <t>1992-05-04</t>
        </is>
      </c>
      <c r="X1041" t="inlineStr">
        <is>
          <t>1992-05-04</t>
        </is>
      </c>
      <c r="Y1041" t="n">
        <v>2</v>
      </c>
      <c r="Z1041" t="n">
        <v>1</v>
      </c>
      <c r="AA1041" t="n">
        <v>28</v>
      </c>
      <c r="AB1041" t="n">
        <v>1</v>
      </c>
      <c r="AC1041" t="n">
        <v>1</v>
      </c>
      <c r="AD1041" t="n">
        <v>0</v>
      </c>
      <c r="AE1041" t="n">
        <v>1</v>
      </c>
      <c r="AF1041" t="n">
        <v>0</v>
      </c>
      <c r="AG1041" t="n">
        <v>0</v>
      </c>
      <c r="AH1041" t="n">
        <v>0</v>
      </c>
      <c r="AI1041" t="n">
        <v>0</v>
      </c>
      <c r="AJ1041" t="n">
        <v>0</v>
      </c>
      <c r="AK1041" t="n">
        <v>0</v>
      </c>
      <c r="AL1041" t="n">
        <v>0</v>
      </c>
      <c r="AM1041" t="n">
        <v>0</v>
      </c>
      <c r="AN1041" t="n">
        <v>0</v>
      </c>
      <c r="AO1041" t="n">
        <v>1</v>
      </c>
      <c r="AP1041" t="inlineStr">
        <is>
          <t>No</t>
        </is>
      </c>
      <c r="AQ1041" t="inlineStr">
        <is>
          <t>No</t>
        </is>
      </c>
      <c r="AS1041">
        <f>HYPERLINK("https://creighton-primo.hosted.exlibrisgroup.com/primo-explore/search?tab=default_tab&amp;search_scope=EVERYTHING&amp;vid=01CRU&amp;lang=en_US&amp;offset=0&amp;query=any,contains,991001910209702656","Catalog Record")</f>
        <v/>
      </c>
      <c r="AT1041">
        <f>HYPERLINK("http://www.worldcat.org/oclc/24141472","WorldCat Record")</f>
        <v/>
      </c>
      <c r="AU1041" t="inlineStr">
        <is>
          <t>1914334:eng</t>
        </is>
      </c>
      <c r="AV1041" t="inlineStr">
        <is>
          <t>24141472</t>
        </is>
      </c>
      <c r="AW1041" t="inlineStr">
        <is>
          <t>991001910209702656</t>
        </is>
      </c>
      <c r="AX1041" t="inlineStr">
        <is>
          <t>991001910209702656</t>
        </is>
      </c>
      <c r="AY1041" t="inlineStr">
        <is>
          <t>2262803580002656</t>
        </is>
      </c>
      <c r="AZ1041" t="inlineStr">
        <is>
          <t>BOOK</t>
        </is>
      </c>
      <c r="BC1041" t="inlineStr">
        <is>
          <t>32285001104651</t>
        </is>
      </c>
      <c r="BD1041" t="inlineStr">
        <is>
          <t>893334707</t>
        </is>
      </c>
    </row>
    <row r="1042">
      <c r="A1042" t="inlineStr">
        <is>
          <t>No</t>
        </is>
      </c>
      <c r="B1042" t="inlineStr">
        <is>
          <t>HQ1453 .C367 1996</t>
        </is>
      </c>
      <c r="C1042" t="inlineStr">
        <is>
          <t>0                      HQ 1453000C  367         1996</t>
        </is>
      </c>
      <c r="D1042" t="inlineStr">
        <is>
          <t>Canadian women : a history / Alison Prentice ... [et al.].</t>
        </is>
      </c>
      <c r="F1042" t="inlineStr">
        <is>
          <t>No</t>
        </is>
      </c>
      <c r="G1042" t="inlineStr">
        <is>
          <t>1</t>
        </is>
      </c>
      <c r="H1042" t="inlineStr">
        <is>
          <t>No</t>
        </is>
      </c>
      <c r="I1042" t="inlineStr">
        <is>
          <t>No</t>
        </is>
      </c>
      <c r="J1042" t="inlineStr">
        <is>
          <t>0</t>
        </is>
      </c>
      <c r="L1042" t="inlineStr">
        <is>
          <t>Toronto ; Fort Worth : Harcourt Brace Canada, c1996.</t>
        </is>
      </c>
      <c r="M1042" t="inlineStr">
        <is>
          <t>1996</t>
        </is>
      </c>
      <c r="N1042" t="inlineStr">
        <is>
          <t>2nd ed.</t>
        </is>
      </c>
      <c r="O1042" t="inlineStr">
        <is>
          <t>eng</t>
        </is>
      </c>
      <c r="P1042" t="inlineStr">
        <is>
          <t>onc</t>
        </is>
      </c>
      <c r="R1042" t="inlineStr">
        <is>
          <t xml:space="preserve">HQ </t>
        </is>
      </c>
      <c r="S1042" t="n">
        <v>1</v>
      </c>
      <c r="T1042" t="n">
        <v>1</v>
      </c>
      <c r="U1042" t="inlineStr">
        <is>
          <t>2002-08-27</t>
        </is>
      </c>
      <c r="V1042" t="inlineStr">
        <is>
          <t>2002-08-27</t>
        </is>
      </c>
      <c r="W1042" t="inlineStr">
        <is>
          <t>2002-08-27</t>
        </is>
      </c>
      <c r="X1042" t="inlineStr">
        <is>
          <t>2002-08-27</t>
        </is>
      </c>
      <c r="Y1042" t="n">
        <v>152</v>
      </c>
      <c r="Z1042" t="n">
        <v>57</v>
      </c>
      <c r="AA1042" t="n">
        <v>147</v>
      </c>
      <c r="AB1042" t="n">
        <v>2</v>
      </c>
      <c r="AC1042" t="n">
        <v>2</v>
      </c>
      <c r="AD1042" t="n">
        <v>2</v>
      </c>
      <c r="AE1042" t="n">
        <v>6</v>
      </c>
      <c r="AF1042" t="n">
        <v>1</v>
      </c>
      <c r="AG1042" t="n">
        <v>4</v>
      </c>
      <c r="AH1042" t="n">
        <v>0</v>
      </c>
      <c r="AI1042" t="n">
        <v>1</v>
      </c>
      <c r="AJ1042" t="n">
        <v>1</v>
      </c>
      <c r="AK1042" t="n">
        <v>4</v>
      </c>
      <c r="AL1042" t="n">
        <v>1</v>
      </c>
      <c r="AM1042" t="n">
        <v>1</v>
      </c>
      <c r="AN1042" t="n">
        <v>0</v>
      </c>
      <c r="AO1042" t="n">
        <v>0</v>
      </c>
      <c r="AP1042" t="inlineStr">
        <is>
          <t>No</t>
        </is>
      </c>
      <c r="AQ1042" t="inlineStr">
        <is>
          <t>Yes</t>
        </is>
      </c>
      <c r="AR1042">
        <f>HYPERLINK("http://catalog.hathitrust.org/Record/007514198","HathiTrust Record")</f>
        <v/>
      </c>
      <c r="AS1042">
        <f>HYPERLINK("https://creighton-primo.hosted.exlibrisgroup.com/primo-explore/search?tab=default_tab&amp;search_scope=EVERYTHING&amp;vid=01CRU&amp;lang=en_US&amp;offset=0&amp;query=any,contains,991003864099702656","Catalog Record")</f>
        <v/>
      </c>
      <c r="AT1042">
        <f>HYPERLINK("http://www.worldcat.org/oclc/36138528","WorldCat Record")</f>
        <v/>
      </c>
      <c r="AU1042" t="inlineStr">
        <is>
          <t>367315278:eng</t>
        </is>
      </c>
      <c r="AV1042" t="inlineStr">
        <is>
          <t>36138528</t>
        </is>
      </c>
      <c r="AW1042" t="inlineStr">
        <is>
          <t>991003864099702656</t>
        </is>
      </c>
      <c r="AX1042" t="inlineStr">
        <is>
          <t>991003864099702656</t>
        </is>
      </c>
      <c r="AY1042" t="inlineStr">
        <is>
          <t>2260766160002656</t>
        </is>
      </c>
      <c r="AZ1042" t="inlineStr">
        <is>
          <t>BOOK</t>
        </is>
      </c>
      <c r="BB1042" t="inlineStr">
        <is>
          <t>9780774732932</t>
        </is>
      </c>
      <c r="BC1042" t="inlineStr">
        <is>
          <t>32285004644802</t>
        </is>
      </c>
      <c r="BD1042" t="inlineStr">
        <is>
          <t>893234727</t>
        </is>
      </c>
    </row>
    <row r="1043">
      <c r="A1043" t="inlineStr">
        <is>
          <t>No</t>
        </is>
      </c>
      <c r="B1043" t="inlineStr">
        <is>
          <t>HQ1453 .N43, v...</t>
        </is>
      </c>
      <c r="C1043" t="inlineStr">
        <is>
          <t>0                      HQ 1453000N  43                                                      v...</t>
        </is>
      </c>
      <c r="D1043" t="inlineStr">
        <is>
          <t>The Neglected majority : essays in Canadian women's history / edited by Susan Mann Trofimenkoff and Alison Prentice.</t>
        </is>
      </c>
      <c r="E1043" t="inlineStr">
        <is>
          <t>V.1</t>
        </is>
      </c>
      <c r="F1043" t="inlineStr">
        <is>
          <t>Yes</t>
        </is>
      </c>
      <c r="G1043" t="inlineStr">
        <is>
          <t>1</t>
        </is>
      </c>
      <c r="H1043" t="inlineStr">
        <is>
          <t>No</t>
        </is>
      </c>
      <c r="I1043" t="inlineStr">
        <is>
          <t>No</t>
        </is>
      </c>
      <c r="J1043" t="inlineStr">
        <is>
          <t>0</t>
        </is>
      </c>
      <c r="L1043" t="inlineStr">
        <is>
          <t>Toronto : McClelland and Stewart, 1977-</t>
        </is>
      </c>
      <c r="M1043" t="inlineStr">
        <is>
          <t>1977</t>
        </is>
      </c>
      <c r="O1043" t="inlineStr">
        <is>
          <t>eng</t>
        </is>
      </c>
      <c r="P1043" t="inlineStr">
        <is>
          <t>onc</t>
        </is>
      </c>
      <c r="Q1043" t="inlineStr">
        <is>
          <t>Canadian social history series</t>
        </is>
      </c>
      <c r="R1043" t="inlineStr">
        <is>
          <t xml:space="preserve">HQ </t>
        </is>
      </c>
      <c r="S1043" t="n">
        <v>3</v>
      </c>
      <c r="T1043" t="n">
        <v>5</v>
      </c>
      <c r="U1043" t="inlineStr">
        <is>
          <t>1994-12-06</t>
        </is>
      </c>
      <c r="V1043" t="inlineStr">
        <is>
          <t>1997-04-24</t>
        </is>
      </c>
      <c r="W1043" t="inlineStr">
        <is>
          <t>1994-09-30</t>
        </is>
      </c>
      <c r="X1043" t="inlineStr">
        <is>
          <t>1994-09-30</t>
        </is>
      </c>
      <c r="Y1043" t="n">
        <v>251</v>
      </c>
      <c r="Z1043" t="n">
        <v>129</v>
      </c>
      <c r="AA1043" t="n">
        <v>144</v>
      </c>
      <c r="AB1043" t="n">
        <v>1</v>
      </c>
      <c r="AC1043" t="n">
        <v>1</v>
      </c>
      <c r="AD1043" t="n">
        <v>2</v>
      </c>
      <c r="AE1043" t="n">
        <v>2</v>
      </c>
      <c r="AF1043" t="n">
        <v>1</v>
      </c>
      <c r="AG1043" t="n">
        <v>1</v>
      </c>
      <c r="AH1043" t="n">
        <v>0</v>
      </c>
      <c r="AI1043" t="n">
        <v>0</v>
      </c>
      <c r="AJ1043" t="n">
        <v>2</v>
      </c>
      <c r="AK1043" t="n">
        <v>2</v>
      </c>
      <c r="AL1043" t="n">
        <v>0</v>
      </c>
      <c r="AM1043" t="n">
        <v>0</v>
      </c>
      <c r="AN1043" t="n">
        <v>0</v>
      </c>
      <c r="AO1043" t="n">
        <v>0</v>
      </c>
      <c r="AP1043" t="inlineStr">
        <is>
          <t>No</t>
        </is>
      </c>
      <c r="AQ1043" t="inlineStr">
        <is>
          <t>Yes</t>
        </is>
      </c>
      <c r="AR1043">
        <f>HYPERLINK("http://catalog.hathitrust.org/Record/000294069","HathiTrust Record")</f>
        <v/>
      </c>
      <c r="AS1043">
        <f>HYPERLINK("https://creighton-primo.hosted.exlibrisgroup.com/primo-explore/search?tab=default_tab&amp;search_scope=EVERYTHING&amp;vid=01CRU&amp;lang=en_US&amp;offset=0&amp;query=any,contains,991004368779702656","Catalog Record")</f>
        <v/>
      </c>
      <c r="AT1043">
        <f>HYPERLINK("http://www.worldcat.org/oclc/3183849","WorldCat Record")</f>
        <v/>
      </c>
      <c r="AU1043" t="inlineStr">
        <is>
          <t>148946156:eng</t>
        </is>
      </c>
      <c r="AV1043" t="inlineStr">
        <is>
          <t>3183849</t>
        </is>
      </c>
      <c r="AW1043" t="inlineStr">
        <is>
          <t>991004368779702656</t>
        </is>
      </c>
      <c r="AX1043" t="inlineStr">
        <is>
          <t>991004368779702656</t>
        </is>
      </c>
      <c r="AY1043" t="inlineStr">
        <is>
          <t>2262378520002656</t>
        </is>
      </c>
      <c r="AZ1043" t="inlineStr">
        <is>
          <t>BOOK</t>
        </is>
      </c>
      <c r="BB1043" t="inlineStr">
        <is>
          <t>9780771085956</t>
        </is>
      </c>
      <c r="BC1043" t="inlineStr">
        <is>
          <t>32285001953396</t>
        </is>
      </c>
      <c r="BD1043" t="inlineStr">
        <is>
          <t>893700151</t>
        </is>
      </c>
    </row>
    <row r="1044">
      <c r="A1044" t="inlineStr">
        <is>
          <t>No</t>
        </is>
      </c>
      <c r="B1044" t="inlineStr">
        <is>
          <t>HQ1453 .N43, v...</t>
        </is>
      </c>
      <c r="C1044" t="inlineStr">
        <is>
          <t>0                      HQ 1453000N  43                                                      v...</t>
        </is>
      </c>
      <c r="D1044" t="inlineStr">
        <is>
          <t>The Neglected majority : essays in Canadian women's history / edited by Susan Mann Trofimenkoff and Alison Prentice.</t>
        </is>
      </c>
      <c r="E1044" t="inlineStr">
        <is>
          <t>V.2</t>
        </is>
      </c>
      <c r="F1044" t="inlineStr">
        <is>
          <t>Yes</t>
        </is>
      </c>
      <c r="G1044" t="inlineStr">
        <is>
          <t>1</t>
        </is>
      </c>
      <c r="H1044" t="inlineStr">
        <is>
          <t>No</t>
        </is>
      </c>
      <c r="I1044" t="inlineStr">
        <is>
          <t>No</t>
        </is>
      </c>
      <c r="J1044" t="inlineStr">
        <is>
          <t>0</t>
        </is>
      </c>
      <c r="L1044" t="inlineStr">
        <is>
          <t>Toronto : McClelland and Stewart, 1977-</t>
        </is>
      </c>
      <c r="M1044" t="inlineStr">
        <is>
          <t>1977</t>
        </is>
      </c>
      <c r="O1044" t="inlineStr">
        <is>
          <t>eng</t>
        </is>
      </c>
      <c r="P1044" t="inlineStr">
        <is>
          <t>onc</t>
        </is>
      </c>
      <c r="Q1044" t="inlineStr">
        <is>
          <t>Canadian social history series</t>
        </is>
      </c>
      <c r="R1044" t="inlineStr">
        <is>
          <t xml:space="preserve">HQ </t>
        </is>
      </c>
      <c r="S1044" t="n">
        <v>2</v>
      </c>
      <c r="T1044" t="n">
        <v>5</v>
      </c>
      <c r="U1044" t="inlineStr">
        <is>
          <t>1997-04-24</t>
        </is>
      </c>
      <c r="V1044" t="inlineStr">
        <is>
          <t>1997-04-24</t>
        </is>
      </c>
      <c r="W1044" t="inlineStr">
        <is>
          <t>1994-08-11</t>
        </is>
      </c>
      <c r="X1044" t="inlineStr">
        <is>
          <t>1994-09-30</t>
        </is>
      </c>
      <c r="Y1044" t="n">
        <v>251</v>
      </c>
      <c r="Z1044" t="n">
        <v>129</v>
      </c>
      <c r="AA1044" t="n">
        <v>144</v>
      </c>
      <c r="AB1044" t="n">
        <v>1</v>
      </c>
      <c r="AC1044" t="n">
        <v>1</v>
      </c>
      <c r="AD1044" t="n">
        <v>2</v>
      </c>
      <c r="AE1044" t="n">
        <v>2</v>
      </c>
      <c r="AF1044" t="n">
        <v>1</v>
      </c>
      <c r="AG1044" t="n">
        <v>1</v>
      </c>
      <c r="AH1044" t="n">
        <v>0</v>
      </c>
      <c r="AI1044" t="n">
        <v>0</v>
      </c>
      <c r="AJ1044" t="n">
        <v>2</v>
      </c>
      <c r="AK1044" t="n">
        <v>2</v>
      </c>
      <c r="AL1044" t="n">
        <v>0</v>
      </c>
      <c r="AM1044" t="n">
        <v>0</v>
      </c>
      <c r="AN1044" t="n">
        <v>0</v>
      </c>
      <c r="AO1044" t="n">
        <v>0</v>
      </c>
      <c r="AP1044" t="inlineStr">
        <is>
          <t>No</t>
        </is>
      </c>
      <c r="AQ1044" t="inlineStr">
        <is>
          <t>Yes</t>
        </is>
      </c>
      <c r="AR1044">
        <f>HYPERLINK("http://catalog.hathitrust.org/Record/000294069","HathiTrust Record")</f>
        <v/>
      </c>
      <c r="AS1044">
        <f>HYPERLINK("https://creighton-primo.hosted.exlibrisgroup.com/primo-explore/search?tab=default_tab&amp;search_scope=EVERYTHING&amp;vid=01CRU&amp;lang=en_US&amp;offset=0&amp;query=any,contains,991004368779702656","Catalog Record")</f>
        <v/>
      </c>
      <c r="AT1044">
        <f>HYPERLINK("http://www.worldcat.org/oclc/3183849","WorldCat Record")</f>
        <v/>
      </c>
      <c r="AU1044" t="inlineStr">
        <is>
          <t>148946156:eng</t>
        </is>
      </c>
      <c r="AV1044" t="inlineStr">
        <is>
          <t>3183849</t>
        </is>
      </c>
      <c r="AW1044" t="inlineStr">
        <is>
          <t>991004368779702656</t>
        </is>
      </c>
      <c r="AX1044" t="inlineStr">
        <is>
          <t>991004368779702656</t>
        </is>
      </c>
      <c r="AY1044" t="inlineStr">
        <is>
          <t>2262378520002656</t>
        </is>
      </c>
      <c r="AZ1044" t="inlineStr">
        <is>
          <t>BOOK</t>
        </is>
      </c>
      <c r="BB1044" t="inlineStr">
        <is>
          <t>9780771085956</t>
        </is>
      </c>
      <c r="BC1044" t="inlineStr">
        <is>
          <t>32285001942340</t>
        </is>
      </c>
      <c r="BD1044" t="inlineStr">
        <is>
          <t>893706318</t>
        </is>
      </c>
    </row>
    <row r="1045">
      <c r="A1045" t="inlineStr">
        <is>
          <t>No</t>
        </is>
      </c>
      <c r="B1045" t="inlineStr">
        <is>
          <t>HQ1453 .R47 1991</t>
        </is>
      </c>
      <c r="C1045" t="inlineStr">
        <is>
          <t>0                      HQ 1453000R  47          1991</t>
        </is>
      </c>
      <c r="D1045" t="inlineStr">
        <is>
          <t>Rethinking Canada : the promise of women's history / edited by Veronica Strong-Boag, Anita Clair Fellman.</t>
        </is>
      </c>
      <c r="F1045" t="inlineStr">
        <is>
          <t>No</t>
        </is>
      </c>
      <c r="G1045" t="inlineStr">
        <is>
          <t>1</t>
        </is>
      </c>
      <c r="H1045" t="inlineStr">
        <is>
          <t>No</t>
        </is>
      </c>
      <c r="I1045" t="inlineStr">
        <is>
          <t>No</t>
        </is>
      </c>
      <c r="J1045" t="inlineStr">
        <is>
          <t>0</t>
        </is>
      </c>
      <c r="L1045" t="inlineStr">
        <is>
          <t>Toronto : Copp Clark Pitman, c1991.</t>
        </is>
      </c>
      <c r="M1045" t="inlineStr">
        <is>
          <t>1991</t>
        </is>
      </c>
      <c r="N1045" t="inlineStr">
        <is>
          <t>2nd ed.</t>
        </is>
      </c>
      <c r="O1045" t="inlineStr">
        <is>
          <t>eng</t>
        </is>
      </c>
      <c r="P1045" t="inlineStr">
        <is>
          <t>onc</t>
        </is>
      </c>
      <c r="Q1045" t="inlineStr">
        <is>
          <t>New Canadian readings</t>
        </is>
      </c>
      <c r="R1045" t="inlineStr">
        <is>
          <t xml:space="preserve">HQ </t>
        </is>
      </c>
      <c r="S1045" t="n">
        <v>2</v>
      </c>
      <c r="T1045" t="n">
        <v>2</v>
      </c>
      <c r="U1045" t="inlineStr">
        <is>
          <t>2010-01-15</t>
        </is>
      </c>
      <c r="V1045" t="inlineStr">
        <is>
          <t>2010-01-15</t>
        </is>
      </c>
      <c r="W1045" t="inlineStr">
        <is>
          <t>1994-03-11</t>
        </is>
      </c>
      <c r="X1045" t="inlineStr">
        <is>
          <t>1994-03-11</t>
        </is>
      </c>
      <c r="Y1045" t="n">
        <v>130</v>
      </c>
      <c r="Z1045" t="n">
        <v>43</v>
      </c>
      <c r="AA1045" t="n">
        <v>228</v>
      </c>
      <c r="AB1045" t="n">
        <v>1</v>
      </c>
      <c r="AC1045" t="n">
        <v>1</v>
      </c>
      <c r="AD1045" t="n">
        <v>2</v>
      </c>
      <c r="AE1045" t="n">
        <v>9</v>
      </c>
      <c r="AF1045" t="n">
        <v>1</v>
      </c>
      <c r="AG1045" t="n">
        <v>3</v>
      </c>
      <c r="AH1045" t="n">
        <v>1</v>
      </c>
      <c r="AI1045" t="n">
        <v>4</v>
      </c>
      <c r="AJ1045" t="n">
        <v>1</v>
      </c>
      <c r="AK1045" t="n">
        <v>7</v>
      </c>
      <c r="AL1045" t="n">
        <v>0</v>
      </c>
      <c r="AM1045" t="n">
        <v>0</v>
      </c>
      <c r="AN1045" t="n">
        <v>0</v>
      </c>
      <c r="AO1045" t="n">
        <v>0</v>
      </c>
      <c r="AP1045" t="inlineStr">
        <is>
          <t>No</t>
        </is>
      </c>
      <c r="AQ1045" t="inlineStr">
        <is>
          <t>Yes</t>
        </is>
      </c>
      <c r="AR1045">
        <f>HYPERLINK("http://catalog.hathitrust.org/Record/002483558","HathiTrust Record")</f>
        <v/>
      </c>
      <c r="AS1045">
        <f>HYPERLINK("https://creighton-primo.hosted.exlibrisgroup.com/primo-explore/search?tab=default_tab&amp;search_scope=EVERYTHING&amp;vid=01CRU&amp;lang=en_US&amp;offset=0&amp;query=any,contains,991001815529702656","Catalog Record")</f>
        <v/>
      </c>
      <c r="AT1045">
        <f>HYPERLINK("http://www.worldcat.org/oclc/30734837","WorldCat Record")</f>
        <v/>
      </c>
      <c r="AU1045" t="inlineStr">
        <is>
          <t>810274055:eng</t>
        </is>
      </c>
      <c r="AV1045" t="inlineStr">
        <is>
          <t>30734837</t>
        </is>
      </c>
      <c r="AW1045" t="inlineStr">
        <is>
          <t>991001815529702656</t>
        </is>
      </c>
      <c r="AX1045" t="inlineStr">
        <is>
          <t>991001815529702656</t>
        </is>
      </c>
      <c r="AY1045" t="inlineStr">
        <is>
          <t>2265669910002656</t>
        </is>
      </c>
      <c r="AZ1045" t="inlineStr">
        <is>
          <t>BOOK</t>
        </is>
      </c>
      <c r="BB1045" t="inlineStr">
        <is>
          <t>9780773050976</t>
        </is>
      </c>
      <c r="BC1045" t="inlineStr">
        <is>
          <t>32285001844769</t>
        </is>
      </c>
      <c r="BD1045" t="inlineStr">
        <is>
          <t>893621648</t>
        </is>
      </c>
    </row>
    <row r="1046">
      <c r="A1046" t="inlineStr">
        <is>
          <t>No</t>
        </is>
      </c>
      <c r="B1046" t="inlineStr">
        <is>
          <t>HQ146.N7 C65 1998</t>
        </is>
      </c>
      <c r="C1046" t="inlineStr">
        <is>
          <t>0                      HQ 0146000N  7                  C  65          1998</t>
        </is>
      </c>
      <c r="D1046" t="inlineStr">
        <is>
          <t>The murder of Helen Jewett : the life and death of a prostitute in nineteenth-century New York / Patricia Cline Cohen.</t>
        </is>
      </c>
      <c r="F1046" t="inlineStr">
        <is>
          <t>No</t>
        </is>
      </c>
      <c r="G1046" t="inlineStr">
        <is>
          <t>1</t>
        </is>
      </c>
      <c r="H1046" t="inlineStr">
        <is>
          <t>No</t>
        </is>
      </c>
      <c r="I1046" t="inlineStr">
        <is>
          <t>No</t>
        </is>
      </c>
      <c r="J1046" t="inlineStr">
        <is>
          <t>0</t>
        </is>
      </c>
      <c r="K1046" t="inlineStr">
        <is>
          <t>Cohen, Patricia Cline.</t>
        </is>
      </c>
      <c r="L1046" t="inlineStr">
        <is>
          <t>New York : Alfred A. Knopf, 1998.</t>
        </is>
      </c>
      <c r="M1046" t="inlineStr">
        <is>
          <t>1998</t>
        </is>
      </c>
      <c r="N1046" t="inlineStr">
        <is>
          <t>1st ed.</t>
        </is>
      </c>
      <c r="O1046" t="inlineStr">
        <is>
          <t>eng</t>
        </is>
      </c>
      <c r="P1046" t="inlineStr">
        <is>
          <t>nyu</t>
        </is>
      </c>
      <c r="R1046" t="inlineStr">
        <is>
          <t xml:space="preserve">HQ </t>
        </is>
      </c>
      <c r="S1046" t="n">
        <v>4</v>
      </c>
      <c r="T1046" t="n">
        <v>4</v>
      </c>
      <c r="U1046" t="inlineStr">
        <is>
          <t>2006-12-04</t>
        </is>
      </c>
      <c r="V1046" t="inlineStr">
        <is>
          <t>2006-12-04</t>
        </is>
      </c>
      <c r="W1046" t="inlineStr">
        <is>
          <t>1998-10-26</t>
        </is>
      </c>
      <c r="X1046" t="inlineStr">
        <is>
          <t>1998-10-26</t>
        </is>
      </c>
      <c r="Y1046" t="n">
        <v>771</v>
      </c>
      <c r="Z1046" t="n">
        <v>737</v>
      </c>
      <c r="AA1046" t="n">
        <v>943</v>
      </c>
      <c r="AB1046" t="n">
        <v>7</v>
      </c>
      <c r="AC1046" t="n">
        <v>8</v>
      </c>
      <c r="AD1046" t="n">
        <v>23</v>
      </c>
      <c r="AE1046" t="n">
        <v>31</v>
      </c>
      <c r="AF1046" t="n">
        <v>6</v>
      </c>
      <c r="AG1046" t="n">
        <v>11</v>
      </c>
      <c r="AH1046" t="n">
        <v>3</v>
      </c>
      <c r="AI1046" t="n">
        <v>4</v>
      </c>
      <c r="AJ1046" t="n">
        <v>11</v>
      </c>
      <c r="AK1046" t="n">
        <v>13</v>
      </c>
      <c r="AL1046" t="n">
        <v>3</v>
      </c>
      <c r="AM1046" t="n">
        <v>4</v>
      </c>
      <c r="AN1046" t="n">
        <v>5</v>
      </c>
      <c r="AO1046" t="n">
        <v>5</v>
      </c>
      <c r="AP1046" t="inlineStr">
        <is>
          <t>No</t>
        </is>
      </c>
      <c r="AQ1046" t="inlineStr">
        <is>
          <t>Yes</t>
        </is>
      </c>
      <c r="AR1046">
        <f>HYPERLINK("http://catalog.hathitrust.org/Record/003984646","HathiTrust Record")</f>
        <v/>
      </c>
      <c r="AS1046">
        <f>HYPERLINK("https://creighton-primo.hosted.exlibrisgroup.com/primo-explore/search?tab=default_tab&amp;search_scope=EVERYTHING&amp;vid=01CRU&amp;lang=en_US&amp;offset=0&amp;query=any,contains,991002913849702656","Catalog Record")</f>
        <v/>
      </c>
      <c r="AT1046">
        <f>HYPERLINK("http://www.worldcat.org/oclc/38527934","WorldCat Record")</f>
        <v/>
      </c>
      <c r="AU1046" t="inlineStr">
        <is>
          <t>793833831:eng</t>
        </is>
      </c>
      <c r="AV1046" t="inlineStr">
        <is>
          <t>38527934</t>
        </is>
      </c>
      <c r="AW1046" t="inlineStr">
        <is>
          <t>991002913849702656</t>
        </is>
      </c>
      <c r="AX1046" t="inlineStr">
        <is>
          <t>991002913849702656</t>
        </is>
      </c>
      <c r="AY1046" t="inlineStr">
        <is>
          <t>2268784000002656</t>
        </is>
      </c>
      <c r="AZ1046" t="inlineStr">
        <is>
          <t>BOOK</t>
        </is>
      </c>
      <c r="BB1046" t="inlineStr">
        <is>
          <t>9780679412915</t>
        </is>
      </c>
      <c r="BC1046" t="inlineStr">
        <is>
          <t>32285003477246</t>
        </is>
      </c>
      <c r="BD1046" t="inlineStr">
        <is>
          <t>893710837</t>
        </is>
      </c>
    </row>
    <row r="1047">
      <c r="A1047" t="inlineStr">
        <is>
          <t>No</t>
        </is>
      </c>
      <c r="B1047" t="inlineStr">
        <is>
          <t>HQ146.N7 G55 1992</t>
        </is>
      </c>
      <c r="C1047" t="inlineStr">
        <is>
          <t>0                      HQ 0146000N  7                  G  55          1992</t>
        </is>
      </c>
      <c r="D1047" t="inlineStr">
        <is>
          <t>City of Eros : New York City, prostitution, and the commercialization of sex, 1790-1920 / Timothy J. Gilfoyle.</t>
        </is>
      </c>
      <c r="F1047" t="inlineStr">
        <is>
          <t>No</t>
        </is>
      </c>
      <c r="G1047" t="inlineStr">
        <is>
          <t>1</t>
        </is>
      </c>
      <c r="H1047" t="inlineStr">
        <is>
          <t>No</t>
        </is>
      </c>
      <c r="I1047" t="inlineStr">
        <is>
          <t>No</t>
        </is>
      </c>
      <c r="J1047" t="inlineStr">
        <is>
          <t>0</t>
        </is>
      </c>
      <c r="K1047" t="inlineStr">
        <is>
          <t>Gilfoyle, Timothy J.</t>
        </is>
      </c>
      <c r="L1047" t="inlineStr">
        <is>
          <t>New York, N.Y. : W.W. Norton, c1992.</t>
        </is>
      </c>
      <c r="M1047" t="inlineStr">
        <is>
          <t>1992</t>
        </is>
      </c>
      <c r="N1047" t="inlineStr">
        <is>
          <t>1st ed.</t>
        </is>
      </c>
      <c r="O1047" t="inlineStr">
        <is>
          <t>eng</t>
        </is>
      </c>
      <c r="P1047" t="inlineStr">
        <is>
          <t>nyu</t>
        </is>
      </c>
      <c r="R1047" t="inlineStr">
        <is>
          <t xml:space="preserve">HQ </t>
        </is>
      </c>
      <c r="S1047" t="n">
        <v>14</v>
      </c>
      <c r="T1047" t="n">
        <v>14</v>
      </c>
      <c r="U1047" t="inlineStr">
        <is>
          <t>2007-04-10</t>
        </is>
      </c>
      <c r="V1047" t="inlineStr">
        <is>
          <t>2007-04-10</t>
        </is>
      </c>
      <c r="W1047" t="inlineStr">
        <is>
          <t>1993-12-10</t>
        </is>
      </c>
      <c r="X1047" t="inlineStr">
        <is>
          <t>1993-12-10</t>
        </is>
      </c>
      <c r="Y1047" t="n">
        <v>740</v>
      </c>
      <c r="Z1047" t="n">
        <v>645</v>
      </c>
      <c r="AA1047" t="n">
        <v>747</v>
      </c>
      <c r="AB1047" t="n">
        <v>5</v>
      </c>
      <c r="AC1047" t="n">
        <v>5</v>
      </c>
      <c r="AD1047" t="n">
        <v>24</v>
      </c>
      <c r="AE1047" t="n">
        <v>29</v>
      </c>
      <c r="AF1047" t="n">
        <v>6</v>
      </c>
      <c r="AG1047" t="n">
        <v>9</v>
      </c>
      <c r="AH1047" t="n">
        <v>9</v>
      </c>
      <c r="AI1047" t="n">
        <v>9</v>
      </c>
      <c r="AJ1047" t="n">
        <v>13</v>
      </c>
      <c r="AK1047" t="n">
        <v>14</v>
      </c>
      <c r="AL1047" t="n">
        <v>3</v>
      </c>
      <c r="AM1047" t="n">
        <v>3</v>
      </c>
      <c r="AN1047" t="n">
        <v>0</v>
      </c>
      <c r="AO1047" t="n">
        <v>1</v>
      </c>
      <c r="AP1047" t="inlineStr">
        <is>
          <t>No</t>
        </is>
      </c>
      <c r="AQ1047" t="inlineStr">
        <is>
          <t>No</t>
        </is>
      </c>
      <c r="AS1047">
        <f>HYPERLINK("https://creighton-primo.hosted.exlibrisgroup.com/primo-explore/search?tab=default_tab&amp;search_scope=EVERYTHING&amp;vid=01CRU&amp;lang=en_US&amp;offset=0&amp;query=any,contains,991001971049702656","Catalog Record")</f>
        <v/>
      </c>
      <c r="AT1047">
        <f>HYPERLINK("http://www.worldcat.org/oclc/25009080","WorldCat Record")</f>
        <v/>
      </c>
      <c r="AU1047" t="inlineStr">
        <is>
          <t>22830893:eng</t>
        </is>
      </c>
      <c r="AV1047" t="inlineStr">
        <is>
          <t>25009080</t>
        </is>
      </c>
      <c r="AW1047" t="inlineStr">
        <is>
          <t>991001971049702656</t>
        </is>
      </c>
      <c r="AX1047" t="inlineStr">
        <is>
          <t>991001971049702656</t>
        </is>
      </c>
      <c r="AY1047" t="inlineStr">
        <is>
          <t>2269444630002656</t>
        </is>
      </c>
      <c r="AZ1047" t="inlineStr">
        <is>
          <t>BOOK</t>
        </is>
      </c>
      <c r="BB1047" t="inlineStr">
        <is>
          <t>9780393028003</t>
        </is>
      </c>
      <c r="BC1047" t="inlineStr">
        <is>
          <t>32285001815538</t>
        </is>
      </c>
      <c r="BD1047" t="inlineStr">
        <is>
          <t>893427059</t>
        </is>
      </c>
    </row>
    <row r="1048">
      <c r="A1048" t="inlineStr">
        <is>
          <t>No</t>
        </is>
      </c>
      <c r="B1048" t="inlineStr">
        <is>
          <t>HQ146.V55 G64 1981</t>
        </is>
      </c>
      <c r="C1048" t="inlineStr">
        <is>
          <t>0                      HQ 0146000V  55                 G  64          1981</t>
        </is>
      </c>
      <c r="D1048" t="inlineStr">
        <is>
          <t>Gold diggers &amp; silver miners : prostitution and social life on the Comstock Lode / Marion S. Goldman.</t>
        </is>
      </c>
      <c r="F1048" t="inlineStr">
        <is>
          <t>No</t>
        </is>
      </c>
      <c r="G1048" t="inlineStr">
        <is>
          <t>1</t>
        </is>
      </c>
      <c r="H1048" t="inlineStr">
        <is>
          <t>No</t>
        </is>
      </c>
      <c r="I1048" t="inlineStr">
        <is>
          <t>No</t>
        </is>
      </c>
      <c r="J1048" t="inlineStr">
        <is>
          <t>0</t>
        </is>
      </c>
      <c r="K1048" t="inlineStr">
        <is>
          <t>Goldman, Marion S.</t>
        </is>
      </c>
      <c r="L1048" t="inlineStr">
        <is>
          <t>Ann Arbor : University of Michigan Press, c1981.</t>
        </is>
      </c>
      <c r="M1048" t="inlineStr">
        <is>
          <t>1981</t>
        </is>
      </c>
      <c r="O1048" t="inlineStr">
        <is>
          <t>eng</t>
        </is>
      </c>
      <c r="P1048" t="inlineStr">
        <is>
          <t>miu</t>
        </is>
      </c>
      <c r="Q1048" t="inlineStr">
        <is>
          <t>Women and culture series</t>
        </is>
      </c>
      <c r="R1048" t="inlineStr">
        <is>
          <t xml:space="preserve">HQ </t>
        </is>
      </c>
      <c r="S1048" t="n">
        <v>5</v>
      </c>
      <c r="T1048" t="n">
        <v>5</v>
      </c>
      <c r="U1048" t="inlineStr">
        <is>
          <t>1998-10-28</t>
        </is>
      </c>
      <c r="V1048" t="inlineStr">
        <is>
          <t>1998-10-28</t>
        </is>
      </c>
      <c r="W1048" t="inlineStr">
        <is>
          <t>1992-08-14</t>
        </is>
      </c>
      <c r="X1048" t="inlineStr">
        <is>
          <t>1992-08-14</t>
        </is>
      </c>
      <c r="Y1048" t="n">
        <v>550</v>
      </c>
      <c r="Z1048" t="n">
        <v>494</v>
      </c>
      <c r="AA1048" t="n">
        <v>498</v>
      </c>
      <c r="AB1048" t="n">
        <v>3</v>
      </c>
      <c r="AC1048" t="n">
        <v>3</v>
      </c>
      <c r="AD1048" t="n">
        <v>14</v>
      </c>
      <c r="AE1048" t="n">
        <v>14</v>
      </c>
      <c r="AF1048" t="n">
        <v>2</v>
      </c>
      <c r="AG1048" t="n">
        <v>2</v>
      </c>
      <c r="AH1048" t="n">
        <v>5</v>
      </c>
      <c r="AI1048" t="n">
        <v>5</v>
      </c>
      <c r="AJ1048" t="n">
        <v>7</v>
      </c>
      <c r="AK1048" t="n">
        <v>7</v>
      </c>
      <c r="AL1048" t="n">
        <v>2</v>
      </c>
      <c r="AM1048" t="n">
        <v>2</v>
      </c>
      <c r="AN1048" t="n">
        <v>0</v>
      </c>
      <c r="AO1048" t="n">
        <v>0</v>
      </c>
      <c r="AP1048" t="inlineStr">
        <is>
          <t>No</t>
        </is>
      </c>
      <c r="AQ1048" t="inlineStr">
        <is>
          <t>Yes</t>
        </is>
      </c>
      <c r="AR1048">
        <f>HYPERLINK("http://catalog.hathitrust.org/Record/000139077","HathiTrust Record")</f>
        <v/>
      </c>
      <c r="AS1048">
        <f>HYPERLINK("https://creighton-primo.hosted.exlibrisgroup.com/primo-explore/search?tab=default_tab&amp;search_scope=EVERYTHING&amp;vid=01CRU&amp;lang=en_US&amp;offset=0&amp;query=any,contains,991005143599702656","Catalog Record")</f>
        <v/>
      </c>
      <c r="AT1048">
        <f>HYPERLINK("http://www.worldcat.org/oclc/7652663","WorldCat Record")</f>
        <v/>
      </c>
      <c r="AU1048" t="inlineStr">
        <is>
          <t>1043648607:eng</t>
        </is>
      </c>
      <c r="AV1048" t="inlineStr">
        <is>
          <t>7652663</t>
        </is>
      </c>
      <c r="AW1048" t="inlineStr">
        <is>
          <t>991005143599702656</t>
        </is>
      </c>
      <c r="AX1048" t="inlineStr">
        <is>
          <t>991005143599702656</t>
        </is>
      </c>
      <c r="AY1048" t="inlineStr">
        <is>
          <t>2259123900002656</t>
        </is>
      </c>
      <c r="AZ1048" t="inlineStr">
        <is>
          <t>BOOK</t>
        </is>
      </c>
      <c r="BB1048" t="inlineStr">
        <is>
          <t>9780472063321</t>
        </is>
      </c>
      <c r="BC1048" t="inlineStr">
        <is>
          <t>32285001245918</t>
        </is>
      </c>
      <c r="BD1048" t="inlineStr">
        <is>
          <t>893594543</t>
        </is>
      </c>
    </row>
    <row r="1049">
      <c r="A1049" t="inlineStr">
        <is>
          <t>No</t>
        </is>
      </c>
      <c r="B1049" t="inlineStr">
        <is>
          <t>HQ1460.5 .A76 1999</t>
        </is>
      </c>
      <c r="C1049" t="inlineStr">
        <is>
          <t>0                      HQ 1460500A  76          1999</t>
        </is>
      </c>
      <c r="D1049" t="inlineStr">
        <is>
          <t>Mujeres y naciones en América Latina : problemas de inclusion y exclusion / Barbara Potthast y Eugenia Scarzanella (eds.).</t>
        </is>
      </c>
      <c r="F1049" t="inlineStr">
        <is>
          <t>No</t>
        </is>
      </c>
      <c r="G1049" t="inlineStr">
        <is>
          <t>1</t>
        </is>
      </c>
      <c r="H1049" t="inlineStr">
        <is>
          <t>No</t>
        </is>
      </c>
      <c r="I1049" t="inlineStr">
        <is>
          <t>No</t>
        </is>
      </c>
      <c r="J1049" t="inlineStr">
        <is>
          <t>0</t>
        </is>
      </c>
      <c r="K1049" t="inlineStr">
        <is>
          <t>Asociación de Historiadores Latinoamericanistas Europeos. Congreso (12th : 1999 : Porto, Portugal)</t>
        </is>
      </c>
      <c r="L1049" t="inlineStr">
        <is>
          <t>Frankfurt [Germany] : Vervuert ; Madrid : Iberoamericana, 2001.</t>
        </is>
      </c>
      <c r="M1049" t="inlineStr">
        <is>
          <t>2001</t>
        </is>
      </c>
      <c r="O1049" t="inlineStr">
        <is>
          <t>spa</t>
        </is>
      </c>
      <c r="P1049" t="inlineStr">
        <is>
          <t xml:space="preserve">gw </t>
        </is>
      </c>
      <c r="Q1049" t="inlineStr">
        <is>
          <t>Bibliotheca ibero-americana, 0067-8015 ; vol. 81</t>
        </is>
      </c>
      <c r="R1049" t="inlineStr">
        <is>
          <t xml:space="preserve">HQ </t>
        </is>
      </c>
      <c r="S1049" t="n">
        <v>1</v>
      </c>
      <c r="T1049" t="n">
        <v>1</v>
      </c>
      <c r="U1049" t="inlineStr">
        <is>
          <t>2009-03-11</t>
        </is>
      </c>
      <c r="V1049" t="inlineStr">
        <is>
          <t>2009-03-11</t>
        </is>
      </c>
      <c r="W1049" t="inlineStr">
        <is>
          <t>2009-03-11</t>
        </is>
      </c>
      <c r="X1049" t="inlineStr">
        <is>
          <t>2009-03-11</t>
        </is>
      </c>
      <c r="Y1049" t="n">
        <v>152</v>
      </c>
      <c r="Z1049" t="n">
        <v>103</v>
      </c>
      <c r="AA1049" t="n">
        <v>108</v>
      </c>
      <c r="AB1049" t="n">
        <v>2</v>
      </c>
      <c r="AC1049" t="n">
        <v>2</v>
      </c>
      <c r="AD1049" t="n">
        <v>5</v>
      </c>
      <c r="AE1049" t="n">
        <v>5</v>
      </c>
      <c r="AF1049" t="n">
        <v>1</v>
      </c>
      <c r="AG1049" t="n">
        <v>1</v>
      </c>
      <c r="AH1049" t="n">
        <v>2</v>
      </c>
      <c r="AI1049" t="n">
        <v>2</v>
      </c>
      <c r="AJ1049" t="n">
        <v>4</v>
      </c>
      <c r="AK1049" t="n">
        <v>4</v>
      </c>
      <c r="AL1049" t="n">
        <v>1</v>
      </c>
      <c r="AM1049" t="n">
        <v>1</v>
      </c>
      <c r="AN1049" t="n">
        <v>0</v>
      </c>
      <c r="AO1049" t="n">
        <v>0</v>
      </c>
      <c r="AP1049" t="inlineStr">
        <is>
          <t>No</t>
        </is>
      </c>
      <c r="AQ1049" t="inlineStr">
        <is>
          <t>Yes</t>
        </is>
      </c>
      <c r="AR1049">
        <f>HYPERLINK("http://catalog.hathitrust.org/Record/003567909","HathiTrust Record")</f>
        <v/>
      </c>
      <c r="AS1049">
        <f>HYPERLINK("https://creighton-primo.hosted.exlibrisgroup.com/primo-explore/search?tab=default_tab&amp;search_scope=EVERYTHING&amp;vid=01CRU&amp;lang=en_US&amp;offset=0&amp;query=any,contains,991005299269702656","Catalog Record")</f>
        <v/>
      </c>
      <c r="AT1049">
        <f>HYPERLINK("http://www.worldcat.org/oclc/51885986","WorldCat Record")</f>
        <v/>
      </c>
      <c r="AU1049" t="inlineStr">
        <is>
          <t>898565864:spa</t>
        </is>
      </c>
      <c r="AV1049" t="inlineStr">
        <is>
          <t>51885986</t>
        </is>
      </c>
      <c r="AW1049" t="inlineStr">
        <is>
          <t>991005299269702656</t>
        </is>
      </c>
      <c r="AX1049" t="inlineStr">
        <is>
          <t>991005299269702656</t>
        </is>
      </c>
      <c r="AY1049" t="inlineStr">
        <is>
          <t>2254805960002656</t>
        </is>
      </c>
      <c r="AZ1049" t="inlineStr">
        <is>
          <t>BOOK</t>
        </is>
      </c>
      <c r="BB1049" t="inlineStr">
        <is>
          <t>9783893545810</t>
        </is>
      </c>
      <c r="BC1049" t="inlineStr">
        <is>
          <t>32285005508873</t>
        </is>
      </c>
      <c r="BD1049" t="inlineStr">
        <is>
          <t>893507935</t>
        </is>
      </c>
    </row>
    <row r="1050">
      <c r="A1050" t="inlineStr">
        <is>
          <t>No</t>
        </is>
      </c>
      <c r="B1050" t="inlineStr">
        <is>
          <t>HQ1460.5 .C43</t>
        </is>
      </c>
      <c r="C1050" t="inlineStr">
        <is>
          <t>0                      HQ 1460500C  43</t>
        </is>
      </c>
      <c r="D1050" t="inlineStr">
        <is>
          <t>Supermadre : women in politics in Latin America / by Elsa M. Chaney.</t>
        </is>
      </c>
      <c r="F1050" t="inlineStr">
        <is>
          <t>No</t>
        </is>
      </c>
      <c r="G1050" t="inlineStr">
        <is>
          <t>1</t>
        </is>
      </c>
      <c r="H1050" t="inlineStr">
        <is>
          <t>No</t>
        </is>
      </c>
      <c r="I1050" t="inlineStr">
        <is>
          <t>No</t>
        </is>
      </c>
      <c r="J1050" t="inlineStr">
        <is>
          <t>0</t>
        </is>
      </c>
      <c r="K1050" t="inlineStr">
        <is>
          <t>Chaney, Elsa.</t>
        </is>
      </c>
      <c r="L1050" t="inlineStr">
        <is>
          <t>Austin : Published for Institute of Latin American Studies by University of Texas Press, c1979.</t>
        </is>
      </c>
      <c r="M1050" t="inlineStr">
        <is>
          <t>1979</t>
        </is>
      </c>
      <c r="O1050" t="inlineStr">
        <is>
          <t>eng</t>
        </is>
      </c>
      <c r="P1050" t="inlineStr">
        <is>
          <t>txu</t>
        </is>
      </c>
      <c r="Q1050" t="inlineStr">
        <is>
          <t>Latin American monographs ; no. 50</t>
        </is>
      </c>
      <c r="R1050" t="inlineStr">
        <is>
          <t xml:space="preserve">HQ </t>
        </is>
      </c>
      <c r="S1050" t="n">
        <v>9</v>
      </c>
      <c r="T1050" t="n">
        <v>9</v>
      </c>
      <c r="U1050" t="inlineStr">
        <is>
          <t>1998-09-27</t>
        </is>
      </c>
      <c r="V1050" t="inlineStr">
        <is>
          <t>1998-09-27</t>
        </is>
      </c>
      <c r="W1050" t="inlineStr">
        <is>
          <t>1992-09-22</t>
        </is>
      </c>
      <c r="X1050" t="inlineStr">
        <is>
          <t>1992-09-22</t>
        </is>
      </c>
      <c r="Y1050" t="n">
        <v>493</v>
      </c>
      <c r="Z1050" t="n">
        <v>421</v>
      </c>
      <c r="AA1050" t="n">
        <v>437</v>
      </c>
      <c r="AB1050" t="n">
        <v>3</v>
      </c>
      <c r="AC1050" t="n">
        <v>3</v>
      </c>
      <c r="AD1050" t="n">
        <v>18</v>
      </c>
      <c r="AE1050" t="n">
        <v>18</v>
      </c>
      <c r="AF1050" t="n">
        <v>6</v>
      </c>
      <c r="AG1050" t="n">
        <v>6</v>
      </c>
      <c r="AH1050" t="n">
        <v>6</v>
      </c>
      <c r="AI1050" t="n">
        <v>6</v>
      </c>
      <c r="AJ1050" t="n">
        <v>9</v>
      </c>
      <c r="AK1050" t="n">
        <v>9</v>
      </c>
      <c r="AL1050" t="n">
        <v>2</v>
      </c>
      <c r="AM1050" t="n">
        <v>2</v>
      </c>
      <c r="AN1050" t="n">
        <v>0</v>
      </c>
      <c r="AO1050" t="n">
        <v>0</v>
      </c>
      <c r="AP1050" t="inlineStr">
        <is>
          <t>No</t>
        </is>
      </c>
      <c r="AQ1050" t="inlineStr">
        <is>
          <t>Yes</t>
        </is>
      </c>
      <c r="AR1050">
        <f>HYPERLINK("http://catalog.hathitrust.org/Record/000745214","HathiTrust Record")</f>
        <v/>
      </c>
      <c r="AS1050">
        <f>HYPERLINK("https://creighton-primo.hosted.exlibrisgroup.com/primo-explore/search?tab=default_tab&amp;search_scope=EVERYTHING&amp;vid=01CRU&amp;lang=en_US&amp;offset=0&amp;query=any,contains,991004933259702656","Catalog Record")</f>
        <v/>
      </c>
      <c r="AT1050">
        <f>HYPERLINK("http://www.worldcat.org/oclc/6119408","WorldCat Record")</f>
        <v/>
      </c>
      <c r="AU1050" t="inlineStr">
        <is>
          <t>836654266:eng</t>
        </is>
      </c>
      <c r="AV1050" t="inlineStr">
        <is>
          <t>6119408</t>
        </is>
      </c>
      <c r="AW1050" t="inlineStr">
        <is>
          <t>991004933259702656</t>
        </is>
      </c>
      <c r="AX1050" t="inlineStr">
        <is>
          <t>991004933259702656</t>
        </is>
      </c>
      <c r="AY1050" t="inlineStr">
        <is>
          <t>2257667930002656</t>
        </is>
      </c>
      <c r="AZ1050" t="inlineStr">
        <is>
          <t>BOOK</t>
        </is>
      </c>
      <c r="BB1050" t="inlineStr">
        <is>
          <t>9780292775541</t>
        </is>
      </c>
      <c r="BC1050" t="inlineStr">
        <is>
          <t>32285001320760</t>
        </is>
      </c>
      <c r="BD1050" t="inlineStr">
        <is>
          <t>893319790</t>
        </is>
      </c>
    </row>
    <row r="1051">
      <c r="A1051" t="inlineStr">
        <is>
          <t>No</t>
        </is>
      </c>
      <c r="B1051" t="inlineStr">
        <is>
          <t>HQ1460.5 .L37</t>
        </is>
      </c>
      <c r="C1051" t="inlineStr">
        <is>
          <t>0                      HQ 1460500L  37</t>
        </is>
      </c>
      <c r="D1051" t="inlineStr">
        <is>
          <t>Latin American women : historical perspectives / edited by Asunción Lavrin.</t>
        </is>
      </c>
      <c r="F1051" t="inlineStr">
        <is>
          <t>No</t>
        </is>
      </c>
      <c r="G1051" t="inlineStr">
        <is>
          <t>1</t>
        </is>
      </c>
      <c r="H1051" t="inlineStr">
        <is>
          <t>No</t>
        </is>
      </c>
      <c r="I1051" t="inlineStr">
        <is>
          <t>No</t>
        </is>
      </c>
      <c r="J1051" t="inlineStr">
        <is>
          <t>0</t>
        </is>
      </c>
      <c r="L1051" t="inlineStr">
        <is>
          <t>Westport, Conn. : Greenwood Press, 1978.</t>
        </is>
      </c>
      <c r="M1051" t="inlineStr">
        <is>
          <t>1978</t>
        </is>
      </c>
      <c r="O1051" t="inlineStr">
        <is>
          <t>eng</t>
        </is>
      </c>
      <c r="P1051" t="inlineStr">
        <is>
          <t>ctu</t>
        </is>
      </c>
      <c r="Q1051" t="inlineStr">
        <is>
          <t>Contributions in women's studies ; no. 3</t>
        </is>
      </c>
      <c r="R1051" t="inlineStr">
        <is>
          <t xml:space="preserve">HQ </t>
        </is>
      </c>
      <c r="S1051" t="n">
        <v>16</v>
      </c>
      <c r="T1051" t="n">
        <v>16</v>
      </c>
      <c r="U1051" t="inlineStr">
        <is>
          <t>1998-09-27</t>
        </is>
      </c>
      <c r="V1051" t="inlineStr">
        <is>
          <t>1998-09-27</t>
        </is>
      </c>
      <c r="W1051" t="inlineStr">
        <is>
          <t>1992-11-07</t>
        </is>
      </c>
      <c r="X1051" t="inlineStr">
        <is>
          <t>1992-11-07</t>
        </is>
      </c>
      <c r="Y1051" t="n">
        <v>798</v>
      </c>
      <c r="Z1051" t="n">
        <v>690</v>
      </c>
      <c r="AA1051" t="n">
        <v>742</v>
      </c>
      <c r="AB1051" t="n">
        <v>4</v>
      </c>
      <c r="AC1051" t="n">
        <v>4</v>
      </c>
      <c r="AD1051" t="n">
        <v>35</v>
      </c>
      <c r="AE1051" t="n">
        <v>36</v>
      </c>
      <c r="AF1051" t="n">
        <v>16</v>
      </c>
      <c r="AG1051" t="n">
        <v>17</v>
      </c>
      <c r="AH1051" t="n">
        <v>10</v>
      </c>
      <c r="AI1051" t="n">
        <v>10</v>
      </c>
      <c r="AJ1051" t="n">
        <v>17</v>
      </c>
      <c r="AK1051" t="n">
        <v>18</v>
      </c>
      <c r="AL1051" t="n">
        <v>3</v>
      </c>
      <c r="AM1051" t="n">
        <v>3</v>
      </c>
      <c r="AN1051" t="n">
        <v>0</v>
      </c>
      <c r="AO1051" t="n">
        <v>0</v>
      </c>
      <c r="AP1051" t="inlineStr">
        <is>
          <t>No</t>
        </is>
      </c>
      <c r="AQ1051" t="inlineStr">
        <is>
          <t>Yes</t>
        </is>
      </c>
      <c r="AR1051">
        <f>HYPERLINK("http://catalog.hathitrust.org/Record/000177917","HathiTrust Record")</f>
        <v/>
      </c>
      <c r="AS1051">
        <f>HYPERLINK("https://creighton-primo.hosted.exlibrisgroup.com/primo-explore/search?tab=default_tab&amp;search_scope=EVERYTHING&amp;vid=01CRU&amp;lang=en_US&amp;offset=0&amp;query=any,contains,991004574789702656","Catalog Record")</f>
        <v/>
      </c>
      <c r="AT1051">
        <f>HYPERLINK("http://www.worldcat.org/oclc/4037165","WorldCat Record")</f>
        <v/>
      </c>
      <c r="AU1051" t="inlineStr">
        <is>
          <t>821920251:eng</t>
        </is>
      </c>
      <c r="AV1051" t="inlineStr">
        <is>
          <t>4037165</t>
        </is>
      </c>
      <c r="AW1051" t="inlineStr">
        <is>
          <t>991004574789702656</t>
        </is>
      </c>
      <c r="AX1051" t="inlineStr">
        <is>
          <t>991004574789702656</t>
        </is>
      </c>
      <c r="AY1051" t="inlineStr">
        <is>
          <t>2269162130002656</t>
        </is>
      </c>
      <c r="AZ1051" t="inlineStr">
        <is>
          <t>BOOK</t>
        </is>
      </c>
      <c r="BB1051" t="inlineStr">
        <is>
          <t>9780313203091</t>
        </is>
      </c>
      <c r="BC1051" t="inlineStr">
        <is>
          <t>32285001383388</t>
        </is>
      </c>
      <c r="BD1051" t="inlineStr">
        <is>
          <t>893624863</t>
        </is>
      </c>
    </row>
    <row r="1052">
      <c r="A1052" t="inlineStr">
        <is>
          <t>No</t>
        </is>
      </c>
      <c r="B1052" t="inlineStr">
        <is>
          <t>HQ1460.5 .P47</t>
        </is>
      </c>
      <c r="C1052" t="inlineStr">
        <is>
          <t>0                      HQ 1460500P  47</t>
        </is>
      </c>
      <c r="D1052" t="inlineStr">
        <is>
          <t>Female and male in Latin America : essays / Ann Pescatello, editor.</t>
        </is>
      </c>
      <c r="F1052" t="inlineStr">
        <is>
          <t>No</t>
        </is>
      </c>
      <c r="G1052" t="inlineStr">
        <is>
          <t>1</t>
        </is>
      </c>
      <c r="H1052" t="inlineStr">
        <is>
          <t>No</t>
        </is>
      </c>
      <c r="I1052" t="inlineStr">
        <is>
          <t>No</t>
        </is>
      </c>
      <c r="J1052" t="inlineStr">
        <is>
          <t>0</t>
        </is>
      </c>
      <c r="K1052" t="inlineStr">
        <is>
          <t>Pescatello, Ann M. editor.</t>
        </is>
      </c>
      <c r="L1052" t="inlineStr">
        <is>
          <t>[Pittsburgh] : University of Pittsburgh Press, 1979, c1973.</t>
        </is>
      </c>
      <c r="M1052" t="inlineStr">
        <is>
          <t>1979</t>
        </is>
      </c>
      <c r="O1052" t="inlineStr">
        <is>
          <t>eng</t>
        </is>
      </c>
      <c r="P1052" t="inlineStr">
        <is>
          <t>pau</t>
        </is>
      </c>
      <c r="R1052" t="inlineStr">
        <is>
          <t xml:space="preserve">HQ </t>
        </is>
      </c>
      <c r="S1052" t="n">
        <v>16</v>
      </c>
      <c r="T1052" t="n">
        <v>16</v>
      </c>
      <c r="U1052" t="inlineStr">
        <is>
          <t>2010-10-28</t>
        </is>
      </c>
      <c r="V1052" t="inlineStr">
        <is>
          <t>2010-10-28</t>
        </is>
      </c>
      <c r="W1052" t="inlineStr">
        <is>
          <t>1992-09-23</t>
        </is>
      </c>
      <c r="X1052" t="inlineStr">
        <is>
          <t>1992-09-23</t>
        </is>
      </c>
      <c r="Y1052" t="n">
        <v>105</v>
      </c>
      <c r="Z1052" t="n">
        <v>81</v>
      </c>
      <c r="AA1052" t="n">
        <v>770</v>
      </c>
      <c r="AB1052" t="n">
        <v>1</v>
      </c>
      <c r="AC1052" t="n">
        <v>6</v>
      </c>
      <c r="AD1052" t="n">
        <v>2</v>
      </c>
      <c r="AE1052" t="n">
        <v>39</v>
      </c>
      <c r="AF1052" t="n">
        <v>1</v>
      </c>
      <c r="AG1052" t="n">
        <v>15</v>
      </c>
      <c r="AH1052" t="n">
        <v>1</v>
      </c>
      <c r="AI1052" t="n">
        <v>9</v>
      </c>
      <c r="AJ1052" t="n">
        <v>0</v>
      </c>
      <c r="AK1052" t="n">
        <v>18</v>
      </c>
      <c r="AL1052" t="n">
        <v>0</v>
      </c>
      <c r="AM1052" t="n">
        <v>5</v>
      </c>
      <c r="AN1052" t="n">
        <v>0</v>
      </c>
      <c r="AO1052" t="n">
        <v>1</v>
      </c>
      <c r="AP1052" t="inlineStr">
        <is>
          <t>No</t>
        </is>
      </c>
      <c r="AQ1052" t="inlineStr">
        <is>
          <t>Yes</t>
        </is>
      </c>
      <c r="AR1052">
        <f>HYPERLINK("http://catalog.hathitrust.org/Record/007107914","HathiTrust Record")</f>
        <v/>
      </c>
      <c r="AS1052">
        <f>HYPERLINK("https://creighton-primo.hosted.exlibrisgroup.com/primo-explore/search?tab=default_tab&amp;search_scope=EVERYTHING&amp;vid=01CRU&amp;lang=en_US&amp;offset=0&amp;query=any,contains,991005241429702656","Catalog Record")</f>
        <v/>
      </c>
      <c r="AT1052">
        <f>HYPERLINK("http://www.worldcat.org/oclc/8423700","WorldCat Record")</f>
        <v/>
      </c>
      <c r="AU1052" t="inlineStr">
        <is>
          <t>821259546:eng</t>
        </is>
      </c>
      <c r="AV1052" t="inlineStr">
        <is>
          <t>8423700</t>
        </is>
      </c>
      <c r="AW1052" t="inlineStr">
        <is>
          <t>991005241429702656</t>
        </is>
      </c>
      <c r="AX1052" t="inlineStr">
        <is>
          <t>991005241429702656</t>
        </is>
      </c>
      <c r="AY1052" t="inlineStr">
        <is>
          <t>2257481970002656</t>
        </is>
      </c>
      <c r="AZ1052" t="inlineStr">
        <is>
          <t>BOOK</t>
        </is>
      </c>
      <c r="BB1052" t="inlineStr">
        <is>
          <t>9780822953067</t>
        </is>
      </c>
      <c r="BC1052" t="inlineStr">
        <is>
          <t>32285001320752</t>
        </is>
      </c>
      <c r="BD1052" t="inlineStr">
        <is>
          <t>893896125</t>
        </is>
      </c>
    </row>
    <row r="1053">
      <c r="A1053" t="inlineStr">
        <is>
          <t>No</t>
        </is>
      </c>
      <c r="B1053" t="inlineStr">
        <is>
          <t>HQ1460.5 .S76 1989</t>
        </is>
      </c>
      <c r="C1053" t="inlineStr">
        <is>
          <t>0                      HQ 1460500S  76          1989</t>
        </is>
      </c>
      <c r="D1053" t="inlineStr">
        <is>
          <t>Latinas of the Americas : a source book / K. Lynn Stoner.</t>
        </is>
      </c>
      <c r="F1053" t="inlineStr">
        <is>
          <t>No</t>
        </is>
      </c>
      <c r="G1053" t="inlineStr">
        <is>
          <t>1</t>
        </is>
      </c>
      <c r="H1053" t="inlineStr">
        <is>
          <t>No</t>
        </is>
      </c>
      <c r="I1053" t="inlineStr">
        <is>
          <t>No</t>
        </is>
      </c>
      <c r="J1053" t="inlineStr">
        <is>
          <t>0</t>
        </is>
      </c>
      <c r="K1053" t="inlineStr">
        <is>
          <t>Stoner, K. Lynn.</t>
        </is>
      </c>
      <c r="L1053" t="inlineStr">
        <is>
          <t>New York : Garland, 1989.</t>
        </is>
      </c>
      <c r="M1053" t="inlineStr">
        <is>
          <t>1989</t>
        </is>
      </c>
      <c r="O1053" t="inlineStr">
        <is>
          <t>eng</t>
        </is>
      </c>
      <c r="P1053" t="inlineStr">
        <is>
          <t>nyu</t>
        </is>
      </c>
      <c r="Q1053" t="inlineStr">
        <is>
          <t>Garland reference library of social science ; vol. 363</t>
        </is>
      </c>
      <c r="R1053" t="inlineStr">
        <is>
          <t xml:space="preserve">HQ </t>
        </is>
      </c>
      <c r="S1053" t="n">
        <v>10</v>
      </c>
      <c r="T1053" t="n">
        <v>10</v>
      </c>
      <c r="U1053" t="inlineStr">
        <is>
          <t>1997-04-04</t>
        </is>
      </c>
      <c r="V1053" t="inlineStr">
        <is>
          <t>1997-04-04</t>
        </is>
      </c>
      <c r="W1053" t="inlineStr">
        <is>
          <t>1989-10-19</t>
        </is>
      </c>
      <c r="X1053" t="inlineStr">
        <is>
          <t>1989-10-19</t>
        </is>
      </c>
      <c r="Y1053" t="n">
        <v>357</v>
      </c>
      <c r="Z1053" t="n">
        <v>320</v>
      </c>
      <c r="AA1053" t="n">
        <v>327</v>
      </c>
      <c r="AB1053" t="n">
        <v>2</v>
      </c>
      <c r="AC1053" t="n">
        <v>2</v>
      </c>
      <c r="AD1053" t="n">
        <v>13</v>
      </c>
      <c r="AE1053" t="n">
        <v>13</v>
      </c>
      <c r="AF1053" t="n">
        <v>4</v>
      </c>
      <c r="AG1053" t="n">
        <v>4</v>
      </c>
      <c r="AH1053" t="n">
        <v>4</v>
      </c>
      <c r="AI1053" t="n">
        <v>4</v>
      </c>
      <c r="AJ1053" t="n">
        <v>7</v>
      </c>
      <c r="AK1053" t="n">
        <v>7</v>
      </c>
      <c r="AL1053" t="n">
        <v>1</v>
      </c>
      <c r="AM1053" t="n">
        <v>1</v>
      </c>
      <c r="AN1053" t="n">
        <v>0</v>
      </c>
      <c r="AO1053" t="n">
        <v>0</v>
      </c>
      <c r="AP1053" t="inlineStr">
        <is>
          <t>No</t>
        </is>
      </c>
      <c r="AQ1053" t="inlineStr">
        <is>
          <t>Yes</t>
        </is>
      </c>
      <c r="AR1053">
        <f>HYPERLINK("http://catalog.hathitrust.org/Record/001086752","HathiTrust Record")</f>
        <v/>
      </c>
      <c r="AS1053">
        <f>HYPERLINK("https://creighton-primo.hosted.exlibrisgroup.com/primo-explore/search?tab=default_tab&amp;search_scope=EVERYTHING&amp;vid=01CRU&amp;lang=en_US&amp;offset=0&amp;query=any,contains,991001257289702656","Catalog Record")</f>
        <v/>
      </c>
      <c r="AT1053">
        <f>HYPERLINK("http://www.worldcat.org/oclc/17732396","WorldCat Record")</f>
        <v/>
      </c>
      <c r="AU1053" t="inlineStr">
        <is>
          <t>914227:eng</t>
        </is>
      </c>
      <c r="AV1053" t="inlineStr">
        <is>
          <t>17732396</t>
        </is>
      </c>
      <c r="AW1053" t="inlineStr">
        <is>
          <t>991001257289702656</t>
        </is>
      </c>
      <c r="AX1053" t="inlineStr">
        <is>
          <t>991001257289702656</t>
        </is>
      </c>
      <c r="AY1053" t="inlineStr">
        <is>
          <t>2270978020002656</t>
        </is>
      </c>
      <c r="AZ1053" t="inlineStr">
        <is>
          <t>BOOK</t>
        </is>
      </c>
      <c r="BC1053" t="inlineStr">
        <is>
          <t>32285000000116</t>
        </is>
      </c>
      <c r="BD1053" t="inlineStr">
        <is>
          <t>893872407</t>
        </is>
      </c>
    </row>
    <row r="1054">
      <c r="A1054" t="inlineStr">
        <is>
          <t>No</t>
        </is>
      </c>
      <c r="B1054" t="inlineStr">
        <is>
          <t>HQ1460.5 .W6 1986</t>
        </is>
      </c>
      <c r="C1054" t="inlineStr">
        <is>
          <t>0                      HQ 1460500W  6           1986</t>
        </is>
      </c>
      <c r="D1054" t="inlineStr">
        <is>
          <t>Women and change in Latin America / June Nash, Helen Safa, and contributors.</t>
        </is>
      </c>
      <c r="F1054" t="inlineStr">
        <is>
          <t>No</t>
        </is>
      </c>
      <c r="G1054" t="inlineStr">
        <is>
          <t>1</t>
        </is>
      </c>
      <c r="H1054" t="inlineStr">
        <is>
          <t>No</t>
        </is>
      </c>
      <c r="I1054" t="inlineStr">
        <is>
          <t>No</t>
        </is>
      </c>
      <c r="J1054" t="inlineStr">
        <is>
          <t>0</t>
        </is>
      </c>
      <c r="L1054" t="inlineStr">
        <is>
          <t>South Hadley, Mass. : Bergin &amp; Garvey Publishers, 1986, c1985.</t>
        </is>
      </c>
      <c r="M1054" t="inlineStr">
        <is>
          <t>1986</t>
        </is>
      </c>
      <c r="O1054" t="inlineStr">
        <is>
          <t>eng</t>
        </is>
      </c>
      <c r="P1054" t="inlineStr">
        <is>
          <t>mau</t>
        </is>
      </c>
      <c r="R1054" t="inlineStr">
        <is>
          <t xml:space="preserve">HQ </t>
        </is>
      </c>
      <c r="S1054" t="n">
        <v>27</v>
      </c>
      <c r="T1054" t="n">
        <v>27</v>
      </c>
      <c r="U1054" t="inlineStr">
        <is>
          <t>2005-10-13</t>
        </is>
      </c>
      <c r="V1054" t="inlineStr">
        <is>
          <t>2005-10-13</t>
        </is>
      </c>
      <c r="W1054" t="inlineStr">
        <is>
          <t>1993-02-02</t>
        </is>
      </c>
      <c r="X1054" t="inlineStr">
        <is>
          <t>1993-02-02</t>
        </is>
      </c>
      <c r="Y1054" t="n">
        <v>748</v>
      </c>
      <c r="Z1054" t="n">
        <v>622</v>
      </c>
      <c r="AA1054" t="n">
        <v>653</v>
      </c>
      <c r="AB1054" t="n">
        <v>5</v>
      </c>
      <c r="AC1054" t="n">
        <v>5</v>
      </c>
      <c r="AD1054" t="n">
        <v>29</v>
      </c>
      <c r="AE1054" t="n">
        <v>29</v>
      </c>
      <c r="AF1054" t="n">
        <v>10</v>
      </c>
      <c r="AG1054" t="n">
        <v>10</v>
      </c>
      <c r="AH1054" t="n">
        <v>8</v>
      </c>
      <c r="AI1054" t="n">
        <v>8</v>
      </c>
      <c r="AJ1054" t="n">
        <v>14</v>
      </c>
      <c r="AK1054" t="n">
        <v>14</v>
      </c>
      <c r="AL1054" t="n">
        <v>4</v>
      </c>
      <c r="AM1054" t="n">
        <v>4</v>
      </c>
      <c r="AN1054" t="n">
        <v>0</v>
      </c>
      <c r="AO1054" t="n">
        <v>0</v>
      </c>
      <c r="AP1054" t="inlineStr">
        <is>
          <t>No</t>
        </is>
      </c>
      <c r="AQ1054" t="inlineStr">
        <is>
          <t>Yes</t>
        </is>
      </c>
      <c r="AR1054">
        <f>HYPERLINK("http://catalog.hathitrust.org/Record/000465404","HathiTrust Record")</f>
        <v/>
      </c>
      <c r="AS1054">
        <f>HYPERLINK("https://creighton-primo.hosted.exlibrisgroup.com/primo-explore/search?tab=default_tab&amp;search_scope=EVERYTHING&amp;vid=01CRU&amp;lang=en_US&amp;offset=0&amp;query=any,contains,991000679289702656","Catalog Record")</f>
        <v/>
      </c>
      <c r="AT1054">
        <f>HYPERLINK("http://www.worldcat.org/oclc/12371515","WorldCat Record")</f>
        <v/>
      </c>
      <c r="AU1054" t="inlineStr">
        <is>
          <t>479284581:eng</t>
        </is>
      </c>
      <c r="AV1054" t="inlineStr">
        <is>
          <t>12371515</t>
        </is>
      </c>
      <c r="AW1054" t="inlineStr">
        <is>
          <t>991000679289702656</t>
        </is>
      </c>
      <c r="AX1054" t="inlineStr">
        <is>
          <t>991000679289702656</t>
        </is>
      </c>
      <c r="AY1054" t="inlineStr">
        <is>
          <t>2258330440002656</t>
        </is>
      </c>
      <c r="AZ1054" t="inlineStr">
        <is>
          <t>BOOK</t>
        </is>
      </c>
      <c r="BB1054" t="inlineStr">
        <is>
          <t>9780897890700</t>
        </is>
      </c>
      <c r="BC1054" t="inlineStr">
        <is>
          <t>32285001449346</t>
        </is>
      </c>
      <c r="BD1054" t="inlineStr">
        <is>
          <t>893865580</t>
        </is>
      </c>
    </row>
    <row r="1055">
      <c r="A1055" t="inlineStr">
        <is>
          <t>No</t>
        </is>
      </c>
      <c r="B1055" t="inlineStr">
        <is>
          <t>HQ1460.5 .W63</t>
        </is>
      </c>
      <c r="C1055" t="inlineStr">
        <is>
          <t>0                      HQ 1460500W  63</t>
        </is>
      </c>
      <c r="D1055" t="inlineStr">
        <is>
          <t>Women in Latin America : an anthology from Latin American perspectives / Leacock ... [et al.].</t>
        </is>
      </c>
      <c r="F1055" t="inlineStr">
        <is>
          <t>No</t>
        </is>
      </c>
      <c r="G1055" t="inlineStr">
        <is>
          <t>1</t>
        </is>
      </c>
      <c r="H1055" t="inlineStr">
        <is>
          <t>No</t>
        </is>
      </c>
      <c r="I1055" t="inlineStr">
        <is>
          <t>No</t>
        </is>
      </c>
      <c r="J1055" t="inlineStr">
        <is>
          <t>0</t>
        </is>
      </c>
      <c r="L1055" t="inlineStr">
        <is>
          <t>Riverside, Calif. : Latin American Perspectives, c1979.</t>
        </is>
      </c>
      <c r="M1055" t="inlineStr">
        <is>
          <t>1979</t>
        </is>
      </c>
      <c r="O1055" t="inlineStr">
        <is>
          <t>eng</t>
        </is>
      </c>
      <c r="P1055" t="inlineStr">
        <is>
          <t>cau</t>
        </is>
      </c>
      <c r="R1055" t="inlineStr">
        <is>
          <t xml:space="preserve">HQ </t>
        </is>
      </c>
      <c r="S1055" t="n">
        <v>23</v>
      </c>
      <c r="T1055" t="n">
        <v>23</v>
      </c>
      <c r="U1055" t="inlineStr">
        <is>
          <t>2008-03-31</t>
        </is>
      </c>
      <c r="V1055" t="inlineStr">
        <is>
          <t>2008-03-31</t>
        </is>
      </c>
      <c r="W1055" t="inlineStr">
        <is>
          <t>1998-12-21</t>
        </is>
      </c>
      <c r="X1055" t="inlineStr">
        <is>
          <t>1998-12-21</t>
        </is>
      </c>
      <c r="Y1055" t="n">
        <v>173</v>
      </c>
      <c r="Z1055" t="n">
        <v>145</v>
      </c>
      <c r="AA1055" t="n">
        <v>147</v>
      </c>
      <c r="AB1055" t="n">
        <v>1</v>
      </c>
      <c r="AC1055" t="n">
        <v>1</v>
      </c>
      <c r="AD1055" t="n">
        <v>6</v>
      </c>
      <c r="AE1055" t="n">
        <v>6</v>
      </c>
      <c r="AF1055" t="n">
        <v>2</v>
      </c>
      <c r="AG1055" t="n">
        <v>2</v>
      </c>
      <c r="AH1055" t="n">
        <v>3</v>
      </c>
      <c r="AI1055" t="n">
        <v>3</v>
      </c>
      <c r="AJ1055" t="n">
        <v>3</v>
      </c>
      <c r="AK1055" t="n">
        <v>3</v>
      </c>
      <c r="AL1055" t="n">
        <v>0</v>
      </c>
      <c r="AM1055" t="n">
        <v>0</v>
      </c>
      <c r="AN1055" t="n">
        <v>0</v>
      </c>
      <c r="AO1055" t="n">
        <v>0</v>
      </c>
      <c r="AP1055" t="inlineStr">
        <is>
          <t>No</t>
        </is>
      </c>
      <c r="AQ1055" t="inlineStr">
        <is>
          <t>Yes</t>
        </is>
      </c>
      <c r="AR1055">
        <f>HYPERLINK("http://catalog.hathitrust.org/Record/007115691","HathiTrust Record")</f>
        <v/>
      </c>
      <c r="AS1055">
        <f>HYPERLINK("https://creighton-primo.hosted.exlibrisgroup.com/primo-explore/search?tab=default_tab&amp;search_scope=EVERYTHING&amp;vid=01CRU&amp;lang=en_US&amp;offset=0&amp;query=any,contains,991004813949702656","Catalog Record")</f>
        <v/>
      </c>
      <c r="AT1055">
        <f>HYPERLINK("http://www.worldcat.org/oclc/5293034","WorldCat Record")</f>
        <v/>
      </c>
      <c r="AU1055" t="inlineStr">
        <is>
          <t>16958870:eng</t>
        </is>
      </c>
      <c r="AV1055" t="inlineStr">
        <is>
          <t>5293034</t>
        </is>
      </c>
      <c r="AW1055" t="inlineStr">
        <is>
          <t>991004813949702656</t>
        </is>
      </c>
      <c r="AX1055" t="inlineStr">
        <is>
          <t>991004813949702656</t>
        </is>
      </c>
      <c r="AY1055" t="inlineStr">
        <is>
          <t>2270175030002656</t>
        </is>
      </c>
      <c r="AZ1055" t="inlineStr">
        <is>
          <t>BOOK</t>
        </is>
      </c>
      <c r="BC1055" t="inlineStr">
        <is>
          <t>32285003262606</t>
        </is>
      </c>
      <c r="BD1055" t="inlineStr">
        <is>
          <t>893350414</t>
        </is>
      </c>
    </row>
    <row r="1056">
      <c r="A1056" t="inlineStr">
        <is>
          <t>No</t>
        </is>
      </c>
      <c r="B1056" t="inlineStr">
        <is>
          <t>HQ1460.5 .W65 1998</t>
        </is>
      </c>
      <c r="C1056" t="inlineStr">
        <is>
          <t>0                      HQ 1460500W  65          1998</t>
        </is>
      </c>
      <c r="D1056" t="inlineStr">
        <is>
          <t>Women through women's eyes : Latin American women in nineteenth-century travel accounts / edited by June E. Hahner.</t>
        </is>
      </c>
      <c r="F1056" t="inlineStr">
        <is>
          <t>No</t>
        </is>
      </c>
      <c r="G1056" t="inlineStr">
        <is>
          <t>1</t>
        </is>
      </c>
      <c r="H1056" t="inlineStr">
        <is>
          <t>No</t>
        </is>
      </c>
      <c r="I1056" t="inlineStr">
        <is>
          <t>No</t>
        </is>
      </c>
      <c r="J1056" t="inlineStr">
        <is>
          <t>0</t>
        </is>
      </c>
      <c r="L1056" t="inlineStr">
        <is>
          <t>Wilmington, Del. : SR Books, c1998.</t>
        </is>
      </c>
      <c r="M1056" t="inlineStr">
        <is>
          <t>1998</t>
        </is>
      </c>
      <c r="O1056" t="inlineStr">
        <is>
          <t>eng</t>
        </is>
      </c>
      <c r="P1056" t="inlineStr">
        <is>
          <t>deu</t>
        </is>
      </c>
      <c r="Q1056" t="inlineStr">
        <is>
          <t>Latin American silhouettes</t>
        </is>
      </c>
      <c r="R1056" t="inlineStr">
        <is>
          <t xml:space="preserve">HQ </t>
        </is>
      </c>
      <c r="S1056" t="n">
        <v>2</v>
      </c>
      <c r="T1056" t="n">
        <v>2</v>
      </c>
      <c r="U1056" t="inlineStr">
        <is>
          <t>2008-07-23</t>
        </is>
      </c>
      <c r="V1056" t="inlineStr">
        <is>
          <t>2008-07-23</t>
        </is>
      </c>
      <c r="W1056" t="inlineStr">
        <is>
          <t>2000-02-23</t>
        </is>
      </c>
      <c r="X1056" t="inlineStr">
        <is>
          <t>2000-02-23</t>
        </is>
      </c>
      <c r="Y1056" t="n">
        <v>433</v>
      </c>
      <c r="Z1056" t="n">
        <v>376</v>
      </c>
      <c r="AA1056" t="n">
        <v>1052</v>
      </c>
      <c r="AB1056" t="n">
        <v>4</v>
      </c>
      <c r="AC1056" t="n">
        <v>5</v>
      </c>
      <c r="AD1056" t="n">
        <v>25</v>
      </c>
      <c r="AE1056" t="n">
        <v>34</v>
      </c>
      <c r="AF1056" t="n">
        <v>11</v>
      </c>
      <c r="AG1056" t="n">
        <v>17</v>
      </c>
      <c r="AH1056" t="n">
        <v>7</v>
      </c>
      <c r="AI1056" t="n">
        <v>8</v>
      </c>
      <c r="AJ1056" t="n">
        <v>12</v>
      </c>
      <c r="AK1056" t="n">
        <v>15</v>
      </c>
      <c r="AL1056" t="n">
        <v>3</v>
      </c>
      <c r="AM1056" t="n">
        <v>4</v>
      </c>
      <c r="AN1056" t="n">
        <v>0</v>
      </c>
      <c r="AO1056" t="n">
        <v>0</v>
      </c>
      <c r="AP1056" t="inlineStr">
        <is>
          <t>No</t>
        </is>
      </c>
      <c r="AQ1056" t="inlineStr">
        <is>
          <t>Yes</t>
        </is>
      </c>
      <c r="AR1056">
        <f>HYPERLINK("http://catalog.hathitrust.org/Record/003998800","HathiTrust Record")</f>
        <v/>
      </c>
      <c r="AS1056">
        <f>HYPERLINK("https://creighton-primo.hosted.exlibrisgroup.com/primo-explore/search?tab=default_tab&amp;search_scope=EVERYTHING&amp;vid=01CRU&amp;lang=en_US&amp;offset=0&amp;query=any,contains,991002878559702656","Catalog Record")</f>
        <v/>
      </c>
      <c r="AT1056">
        <f>HYPERLINK("http://www.worldcat.org/oclc/37935126","WorldCat Record")</f>
        <v/>
      </c>
      <c r="AU1056" t="inlineStr">
        <is>
          <t>864033230:eng</t>
        </is>
      </c>
      <c r="AV1056" t="inlineStr">
        <is>
          <t>37935126</t>
        </is>
      </c>
      <c r="AW1056" t="inlineStr">
        <is>
          <t>991002878559702656</t>
        </is>
      </c>
      <c r="AX1056" t="inlineStr">
        <is>
          <t>991002878559702656</t>
        </is>
      </c>
      <c r="AY1056" t="inlineStr">
        <is>
          <t>2266185690002656</t>
        </is>
      </c>
      <c r="AZ1056" t="inlineStr">
        <is>
          <t>BOOK</t>
        </is>
      </c>
      <c r="BB1056" t="inlineStr">
        <is>
          <t>9780842026338</t>
        </is>
      </c>
      <c r="BC1056" t="inlineStr">
        <is>
          <t>32285003662797</t>
        </is>
      </c>
      <c r="BD1056" t="inlineStr">
        <is>
          <t>893799123</t>
        </is>
      </c>
    </row>
    <row r="1057">
      <c r="A1057" t="inlineStr">
        <is>
          <t>No</t>
        </is>
      </c>
      <c r="B1057" t="inlineStr">
        <is>
          <t>HQ1465.C84 L48 1993</t>
        </is>
      </c>
      <c r="C1057" t="inlineStr">
        <is>
          <t>0                      HQ 1465000C  84                 L  48          1993</t>
        </is>
      </c>
      <c r="D1057" t="inlineStr">
        <is>
          <t>Dolor y alegría : women and social change in urban Mexico / Sarah LeVine in collaboration with Clara Sunderland Correa.</t>
        </is>
      </c>
      <c r="F1057" t="inlineStr">
        <is>
          <t>No</t>
        </is>
      </c>
      <c r="G1057" t="inlineStr">
        <is>
          <t>1</t>
        </is>
      </c>
      <c r="H1057" t="inlineStr">
        <is>
          <t>No</t>
        </is>
      </c>
      <c r="I1057" t="inlineStr">
        <is>
          <t>No</t>
        </is>
      </c>
      <c r="J1057" t="inlineStr">
        <is>
          <t>0</t>
        </is>
      </c>
      <c r="K1057" t="inlineStr">
        <is>
          <t>LeVine, Sarah, 1940-</t>
        </is>
      </c>
      <c r="L1057" t="inlineStr">
        <is>
          <t>Madison, Wis. : University of Wisconsin Press, c1993.</t>
        </is>
      </c>
      <c r="M1057" t="inlineStr">
        <is>
          <t>1993</t>
        </is>
      </c>
      <c r="O1057" t="inlineStr">
        <is>
          <t>eng</t>
        </is>
      </c>
      <c r="P1057" t="inlineStr">
        <is>
          <t>wiu</t>
        </is>
      </c>
      <c r="Q1057" t="inlineStr">
        <is>
          <t>Life course studies</t>
        </is>
      </c>
      <c r="R1057" t="inlineStr">
        <is>
          <t xml:space="preserve">HQ </t>
        </is>
      </c>
      <c r="S1057" t="n">
        <v>5</v>
      </c>
      <c r="T1057" t="n">
        <v>5</v>
      </c>
      <c r="U1057" t="inlineStr">
        <is>
          <t>2003-04-25</t>
        </is>
      </c>
      <c r="V1057" t="inlineStr">
        <is>
          <t>2003-04-25</t>
        </is>
      </c>
      <c r="W1057" t="inlineStr">
        <is>
          <t>1994-01-26</t>
        </is>
      </c>
      <c r="X1057" t="inlineStr">
        <is>
          <t>1994-01-26</t>
        </is>
      </c>
      <c r="Y1057" t="n">
        <v>470</v>
      </c>
      <c r="Z1057" t="n">
        <v>412</v>
      </c>
      <c r="AA1057" t="n">
        <v>419</v>
      </c>
      <c r="AB1057" t="n">
        <v>2</v>
      </c>
      <c r="AC1057" t="n">
        <v>2</v>
      </c>
      <c r="AD1057" t="n">
        <v>19</v>
      </c>
      <c r="AE1057" t="n">
        <v>19</v>
      </c>
      <c r="AF1057" t="n">
        <v>6</v>
      </c>
      <c r="AG1057" t="n">
        <v>6</v>
      </c>
      <c r="AH1057" t="n">
        <v>5</v>
      </c>
      <c r="AI1057" t="n">
        <v>5</v>
      </c>
      <c r="AJ1057" t="n">
        <v>13</v>
      </c>
      <c r="AK1057" t="n">
        <v>13</v>
      </c>
      <c r="AL1057" t="n">
        <v>1</v>
      </c>
      <c r="AM1057" t="n">
        <v>1</v>
      </c>
      <c r="AN1057" t="n">
        <v>0</v>
      </c>
      <c r="AO1057" t="n">
        <v>0</v>
      </c>
      <c r="AP1057" t="inlineStr">
        <is>
          <t>No</t>
        </is>
      </c>
      <c r="AQ1057" t="inlineStr">
        <is>
          <t>Yes</t>
        </is>
      </c>
      <c r="AR1057">
        <f>HYPERLINK("http://catalog.hathitrust.org/Record/002708376","HathiTrust Record")</f>
        <v/>
      </c>
      <c r="AS1057">
        <f>HYPERLINK("https://creighton-primo.hosted.exlibrisgroup.com/primo-explore/search?tab=default_tab&amp;search_scope=EVERYTHING&amp;vid=01CRU&amp;lang=en_US&amp;offset=0&amp;query=any,contains,991002099009702656","Catalog Record")</f>
        <v/>
      </c>
      <c r="AT1057">
        <f>HYPERLINK("http://www.worldcat.org/oclc/26932125","WorldCat Record")</f>
        <v/>
      </c>
      <c r="AU1057" t="inlineStr">
        <is>
          <t>329736:eng</t>
        </is>
      </c>
      <c r="AV1057" t="inlineStr">
        <is>
          <t>26932125</t>
        </is>
      </c>
      <c r="AW1057" t="inlineStr">
        <is>
          <t>991002099009702656</t>
        </is>
      </c>
      <c r="AX1057" t="inlineStr">
        <is>
          <t>991002099009702656</t>
        </is>
      </c>
      <c r="AY1057" t="inlineStr">
        <is>
          <t>2259914660002656</t>
        </is>
      </c>
      <c r="AZ1057" t="inlineStr">
        <is>
          <t>BOOK</t>
        </is>
      </c>
      <c r="BB1057" t="inlineStr">
        <is>
          <t>9780299137908</t>
        </is>
      </c>
      <c r="BC1057" t="inlineStr">
        <is>
          <t>32285001833184</t>
        </is>
      </c>
      <c r="BD1057" t="inlineStr">
        <is>
          <t>893420945</t>
        </is>
      </c>
    </row>
    <row r="1058">
      <c r="A1058" t="inlineStr">
        <is>
          <t>No</t>
        </is>
      </c>
      <c r="B1058" t="inlineStr">
        <is>
          <t>HQ1465.M6 A77 1985</t>
        </is>
      </c>
      <c r="C1058" t="inlineStr">
        <is>
          <t>0                      HQ 1465000M  6                  A  77          1985</t>
        </is>
      </c>
      <c r="D1058" t="inlineStr">
        <is>
          <t>The women of Mexico City, 1790-1857 / Silvia Marina Arrom.</t>
        </is>
      </c>
      <c r="F1058" t="inlineStr">
        <is>
          <t>No</t>
        </is>
      </c>
      <c r="G1058" t="inlineStr">
        <is>
          <t>1</t>
        </is>
      </c>
      <c r="H1058" t="inlineStr">
        <is>
          <t>No</t>
        </is>
      </c>
      <c r="I1058" t="inlineStr">
        <is>
          <t>No</t>
        </is>
      </c>
      <c r="J1058" t="inlineStr">
        <is>
          <t>0</t>
        </is>
      </c>
      <c r="K1058" t="inlineStr">
        <is>
          <t>Arrom, Silvia Marina, 1949-</t>
        </is>
      </c>
      <c r="L1058" t="inlineStr">
        <is>
          <t>Stanford, Calif. : Stanford University Press, 1985.</t>
        </is>
      </c>
      <c r="M1058" t="inlineStr">
        <is>
          <t>1985</t>
        </is>
      </c>
      <c r="O1058" t="inlineStr">
        <is>
          <t>eng</t>
        </is>
      </c>
      <c r="P1058" t="inlineStr">
        <is>
          <t>cau</t>
        </is>
      </c>
      <c r="R1058" t="inlineStr">
        <is>
          <t xml:space="preserve">HQ </t>
        </is>
      </c>
      <c r="S1058" t="n">
        <v>6</v>
      </c>
      <c r="T1058" t="n">
        <v>6</v>
      </c>
      <c r="U1058" t="inlineStr">
        <is>
          <t>2003-04-25</t>
        </is>
      </c>
      <c r="V1058" t="inlineStr">
        <is>
          <t>2003-04-25</t>
        </is>
      </c>
      <c r="W1058" t="inlineStr">
        <is>
          <t>1993-04-29</t>
        </is>
      </c>
      <c r="X1058" t="inlineStr">
        <is>
          <t>1993-04-29</t>
        </is>
      </c>
      <c r="Y1058" t="n">
        <v>563</v>
      </c>
      <c r="Z1058" t="n">
        <v>470</v>
      </c>
      <c r="AA1058" t="n">
        <v>602</v>
      </c>
      <c r="AB1058" t="n">
        <v>3</v>
      </c>
      <c r="AC1058" t="n">
        <v>4</v>
      </c>
      <c r="AD1058" t="n">
        <v>29</v>
      </c>
      <c r="AE1058" t="n">
        <v>35</v>
      </c>
      <c r="AF1058" t="n">
        <v>13</v>
      </c>
      <c r="AG1058" t="n">
        <v>15</v>
      </c>
      <c r="AH1058" t="n">
        <v>8</v>
      </c>
      <c r="AI1058" t="n">
        <v>9</v>
      </c>
      <c r="AJ1058" t="n">
        <v>14</v>
      </c>
      <c r="AK1058" t="n">
        <v>17</v>
      </c>
      <c r="AL1058" t="n">
        <v>2</v>
      </c>
      <c r="AM1058" t="n">
        <v>3</v>
      </c>
      <c r="AN1058" t="n">
        <v>0</v>
      </c>
      <c r="AO1058" t="n">
        <v>0</v>
      </c>
      <c r="AP1058" t="inlineStr">
        <is>
          <t>No</t>
        </is>
      </c>
      <c r="AQ1058" t="inlineStr">
        <is>
          <t>No</t>
        </is>
      </c>
      <c r="AS1058">
        <f>HYPERLINK("https://creighton-primo.hosted.exlibrisgroup.com/primo-explore/search?tab=default_tab&amp;search_scope=EVERYTHING&amp;vid=01CRU&amp;lang=en_US&amp;offset=0&amp;query=any,contains,991000503189702656","Catalog Record")</f>
        <v/>
      </c>
      <c r="AT1058">
        <f>HYPERLINK("http://www.worldcat.org/oclc/11187655","WorldCat Record")</f>
        <v/>
      </c>
      <c r="AU1058" t="inlineStr">
        <is>
          <t>4160890:eng</t>
        </is>
      </c>
      <c r="AV1058" t="inlineStr">
        <is>
          <t>11187655</t>
        </is>
      </c>
      <c r="AW1058" t="inlineStr">
        <is>
          <t>991000503189702656</t>
        </is>
      </c>
      <c r="AX1058" t="inlineStr">
        <is>
          <t>991000503189702656</t>
        </is>
      </c>
      <c r="AY1058" t="inlineStr">
        <is>
          <t>2263465550002656</t>
        </is>
      </c>
      <c r="AZ1058" t="inlineStr">
        <is>
          <t>BOOK</t>
        </is>
      </c>
      <c r="BB1058" t="inlineStr">
        <is>
          <t>9780804712330</t>
        </is>
      </c>
      <c r="BC1058" t="inlineStr">
        <is>
          <t>32285001630986</t>
        </is>
      </c>
      <c r="BD1058" t="inlineStr">
        <is>
          <t>893607962</t>
        </is>
      </c>
    </row>
    <row r="1059">
      <c r="A1059" t="inlineStr">
        <is>
          <t>No</t>
        </is>
      </c>
      <c r="B1059" t="inlineStr">
        <is>
          <t>HQ1488 .H67 1995</t>
        </is>
      </c>
      <c r="C1059" t="inlineStr">
        <is>
          <t>0                      HQ 1488000H  67          1995</t>
        </is>
      </c>
      <c r="D1059" t="inlineStr">
        <is>
          <t>A high price to pay : structural adjustment and women in Nicaragua / written by Sharon Hostetler, JoAnn Lynen, Leia Raphaelidis.</t>
        </is>
      </c>
      <c r="F1059" t="inlineStr">
        <is>
          <t>No</t>
        </is>
      </c>
      <c r="G1059" t="inlineStr">
        <is>
          <t>1</t>
        </is>
      </c>
      <c r="H1059" t="inlineStr">
        <is>
          <t>No</t>
        </is>
      </c>
      <c r="I1059" t="inlineStr">
        <is>
          <t>No</t>
        </is>
      </c>
      <c r="J1059" t="inlineStr">
        <is>
          <t>0</t>
        </is>
      </c>
      <c r="K1059" t="inlineStr">
        <is>
          <t>Hostetler, Sharon.</t>
        </is>
      </c>
      <c r="L1059" t="inlineStr">
        <is>
          <t>Washington, D.C. : Witness for Peace, [1995]</t>
        </is>
      </c>
      <c r="M1059" t="inlineStr">
        <is>
          <t>1995</t>
        </is>
      </c>
      <c r="O1059" t="inlineStr">
        <is>
          <t>eng</t>
        </is>
      </c>
      <c r="P1059" t="inlineStr">
        <is>
          <t>dcu</t>
        </is>
      </c>
      <c r="R1059" t="inlineStr">
        <is>
          <t xml:space="preserve">HQ </t>
        </is>
      </c>
      <c r="S1059" t="n">
        <v>2</v>
      </c>
      <c r="T1059" t="n">
        <v>2</v>
      </c>
      <c r="U1059" t="inlineStr">
        <is>
          <t>2001-04-18</t>
        </is>
      </c>
      <c r="V1059" t="inlineStr">
        <is>
          <t>2001-04-18</t>
        </is>
      </c>
      <c r="W1059" t="inlineStr">
        <is>
          <t>1997-09-04</t>
        </is>
      </c>
      <c r="X1059" t="inlineStr">
        <is>
          <t>1997-09-04</t>
        </is>
      </c>
      <c r="Y1059" t="n">
        <v>16</v>
      </c>
      <c r="Z1059" t="n">
        <v>16</v>
      </c>
      <c r="AA1059" t="n">
        <v>16</v>
      </c>
      <c r="AB1059" t="n">
        <v>1</v>
      </c>
      <c r="AC1059" t="n">
        <v>1</v>
      </c>
      <c r="AD1059" t="n">
        <v>0</v>
      </c>
      <c r="AE1059" t="n">
        <v>0</v>
      </c>
      <c r="AF1059" t="n">
        <v>0</v>
      </c>
      <c r="AG1059" t="n">
        <v>0</v>
      </c>
      <c r="AH1059" t="n">
        <v>0</v>
      </c>
      <c r="AI1059" t="n">
        <v>0</v>
      </c>
      <c r="AJ1059" t="n">
        <v>0</v>
      </c>
      <c r="AK1059" t="n">
        <v>0</v>
      </c>
      <c r="AL1059" t="n">
        <v>0</v>
      </c>
      <c r="AM1059" t="n">
        <v>0</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HYPERLINK("https://creighton-primo.hosted.exlibrisgroup.com/primo-explore/search?tab=default_tab&amp;search_scope=EVERYTHING&amp;vid=01CRU&amp;lang=en_US&amp;offset=0&amp;query=any,contains,991002807819702656","Catalog Record")</f>
        <v/>
      </c>
      <c r="AT1059">
        <f>HYPERLINK("http://www.worldcat.org/oclc/36889196","WorldCat Record")</f>
        <v/>
      </c>
      <c r="AU1059" t="inlineStr">
        <is>
          <t>45716919:eng</t>
        </is>
      </c>
      <c r="AV1059" t="inlineStr">
        <is>
          <t>36889196</t>
        </is>
      </c>
      <c r="AW1059" t="inlineStr">
        <is>
          <t>991002807819702656</t>
        </is>
      </c>
      <c r="AX1059" t="inlineStr">
        <is>
          <t>991002807819702656</t>
        </is>
      </c>
      <c r="AY1059" t="inlineStr">
        <is>
          <t>2271487580002656</t>
        </is>
      </c>
      <c r="AZ1059" t="inlineStr">
        <is>
          <t>BOOK</t>
        </is>
      </c>
      <c r="BC1059" t="inlineStr">
        <is>
          <t>32285003003380</t>
        </is>
      </c>
      <c r="BD1059" t="inlineStr">
        <is>
          <t>893610325</t>
        </is>
      </c>
    </row>
    <row r="1060">
      <c r="A1060" t="inlineStr">
        <is>
          <t>No</t>
        </is>
      </c>
      <c r="B1060" t="inlineStr">
        <is>
          <t>HQ1501 .D375 1997</t>
        </is>
      </c>
      <c r="C1060" t="inlineStr">
        <is>
          <t>0                      HQ 1501000D  375         1997</t>
        </is>
      </c>
      <c r="D1060" t="inlineStr">
        <is>
          <t>Daughters of Caliban : Caribbean women in the twentieth century / edited by Consuelo López Springfield.</t>
        </is>
      </c>
      <c r="F1060" t="inlineStr">
        <is>
          <t>No</t>
        </is>
      </c>
      <c r="G1060" t="inlineStr">
        <is>
          <t>1</t>
        </is>
      </c>
      <c r="H1060" t="inlineStr">
        <is>
          <t>No</t>
        </is>
      </c>
      <c r="I1060" t="inlineStr">
        <is>
          <t>No</t>
        </is>
      </c>
      <c r="J1060" t="inlineStr">
        <is>
          <t>0</t>
        </is>
      </c>
      <c r="L1060" t="inlineStr">
        <is>
          <t>Bloomington : Indiana University Press, 1997.</t>
        </is>
      </c>
      <c r="M1060" t="inlineStr">
        <is>
          <t>1997</t>
        </is>
      </c>
      <c r="O1060" t="inlineStr">
        <is>
          <t>eng</t>
        </is>
      </c>
      <c r="P1060" t="inlineStr">
        <is>
          <t>inu</t>
        </is>
      </c>
      <c r="R1060" t="inlineStr">
        <is>
          <t xml:space="preserve">HQ </t>
        </is>
      </c>
      <c r="S1060" t="n">
        <v>6</v>
      </c>
      <c r="T1060" t="n">
        <v>6</v>
      </c>
      <c r="U1060" t="inlineStr">
        <is>
          <t>2007-09-27</t>
        </is>
      </c>
      <c r="V1060" t="inlineStr">
        <is>
          <t>2007-09-27</t>
        </is>
      </c>
      <c r="W1060" t="inlineStr">
        <is>
          <t>1999-04-13</t>
        </is>
      </c>
      <c r="X1060" t="inlineStr">
        <is>
          <t>1999-04-13</t>
        </is>
      </c>
      <c r="Y1060" t="n">
        <v>538</v>
      </c>
      <c r="Z1060" t="n">
        <v>435</v>
      </c>
      <c r="AA1060" t="n">
        <v>438</v>
      </c>
      <c r="AB1060" t="n">
        <v>4</v>
      </c>
      <c r="AC1060" t="n">
        <v>4</v>
      </c>
      <c r="AD1060" t="n">
        <v>23</v>
      </c>
      <c r="AE1060" t="n">
        <v>23</v>
      </c>
      <c r="AF1060" t="n">
        <v>6</v>
      </c>
      <c r="AG1060" t="n">
        <v>6</v>
      </c>
      <c r="AH1060" t="n">
        <v>7</v>
      </c>
      <c r="AI1060" t="n">
        <v>7</v>
      </c>
      <c r="AJ1060" t="n">
        <v>14</v>
      </c>
      <c r="AK1060" t="n">
        <v>14</v>
      </c>
      <c r="AL1060" t="n">
        <v>3</v>
      </c>
      <c r="AM1060" t="n">
        <v>3</v>
      </c>
      <c r="AN1060" t="n">
        <v>0</v>
      </c>
      <c r="AO1060" t="n">
        <v>0</v>
      </c>
      <c r="AP1060" t="inlineStr">
        <is>
          <t>No</t>
        </is>
      </c>
      <c r="AQ1060" t="inlineStr">
        <is>
          <t>Yes</t>
        </is>
      </c>
      <c r="AR1060">
        <f>HYPERLINK("http://catalog.hathitrust.org/Record/003944873","HathiTrust Record")</f>
        <v/>
      </c>
      <c r="AS1060">
        <f>HYPERLINK("https://creighton-primo.hosted.exlibrisgroup.com/primo-explore/search?tab=default_tab&amp;search_scope=EVERYTHING&amp;vid=01CRU&amp;lang=en_US&amp;offset=0&amp;query=any,contains,991005424709702656","Catalog Record")</f>
        <v/>
      </c>
      <c r="AT1060">
        <f>HYPERLINK("http://www.worldcat.org/oclc/35298653","WorldCat Record")</f>
        <v/>
      </c>
      <c r="AU1060" t="inlineStr">
        <is>
          <t>837008271:eng</t>
        </is>
      </c>
      <c r="AV1060" t="inlineStr">
        <is>
          <t>35298653</t>
        </is>
      </c>
      <c r="AW1060" t="inlineStr">
        <is>
          <t>991005424709702656</t>
        </is>
      </c>
      <c r="AX1060" t="inlineStr">
        <is>
          <t>991005424709702656</t>
        </is>
      </c>
      <c r="AY1060" t="inlineStr">
        <is>
          <t>2260405550002656</t>
        </is>
      </c>
      <c r="AZ1060" t="inlineStr">
        <is>
          <t>BOOK</t>
        </is>
      </c>
      <c r="BB1060" t="inlineStr">
        <is>
          <t>9780253210920</t>
        </is>
      </c>
      <c r="BC1060" t="inlineStr">
        <is>
          <t>32285003551784</t>
        </is>
      </c>
      <c r="BD1060" t="inlineStr">
        <is>
          <t>893230681</t>
        </is>
      </c>
    </row>
    <row r="1061">
      <c r="A1061" t="inlineStr">
        <is>
          <t>No</t>
        </is>
      </c>
      <c r="B1061" t="inlineStr">
        <is>
          <t>HQ1507 .F47 1998</t>
        </is>
      </c>
      <c r="C1061" t="inlineStr">
        <is>
          <t>0                      HQ 1507000F  47          1998</t>
        </is>
      </c>
      <c r="D1061" t="inlineStr">
        <is>
          <t>Luz y sombra de mujer : entrevistas / Yamilé Ferrán, Maithée Rodríguez.</t>
        </is>
      </c>
      <c r="F1061" t="inlineStr">
        <is>
          <t>No</t>
        </is>
      </c>
      <c r="G1061" t="inlineStr">
        <is>
          <t>1</t>
        </is>
      </c>
      <c r="H1061" t="inlineStr">
        <is>
          <t>No</t>
        </is>
      </c>
      <c r="I1061" t="inlineStr">
        <is>
          <t>No</t>
        </is>
      </c>
      <c r="J1061" t="inlineStr">
        <is>
          <t>0</t>
        </is>
      </c>
      <c r="K1061" t="inlineStr">
        <is>
          <t>Ferrán, Yamilé.</t>
        </is>
      </c>
      <c r="L1061" t="inlineStr">
        <is>
          <t>La Habana, Cuba : Editorial Letras Cubanas, c1998.</t>
        </is>
      </c>
      <c r="M1061" t="inlineStr">
        <is>
          <t>1998</t>
        </is>
      </c>
      <c r="O1061" t="inlineStr">
        <is>
          <t>spa</t>
        </is>
      </c>
      <c r="P1061" t="inlineStr">
        <is>
          <t xml:space="preserve">cu </t>
        </is>
      </c>
      <c r="R1061" t="inlineStr">
        <is>
          <t xml:space="preserve">HQ </t>
        </is>
      </c>
      <c r="S1061" t="n">
        <v>1</v>
      </c>
      <c r="T1061" t="n">
        <v>1</v>
      </c>
      <c r="U1061" t="inlineStr">
        <is>
          <t>2000-09-20</t>
        </is>
      </c>
      <c r="V1061" t="inlineStr">
        <is>
          <t>2000-09-20</t>
        </is>
      </c>
      <c r="W1061" t="inlineStr">
        <is>
          <t>2000-09-20</t>
        </is>
      </c>
      <c r="X1061" t="inlineStr">
        <is>
          <t>2000-09-20</t>
        </is>
      </c>
      <c r="Y1061" t="n">
        <v>36</v>
      </c>
      <c r="Z1061" t="n">
        <v>32</v>
      </c>
      <c r="AA1061" t="n">
        <v>34</v>
      </c>
      <c r="AB1061" t="n">
        <v>1</v>
      </c>
      <c r="AC1061" t="n">
        <v>1</v>
      </c>
      <c r="AD1061" t="n">
        <v>0</v>
      </c>
      <c r="AE1061" t="n">
        <v>0</v>
      </c>
      <c r="AF1061" t="n">
        <v>0</v>
      </c>
      <c r="AG1061" t="n">
        <v>0</v>
      </c>
      <c r="AH1061" t="n">
        <v>0</v>
      </c>
      <c r="AI1061" t="n">
        <v>0</v>
      </c>
      <c r="AJ1061" t="n">
        <v>0</v>
      </c>
      <c r="AK1061" t="n">
        <v>0</v>
      </c>
      <c r="AL1061" t="n">
        <v>0</v>
      </c>
      <c r="AM1061" t="n">
        <v>0</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HYPERLINK("https://creighton-primo.hosted.exlibrisgroup.com/primo-explore/search?tab=default_tab&amp;search_scope=EVERYTHING&amp;vid=01CRU&amp;lang=en_US&amp;offset=0&amp;query=any,contains,991003252559702656","Catalog Record")</f>
        <v/>
      </c>
      <c r="AT1061">
        <f>HYPERLINK("http://www.worldcat.org/oclc/42195697","WorldCat Record")</f>
        <v/>
      </c>
      <c r="AU1061" t="inlineStr">
        <is>
          <t>477730405:spa</t>
        </is>
      </c>
      <c r="AV1061" t="inlineStr">
        <is>
          <t>42195697</t>
        </is>
      </c>
      <c r="AW1061" t="inlineStr">
        <is>
          <t>991003252559702656</t>
        </is>
      </c>
      <c r="AX1061" t="inlineStr">
        <is>
          <t>991003252559702656</t>
        </is>
      </c>
      <c r="AY1061" t="inlineStr">
        <is>
          <t>2264094570002656</t>
        </is>
      </c>
      <c r="AZ1061" t="inlineStr">
        <is>
          <t>BOOK</t>
        </is>
      </c>
      <c r="BB1061" t="inlineStr">
        <is>
          <t>9789591004390</t>
        </is>
      </c>
      <c r="BC1061" t="inlineStr">
        <is>
          <t>32285003763686</t>
        </is>
      </c>
      <c r="BD1061" t="inlineStr">
        <is>
          <t>893342384</t>
        </is>
      </c>
    </row>
    <row r="1062">
      <c r="A1062" t="inlineStr">
        <is>
          <t>No</t>
        </is>
      </c>
      <c r="B1062" t="inlineStr">
        <is>
          <t>HQ1514 .E53 1985</t>
        </is>
      </c>
      <c r="C1062" t="inlineStr">
        <is>
          <t>0                      HQ 1514000E  53          1985</t>
        </is>
      </c>
      <c r="D1062" t="inlineStr">
        <is>
          <t>Indicadores sobre mujer y familia rurales en República Dominicana / Encuesta Nacional de Mujeres Rurales, 1985 ; Milagros Dottin [compiladora].</t>
        </is>
      </c>
      <c r="F1062" t="inlineStr">
        <is>
          <t>No</t>
        </is>
      </c>
      <c r="G1062" t="inlineStr">
        <is>
          <t>1</t>
        </is>
      </c>
      <c r="H1062" t="inlineStr">
        <is>
          <t>No</t>
        </is>
      </c>
      <c r="I1062" t="inlineStr">
        <is>
          <t>No</t>
        </is>
      </c>
      <c r="J1062" t="inlineStr">
        <is>
          <t>0</t>
        </is>
      </c>
      <c r="K1062" t="inlineStr">
        <is>
          <t>Encuesta Nacional de Mujeres Rurales (1984-1985 : Santo Domingo, Dominican Republic?)</t>
        </is>
      </c>
      <c r="L1062" t="inlineStr">
        <is>
          <t>Santo Domingo : Centro de Investigación para la Acción Femenina, 1987.</t>
        </is>
      </c>
      <c r="M1062" t="inlineStr">
        <is>
          <t>1987</t>
        </is>
      </c>
      <c r="O1062" t="inlineStr">
        <is>
          <t>spa</t>
        </is>
      </c>
      <c r="P1062" t="inlineStr">
        <is>
          <t xml:space="preserve">dr </t>
        </is>
      </c>
      <c r="Q1062" t="inlineStr">
        <is>
          <t>Colección Teoría</t>
        </is>
      </c>
      <c r="R1062" t="inlineStr">
        <is>
          <t xml:space="preserve">HQ </t>
        </is>
      </c>
      <c r="S1062" t="n">
        <v>1</v>
      </c>
      <c r="T1062" t="n">
        <v>1</v>
      </c>
      <c r="U1062" t="inlineStr">
        <is>
          <t>2003-06-25</t>
        </is>
      </c>
      <c r="V1062" t="inlineStr">
        <is>
          <t>2003-06-25</t>
        </is>
      </c>
      <c r="W1062" t="inlineStr">
        <is>
          <t>1997-01-16</t>
        </is>
      </c>
      <c r="X1062" t="inlineStr">
        <is>
          <t>1997-01-16</t>
        </is>
      </c>
      <c r="Y1062" t="n">
        <v>32</v>
      </c>
      <c r="Z1062" t="n">
        <v>24</v>
      </c>
      <c r="AA1062" t="n">
        <v>26</v>
      </c>
      <c r="AB1062" t="n">
        <v>1</v>
      </c>
      <c r="AC1062" t="n">
        <v>1</v>
      </c>
      <c r="AD1062" t="n">
        <v>0</v>
      </c>
      <c r="AE1062" t="n">
        <v>0</v>
      </c>
      <c r="AF1062" t="n">
        <v>0</v>
      </c>
      <c r="AG1062" t="n">
        <v>0</v>
      </c>
      <c r="AH1062" t="n">
        <v>0</v>
      </c>
      <c r="AI1062" t="n">
        <v>0</v>
      </c>
      <c r="AJ1062" t="n">
        <v>0</v>
      </c>
      <c r="AK1062" t="n">
        <v>0</v>
      </c>
      <c r="AL1062" t="n">
        <v>0</v>
      </c>
      <c r="AM1062" t="n">
        <v>0</v>
      </c>
      <c r="AN1062" t="n">
        <v>0</v>
      </c>
      <c r="AO1062" t="n">
        <v>0</v>
      </c>
      <c r="AP1062" t="inlineStr">
        <is>
          <t>No</t>
        </is>
      </c>
      <c r="AQ1062" t="inlineStr">
        <is>
          <t>Yes</t>
        </is>
      </c>
      <c r="AR1062">
        <f>HYPERLINK("http://catalog.hathitrust.org/Record/101880067","HathiTrust Record")</f>
        <v/>
      </c>
      <c r="AS1062">
        <f>HYPERLINK("https://creighton-primo.hosted.exlibrisgroup.com/primo-explore/search?tab=default_tab&amp;search_scope=EVERYTHING&amp;vid=01CRU&amp;lang=en_US&amp;offset=0&amp;query=any,contains,991001328809702656","Catalog Record")</f>
        <v/>
      </c>
      <c r="AT1062">
        <f>HYPERLINK("http://www.worldcat.org/oclc/18292521","WorldCat Record")</f>
        <v/>
      </c>
      <c r="AU1062" t="inlineStr">
        <is>
          <t>368125684:spa</t>
        </is>
      </c>
      <c r="AV1062" t="inlineStr">
        <is>
          <t>18292521</t>
        </is>
      </c>
      <c r="AW1062" t="inlineStr">
        <is>
          <t>991001328809702656</t>
        </is>
      </c>
      <c r="AX1062" t="inlineStr">
        <is>
          <t>991001328809702656</t>
        </is>
      </c>
      <c r="AY1062" t="inlineStr">
        <is>
          <t>2266271620002656</t>
        </is>
      </c>
      <c r="AZ1062" t="inlineStr">
        <is>
          <t>BOOK</t>
        </is>
      </c>
      <c r="BC1062" t="inlineStr">
        <is>
          <t>32285004676952</t>
        </is>
      </c>
      <c r="BD1062" t="inlineStr">
        <is>
          <t>893897709</t>
        </is>
      </c>
    </row>
    <row r="1063">
      <c r="A1063" t="inlineStr">
        <is>
          <t>No</t>
        </is>
      </c>
      <c r="B1063" t="inlineStr">
        <is>
          <t>HQ1514 .L43 2000</t>
        </is>
      </c>
      <c r="C1063" t="inlineStr">
        <is>
          <t>0                      HQ 1514000L  43          2000</t>
        </is>
      </c>
      <c r="D1063" t="inlineStr">
        <is>
          <t>La mujer en la gesta heroica de la Independencia Nacional : lágrimas, sacrificio y renunciamiento / Rosa Lebrón de Anico.</t>
        </is>
      </c>
      <c r="F1063" t="inlineStr">
        <is>
          <t>No</t>
        </is>
      </c>
      <c r="G1063" t="inlineStr">
        <is>
          <t>1</t>
        </is>
      </c>
      <c r="H1063" t="inlineStr">
        <is>
          <t>No</t>
        </is>
      </c>
      <c r="I1063" t="inlineStr">
        <is>
          <t>No</t>
        </is>
      </c>
      <c r="J1063" t="inlineStr">
        <is>
          <t>0</t>
        </is>
      </c>
      <c r="K1063" t="inlineStr">
        <is>
          <t>Lebron de Anico, Rosa.</t>
        </is>
      </c>
      <c r="L1063" t="inlineStr">
        <is>
          <t>Santo Domingo, República Dominicana : Ediciones Librería la Trinitaria, 2000.</t>
        </is>
      </c>
      <c r="M1063" t="inlineStr">
        <is>
          <t>2000</t>
        </is>
      </c>
      <c r="N1063" t="inlineStr">
        <is>
          <t>1a ed.</t>
        </is>
      </c>
      <c r="O1063" t="inlineStr">
        <is>
          <t>spa</t>
        </is>
      </c>
      <c r="P1063" t="inlineStr">
        <is>
          <t xml:space="preserve">dr </t>
        </is>
      </c>
      <c r="R1063" t="inlineStr">
        <is>
          <t xml:space="preserve">HQ </t>
        </is>
      </c>
      <c r="S1063" t="n">
        <v>1</v>
      </c>
      <c r="T1063" t="n">
        <v>1</v>
      </c>
      <c r="U1063" t="inlineStr">
        <is>
          <t>2001-08-29</t>
        </is>
      </c>
      <c r="V1063" t="inlineStr">
        <is>
          <t>2001-08-29</t>
        </is>
      </c>
      <c r="W1063" t="inlineStr">
        <is>
          <t>2001-08-29</t>
        </is>
      </c>
      <c r="X1063" t="inlineStr">
        <is>
          <t>2001-08-29</t>
        </is>
      </c>
      <c r="Y1063" t="n">
        <v>31</v>
      </c>
      <c r="Z1063" t="n">
        <v>31</v>
      </c>
      <c r="AA1063" t="n">
        <v>32</v>
      </c>
      <c r="AB1063" t="n">
        <v>1</v>
      </c>
      <c r="AC1063" t="n">
        <v>1</v>
      </c>
      <c r="AD1063" t="n">
        <v>1</v>
      </c>
      <c r="AE1063" t="n">
        <v>1</v>
      </c>
      <c r="AF1063" t="n">
        <v>0</v>
      </c>
      <c r="AG1063" t="n">
        <v>0</v>
      </c>
      <c r="AH1063" t="n">
        <v>1</v>
      </c>
      <c r="AI1063" t="n">
        <v>1</v>
      </c>
      <c r="AJ1063" t="n">
        <v>0</v>
      </c>
      <c r="AK1063" t="n">
        <v>0</v>
      </c>
      <c r="AL1063" t="n">
        <v>0</v>
      </c>
      <c r="AM1063" t="n">
        <v>0</v>
      </c>
      <c r="AN1063" t="n">
        <v>0</v>
      </c>
      <c r="AO1063" t="n">
        <v>0</v>
      </c>
      <c r="AP1063" t="inlineStr">
        <is>
          <t>No</t>
        </is>
      </c>
      <c r="AQ1063" t="inlineStr">
        <is>
          <t>No</t>
        </is>
      </c>
      <c r="AS1063">
        <f>HYPERLINK("https://creighton-primo.hosted.exlibrisgroup.com/primo-explore/search?tab=default_tab&amp;search_scope=EVERYTHING&amp;vid=01CRU&amp;lang=en_US&amp;offset=0&amp;query=any,contains,991003546309702656","Catalog Record")</f>
        <v/>
      </c>
      <c r="AT1063">
        <f>HYPERLINK("http://www.worldcat.org/oclc/50920586","WorldCat Record")</f>
        <v/>
      </c>
      <c r="AU1063" t="inlineStr">
        <is>
          <t>478043332:spa</t>
        </is>
      </c>
      <c r="AV1063" t="inlineStr">
        <is>
          <t>50920586</t>
        </is>
      </c>
      <c r="AW1063" t="inlineStr">
        <is>
          <t>991003546309702656</t>
        </is>
      </c>
      <c r="AX1063" t="inlineStr">
        <is>
          <t>991003546309702656</t>
        </is>
      </c>
      <c r="AY1063" t="inlineStr">
        <is>
          <t>2263440230002656</t>
        </is>
      </c>
      <c r="AZ1063" t="inlineStr">
        <is>
          <t>BOOK</t>
        </is>
      </c>
      <c r="BB1063" t="inlineStr">
        <is>
          <t>9789993401599</t>
        </is>
      </c>
      <c r="BC1063" t="inlineStr">
        <is>
          <t>32285004382296</t>
        </is>
      </c>
      <c r="BD1063" t="inlineStr">
        <is>
          <t>893793720</t>
        </is>
      </c>
    </row>
    <row r="1064">
      <c r="A1064" t="inlineStr">
        <is>
          <t>No</t>
        </is>
      </c>
      <c r="B1064" t="inlineStr">
        <is>
          <t>HQ1514 .M33 2001</t>
        </is>
      </c>
      <c r="C1064" t="inlineStr">
        <is>
          <t>0                      HQ 1514000M  33          2001</t>
        </is>
      </c>
      <c r="D1064" t="inlineStr">
        <is>
          <t>Madres, maestras y militantes dominicanas (fundadoras) : ensayos selectos / selección y prólogo, Daisy Cocco De Filippis.</t>
        </is>
      </c>
      <c r="F1064" t="inlineStr">
        <is>
          <t>No</t>
        </is>
      </c>
      <c r="G1064" t="inlineStr">
        <is>
          <t>1</t>
        </is>
      </c>
      <c r="H1064" t="inlineStr">
        <is>
          <t>No</t>
        </is>
      </c>
      <c r="I1064" t="inlineStr">
        <is>
          <t>No</t>
        </is>
      </c>
      <c r="J1064" t="inlineStr">
        <is>
          <t>0</t>
        </is>
      </c>
      <c r="L1064" t="inlineStr">
        <is>
          <t>Santo Domingo, República Dominicana : Editora Buho, 2001.</t>
        </is>
      </c>
      <c r="M1064" t="inlineStr">
        <is>
          <t>2001</t>
        </is>
      </c>
      <c r="N1064" t="inlineStr">
        <is>
          <t>1. ed.</t>
        </is>
      </c>
      <c r="O1064" t="inlineStr">
        <is>
          <t>spa</t>
        </is>
      </c>
      <c r="P1064" t="inlineStr">
        <is>
          <t xml:space="preserve">dr </t>
        </is>
      </c>
      <c r="R1064" t="inlineStr">
        <is>
          <t xml:space="preserve">HQ </t>
        </is>
      </c>
      <c r="S1064" t="n">
        <v>2</v>
      </c>
      <c r="T1064" t="n">
        <v>2</v>
      </c>
      <c r="U1064" t="inlineStr">
        <is>
          <t>2006-10-17</t>
        </is>
      </c>
      <c r="V1064" t="inlineStr">
        <is>
          <t>2006-10-17</t>
        </is>
      </c>
      <c r="W1064" t="inlineStr">
        <is>
          <t>2002-07-29</t>
        </is>
      </c>
      <c r="X1064" t="inlineStr">
        <is>
          <t>2002-07-29</t>
        </is>
      </c>
      <c r="Y1064" t="n">
        <v>31</v>
      </c>
      <c r="Z1064" t="n">
        <v>29</v>
      </c>
      <c r="AA1064" t="n">
        <v>30</v>
      </c>
      <c r="AB1064" t="n">
        <v>1</v>
      </c>
      <c r="AC1064" t="n">
        <v>1</v>
      </c>
      <c r="AD1064" t="n">
        <v>2</v>
      </c>
      <c r="AE1064" t="n">
        <v>2</v>
      </c>
      <c r="AF1064" t="n">
        <v>1</v>
      </c>
      <c r="AG1064" t="n">
        <v>1</v>
      </c>
      <c r="AH1064" t="n">
        <v>1</v>
      </c>
      <c r="AI1064" t="n">
        <v>1</v>
      </c>
      <c r="AJ1064" t="n">
        <v>0</v>
      </c>
      <c r="AK1064" t="n">
        <v>0</v>
      </c>
      <c r="AL1064" t="n">
        <v>0</v>
      </c>
      <c r="AM1064" t="n">
        <v>0</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HYPERLINK("https://creighton-primo.hosted.exlibrisgroup.com/primo-explore/search?tab=default_tab&amp;search_scope=EVERYTHING&amp;vid=01CRU&amp;lang=en_US&amp;offset=0&amp;query=any,contains,991003847869702656","Catalog Record")</f>
        <v/>
      </c>
      <c r="AT1064">
        <f>HYPERLINK("http://www.worldcat.org/oclc/49880442","WorldCat Record")</f>
        <v/>
      </c>
      <c r="AU1064" t="inlineStr">
        <is>
          <t>39629638:spa</t>
        </is>
      </c>
      <c r="AV1064" t="inlineStr">
        <is>
          <t>49880442</t>
        </is>
      </c>
      <c r="AW1064" t="inlineStr">
        <is>
          <t>991003847869702656</t>
        </is>
      </c>
      <c r="AX1064" t="inlineStr">
        <is>
          <t>991003847869702656</t>
        </is>
      </c>
      <c r="AY1064" t="inlineStr">
        <is>
          <t>2257538080002656</t>
        </is>
      </c>
      <c r="AZ1064" t="inlineStr">
        <is>
          <t>BOOK</t>
        </is>
      </c>
      <c r="BB1064" t="inlineStr">
        <is>
          <t>9789993410027</t>
        </is>
      </c>
      <c r="BC1064" t="inlineStr">
        <is>
          <t>32285004640248</t>
        </is>
      </c>
      <c r="BD1064" t="inlineStr">
        <is>
          <t>893435531</t>
        </is>
      </c>
    </row>
    <row r="1065">
      <c r="A1065" t="inlineStr">
        <is>
          <t>No</t>
        </is>
      </c>
      <c r="B1065" t="inlineStr">
        <is>
          <t>HQ1522 .P83 1986</t>
        </is>
      </c>
      <c r="C1065" t="inlineStr">
        <is>
          <t>0                      HQ 1522000P  83          1986</t>
        </is>
      </c>
      <c r="D1065" t="inlineStr">
        <is>
          <t>The Puerto Rican woman : perspectives on culture, history, and society / edited by Edna Acosta-Belén.</t>
        </is>
      </c>
      <c r="F1065" t="inlineStr">
        <is>
          <t>No</t>
        </is>
      </c>
      <c r="G1065" t="inlineStr">
        <is>
          <t>1</t>
        </is>
      </c>
      <c r="H1065" t="inlineStr">
        <is>
          <t>No</t>
        </is>
      </c>
      <c r="I1065" t="inlineStr">
        <is>
          <t>No</t>
        </is>
      </c>
      <c r="J1065" t="inlineStr">
        <is>
          <t>0</t>
        </is>
      </c>
      <c r="L1065" t="inlineStr">
        <is>
          <t>New York : Praeger, 1986.</t>
        </is>
      </c>
      <c r="M1065" t="inlineStr">
        <is>
          <t>1986</t>
        </is>
      </c>
      <c r="N1065" t="inlineStr">
        <is>
          <t>2nd ed.</t>
        </is>
      </c>
      <c r="O1065" t="inlineStr">
        <is>
          <t>eng</t>
        </is>
      </c>
      <c r="P1065" t="inlineStr">
        <is>
          <t>nyu</t>
        </is>
      </c>
      <c r="R1065" t="inlineStr">
        <is>
          <t xml:space="preserve">HQ </t>
        </is>
      </c>
      <c r="S1065" t="n">
        <v>4</v>
      </c>
      <c r="T1065" t="n">
        <v>4</v>
      </c>
      <c r="U1065" t="inlineStr">
        <is>
          <t>2004-11-10</t>
        </is>
      </c>
      <c r="V1065" t="inlineStr">
        <is>
          <t>2004-11-10</t>
        </is>
      </c>
      <c r="W1065" t="inlineStr">
        <is>
          <t>1990-08-27</t>
        </is>
      </c>
      <c r="X1065" t="inlineStr">
        <is>
          <t>1990-08-27</t>
        </is>
      </c>
      <c r="Y1065" t="n">
        <v>413</v>
      </c>
      <c r="Z1065" t="n">
        <v>364</v>
      </c>
      <c r="AA1065" t="n">
        <v>372</v>
      </c>
      <c r="AB1065" t="n">
        <v>3</v>
      </c>
      <c r="AC1065" t="n">
        <v>3</v>
      </c>
      <c r="AD1065" t="n">
        <v>18</v>
      </c>
      <c r="AE1065" t="n">
        <v>18</v>
      </c>
      <c r="AF1065" t="n">
        <v>4</v>
      </c>
      <c r="AG1065" t="n">
        <v>4</v>
      </c>
      <c r="AH1065" t="n">
        <v>7</v>
      </c>
      <c r="AI1065" t="n">
        <v>7</v>
      </c>
      <c r="AJ1065" t="n">
        <v>10</v>
      </c>
      <c r="AK1065" t="n">
        <v>10</v>
      </c>
      <c r="AL1065" t="n">
        <v>2</v>
      </c>
      <c r="AM1065" t="n">
        <v>2</v>
      </c>
      <c r="AN1065" t="n">
        <v>0</v>
      </c>
      <c r="AO1065" t="n">
        <v>0</v>
      </c>
      <c r="AP1065" t="inlineStr">
        <is>
          <t>No</t>
        </is>
      </c>
      <c r="AQ1065" t="inlineStr">
        <is>
          <t>Yes</t>
        </is>
      </c>
      <c r="AR1065">
        <f>HYPERLINK("http://catalog.hathitrust.org/Record/000492972","HathiTrust Record")</f>
        <v/>
      </c>
      <c r="AS1065">
        <f>HYPERLINK("https://creighton-primo.hosted.exlibrisgroup.com/primo-explore/search?tab=default_tab&amp;search_scope=EVERYTHING&amp;vid=01CRU&amp;lang=en_US&amp;offset=0&amp;query=any,contains,991000867299702656","Catalog Record")</f>
        <v/>
      </c>
      <c r="AT1065">
        <f>HYPERLINK("http://www.worldcat.org/oclc/13760635","WorldCat Record")</f>
        <v/>
      </c>
      <c r="AU1065" t="inlineStr">
        <is>
          <t>3855449792:eng</t>
        </is>
      </c>
      <c r="AV1065" t="inlineStr">
        <is>
          <t>13760635</t>
        </is>
      </c>
      <c r="AW1065" t="inlineStr">
        <is>
          <t>991000867299702656</t>
        </is>
      </c>
      <c r="AX1065" t="inlineStr">
        <is>
          <t>991000867299702656</t>
        </is>
      </c>
      <c r="AY1065" t="inlineStr">
        <is>
          <t>2266248740002656</t>
        </is>
      </c>
      <c r="AZ1065" t="inlineStr">
        <is>
          <t>BOOK</t>
        </is>
      </c>
      <c r="BB1065" t="inlineStr">
        <is>
          <t>9780275921347</t>
        </is>
      </c>
      <c r="BC1065" t="inlineStr">
        <is>
          <t>32285000275171</t>
        </is>
      </c>
      <c r="BD1065" t="inlineStr">
        <is>
          <t>893346043</t>
        </is>
      </c>
    </row>
    <row r="1066">
      <c r="A1066" t="inlineStr">
        <is>
          <t>No</t>
        </is>
      </c>
      <c r="B1066" t="inlineStr">
        <is>
          <t>HQ153.A5 I5 2002</t>
        </is>
      </c>
      <c r="C1066" t="inlineStr">
        <is>
          <t>0                      HQ 0153000A  5                  I  5           2002</t>
        </is>
      </c>
      <c r="D1066" t="inlineStr">
        <is>
          <t>In modern bondage : sex trafficking in the Americas : Central America and the Caribbean.</t>
        </is>
      </c>
      <c r="F1066" t="inlineStr">
        <is>
          <t>No</t>
        </is>
      </c>
      <c r="G1066" t="inlineStr">
        <is>
          <t>1</t>
        </is>
      </c>
      <c r="H1066" t="inlineStr">
        <is>
          <t>No</t>
        </is>
      </c>
      <c r="I1066" t="inlineStr">
        <is>
          <t>No</t>
        </is>
      </c>
      <c r="J1066" t="inlineStr">
        <is>
          <t>0</t>
        </is>
      </c>
      <c r="L1066" t="inlineStr">
        <is>
          <t>Chicago, Ill. : International Human Rights Law Institute, DePaul University College of Law, c2002.</t>
        </is>
      </c>
      <c r="M1066" t="inlineStr">
        <is>
          <t>2002</t>
        </is>
      </c>
      <c r="O1066" t="inlineStr">
        <is>
          <t>eng</t>
        </is>
      </c>
      <c r="P1066" t="inlineStr">
        <is>
          <t>ilu</t>
        </is>
      </c>
      <c r="R1066" t="inlineStr">
        <is>
          <t xml:space="preserve">HQ </t>
        </is>
      </c>
      <c r="S1066" t="n">
        <v>4</v>
      </c>
      <c r="T1066" t="n">
        <v>4</v>
      </c>
      <c r="U1066" t="inlineStr">
        <is>
          <t>2008-04-23</t>
        </is>
      </c>
      <c r="V1066" t="inlineStr">
        <is>
          <t>2008-04-23</t>
        </is>
      </c>
      <c r="W1066" t="inlineStr">
        <is>
          <t>2004-04-20</t>
        </is>
      </c>
      <c r="X1066" t="inlineStr">
        <is>
          <t>2004-04-20</t>
        </is>
      </c>
      <c r="Y1066" t="n">
        <v>88</v>
      </c>
      <c r="Z1066" t="n">
        <v>87</v>
      </c>
      <c r="AA1066" t="n">
        <v>92</v>
      </c>
      <c r="AB1066" t="n">
        <v>2</v>
      </c>
      <c r="AC1066" t="n">
        <v>2</v>
      </c>
      <c r="AD1066" t="n">
        <v>16</v>
      </c>
      <c r="AE1066" t="n">
        <v>16</v>
      </c>
      <c r="AF1066" t="n">
        <v>1</v>
      </c>
      <c r="AG1066" t="n">
        <v>1</v>
      </c>
      <c r="AH1066" t="n">
        <v>2</v>
      </c>
      <c r="AI1066" t="n">
        <v>2</v>
      </c>
      <c r="AJ1066" t="n">
        <v>2</v>
      </c>
      <c r="AK1066" t="n">
        <v>2</v>
      </c>
      <c r="AL1066" t="n">
        <v>0</v>
      </c>
      <c r="AM1066" t="n">
        <v>0</v>
      </c>
      <c r="AN1066" t="n">
        <v>12</v>
      </c>
      <c r="AO1066" t="n">
        <v>12</v>
      </c>
      <c r="AP1066" t="inlineStr">
        <is>
          <t>No</t>
        </is>
      </c>
      <c r="AQ1066" t="inlineStr">
        <is>
          <t>No</t>
        </is>
      </c>
      <c r="AS1066">
        <f>HYPERLINK("https://creighton-primo.hosted.exlibrisgroup.com/primo-explore/search?tab=default_tab&amp;search_scope=EVERYTHING&amp;vid=01CRU&amp;lang=en_US&amp;offset=0&amp;query=any,contains,991004275489702656","Catalog Record")</f>
        <v/>
      </c>
      <c r="AT1066">
        <f>HYPERLINK("http://www.worldcat.org/oclc/51555640","WorldCat Record")</f>
        <v/>
      </c>
      <c r="AU1066" t="inlineStr">
        <is>
          <t>5604951739:eng</t>
        </is>
      </c>
      <c r="AV1066" t="inlineStr">
        <is>
          <t>51555640</t>
        </is>
      </c>
      <c r="AW1066" t="inlineStr">
        <is>
          <t>991004275489702656</t>
        </is>
      </c>
      <c r="AX1066" t="inlineStr">
        <is>
          <t>991004275489702656</t>
        </is>
      </c>
      <c r="AY1066" t="inlineStr">
        <is>
          <t>2262547570002656</t>
        </is>
      </c>
      <c r="AZ1066" t="inlineStr">
        <is>
          <t>BOOK</t>
        </is>
      </c>
      <c r="BB1066" t="inlineStr">
        <is>
          <t>9781889001029</t>
        </is>
      </c>
      <c r="BC1066" t="inlineStr">
        <is>
          <t>32285004900055</t>
        </is>
      </c>
      <c r="BD1066" t="inlineStr">
        <is>
          <t>893612157</t>
        </is>
      </c>
    </row>
    <row r="1067">
      <c r="A1067" t="inlineStr">
        <is>
          <t>No</t>
        </is>
      </c>
      <c r="B1067" t="inlineStr">
        <is>
          <t>HQ1582 .A6 1994</t>
        </is>
      </c>
      <c r="C1067" t="inlineStr">
        <is>
          <t>0                      HQ 1582000A  6           1994</t>
        </is>
      </c>
      <c r="D1067" t="inlineStr">
        <is>
          <t>La mujer en la colonia : situación social y jurídica / María Alvarez de Lovera.</t>
        </is>
      </c>
      <c r="F1067" t="inlineStr">
        <is>
          <t>No</t>
        </is>
      </c>
      <c r="G1067" t="inlineStr">
        <is>
          <t>1</t>
        </is>
      </c>
      <c r="H1067" t="inlineStr">
        <is>
          <t>No</t>
        </is>
      </c>
      <c r="I1067" t="inlineStr">
        <is>
          <t>No</t>
        </is>
      </c>
      <c r="J1067" t="inlineStr">
        <is>
          <t>0</t>
        </is>
      </c>
      <c r="K1067" t="inlineStr">
        <is>
          <t>Alvarez de Lobera, María.</t>
        </is>
      </c>
      <c r="L1067" t="inlineStr">
        <is>
          <t>Caracas : Fondo Editorial Tropykos ; FACES-UCV, 1994.</t>
        </is>
      </c>
      <c r="M1067" t="inlineStr">
        <is>
          <t>1994</t>
        </is>
      </c>
      <c r="O1067" t="inlineStr">
        <is>
          <t>spa</t>
        </is>
      </c>
      <c r="P1067" t="inlineStr">
        <is>
          <t xml:space="preserve">ve </t>
        </is>
      </c>
      <c r="R1067" t="inlineStr">
        <is>
          <t xml:space="preserve">HQ </t>
        </is>
      </c>
      <c r="S1067" t="n">
        <v>1</v>
      </c>
      <c r="T1067" t="n">
        <v>1</v>
      </c>
      <c r="U1067" t="inlineStr">
        <is>
          <t>2003-01-15</t>
        </is>
      </c>
      <c r="V1067" t="inlineStr">
        <is>
          <t>2003-01-15</t>
        </is>
      </c>
      <c r="W1067" t="inlineStr">
        <is>
          <t>2003-01-15</t>
        </is>
      </c>
      <c r="X1067" t="inlineStr">
        <is>
          <t>2003-01-15</t>
        </is>
      </c>
      <c r="Y1067" t="n">
        <v>41</v>
      </c>
      <c r="Z1067" t="n">
        <v>36</v>
      </c>
      <c r="AA1067" t="n">
        <v>38</v>
      </c>
      <c r="AB1067" t="n">
        <v>1</v>
      </c>
      <c r="AC1067" t="n">
        <v>1</v>
      </c>
      <c r="AD1067" t="n">
        <v>1</v>
      </c>
      <c r="AE1067" t="n">
        <v>1</v>
      </c>
      <c r="AF1067" t="n">
        <v>0</v>
      </c>
      <c r="AG1067" t="n">
        <v>0</v>
      </c>
      <c r="AH1067" t="n">
        <v>1</v>
      </c>
      <c r="AI1067" t="n">
        <v>1</v>
      </c>
      <c r="AJ1067" t="n">
        <v>0</v>
      </c>
      <c r="AK1067" t="n">
        <v>0</v>
      </c>
      <c r="AL1067" t="n">
        <v>0</v>
      </c>
      <c r="AM1067" t="n">
        <v>0</v>
      </c>
      <c r="AN1067" t="n">
        <v>0</v>
      </c>
      <c r="AO1067" t="n">
        <v>0</v>
      </c>
      <c r="AP1067" t="inlineStr">
        <is>
          <t>No</t>
        </is>
      </c>
      <c r="AQ1067" t="inlineStr">
        <is>
          <t>Yes</t>
        </is>
      </c>
      <c r="AR1067">
        <f>HYPERLINK("http://catalog.hathitrust.org/Record/101052421","HathiTrust Record")</f>
        <v/>
      </c>
      <c r="AS1067">
        <f>HYPERLINK("https://creighton-primo.hosted.exlibrisgroup.com/primo-explore/search?tab=default_tab&amp;search_scope=EVERYTHING&amp;vid=01CRU&amp;lang=en_US&amp;offset=0&amp;query=any,contains,991003975119702656","Catalog Record")</f>
        <v/>
      </c>
      <c r="AT1067">
        <f>HYPERLINK("http://www.worldcat.org/oclc/33024241","WorldCat Record")</f>
        <v/>
      </c>
      <c r="AU1067" t="inlineStr">
        <is>
          <t>476729175:spa</t>
        </is>
      </c>
      <c r="AV1067" t="inlineStr">
        <is>
          <t>33024241</t>
        </is>
      </c>
      <c r="AW1067" t="inlineStr">
        <is>
          <t>991003975119702656</t>
        </is>
      </c>
      <c r="AX1067" t="inlineStr">
        <is>
          <t>991003975119702656</t>
        </is>
      </c>
      <c r="AY1067" t="inlineStr">
        <is>
          <t>2267223390002656</t>
        </is>
      </c>
      <c r="AZ1067" t="inlineStr">
        <is>
          <t>BOOK</t>
        </is>
      </c>
      <c r="BB1067" t="inlineStr">
        <is>
          <t>9789803250720</t>
        </is>
      </c>
      <c r="BC1067" t="inlineStr">
        <is>
          <t>32285004694252</t>
        </is>
      </c>
      <c r="BD1067" t="inlineStr">
        <is>
          <t>893705853</t>
        </is>
      </c>
    </row>
    <row r="1068">
      <c r="A1068" t="inlineStr">
        <is>
          <t>No</t>
        </is>
      </c>
      <c r="B1068" t="inlineStr">
        <is>
          <t>HQ1582 .C55 1951</t>
        </is>
      </c>
      <c r="C1068" t="inlineStr">
        <is>
          <t>0                      HQ 1582000C  55          1951</t>
        </is>
      </c>
      <c r="D1068" t="inlineStr">
        <is>
          <t>Mujeres venezolanas y otros reportajes / Carmen Clemente Travieso.</t>
        </is>
      </c>
      <c r="F1068" t="inlineStr">
        <is>
          <t>No</t>
        </is>
      </c>
      <c r="G1068" t="inlineStr">
        <is>
          <t>1</t>
        </is>
      </c>
      <c r="H1068" t="inlineStr">
        <is>
          <t>No</t>
        </is>
      </c>
      <c r="I1068" t="inlineStr">
        <is>
          <t>No</t>
        </is>
      </c>
      <c r="J1068" t="inlineStr">
        <is>
          <t>0</t>
        </is>
      </c>
      <c r="K1068" t="inlineStr">
        <is>
          <t>Clemente Travieso, Carmen.</t>
        </is>
      </c>
      <c r="L1068" t="inlineStr">
        <is>
          <t>Caracas : Avila Gráfica, [1951]</t>
        </is>
      </c>
      <c r="M1068" t="inlineStr">
        <is>
          <t>1951</t>
        </is>
      </c>
      <c r="O1068" t="inlineStr">
        <is>
          <t>spa</t>
        </is>
      </c>
      <c r="P1068" t="inlineStr">
        <is>
          <t xml:space="preserve">ve </t>
        </is>
      </c>
      <c r="R1068" t="inlineStr">
        <is>
          <t xml:space="preserve">HQ </t>
        </is>
      </c>
      <c r="S1068" t="n">
        <v>1</v>
      </c>
      <c r="T1068" t="n">
        <v>1</v>
      </c>
      <c r="U1068" t="inlineStr">
        <is>
          <t>2002-06-13</t>
        </is>
      </c>
      <c r="V1068" t="inlineStr">
        <is>
          <t>2002-06-13</t>
        </is>
      </c>
      <c r="W1068" t="inlineStr">
        <is>
          <t>2002-06-13</t>
        </is>
      </c>
      <c r="X1068" t="inlineStr">
        <is>
          <t>2002-06-13</t>
        </is>
      </c>
      <c r="Y1068" t="n">
        <v>11</v>
      </c>
      <c r="Z1068" t="n">
        <v>11</v>
      </c>
      <c r="AA1068" t="n">
        <v>11</v>
      </c>
      <c r="AB1068" t="n">
        <v>1</v>
      </c>
      <c r="AC1068" t="n">
        <v>1</v>
      </c>
      <c r="AD1068" t="n">
        <v>0</v>
      </c>
      <c r="AE1068" t="n">
        <v>0</v>
      </c>
      <c r="AF1068" t="n">
        <v>0</v>
      </c>
      <c r="AG1068" t="n">
        <v>0</v>
      </c>
      <c r="AH1068" t="n">
        <v>0</v>
      </c>
      <c r="AI1068" t="n">
        <v>0</v>
      </c>
      <c r="AJ1068" t="n">
        <v>0</v>
      </c>
      <c r="AK1068" t="n">
        <v>0</v>
      </c>
      <c r="AL1068" t="n">
        <v>0</v>
      </c>
      <c r="AM1068" t="n">
        <v>0</v>
      </c>
      <c r="AN1068" t="n">
        <v>0</v>
      </c>
      <c r="AO1068" t="n">
        <v>0</v>
      </c>
      <c r="AP1068" t="inlineStr">
        <is>
          <t>No</t>
        </is>
      </c>
      <c r="AQ1068" t="inlineStr">
        <is>
          <t>No</t>
        </is>
      </c>
      <c r="AS1068">
        <f>HYPERLINK("https://creighton-primo.hosted.exlibrisgroup.com/primo-explore/search?tab=default_tab&amp;search_scope=EVERYTHING&amp;vid=01CRU&amp;lang=en_US&amp;offset=0&amp;query=any,contains,991003818769702656","Catalog Record")</f>
        <v/>
      </c>
      <c r="AT1068">
        <f>HYPERLINK("http://www.worldcat.org/oclc/2043899","WorldCat Record")</f>
        <v/>
      </c>
      <c r="AU1068" t="inlineStr">
        <is>
          <t>3244105:spa</t>
        </is>
      </c>
      <c r="AV1068" t="inlineStr">
        <is>
          <t>2043899</t>
        </is>
      </c>
      <c r="AW1068" t="inlineStr">
        <is>
          <t>991003818769702656</t>
        </is>
      </c>
      <c r="AX1068" t="inlineStr">
        <is>
          <t>991003818769702656</t>
        </is>
      </c>
      <c r="AY1068" t="inlineStr">
        <is>
          <t>2271591900002656</t>
        </is>
      </c>
      <c r="AZ1068" t="inlineStr">
        <is>
          <t>BOOK</t>
        </is>
      </c>
      <c r="BC1068" t="inlineStr">
        <is>
          <t>32285004494372</t>
        </is>
      </c>
      <c r="BD1068" t="inlineStr">
        <is>
          <t>893353053</t>
        </is>
      </c>
    </row>
    <row r="1069">
      <c r="A1069" t="inlineStr">
        <is>
          <t>No</t>
        </is>
      </c>
      <c r="B1069" t="inlineStr">
        <is>
          <t>HQ1582 .M854 1995</t>
        </is>
      </c>
      <c r="C1069" t="inlineStr">
        <is>
          <t>0                      HQ 1582000M  854         1995</t>
        </is>
      </c>
      <c r="D1069" t="inlineStr">
        <is>
          <t>Mujeres, una fuerza social en movimiento / JUVECABE.</t>
        </is>
      </c>
      <c r="F1069" t="inlineStr">
        <is>
          <t>No</t>
        </is>
      </c>
      <c r="G1069" t="inlineStr">
        <is>
          <t>1</t>
        </is>
      </c>
      <c r="H1069" t="inlineStr">
        <is>
          <t>No</t>
        </is>
      </c>
      <c r="I1069" t="inlineStr">
        <is>
          <t>No</t>
        </is>
      </c>
      <c r="J1069" t="inlineStr">
        <is>
          <t>0</t>
        </is>
      </c>
      <c r="L1069" t="inlineStr">
        <is>
          <t>Caracas : Ediciones Los Heraldos Negros, [1995]</t>
        </is>
      </c>
      <c r="M1069" t="inlineStr">
        <is>
          <t>1995</t>
        </is>
      </c>
      <c r="O1069" t="inlineStr">
        <is>
          <t>spa</t>
        </is>
      </c>
      <c r="P1069" t="inlineStr">
        <is>
          <t xml:space="preserve">ve </t>
        </is>
      </c>
      <c r="R1069" t="inlineStr">
        <is>
          <t xml:space="preserve">HQ </t>
        </is>
      </c>
      <c r="S1069" t="n">
        <v>1</v>
      </c>
      <c r="T1069" t="n">
        <v>1</v>
      </c>
      <c r="U1069" t="inlineStr">
        <is>
          <t>2008-10-22</t>
        </is>
      </c>
      <c r="V1069" t="inlineStr">
        <is>
          <t>2008-10-22</t>
        </is>
      </c>
      <c r="W1069" t="inlineStr">
        <is>
          <t>2002-07-29</t>
        </is>
      </c>
      <c r="X1069" t="inlineStr">
        <is>
          <t>2002-07-29</t>
        </is>
      </c>
      <c r="Y1069" t="n">
        <v>32</v>
      </c>
      <c r="Z1069" t="n">
        <v>29</v>
      </c>
      <c r="AA1069" t="n">
        <v>29</v>
      </c>
      <c r="AB1069" t="n">
        <v>1</v>
      </c>
      <c r="AC1069" t="n">
        <v>1</v>
      </c>
      <c r="AD1069" t="n">
        <v>1</v>
      </c>
      <c r="AE1069" t="n">
        <v>1</v>
      </c>
      <c r="AF1069" t="n">
        <v>0</v>
      </c>
      <c r="AG1069" t="n">
        <v>0</v>
      </c>
      <c r="AH1069" t="n">
        <v>1</v>
      </c>
      <c r="AI1069" t="n">
        <v>1</v>
      </c>
      <c r="AJ1069" t="n">
        <v>0</v>
      </c>
      <c r="AK1069" t="n">
        <v>0</v>
      </c>
      <c r="AL1069" t="n">
        <v>0</v>
      </c>
      <c r="AM1069" t="n">
        <v>0</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HYPERLINK("https://creighton-primo.hosted.exlibrisgroup.com/primo-explore/search?tab=default_tab&amp;search_scope=EVERYTHING&amp;vid=01CRU&amp;lang=en_US&amp;offset=0&amp;query=any,contains,991003847529702656","Catalog Record")</f>
        <v/>
      </c>
      <c r="AT1069">
        <f>HYPERLINK("http://www.worldcat.org/oclc/33206287","WorldCat Record")</f>
        <v/>
      </c>
      <c r="AU1069" t="inlineStr">
        <is>
          <t>1043672213:spa</t>
        </is>
      </c>
      <c r="AV1069" t="inlineStr">
        <is>
          <t>33206287</t>
        </is>
      </c>
      <c r="AW1069" t="inlineStr">
        <is>
          <t>991003847529702656</t>
        </is>
      </c>
      <c r="AX1069" t="inlineStr">
        <is>
          <t>991003847529702656</t>
        </is>
      </c>
      <c r="AY1069" t="inlineStr">
        <is>
          <t>2260034670002656</t>
        </is>
      </c>
      <c r="AZ1069" t="inlineStr">
        <is>
          <t>BOOK</t>
        </is>
      </c>
      <c r="BB1069" t="inlineStr">
        <is>
          <t>9789806323551</t>
        </is>
      </c>
      <c r="BC1069" t="inlineStr">
        <is>
          <t>32285004640479</t>
        </is>
      </c>
      <c r="BD1069" t="inlineStr">
        <is>
          <t>893623981</t>
        </is>
      </c>
    </row>
    <row r="1070">
      <c r="A1070" t="inlineStr">
        <is>
          <t>No</t>
        </is>
      </c>
      <c r="B1070" t="inlineStr">
        <is>
          <t>HQ1587 .A53 1988, v...</t>
        </is>
      </c>
      <c r="C1070" t="inlineStr">
        <is>
          <t>0                      HQ 1587000A  53          1988                                        v...</t>
        </is>
      </c>
      <c r="D1070" t="inlineStr">
        <is>
          <t>A history of their own : women in Europe from prehistory to the present / Bonnie S. Anderson, Judith P. Zinsser.</t>
        </is>
      </c>
      <c r="E1070" t="inlineStr">
        <is>
          <t>V.1</t>
        </is>
      </c>
      <c r="F1070" t="inlineStr">
        <is>
          <t>Yes</t>
        </is>
      </c>
      <c r="G1070" t="inlineStr">
        <is>
          <t>1</t>
        </is>
      </c>
      <c r="H1070" t="inlineStr">
        <is>
          <t>No</t>
        </is>
      </c>
      <c r="I1070" t="inlineStr">
        <is>
          <t>No</t>
        </is>
      </c>
      <c r="J1070" t="inlineStr">
        <is>
          <t>0</t>
        </is>
      </c>
      <c r="K1070" t="inlineStr">
        <is>
          <t>Anderson, Bonnie S.</t>
        </is>
      </c>
      <c r="L1070" t="inlineStr">
        <is>
          <t>New York : Harper &amp; Row, c1988-</t>
        </is>
      </c>
      <c r="M1070" t="inlineStr">
        <is>
          <t>1988</t>
        </is>
      </c>
      <c r="N1070" t="inlineStr">
        <is>
          <t>1st ed.</t>
        </is>
      </c>
      <c r="O1070" t="inlineStr">
        <is>
          <t>eng</t>
        </is>
      </c>
      <c r="P1070" t="inlineStr">
        <is>
          <t>nyu</t>
        </is>
      </c>
      <c r="R1070" t="inlineStr">
        <is>
          <t xml:space="preserve">HQ </t>
        </is>
      </c>
      <c r="S1070" t="n">
        <v>6</v>
      </c>
      <c r="T1070" t="n">
        <v>10</v>
      </c>
      <c r="U1070" t="inlineStr">
        <is>
          <t>2004-09-17</t>
        </is>
      </c>
      <c r="V1070" t="inlineStr">
        <is>
          <t>2004-09-17</t>
        </is>
      </c>
      <c r="W1070" t="inlineStr">
        <is>
          <t>1991-12-05</t>
        </is>
      </c>
      <c r="X1070" t="inlineStr">
        <is>
          <t>1991-12-05</t>
        </is>
      </c>
      <c r="Y1070" t="n">
        <v>1862</v>
      </c>
      <c r="Z1070" t="n">
        <v>1698</v>
      </c>
      <c r="AA1070" t="n">
        <v>2039</v>
      </c>
      <c r="AB1070" t="n">
        <v>16</v>
      </c>
      <c r="AC1070" t="n">
        <v>16</v>
      </c>
      <c r="AD1070" t="n">
        <v>48</v>
      </c>
      <c r="AE1070" t="n">
        <v>58</v>
      </c>
      <c r="AF1070" t="n">
        <v>19</v>
      </c>
      <c r="AG1070" t="n">
        <v>25</v>
      </c>
      <c r="AH1070" t="n">
        <v>9</v>
      </c>
      <c r="AI1070" t="n">
        <v>10</v>
      </c>
      <c r="AJ1070" t="n">
        <v>22</v>
      </c>
      <c r="AK1070" t="n">
        <v>26</v>
      </c>
      <c r="AL1070" t="n">
        <v>9</v>
      </c>
      <c r="AM1070" t="n">
        <v>9</v>
      </c>
      <c r="AN1070" t="n">
        <v>1</v>
      </c>
      <c r="AO1070" t="n">
        <v>2</v>
      </c>
      <c r="AP1070" t="inlineStr">
        <is>
          <t>No</t>
        </is>
      </c>
      <c r="AQ1070" t="inlineStr">
        <is>
          <t>Yes</t>
        </is>
      </c>
      <c r="AR1070">
        <f>HYPERLINK("http://catalog.hathitrust.org/Record/000928991","HathiTrust Record")</f>
        <v/>
      </c>
      <c r="AS1070">
        <f>HYPERLINK("https://creighton-primo.hosted.exlibrisgroup.com/primo-explore/search?tab=default_tab&amp;search_scope=EVERYTHING&amp;vid=01CRU&amp;lang=en_US&amp;offset=0&amp;query=any,contains,991001083699702656","Catalog Record")</f>
        <v/>
      </c>
      <c r="AT1070">
        <f>HYPERLINK("http://www.worldcat.org/oclc/16092091","WorldCat Record")</f>
        <v/>
      </c>
      <c r="AU1070" t="inlineStr">
        <is>
          <t>11791488:eng</t>
        </is>
      </c>
      <c r="AV1070" t="inlineStr">
        <is>
          <t>16092091</t>
        </is>
      </c>
      <c r="AW1070" t="inlineStr">
        <is>
          <t>991001083699702656</t>
        </is>
      </c>
      <c r="AX1070" t="inlineStr">
        <is>
          <t>991001083699702656</t>
        </is>
      </c>
      <c r="AY1070" t="inlineStr">
        <is>
          <t>2263672840002656</t>
        </is>
      </c>
      <c r="AZ1070" t="inlineStr">
        <is>
          <t>BOOK</t>
        </is>
      </c>
      <c r="BB1070" t="inlineStr">
        <is>
          <t>9780060914523</t>
        </is>
      </c>
      <c r="BC1070" t="inlineStr">
        <is>
          <t>32285000848258</t>
        </is>
      </c>
      <c r="BD1070" t="inlineStr">
        <is>
          <t>893891286</t>
        </is>
      </c>
    </row>
    <row r="1071">
      <c r="A1071" t="inlineStr">
        <is>
          <t>No</t>
        </is>
      </c>
      <c r="B1071" t="inlineStr">
        <is>
          <t>HQ1587 .A53 1988, v...</t>
        </is>
      </c>
      <c r="C1071" t="inlineStr">
        <is>
          <t>0                      HQ 1587000A  53          1988                                        v...</t>
        </is>
      </c>
      <c r="D1071" t="inlineStr">
        <is>
          <t>A history of their own : women in Europe from prehistory to the present / Bonnie S. Anderson, Judith P. Zinsser.</t>
        </is>
      </c>
      <c r="E1071" t="inlineStr">
        <is>
          <t>V.2</t>
        </is>
      </c>
      <c r="F1071" t="inlineStr">
        <is>
          <t>Yes</t>
        </is>
      </c>
      <c r="G1071" t="inlineStr">
        <is>
          <t>1</t>
        </is>
      </c>
      <c r="H1071" t="inlineStr">
        <is>
          <t>No</t>
        </is>
      </c>
      <c r="I1071" t="inlineStr">
        <is>
          <t>No</t>
        </is>
      </c>
      <c r="J1071" t="inlineStr">
        <is>
          <t>0</t>
        </is>
      </c>
      <c r="K1071" t="inlineStr">
        <is>
          <t>Anderson, Bonnie S.</t>
        </is>
      </c>
      <c r="L1071" t="inlineStr">
        <is>
          <t>New York : Harper &amp; Row, c1988-</t>
        </is>
      </c>
      <c r="M1071" t="inlineStr">
        <is>
          <t>1988</t>
        </is>
      </c>
      <c r="N1071" t="inlineStr">
        <is>
          <t>1st ed.</t>
        </is>
      </c>
      <c r="O1071" t="inlineStr">
        <is>
          <t>eng</t>
        </is>
      </c>
      <c r="P1071" t="inlineStr">
        <is>
          <t>nyu</t>
        </is>
      </c>
      <c r="R1071" t="inlineStr">
        <is>
          <t xml:space="preserve">HQ </t>
        </is>
      </c>
      <c r="S1071" t="n">
        <v>4</v>
      </c>
      <c r="T1071" t="n">
        <v>10</v>
      </c>
      <c r="U1071" t="inlineStr">
        <is>
          <t>1999-04-19</t>
        </is>
      </c>
      <c r="V1071" t="inlineStr">
        <is>
          <t>2004-09-17</t>
        </is>
      </c>
      <c r="W1071" t="inlineStr">
        <is>
          <t>1991-12-05</t>
        </is>
      </c>
      <c r="X1071" t="inlineStr">
        <is>
          <t>1991-12-05</t>
        </is>
      </c>
      <c r="Y1071" t="n">
        <v>1862</v>
      </c>
      <c r="Z1071" t="n">
        <v>1698</v>
      </c>
      <c r="AA1071" t="n">
        <v>2039</v>
      </c>
      <c r="AB1071" t="n">
        <v>16</v>
      </c>
      <c r="AC1071" t="n">
        <v>16</v>
      </c>
      <c r="AD1071" t="n">
        <v>48</v>
      </c>
      <c r="AE1071" t="n">
        <v>58</v>
      </c>
      <c r="AF1071" t="n">
        <v>19</v>
      </c>
      <c r="AG1071" t="n">
        <v>25</v>
      </c>
      <c r="AH1071" t="n">
        <v>9</v>
      </c>
      <c r="AI1071" t="n">
        <v>10</v>
      </c>
      <c r="AJ1071" t="n">
        <v>22</v>
      </c>
      <c r="AK1071" t="n">
        <v>26</v>
      </c>
      <c r="AL1071" t="n">
        <v>9</v>
      </c>
      <c r="AM1071" t="n">
        <v>9</v>
      </c>
      <c r="AN1071" t="n">
        <v>1</v>
      </c>
      <c r="AO1071" t="n">
        <v>2</v>
      </c>
      <c r="AP1071" t="inlineStr">
        <is>
          <t>No</t>
        </is>
      </c>
      <c r="AQ1071" t="inlineStr">
        <is>
          <t>Yes</t>
        </is>
      </c>
      <c r="AR1071">
        <f>HYPERLINK("http://catalog.hathitrust.org/Record/000928991","HathiTrust Record")</f>
        <v/>
      </c>
      <c r="AS1071">
        <f>HYPERLINK("https://creighton-primo.hosted.exlibrisgroup.com/primo-explore/search?tab=default_tab&amp;search_scope=EVERYTHING&amp;vid=01CRU&amp;lang=en_US&amp;offset=0&amp;query=any,contains,991001083699702656","Catalog Record")</f>
        <v/>
      </c>
      <c r="AT1071">
        <f>HYPERLINK("http://www.worldcat.org/oclc/16092091","WorldCat Record")</f>
        <v/>
      </c>
      <c r="AU1071" t="inlineStr">
        <is>
          <t>11791488:eng</t>
        </is>
      </c>
      <c r="AV1071" t="inlineStr">
        <is>
          <t>16092091</t>
        </is>
      </c>
      <c r="AW1071" t="inlineStr">
        <is>
          <t>991001083699702656</t>
        </is>
      </c>
      <c r="AX1071" t="inlineStr">
        <is>
          <t>991001083699702656</t>
        </is>
      </c>
      <c r="AY1071" t="inlineStr">
        <is>
          <t>2263672840002656</t>
        </is>
      </c>
      <c r="AZ1071" t="inlineStr">
        <is>
          <t>BOOK</t>
        </is>
      </c>
      <c r="BB1071" t="inlineStr">
        <is>
          <t>9780060914523</t>
        </is>
      </c>
      <c r="BC1071" t="inlineStr">
        <is>
          <t>32285000848266</t>
        </is>
      </c>
      <c r="BD1071" t="inlineStr">
        <is>
          <t>893885025</t>
        </is>
      </c>
    </row>
    <row r="1072">
      <c r="A1072" t="inlineStr">
        <is>
          <t>No</t>
        </is>
      </c>
      <c r="B1072" t="inlineStr">
        <is>
          <t>HQ1587 .E98 1983</t>
        </is>
      </c>
      <c r="C1072" t="inlineStr">
        <is>
          <t>0                      HQ 1587000E  98          1983</t>
        </is>
      </c>
      <c r="D1072" t="inlineStr">
        <is>
          <t>European women : a documentary history 1789-1945 / Eleanor S. Riemer, John C. Fout [editors]</t>
        </is>
      </c>
      <c r="F1072" t="inlineStr">
        <is>
          <t>No</t>
        </is>
      </c>
      <c r="G1072" t="inlineStr">
        <is>
          <t>1</t>
        </is>
      </c>
      <c r="H1072" t="inlineStr">
        <is>
          <t>No</t>
        </is>
      </c>
      <c r="I1072" t="inlineStr">
        <is>
          <t>No</t>
        </is>
      </c>
      <c r="J1072" t="inlineStr">
        <is>
          <t>0</t>
        </is>
      </c>
      <c r="L1072" t="inlineStr">
        <is>
          <t>Brighton : Harvester Press, 1983, c1980.</t>
        </is>
      </c>
      <c r="M1072" t="inlineStr">
        <is>
          <t>1983</t>
        </is>
      </c>
      <c r="O1072" t="inlineStr">
        <is>
          <t>eng</t>
        </is>
      </c>
      <c r="P1072" t="inlineStr">
        <is>
          <t>enk</t>
        </is>
      </c>
      <c r="R1072" t="inlineStr">
        <is>
          <t xml:space="preserve">HQ </t>
        </is>
      </c>
      <c r="S1072" t="n">
        <v>5</v>
      </c>
      <c r="T1072" t="n">
        <v>5</v>
      </c>
      <c r="U1072" t="inlineStr">
        <is>
          <t>2006-04-19</t>
        </is>
      </c>
      <c r="V1072" t="inlineStr">
        <is>
          <t>2006-04-19</t>
        </is>
      </c>
      <c r="W1072" t="inlineStr">
        <is>
          <t>1992-03-24</t>
        </is>
      </c>
      <c r="X1072" t="inlineStr">
        <is>
          <t>1992-03-24</t>
        </is>
      </c>
      <c r="Y1072" t="n">
        <v>67</v>
      </c>
      <c r="Z1072" t="n">
        <v>11</v>
      </c>
      <c r="AA1072" t="n">
        <v>584</v>
      </c>
      <c r="AB1072" t="n">
        <v>2</v>
      </c>
      <c r="AC1072" t="n">
        <v>6</v>
      </c>
      <c r="AD1072" t="n">
        <v>1</v>
      </c>
      <c r="AE1072" t="n">
        <v>24</v>
      </c>
      <c r="AF1072" t="n">
        <v>0</v>
      </c>
      <c r="AG1072" t="n">
        <v>5</v>
      </c>
      <c r="AH1072" t="n">
        <v>0</v>
      </c>
      <c r="AI1072" t="n">
        <v>9</v>
      </c>
      <c r="AJ1072" t="n">
        <v>0</v>
      </c>
      <c r="AK1072" t="n">
        <v>10</v>
      </c>
      <c r="AL1072" t="n">
        <v>1</v>
      </c>
      <c r="AM1072" t="n">
        <v>5</v>
      </c>
      <c r="AN1072" t="n">
        <v>0</v>
      </c>
      <c r="AO1072" t="n">
        <v>0</v>
      </c>
      <c r="AP1072" t="inlineStr">
        <is>
          <t>No</t>
        </is>
      </c>
      <c r="AQ1072" t="inlineStr">
        <is>
          <t>Yes</t>
        </is>
      </c>
      <c r="AR1072">
        <f>HYPERLINK("http://catalog.hathitrust.org/Record/009806321","HathiTrust Record")</f>
        <v/>
      </c>
      <c r="AS1072">
        <f>HYPERLINK("https://creighton-primo.hosted.exlibrisgroup.com/primo-explore/search?tab=default_tab&amp;search_scope=EVERYTHING&amp;vid=01CRU&amp;lang=en_US&amp;offset=0&amp;query=any,contains,991000315019702656","Catalog Record")</f>
        <v/>
      </c>
      <c r="AT1072">
        <f>HYPERLINK("http://www.worldcat.org/oclc/10114432","WorldCat Record")</f>
        <v/>
      </c>
      <c r="AU1072" t="inlineStr">
        <is>
          <t>355435489:eng</t>
        </is>
      </c>
      <c r="AV1072" t="inlineStr">
        <is>
          <t>10114432</t>
        </is>
      </c>
      <c r="AW1072" t="inlineStr">
        <is>
          <t>991000315019702656</t>
        </is>
      </c>
      <c r="AX1072" t="inlineStr">
        <is>
          <t>991000315019702656</t>
        </is>
      </c>
      <c r="AY1072" t="inlineStr">
        <is>
          <t>2255435340002656</t>
        </is>
      </c>
      <c r="AZ1072" t="inlineStr">
        <is>
          <t>BOOK</t>
        </is>
      </c>
      <c r="BB1072" t="inlineStr">
        <is>
          <t>9780710804792</t>
        </is>
      </c>
      <c r="BC1072" t="inlineStr">
        <is>
          <t>32285001003994</t>
        </is>
      </c>
      <c r="BD1072" t="inlineStr">
        <is>
          <t>893243141</t>
        </is>
      </c>
    </row>
    <row r="1073">
      <c r="A1073" t="inlineStr">
        <is>
          <t>No</t>
        </is>
      </c>
      <c r="B1073" t="inlineStr">
        <is>
          <t>HQ1587 .F82 2005</t>
        </is>
      </c>
      <c r="C1073" t="inlineStr">
        <is>
          <t>0                      HQ 1587000F  82          2005</t>
        </is>
      </c>
      <c r="D1073" t="inlineStr">
        <is>
          <t>Gender and poverty in nineteenth-century Europe / Rachel G. Fuchs.</t>
        </is>
      </c>
      <c r="F1073" t="inlineStr">
        <is>
          <t>No</t>
        </is>
      </c>
      <c r="G1073" t="inlineStr">
        <is>
          <t>1</t>
        </is>
      </c>
      <c r="H1073" t="inlineStr">
        <is>
          <t>No</t>
        </is>
      </c>
      <c r="I1073" t="inlineStr">
        <is>
          <t>No</t>
        </is>
      </c>
      <c r="J1073" t="inlineStr">
        <is>
          <t>0</t>
        </is>
      </c>
      <c r="K1073" t="inlineStr">
        <is>
          <t>Fuchs, Rachel G., 1939-2016.</t>
        </is>
      </c>
      <c r="L1073" t="inlineStr">
        <is>
          <t>Cambridge : Cambridge University Press, 2005.</t>
        </is>
      </c>
      <c r="M1073" t="inlineStr">
        <is>
          <t>2005</t>
        </is>
      </c>
      <c r="O1073" t="inlineStr">
        <is>
          <t>eng</t>
        </is>
      </c>
      <c r="P1073" t="inlineStr">
        <is>
          <t>enk</t>
        </is>
      </c>
      <c r="Q1073" t="inlineStr">
        <is>
          <t>New approaches to European history ; 35</t>
        </is>
      </c>
      <c r="R1073" t="inlineStr">
        <is>
          <t xml:space="preserve">HQ </t>
        </is>
      </c>
      <c r="S1073" t="n">
        <v>2</v>
      </c>
      <c r="T1073" t="n">
        <v>2</v>
      </c>
      <c r="U1073" t="inlineStr">
        <is>
          <t>2006-11-13</t>
        </is>
      </c>
      <c r="V1073" t="inlineStr">
        <is>
          <t>2006-11-13</t>
        </is>
      </c>
      <c r="W1073" t="inlineStr">
        <is>
          <t>2006-11-13</t>
        </is>
      </c>
      <c r="X1073" t="inlineStr">
        <is>
          <t>2006-11-13</t>
        </is>
      </c>
      <c r="Y1073" t="n">
        <v>553</v>
      </c>
      <c r="Z1073" t="n">
        <v>429</v>
      </c>
      <c r="AA1073" t="n">
        <v>430</v>
      </c>
      <c r="AB1073" t="n">
        <v>4</v>
      </c>
      <c r="AC1073" t="n">
        <v>4</v>
      </c>
      <c r="AD1073" t="n">
        <v>23</v>
      </c>
      <c r="AE1073" t="n">
        <v>23</v>
      </c>
      <c r="AF1073" t="n">
        <v>10</v>
      </c>
      <c r="AG1073" t="n">
        <v>10</v>
      </c>
      <c r="AH1073" t="n">
        <v>7</v>
      </c>
      <c r="AI1073" t="n">
        <v>7</v>
      </c>
      <c r="AJ1073" t="n">
        <v>9</v>
      </c>
      <c r="AK1073" t="n">
        <v>9</v>
      </c>
      <c r="AL1073" t="n">
        <v>3</v>
      </c>
      <c r="AM1073" t="n">
        <v>3</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HYPERLINK("https://creighton-primo.hosted.exlibrisgroup.com/primo-explore/search?tab=default_tab&amp;search_scope=EVERYTHING&amp;vid=01CRU&amp;lang=en_US&amp;offset=0&amp;query=any,contains,991004948469702656","Catalog Record")</f>
        <v/>
      </c>
      <c r="AT1073">
        <f>HYPERLINK("http://www.worldcat.org/oclc/61425236","WorldCat Record")</f>
        <v/>
      </c>
      <c r="AU1073" t="inlineStr">
        <is>
          <t>35015183:eng</t>
        </is>
      </c>
      <c r="AV1073" t="inlineStr">
        <is>
          <t>61425236</t>
        </is>
      </c>
      <c r="AW1073" t="inlineStr">
        <is>
          <t>991004948469702656</t>
        </is>
      </c>
      <c r="AX1073" t="inlineStr">
        <is>
          <t>991004948469702656</t>
        </is>
      </c>
      <c r="AY1073" t="inlineStr">
        <is>
          <t>2265872050002656</t>
        </is>
      </c>
      <c r="AZ1073" t="inlineStr">
        <is>
          <t>BOOK</t>
        </is>
      </c>
      <c r="BB1073" t="inlineStr">
        <is>
          <t>9780521621021</t>
        </is>
      </c>
      <c r="BC1073" t="inlineStr">
        <is>
          <t>32285005238935</t>
        </is>
      </c>
      <c r="BD1073" t="inlineStr">
        <is>
          <t>893532963</t>
        </is>
      </c>
    </row>
    <row r="1074">
      <c r="A1074" t="inlineStr">
        <is>
          <t>No</t>
        </is>
      </c>
      <c r="B1074" t="inlineStr">
        <is>
          <t>HQ1587 .H84 1996, v...</t>
        </is>
      </c>
      <c r="C1074" t="inlineStr">
        <is>
          <t>0                      HQ 1587000H  84          1996                                        v...</t>
        </is>
      </c>
      <c r="D1074" t="inlineStr">
        <is>
          <t>The prospect before her : a history of women in Western Europe / Olwen Hufton.</t>
        </is>
      </c>
      <c r="E1074" t="inlineStr">
        <is>
          <t>V. 1</t>
        </is>
      </c>
      <c r="F1074" t="inlineStr">
        <is>
          <t>No</t>
        </is>
      </c>
      <c r="G1074" t="inlineStr">
        <is>
          <t>1</t>
        </is>
      </c>
      <c r="H1074" t="inlineStr">
        <is>
          <t>No</t>
        </is>
      </c>
      <c r="I1074" t="inlineStr">
        <is>
          <t>No</t>
        </is>
      </c>
      <c r="J1074" t="inlineStr">
        <is>
          <t>0</t>
        </is>
      </c>
      <c r="K1074" t="inlineStr">
        <is>
          <t>Hufton, Olwen H.</t>
        </is>
      </c>
      <c r="L1074" t="inlineStr">
        <is>
          <t>New York : Alfred Knopf : Distributed by Random House, 1996-</t>
        </is>
      </c>
      <c r="M1074" t="inlineStr">
        <is>
          <t>1996</t>
        </is>
      </c>
      <c r="N1074" t="inlineStr">
        <is>
          <t>1st American ed.</t>
        </is>
      </c>
      <c r="O1074" t="inlineStr">
        <is>
          <t>eng</t>
        </is>
      </c>
      <c r="P1074" t="inlineStr">
        <is>
          <t>nyu</t>
        </is>
      </c>
      <c r="R1074" t="inlineStr">
        <is>
          <t xml:space="preserve">HQ </t>
        </is>
      </c>
      <c r="S1074" t="n">
        <v>4</v>
      </c>
      <c r="T1074" t="n">
        <v>4</v>
      </c>
      <c r="U1074" t="inlineStr">
        <is>
          <t>2001-11-29</t>
        </is>
      </c>
      <c r="V1074" t="inlineStr">
        <is>
          <t>2001-11-29</t>
        </is>
      </c>
      <c r="W1074" t="inlineStr">
        <is>
          <t>1997-01-03</t>
        </is>
      </c>
      <c r="X1074" t="inlineStr">
        <is>
          <t>1997-01-03</t>
        </is>
      </c>
      <c r="Y1074" t="n">
        <v>1250</v>
      </c>
      <c r="Z1074" t="n">
        <v>1174</v>
      </c>
      <c r="AA1074" t="n">
        <v>1404</v>
      </c>
      <c r="AB1074" t="n">
        <v>8</v>
      </c>
      <c r="AC1074" t="n">
        <v>8</v>
      </c>
      <c r="AD1074" t="n">
        <v>45</v>
      </c>
      <c r="AE1074" t="n">
        <v>47</v>
      </c>
      <c r="AF1074" t="n">
        <v>20</v>
      </c>
      <c r="AG1074" t="n">
        <v>20</v>
      </c>
      <c r="AH1074" t="n">
        <v>7</v>
      </c>
      <c r="AI1074" t="n">
        <v>9</v>
      </c>
      <c r="AJ1074" t="n">
        <v>20</v>
      </c>
      <c r="AK1074" t="n">
        <v>21</v>
      </c>
      <c r="AL1074" t="n">
        <v>7</v>
      </c>
      <c r="AM1074" t="n">
        <v>7</v>
      </c>
      <c r="AN1074" t="n">
        <v>1</v>
      </c>
      <c r="AO1074" t="n">
        <v>1</v>
      </c>
      <c r="AP1074" t="inlineStr">
        <is>
          <t>No</t>
        </is>
      </c>
      <c r="AQ1074" t="inlineStr">
        <is>
          <t>Yes</t>
        </is>
      </c>
      <c r="AR1074">
        <f>HYPERLINK("http://catalog.hathitrust.org/Record/008316315","HathiTrust Record")</f>
        <v/>
      </c>
      <c r="AS1074">
        <f>HYPERLINK("https://creighton-primo.hosted.exlibrisgroup.com/primo-explore/search?tab=default_tab&amp;search_scope=EVERYTHING&amp;vid=01CRU&amp;lang=en_US&amp;offset=0&amp;query=any,contains,991002725929702656","Catalog Record")</f>
        <v/>
      </c>
      <c r="AT1074">
        <f>HYPERLINK("http://www.worldcat.org/oclc/35758121","WorldCat Record")</f>
        <v/>
      </c>
      <c r="AU1074" t="inlineStr">
        <is>
          <t>837013404:eng</t>
        </is>
      </c>
      <c r="AV1074" t="inlineStr">
        <is>
          <t>35758121</t>
        </is>
      </c>
      <c r="AW1074" t="inlineStr">
        <is>
          <t>991002725929702656</t>
        </is>
      </c>
      <c r="AX1074" t="inlineStr">
        <is>
          <t>991002725929702656</t>
        </is>
      </c>
      <c r="AY1074" t="inlineStr">
        <is>
          <t>2260236660002656</t>
        </is>
      </c>
      <c r="AZ1074" t="inlineStr">
        <is>
          <t>BOOK</t>
        </is>
      </c>
      <c r="BB1074" t="inlineStr">
        <is>
          <t>9780679450306</t>
        </is>
      </c>
      <c r="BC1074" t="inlineStr">
        <is>
          <t>32285002405099</t>
        </is>
      </c>
      <c r="BD1074" t="inlineStr">
        <is>
          <t>893233346</t>
        </is>
      </c>
    </row>
    <row r="1075">
      <c r="A1075" t="inlineStr">
        <is>
          <t>No</t>
        </is>
      </c>
      <c r="B1075" t="inlineStr">
        <is>
          <t>HQ1587 .M613 1984</t>
        </is>
      </c>
      <c r="C1075" t="inlineStr">
        <is>
          <t>0                      HQ 1587000M  613         1984</t>
        </is>
      </c>
      <c r="D1075" t="inlineStr">
        <is>
          <t>Woman of the Baroque age / Helga Möbius ; [translated from the German by Barbara Chruscik Beedham].</t>
        </is>
      </c>
      <c r="F1075" t="inlineStr">
        <is>
          <t>No</t>
        </is>
      </c>
      <c r="G1075" t="inlineStr">
        <is>
          <t>1</t>
        </is>
      </c>
      <c r="H1075" t="inlineStr">
        <is>
          <t>No</t>
        </is>
      </c>
      <c r="I1075" t="inlineStr">
        <is>
          <t>No</t>
        </is>
      </c>
      <c r="J1075" t="inlineStr">
        <is>
          <t>0</t>
        </is>
      </c>
      <c r="K1075" t="inlineStr">
        <is>
          <t>Möbius, Helga.</t>
        </is>
      </c>
      <c r="L1075" t="inlineStr">
        <is>
          <t>Montclair, N.J. : Abner Schram ; Totowa, N.J. : Allanheld, Osmun &amp; Co. Publ, 1984, c1982.</t>
        </is>
      </c>
      <c r="M1075" t="inlineStr">
        <is>
          <t>1983</t>
        </is>
      </c>
      <c r="O1075" t="inlineStr">
        <is>
          <t>eng</t>
        </is>
      </c>
      <c r="P1075" t="inlineStr">
        <is>
          <t>nju</t>
        </is>
      </c>
      <c r="R1075" t="inlineStr">
        <is>
          <t xml:space="preserve">HQ </t>
        </is>
      </c>
      <c r="S1075" t="n">
        <v>4</v>
      </c>
      <c r="T1075" t="n">
        <v>4</v>
      </c>
      <c r="U1075" t="inlineStr">
        <is>
          <t>1993-03-23</t>
        </is>
      </c>
      <c r="V1075" t="inlineStr">
        <is>
          <t>1993-03-23</t>
        </is>
      </c>
      <c r="W1075" t="inlineStr">
        <is>
          <t>1992-04-27</t>
        </is>
      </c>
      <c r="X1075" t="inlineStr">
        <is>
          <t>1992-04-27</t>
        </is>
      </c>
      <c r="Y1075" t="n">
        <v>463</v>
      </c>
      <c r="Z1075" t="n">
        <v>403</v>
      </c>
      <c r="AA1075" t="n">
        <v>437</v>
      </c>
      <c r="AB1075" t="n">
        <v>2</v>
      </c>
      <c r="AC1075" t="n">
        <v>2</v>
      </c>
      <c r="AD1075" t="n">
        <v>16</v>
      </c>
      <c r="AE1075" t="n">
        <v>16</v>
      </c>
      <c r="AF1075" t="n">
        <v>5</v>
      </c>
      <c r="AG1075" t="n">
        <v>5</v>
      </c>
      <c r="AH1075" t="n">
        <v>2</v>
      </c>
      <c r="AI1075" t="n">
        <v>2</v>
      </c>
      <c r="AJ1075" t="n">
        <v>12</v>
      </c>
      <c r="AK1075" t="n">
        <v>12</v>
      </c>
      <c r="AL1075" t="n">
        <v>1</v>
      </c>
      <c r="AM1075" t="n">
        <v>1</v>
      </c>
      <c r="AN1075" t="n">
        <v>0</v>
      </c>
      <c r="AO1075" t="n">
        <v>0</v>
      </c>
      <c r="AP1075" t="inlineStr">
        <is>
          <t>No</t>
        </is>
      </c>
      <c r="AQ1075" t="inlineStr">
        <is>
          <t>Yes</t>
        </is>
      </c>
      <c r="AR1075">
        <f>HYPERLINK("http://catalog.hathitrust.org/Record/000164916","HathiTrust Record")</f>
        <v/>
      </c>
      <c r="AS1075">
        <f>HYPERLINK("https://creighton-primo.hosted.exlibrisgroup.com/primo-explore/search?tab=default_tab&amp;search_scope=EVERYTHING&amp;vid=01CRU&amp;lang=en_US&amp;offset=0&amp;query=any,contains,991000086359702656","Catalog Record")</f>
        <v/>
      </c>
      <c r="AT1075">
        <f>HYPERLINK("http://www.worldcat.org/oclc/8866126","WorldCat Record")</f>
        <v/>
      </c>
      <c r="AU1075" t="inlineStr">
        <is>
          <t>353777147:eng</t>
        </is>
      </c>
      <c r="AV1075" t="inlineStr">
        <is>
          <t>8866126</t>
        </is>
      </c>
      <c r="AW1075" t="inlineStr">
        <is>
          <t>991000086359702656</t>
        </is>
      </c>
      <c r="AX1075" t="inlineStr">
        <is>
          <t>991000086359702656</t>
        </is>
      </c>
      <c r="AY1075" t="inlineStr">
        <is>
          <t>2262493120002656</t>
        </is>
      </c>
      <c r="AZ1075" t="inlineStr">
        <is>
          <t>BOOK</t>
        </is>
      </c>
      <c r="BB1075" t="inlineStr">
        <is>
          <t>9780839002833</t>
        </is>
      </c>
      <c r="BC1075" t="inlineStr">
        <is>
          <t>32285001095651</t>
        </is>
      </c>
      <c r="BD1075" t="inlineStr">
        <is>
          <t>893521378</t>
        </is>
      </c>
    </row>
    <row r="1076">
      <c r="A1076" t="inlineStr">
        <is>
          <t>No</t>
        </is>
      </c>
      <c r="B1076" t="inlineStr">
        <is>
          <t>HQ1588 .A35 1998</t>
        </is>
      </c>
      <c r="C1076" t="inlineStr">
        <is>
          <t>0                      HQ 1588000A  35          1998</t>
        </is>
      </c>
      <c r="D1076" t="inlineStr">
        <is>
          <t>Perspectives on feminist political thought in European history : from the Middle Ages to the present / edited by Tjitske Akkerman and Siep Stuurman.</t>
        </is>
      </c>
      <c r="F1076" t="inlineStr">
        <is>
          <t>No</t>
        </is>
      </c>
      <c r="G1076" t="inlineStr">
        <is>
          <t>1</t>
        </is>
      </c>
      <c r="H1076" t="inlineStr">
        <is>
          <t>No</t>
        </is>
      </c>
      <c r="I1076" t="inlineStr">
        <is>
          <t>No</t>
        </is>
      </c>
      <c r="J1076" t="inlineStr">
        <is>
          <t>0</t>
        </is>
      </c>
      <c r="L1076" t="inlineStr">
        <is>
          <t>London ; New York : Routledge, 1998.</t>
        </is>
      </c>
      <c r="M1076" t="inlineStr">
        <is>
          <t>1998</t>
        </is>
      </c>
      <c r="O1076" t="inlineStr">
        <is>
          <t>eng</t>
        </is>
      </c>
      <c r="P1076" t="inlineStr">
        <is>
          <t>enk</t>
        </is>
      </c>
      <c r="R1076" t="inlineStr">
        <is>
          <t xml:space="preserve">HQ </t>
        </is>
      </c>
      <c r="S1076" t="n">
        <v>2</v>
      </c>
      <c r="T1076" t="n">
        <v>2</v>
      </c>
      <c r="U1076" t="inlineStr">
        <is>
          <t>2008-02-03</t>
        </is>
      </c>
      <c r="V1076" t="inlineStr">
        <is>
          <t>2008-02-03</t>
        </is>
      </c>
      <c r="W1076" t="inlineStr">
        <is>
          <t>1999-11-08</t>
        </is>
      </c>
      <c r="X1076" t="inlineStr">
        <is>
          <t>1999-11-08</t>
        </is>
      </c>
      <c r="Y1076" t="n">
        <v>225</v>
      </c>
      <c r="Z1076" t="n">
        <v>158</v>
      </c>
      <c r="AA1076" t="n">
        <v>736</v>
      </c>
      <c r="AB1076" t="n">
        <v>2</v>
      </c>
      <c r="AC1076" t="n">
        <v>27</v>
      </c>
      <c r="AD1076" t="n">
        <v>7</v>
      </c>
      <c r="AE1076" t="n">
        <v>34</v>
      </c>
      <c r="AF1076" t="n">
        <v>1</v>
      </c>
      <c r="AG1076" t="n">
        <v>9</v>
      </c>
      <c r="AH1076" t="n">
        <v>3</v>
      </c>
      <c r="AI1076" t="n">
        <v>8</v>
      </c>
      <c r="AJ1076" t="n">
        <v>5</v>
      </c>
      <c r="AK1076" t="n">
        <v>10</v>
      </c>
      <c r="AL1076" t="n">
        <v>1</v>
      </c>
      <c r="AM1076" t="n">
        <v>12</v>
      </c>
      <c r="AN1076" t="n">
        <v>0</v>
      </c>
      <c r="AO1076" t="n">
        <v>1</v>
      </c>
      <c r="AP1076" t="inlineStr">
        <is>
          <t>No</t>
        </is>
      </c>
      <c r="AQ1076" t="inlineStr">
        <is>
          <t>No</t>
        </is>
      </c>
      <c r="AS1076">
        <f>HYPERLINK("https://creighton-primo.hosted.exlibrisgroup.com/primo-explore/search?tab=default_tab&amp;search_scope=EVERYTHING&amp;vid=01CRU&amp;lang=en_US&amp;offset=0&amp;query=any,contains,991002911569702656","Catalog Record")</f>
        <v/>
      </c>
      <c r="AT1076">
        <f>HYPERLINK("http://www.worldcat.org/oclc/37141290","WorldCat Record")</f>
        <v/>
      </c>
      <c r="AU1076" t="inlineStr">
        <is>
          <t>800414052:eng</t>
        </is>
      </c>
      <c r="AV1076" t="inlineStr">
        <is>
          <t>37141290</t>
        </is>
      </c>
      <c r="AW1076" t="inlineStr">
        <is>
          <t>991002911569702656</t>
        </is>
      </c>
      <c r="AX1076" t="inlineStr">
        <is>
          <t>991002911569702656</t>
        </is>
      </c>
      <c r="AY1076" t="inlineStr">
        <is>
          <t>2262618690002656</t>
        </is>
      </c>
      <c r="AZ1076" t="inlineStr">
        <is>
          <t>BOOK</t>
        </is>
      </c>
      <c r="BB1076" t="inlineStr">
        <is>
          <t>9780415152204</t>
        </is>
      </c>
      <c r="BC1076" t="inlineStr">
        <is>
          <t>32285003619268</t>
        </is>
      </c>
      <c r="BD1076" t="inlineStr">
        <is>
          <t>893440680</t>
        </is>
      </c>
    </row>
    <row r="1077">
      <c r="A1077" t="inlineStr">
        <is>
          <t>No</t>
        </is>
      </c>
      <c r="B1077" t="inlineStr">
        <is>
          <t>HQ1588 .W645 1983, v...</t>
        </is>
      </c>
      <c r="C1077" t="inlineStr">
        <is>
          <t>0                      HQ 1588000W  645         1983                                        v...</t>
        </is>
      </c>
      <c r="D1077" t="inlineStr">
        <is>
          <t>Women, the family, and freedom : the debate in documents / edited by Susan Groag Bell &amp; Karen M. Offen.</t>
        </is>
      </c>
      <c r="E1077" t="inlineStr">
        <is>
          <t>V.1</t>
        </is>
      </c>
      <c r="F1077" t="inlineStr">
        <is>
          <t>Yes</t>
        </is>
      </c>
      <c r="G1077" t="inlineStr">
        <is>
          <t>1</t>
        </is>
      </c>
      <c r="H1077" t="inlineStr">
        <is>
          <t>No</t>
        </is>
      </c>
      <c r="I1077" t="inlineStr">
        <is>
          <t>No</t>
        </is>
      </c>
      <c r="J1077" t="inlineStr">
        <is>
          <t>0</t>
        </is>
      </c>
      <c r="L1077" t="inlineStr">
        <is>
          <t>Stanford, Calif. : Stanford University Press, 1983-</t>
        </is>
      </c>
      <c r="M1077" t="inlineStr">
        <is>
          <t>1900</t>
        </is>
      </c>
      <c r="O1077" t="inlineStr">
        <is>
          <t>eng</t>
        </is>
      </c>
      <c r="P1077" t="inlineStr">
        <is>
          <t>cau</t>
        </is>
      </c>
      <c r="R1077" t="inlineStr">
        <is>
          <t xml:space="preserve">HQ </t>
        </is>
      </c>
      <c r="S1077" t="n">
        <v>6</v>
      </c>
      <c r="T1077" t="n">
        <v>9</v>
      </c>
      <c r="U1077" t="inlineStr">
        <is>
          <t>2003-02-12</t>
        </is>
      </c>
      <c r="V1077" t="inlineStr">
        <is>
          <t>2003-02-12</t>
        </is>
      </c>
      <c r="W1077" t="inlineStr">
        <is>
          <t>1993-04-29</t>
        </is>
      </c>
      <c r="X1077" t="inlineStr">
        <is>
          <t>1993-04-29</t>
        </is>
      </c>
      <c r="Y1077" t="n">
        <v>944</v>
      </c>
      <c r="Z1077" t="n">
        <v>809</v>
      </c>
      <c r="AA1077" t="n">
        <v>812</v>
      </c>
      <c r="AB1077" t="n">
        <v>7</v>
      </c>
      <c r="AC1077" t="n">
        <v>7</v>
      </c>
      <c r="AD1077" t="n">
        <v>43</v>
      </c>
      <c r="AE1077" t="n">
        <v>43</v>
      </c>
      <c r="AF1077" t="n">
        <v>13</v>
      </c>
      <c r="AG1077" t="n">
        <v>13</v>
      </c>
      <c r="AH1077" t="n">
        <v>10</v>
      </c>
      <c r="AI1077" t="n">
        <v>10</v>
      </c>
      <c r="AJ1077" t="n">
        <v>18</v>
      </c>
      <c r="AK1077" t="n">
        <v>18</v>
      </c>
      <c r="AL1077" t="n">
        <v>6</v>
      </c>
      <c r="AM1077" t="n">
        <v>6</v>
      </c>
      <c r="AN1077" t="n">
        <v>5</v>
      </c>
      <c r="AO1077" t="n">
        <v>5</v>
      </c>
      <c r="AP1077" t="inlineStr">
        <is>
          <t>No</t>
        </is>
      </c>
      <c r="AQ1077" t="inlineStr">
        <is>
          <t>No</t>
        </is>
      </c>
      <c r="AS1077">
        <f>HYPERLINK("https://creighton-primo.hosted.exlibrisgroup.com/primo-explore/search?tab=default_tab&amp;search_scope=EVERYTHING&amp;vid=01CRU&amp;lang=en_US&amp;offset=0&amp;query=any,contains,991000289549702656","Catalog Record")</f>
        <v/>
      </c>
      <c r="AT1077">
        <f>HYPERLINK("http://www.worldcat.org/oclc/9949718","WorldCat Record")</f>
        <v/>
      </c>
      <c r="AU1077" t="inlineStr">
        <is>
          <t>502563169:eng</t>
        </is>
      </c>
      <c r="AV1077" t="inlineStr">
        <is>
          <t>9949718</t>
        </is>
      </c>
      <c r="AW1077" t="inlineStr">
        <is>
          <t>991000289549702656</t>
        </is>
      </c>
      <c r="AX1077" t="inlineStr">
        <is>
          <t>991000289549702656</t>
        </is>
      </c>
      <c r="AY1077" t="inlineStr">
        <is>
          <t>2260268940002656</t>
        </is>
      </c>
      <c r="AZ1077" t="inlineStr">
        <is>
          <t>BOOK</t>
        </is>
      </c>
      <c r="BB1077" t="inlineStr">
        <is>
          <t>9780804711739</t>
        </is>
      </c>
      <c r="BC1077" t="inlineStr">
        <is>
          <t>32285001631000</t>
        </is>
      </c>
      <c r="BD1077" t="inlineStr">
        <is>
          <t>893614071</t>
        </is>
      </c>
    </row>
    <row r="1078">
      <c r="A1078" t="inlineStr">
        <is>
          <t>No</t>
        </is>
      </c>
      <c r="B1078" t="inlineStr">
        <is>
          <t>HQ1588 .W645 1983, v...</t>
        </is>
      </c>
      <c r="C1078" t="inlineStr">
        <is>
          <t>0                      HQ 1588000W  645         1983                                        v...</t>
        </is>
      </c>
      <c r="D1078" t="inlineStr">
        <is>
          <t>Women, the family, and freedom : the debate in documents / edited by Susan Groag Bell &amp; Karen M. Offen.</t>
        </is>
      </c>
      <c r="E1078" t="inlineStr">
        <is>
          <t>V.2</t>
        </is>
      </c>
      <c r="F1078" t="inlineStr">
        <is>
          <t>Yes</t>
        </is>
      </c>
      <c r="G1078" t="inlineStr">
        <is>
          <t>1</t>
        </is>
      </c>
      <c r="H1078" t="inlineStr">
        <is>
          <t>No</t>
        </is>
      </c>
      <c r="I1078" t="inlineStr">
        <is>
          <t>No</t>
        </is>
      </c>
      <c r="J1078" t="inlineStr">
        <is>
          <t>0</t>
        </is>
      </c>
      <c r="L1078" t="inlineStr">
        <is>
          <t>Stanford, Calif. : Stanford University Press, 1983-</t>
        </is>
      </c>
      <c r="M1078" t="inlineStr">
        <is>
          <t>1900</t>
        </is>
      </c>
      <c r="O1078" t="inlineStr">
        <is>
          <t>eng</t>
        </is>
      </c>
      <c r="P1078" t="inlineStr">
        <is>
          <t>cau</t>
        </is>
      </c>
      <c r="R1078" t="inlineStr">
        <is>
          <t xml:space="preserve">HQ </t>
        </is>
      </c>
      <c r="S1078" t="n">
        <v>3</v>
      </c>
      <c r="T1078" t="n">
        <v>9</v>
      </c>
      <c r="U1078" t="inlineStr">
        <is>
          <t>2003-02-12</t>
        </is>
      </c>
      <c r="V1078" t="inlineStr">
        <is>
          <t>2003-02-12</t>
        </is>
      </c>
      <c r="W1078" t="inlineStr">
        <is>
          <t>1993-04-29</t>
        </is>
      </c>
      <c r="X1078" t="inlineStr">
        <is>
          <t>1993-04-29</t>
        </is>
      </c>
      <c r="Y1078" t="n">
        <v>944</v>
      </c>
      <c r="Z1078" t="n">
        <v>809</v>
      </c>
      <c r="AA1078" t="n">
        <v>812</v>
      </c>
      <c r="AB1078" t="n">
        <v>7</v>
      </c>
      <c r="AC1078" t="n">
        <v>7</v>
      </c>
      <c r="AD1078" t="n">
        <v>43</v>
      </c>
      <c r="AE1078" t="n">
        <v>43</v>
      </c>
      <c r="AF1078" t="n">
        <v>13</v>
      </c>
      <c r="AG1078" t="n">
        <v>13</v>
      </c>
      <c r="AH1078" t="n">
        <v>10</v>
      </c>
      <c r="AI1078" t="n">
        <v>10</v>
      </c>
      <c r="AJ1078" t="n">
        <v>18</v>
      </c>
      <c r="AK1078" t="n">
        <v>18</v>
      </c>
      <c r="AL1078" t="n">
        <v>6</v>
      </c>
      <c r="AM1078" t="n">
        <v>6</v>
      </c>
      <c r="AN1078" t="n">
        <v>5</v>
      </c>
      <c r="AO1078" t="n">
        <v>5</v>
      </c>
      <c r="AP1078" t="inlineStr">
        <is>
          <t>No</t>
        </is>
      </c>
      <c r="AQ1078" t="inlineStr">
        <is>
          <t>No</t>
        </is>
      </c>
      <c r="AS1078">
        <f>HYPERLINK("https://creighton-primo.hosted.exlibrisgroup.com/primo-explore/search?tab=default_tab&amp;search_scope=EVERYTHING&amp;vid=01CRU&amp;lang=en_US&amp;offset=0&amp;query=any,contains,991000289549702656","Catalog Record")</f>
        <v/>
      </c>
      <c r="AT1078">
        <f>HYPERLINK("http://www.worldcat.org/oclc/9949718","WorldCat Record")</f>
        <v/>
      </c>
      <c r="AU1078" t="inlineStr">
        <is>
          <t>502563169:eng</t>
        </is>
      </c>
      <c r="AV1078" t="inlineStr">
        <is>
          <t>9949718</t>
        </is>
      </c>
      <c r="AW1078" t="inlineStr">
        <is>
          <t>991000289549702656</t>
        </is>
      </c>
      <c r="AX1078" t="inlineStr">
        <is>
          <t>991000289549702656</t>
        </is>
      </c>
      <c r="AY1078" t="inlineStr">
        <is>
          <t>2260268940002656</t>
        </is>
      </c>
      <c r="AZ1078" t="inlineStr">
        <is>
          <t>BOOK</t>
        </is>
      </c>
      <c r="BB1078" t="inlineStr">
        <is>
          <t>9780804711739</t>
        </is>
      </c>
      <c r="BC1078" t="inlineStr">
        <is>
          <t>32285001631018</t>
        </is>
      </c>
      <c r="BD1078" t="inlineStr">
        <is>
          <t>893620356</t>
        </is>
      </c>
    </row>
    <row r="1079">
      <c r="A1079" t="inlineStr">
        <is>
          <t>No</t>
        </is>
      </c>
      <c r="B1079" t="inlineStr">
        <is>
          <t>HQ1590.7 .E56 1993</t>
        </is>
      </c>
      <c r="C1079" t="inlineStr">
        <is>
          <t>0                      HQ 1590700E  56          1993</t>
        </is>
      </c>
      <c r="D1079" t="inlineStr">
        <is>
          <t>Cinderella goes to market : citizenship, gender, and women's movements in East Central Europe / Barbara Einhorn.</t>
        </is>
      </c>
      <c r="F1079" t="inlineStr">
        <is>
          <t>No</t>
        </is>
      </c>
      <c r="G1079" t="inlineStr">
        <is>
          <t>1</t>
        </is>
      </c>
      <c r="H1079" t="inlineStr">
        <is>
          <t>No</t>
        </is>
      </c>
      <c r="I1079" t="inlineStr">
        <is>
          <t>No</t>
        </is>
      </c>
      <c r="J1079" t="inlineStr">
        <is>
          <t>0</t>
        </is>
      </c>
      <c r="K1079" t="inlineStr">
        <is>
          <t>Einhorn, Barbara.</t>
        </is>
      </c>
      <c r="L1079" t="inlineStr">
        <is>
          <t>London ; New York : Verso, 1993.</t>
        </is>
      </c>
      <c r="M1079" t="inlineStr">
        <is>
          <t>1993</t>
        </is>
      </c>
      <c r="O1079" t="inlineStr">
        <is>
          <t>eng</t>
        </is>
      </c>
      <c r="P1079" t="inlineStr">
        <is>
          <t>enk</t>
        </is>
      </c>
      <c r="R1079" t="inlineStr">
        <is>
          <t xml:space="preserve">HQ </t>
        </is>
      </c>
      <c r="S1079" t="n">
        <v>3</v>
      </c>
      <c r="T1079" t="n">
        <v>3</v>
      </c>
      <c r="U1079" t="inlineStr">
        <is>
          <t>1994-03-07</t>
        </is>
      </c>
      <c r="V1079" t="inlineStr">
        <is>
          <t>1994-03-07</t>
        </is>
      </c>
      <c r="W1079" t="inlineStr">
        <is>
          <t>1994-01-26</t>
        </is>
      </c>
      <c r="X1079" t="inlineStr">
        <is>
          <t>1994-01-26</t>
        </is>
      </c>
      <c r="Y1079" t="n">
        <v>529</v>
      </c>
      <c r="Z1079" t="n">
        <v>372</v>
      </c>
      <c r="AA1079" t="n">
        <v>529</v>
      </c>
      <c r="AB1079" t="n">
        <v>5</v>
      </c>
      <c r="AC1079" t="n">
        <v>6</v>
      </c>
      <c r="AD1079" t="n">
        <v>20</v>
      </c>
      <c r="AE1079" t="n">
        <v>29</v>
      </c>
      <c r="AF1079" t="n">
        <v>4</v>
      </c>
      <c r="AG1079" t="n">
        <v>8</v>
      </c>
      <c r="AH1079" t="n">
        <v>7</v>
      </c>
      <c r="AI1079" t="n">
        <v>9</v>
      </c>
      <c r="AJ1079" t="n">
        <v>10</v>
      </c>
      <c r="AK1079" t="n">
        <v>13</v>
      </c>
      <c r="AL1079" t="n">
        <v>4</v>
      </c>
      <c r="AM1079" t="n">
        <v>5</v>
      </c>
      <c r="AN1079" t="n">
        <v>0</v>
      </c>
      <c r="AO1079" t="n">
        <v>0</v>
      </c>
      <c r="AP1079" t="inlineStr">
        <is>
          <t>No</t>
        </is>
      </c>
      <c r="AQ1079" t="inlineStr">
        <is>
          <t>Yes</t>
        </is>
      </c>
      <c r="AR1079">
        <f>HYPERLINK("http://catalog.hathitrust.org/Record/002724485","HathiTrust Record")</f>
        <v/>
      </c>
      <c r="AS1079">
        <f>HYPERLINK("https://creighton-primo.hosted.exlibrisgroup.com/primo-explore/search?tab=default_tab&amp;search_scope=EVERYTHING&amp;vid=01CRU&amp;lang=en_US&amp;offset=0&amp;query=any,contains,991002248999702656","Catalog Record")</f>
        <v/>
      </c>
      <c r="AT1079">
        <f>HYPERLINK("http://www.worldcat.org/oclc/29027208","WorldCat Record")</f>
        <v/>
      </c>
      <c r="AU1079" t="inlineStr">
        <is>
          <t>836922450:eng</t>
        </is>
      </c>
      <c r="AV1079" t="inlineStr">
        <is>
          <t>29027208</t>
        </is>
      </c>
      <c r="AW1079" t="inlineStr">
        <is>
          <t>991002248999702656</t>
        </is>
      </c>
      <c r="AX1079" t="inlineStr">
        <is>
          <t>991002248999702656</t>
        </is>
      </c>
      <c r="AY1079" t="inlineStr">
        <is>
          <t>2259229500002656</t>
        </is>
      </c>
      <c r="AZ1079" t="inlineStr">
        <is>
          <t>BOOK</t>
        </is>
      </c>
      <c r="BB1079" t="inlineStr">
        <is>
          <t>9780860914105</t>
        </is>
      </c>
      <c r="BC1079" t="inlineStr">
        <is>
          <t>32285001833648</t>
        </is>
      </c>
      <c r="BD1079" t="inlineStr">
        <is>
          <t>893603374</t>
        </is>
      </c>
    </row>
    <row r="1080">
      <c r="A1080" t="inlineStr">
        <is>
          <t>No</t>
        </is>
      </c>
      <c r="B1080" t="inlineStr">
        <is>
          <t>HQ1590.7 .G45 1999</t>
        </is>
      </c>
      <c r="C1080" t="inlineStr">
        <is>
          <t>0                      HQ 1590700G  45          1999</t>
        </is>
      </c>
      <c r="D1080" t="inlineStr">
        <is>
          <t>Gender and identity in Central and Eastern Europe / edited by Chris Corrin.</t>
        </is>
      </c>
      <c r="F1080" t="inlineStr">
        <is>
          <t>No</t>
        </is>
      </c>
      <c r="G1080" t="inlineStr">
        <is>
          <t>1</t>
        </is>
      </c>
      <c r="H1080" t="inlineStr">
        <is>
          <t>No</t>
        </is>
      </c>
      <c r="I1080" t="inlineStr">
        <is>
          <t>No</t>
        </is>
      </c>
      <c r="J1080" t="inlineStr">
        <is>
          <t>0</t>
        </is>
      </c>
      <c r="L1080" t="inlineStr">
        <is>
          <t>London ; Portland, OR : Frank Cass, 1999.</t>
        </is>
      </c>
      <c r="M1080" t="inlineStr">
        <is>
          <t>1999</t>
        </is>
      </c>
      <c r="O1080" t="inlineStr">
        <is>
          <t>eng</t>
        </is>
      </c>
      <c r="P1080" t="inlineStr">
        <is>
          <t>enk</t>
        </is>
      </c>
      <c r="R1080" t="inlineStr">
        <is>
          <t xml:space="preserve">HQ </t>
        </is>
      </c>
      <c r="S1080" t="n">
        <v>1</v>
      </c>
      <c r="T1080" t="n">
        <v>1</v>
      </c>
      <c r="U1080" t="inlineStr">
        <is>
          <t>2004-08-17</t>
        </is>
      </c>
      <c r="V1080" t="inlineStr">
        <is>
          <t>2004-08-17</t>
        </is>
      </c>
      <c r="W1080" t="inlineStr">
        <is>
          <t>2004-08-17</t>
        </is>
      </c>
      <c r="X1080" t="inlineStr">
        <is>
          <t>2004-08-17</t>
        </is>
      </c>
      <c r="Y1080" t="n">
        <v>170</v>
      </c>
      <c r="Z1080" t="n">
        <v>117</v>
      </c>
      <c r="AA1080" t="n">
        <v>138</v>
      </c>
      <c r="AB1080" t="n">
        <v>2</v>
      </c>
      <c r="AC1080" t="n">
        <v>2</v>
      </c>
      <c r="AD1080" t="n">
        <v>6</v>
      </c>
      <c r="AE1080" t="n">
        <v>6</v>
      </c>
      <c r="AF1080" t="n">
        <v>1</v>
      </c>
      <c r="AG1080" t="n">
        <v>1</v>
      </c>
      <c r="AH1080" t="n">
        <v>2</v>
      </c>
      <c r="AI1080" t="n">
        <v>2</v>
      </c>
      <c r="AJ1080" t="n">
        <v>4</v>
      </c>
      <c r="AK1080" t="n">
        <v>4</v>
      </c>
      <c r="AL1080" t="n">
        <v>1</v>
      </c>
      <c r="AM1080" t="n">
        <v>1</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HYPERLINK("https://creighton-primo.hosted.exlibrisgroup.com/primo-explore/search?tab=default_tab&amp;search_scope=EVERYTHING&amp;vid=01CRU&amp;lang=en_US&amp;offset=0&amp;query=any,contains,991004347489702656","Catalog Record")</f>
        <v/>
      </c>
      <c r="AT1080">
        <f>HYPERLINK("http://www.worldcat.org/oclc/41564997","WorldCat Record")</f>
        <v/>
      </c>
      <c r="AU1080" t="inlineStr">
        <is>
          <t>56435406:eng</t>
        </is>
      </c>
      <c r="AV1080" t="inlineStr">
        <is>
          <t>41564997</t>
        </is>
      </c>
      <c r="AW1080" t="inlineStr">
        <is>
          <t>991004347489702656</t>
        </is>
      </c>
      <c r="AX1080" t="inlineStr">
        <is>
          <t>991004347489702656</t>
        </is>
      </c>
      <c r="AY1080" t="inlineStr">
        <is>
          <t>2267264340002656</t>
        </is>
      </c>
      <c r="AZ1080" t="inlineStr">
        <is>
          <t>BOOK</t>
        </is>
      </c>
      <c r="BB1080" t="inlineStr">
        <is>
          <t>9780714650333</t>
        </is>
      </c>
      <c r="BC1080" t="inlineStr">
        <is>
          <t>32285004981675</t>
        </is>
      </c>
      <c r="BD1080" t="inlineStr">
        <is>
          <t>893593580</t>
        </is>
      </c>
    </row>
    <row r="1081">
      <c r="A1081" t="inlineStr">
        <is>
          <t>No</t>
        </is>
      </c>
      <c r="B1081" t="inlineStr">
        <is>
          <t>HQ1590.7 .G46 1993</t>
        </is>
      </c>
      <c r="C1081" t="inlineStr">
        <is>
          <t>0                      HQ 1590700G  46          1993</t>
        </is>
      </c>
      <c r="D1081" t="inlineStr">
        <is>
          <t>Gender politics and post-communism : reflections from eastern Europe and the former Soviet Union / edited by Nanette Funk and Magda Mueller ; introduction by Nanette Funk.</t>
        </is>
      </c>
      <c r="F1081" t="inlineStr">
        <is>
          <t>No</t>
        </is>
      </c>
      <c r="G1081" t="inlineStr">
        <is>
          <t>1</t>
        </is>
      </c>
      <c r="H1081" t="inlineStr">
        <is>
          <t>No</t>
        </is>
      </c>
      <c r="I1081" t="inlineStr">
        <is>
          <t>No</t>
        </is>
      </c>
      <c r="J1081" t="inlineStr">
        <is>
          <t>0</t>
        </is>
      </c>
      <c r="L1081" t="inlineStr">
        <is>
          <t>New York : Routledge, 1993.</t>
        </is>
      </c>
      <c r="M1081" t="inlineStr">
        <is>
          <t>1993</t>
        </is>
      </c>
      <c r="O1081" t="inlineStr">
        <is>
          <t>eng</t>
        </is>
      </c>
      <c r="P1081" t="inlineStr">
        <is>
          <t>nyu</t>
        </is>
      </c>
      <c r="Q1081" t="inlineStr">
        <is>
          <t>Thinking gender</t>
        </is>
      </c>
      <c r="R1081" t="inlineStr">
        <is>
          <t xml:space="preserve">HQ </t>
        </is>
      </c>
      <c r="S1081" t="n">
        <v>6</v>
      </c>
      <c r="T1081" t="n">
        <v>6</v>
      </c>
      <c r="U1081" t="inlineStr">
        <is>
          <t>2003-10-30</t>
        </is>
      </c>
      <c r="V1081" t="inlineStr">
        <is>
          <t>2003-10-30</t>
        </is>
      </c>
      <c r="W1081" t="inlineStr">
        <is>
          <t>1993-12-22</t>
        </is>
      </c>
      <c r="X1081" t="inlineStr">
        <is>
          <t>1993-12-22</t>
        </is>
      </c>
      <c r="Y1081" t="n">
        <v>495</v>
      </c>
      <c r="Z1081" t="n">
        <v>335</v>
      </c>
      <c r="AA1081" t="n">
        <v>352</v>
      </c>
      <c r="AB1081" t="n">
        <v>3</v>
      </c>
      <c r="AC1081" t="n">
        <v>3</v>
      </c>
      <c r="AD1081" t="n">
        <v>19</v>
      </c>
      <c r="AE1081" t="n">
        <v>19</v>
      </c>
      <c r="AF1081" t="n">
        <v>5</v>
      </c>
      <c r="AG1081" t="n">
        <v>5</v>
      </c>
      <c r="AH1081" t="n">
        <v>8</v>
      </c>
      <c r="AI1081" t="n">
        <v>8</v>
      </c>
      <c r="AJ1081" t="n">
        <v>10</v>
      </c>
      <c r="AK1081" t="n">
        <v>10</v>
      </c>
      <c r="AL1081" t="n">
        <v>2</v>
      </c>
      <c r="AM1081" t="n">
        <v>2</v>
      </c>
      <c r="AN1081" t="n">
        <v>0</v>
      </c>
      <c r="AO1081" t="n">
        <v>0</v>
      </c>
      <c r="AP1081" t="inlineStr">
        <is>
          <t>No</t>
        </is>
      </c>
      <c r="AQ1081" t="inlineStr">
        <is>
          <t>Yes</t>
        </is>
      </c>
      <c r="AR1081">
        <f>HYPERLINK("http://catalog.hathitrust.org/Record/002635813","HathiTrust Record")</f>
        <v/>
      </c>
      <c r="AS1081">
        <f>HYPERLINK("https://creighton-primo.hosted.exlibrisgroup.com/primo-explore/search?tab=default_tab&amp;search_scope=EVERYTHING&amp;vid=01CRU&amp;lang=en_US&amp;offset=0&amp;query=any,contains,991002090299702656","Catalog Record")</f>
        <v/>
      </c>
      <c r="AT1081">
        <f>HYPERLINK("http://www.worldcat.org/oclc/26809959","WorldCat Record")</f>
        <v/>
      </c>
      <c r="AU1081" t="inlineStr">
        <is>
          <t>807077379:eng</t>
        </is>
      </c>
      <c r="AV1081" t="inlineStr">
        <is>
          <t>26809959</t>
        </is>
      </c>
      <c r="AW1081" t="inlineStr">
        <is>
          <t>991002090299702656</t>
        </is>
      </c>
      <c r="AX1081" t="inlineStr">
        <is>
          <t>991002090299702656</t>
        </is>
      </c>
      <c r="AY1081" t="inlineStr">
        <is>
          <t>2256963390002656</t>
        </is>
      </c>
      <c r="AZ1081" t="inlineStr">
        <is>
          <t>BOOK</t>
        </is>
      </c>
      <c r="BB1081" t="inlineStr">
        <is>
          <t>9780415904773</t>
        </is>
      </c>
      <c r="BC1081" t="inlineStr">
        <is>
          <t>32285001817435</t>
        </is>
      </c>
      <c r="BD1081" t="inlineStr">
        <is>
          <t>893444959</t>
        </is>
      </c>
    </row>
    <row r="1082">
      <c r="A1082" t="inlineStr">
        <is>
          <t>No</t>
        </is>
      </c>
      <c r="B1082" t="inlineStr">
        <is>
          <t>HQ1593 .A3 1977</t>
        </is>
      </c>
      <c r="C1082" t="inlineStr">
        <is>
          <t>0                      HQ 1593000A  3           1977</t>
        </is>
      </c>
      <c r="D1082" t="inlineStr">
        <is>
          <t>A woman's place, 1910-1975 / Ruth Adam.</t>
        </is>
      </c>
      <c r="F1082" t="inlineStr">
        <is>
          <t>No</t>
        </is>
      </c>
      <c r="G1082" t="inlineStr">
        <is>
          <t>1</t>
        </is>
      </c>
      <c r="H1082" t="inlineStr">
        <is>
          <t>No</t>
        </is>
      </c>
      <c r="I1082" t="inlineStr">
        <is>
          <t>No</t>
        </is>
      </c>
      <c r="J1082" t="inlineStr">
        <is>
          <t>0</t>
        </is>
      </c>
      <c r="K1082" t="inlineStr">
        <is>
          <t>Adam, Ruth, 1907-1977.</t>
        </is>
      </c>
      <c r="L1082" t="inlineStr">
        <is>
          <t>New York : Norton, 1977, c1975.</t>
        </is>
      </c>
      <c r="M1082" t="inlineStr">
        <is>
          <t>1977</t>
        </is>
      </c>
      <c r="N1082" t="inlineStr">
        <is>
          <t>1st American ed.</t>
        </is>
      </c>
      <c r="O1082" t="inlineStr">
        <is>
          <t>eng</t>
        </is>
      </c>
      <c r="P1082" t="inlineStr">
        <is>
          <t>nyu</t>
        </is>
      </c>
      <c r="R1082" t="inlineStr">
        <is>
          <t xml:space="preserve">HQ </t>
        </is>
      </c>
      <c r="S1082" t="n">
        <v>1</v>
      </c>
      <c r="T1082" t="n">
        <v>1</v>
      </c>
      <c r="U1082" t="inlineStr">
        <is>
          <t>2001-11-11</t>
        </is>
      </c>
      <c r="V1082" t="inlineStr">
        <is>
          <t>2001-11-11</t>
        </is>
      </c>
      <c r="W1082" t="inlineStr">
        <is>
          <t>1998-01-28</t>
        </is>
      </c>
      <c r="X1082" t="inlineStr">
        <is>
          <t>1998-01-28</t>
        </is>
      </c>
      <c r="Y1082" t="n">
        <v>381</v>
      </c>
      <c r="Z1082" t="n">
        <v>361</v>
      </c>
      <c r="AA1082" t="n">
        <v>458</v>
      </c>
      <c r="AB1082" t="n">
        <v>1</v>
      </c>
      <c r="AC1082" t="n">
        <v>3</v>
      </c>
      <c r="AD1082" t="n">
        <v>8</v>
      </c>
      <c r="AE1082" t="n">
        <v>15</v>
      </c>
      <c r="AF1082" t="n">
        <v>4</v>
      </c>
      <c r="AG1082" t="n">
        <v>6</v>
      </c>
      <c r="AH1082" t="n">
        <v>1</v>
      </c>
      <c r="AI1082" t="n">
        <v>3</v>
      </c>
      <c r="AJ1082" t="n">
        <v>5</v>
      </c>
      <c r="AK1082" t="n">
        <v>9</v>
      </c>
      <c r="AL1082" t="n">
        <v>0</v>
      </c>
      <c r="AM1082" t="n">
        <v>1</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HYPERLINK("https://creighton-primo.hosted.exlibrisgroup.com/primo-explore/search?tab=default_tab&amp;search_scope=EVERYTHING&amp;vid=01CRU&amp;lang=en_US&amp;offset=0&amp;query=any,contains,991004198299702656","Catalog Record")</f>
        <v/>
      </c>
      <c r="AT1082">
        <f>HYPERLINK("http://www.worldcat.org/oclc/2646083","WorldCat Record")</f>
        <v/>
      </c>
      <c r="AU1082" t="inlineStr">
        <is>
          <t>3641888:eng</t>
        </is>
      </c>
      <c r="AV1082" t="inlineStr">
        <is>
          <t>2646083</t>
        </is>
      </c>
      <c r="AW1082" t="inlineStr">
        <is>
          <t>991004198299702656</t>
        </is>
      </c>
      <c r="AX1082" t="inlineStr">
        <is>
          <t>991004198299702656</t>
        </is>
      </c>
      <c r="AY1082" t="inlineStr">
        <is>
          <t>2254900440002656</t>
        </is>
      </c>
      <c r="AZ1082" t="inlineStr">
        <is>
          <t>BOOK</t>
        </is>
      </c>
      <c r="BB1082" t="inlineStr">
        <is>
          <t>9780393056228</t>
        </is>
      </c>
      <c r="BC1082" t="inlineStr">
        <is>
          <t>32285003335535</t>
        </is>
      </c>
      <c r="BD1082" t="inlineStr">
        <is>
          <t>893423498</t>
        </is>
      </c>
    </row>
    <row r="1083">
      <c r="A1083" t="inlineStr">
        <is>
          <t>No</t>
        </is>
      </c>
      <c r="B1083" t="inlineStr">
        <is>
          <t>HQ1593 .B3</t>
        </is>
      </c>
      <c r="C1083" t="inlineStr">
        <is>
          <t>0                      HQ 1593000B  3</t>
        </is>
      </c>
      <c r="D1083" t="inlineStr">
        <is>
          <t>Feminism and family planning in Victorian England [by] J. A. and Olive Banks.</t>
        </is>
      </c>
      <c r="F1083" t="inlineStr">
        <is>
          <t>No</t>
        </is>
      </c>
      <c r="G1083" t="inlineStr">
        <is>
          <t>1</t>
        </is>
      </c>
      <c r="H1083" t="inlineStr">
        <is>
          <t>No</t>
        </is>
      </c>
      <c r="I1083" t="inlineStr">
        <is>
          <t>No</t>
        </is>
      </c>
      <c r="J1083" t="inlineStr">
        <is>
          <t>0</t>
        </is>
      </c>
      <c r="K1083" t="inlineStr">
        <is>
          <t>Banks, J. A. (Joseph Ambrose), 1920-2005.</t>
        </is>
      </c>
      <c r="L1083" t="inlineStr">
        <is>
          <t>New York, Schocken Books, 1964.</t>
        </is>
      </c>
      <c r="M1083" t="inlineStr">
        <is>
          <t>1964</t>
        </is>
      </c>
      <c r="O1083" t="inlineStr">
        <is>
          <t>eng</t>
        </is>
      </c>
      <c r="P1083" t="inlineStr">
        <is>
          <t>nyu</t>
        </is>
      </c>
      <c r="Q1083" t="inlineStr">
        <is>
          <t>Studies in sociology</t>
        </is>
      </c>
      <c r="R1083" t="inlineStr">
        <is>
          <t xml:space="preserve">HQ </t>
        </is>
      </c>
      <c r="S1083" t="n">
        <v>4</v>
      </c>
      <c r="T1083" t="n">
        <v>4</v>
      </c>
      <c r="U1083" t="inlineStr">
        <is>
          <t>2008-09-03</t>
        </is>
      </c>
      <c r="V1083" t="inlineStr">
        <is>
          <t>2008-09-03</t>
        </is>
      </c>
      <c r="W1083" t="inlineStr">
        <is>
          <t>1997-08-15</t>
        </is>
      </c>
      <c r="X1083" t="inlineStr">
        <is>
          <t>1997-08-15</t>
        </is>
      </c>
      <c r="Y1083" t="n">
        <v>521</v>
      </c>
      <c r="Z1083" t="n">
        <v>471</v>
      </c>
      <c r="AA1083" t="n">
        <v>574</v>
      </c>
      <c r="AB1083" t="n">
        <v>4</v>
      </c>
      <c r="AC1083" t="n">
        <v>4</v>
      </c>
      <c r="AD1083" t="n">
        <v>26</v>
      </c>
      <c r="AE1083" t="n">
        <v>30</v>
      </c>
      <c r="AF1083" t="n">
        <v>10</v>
      </c>
      <c r="AG1083" t="n">
        <v>11</v>
      </c>
      <c r="AH1083" t="n">
        <v>10</v>
      </c>
      <c r="AI1083" t="n">
        <v>10</v>
      </c>
      <c r="AJ1083" t="n">
        <v>12</v>
      </c>
      <c r="AK1083" t="n">
        <v>15</v>
      </c>
      <c r="AL1083" t="n">
        <v>3</v>
      </c>
      <c r="AM1083" t="n">
        <v>3</v>
      </c>
      <c r="AN1083" t="n">
        <v>0</v>
      </c>
      <c r="AO1083" t="n">
        <v>0</v>
      </c>
      <c r="AP1083" t="inlineStr">
        <is>
          <t>No</t>
        </is>
      </c>
      <c r="AQ1083" t="inlineStr">
        <is>
          <t>Yes</t>
        </is>
      </c>
      <c r="AR1083">
        <f>HYPERLINK("http://catalog.hathitrust.org/Record/001117006","HathiTrust Record")</f>
        <v/>
      </c>
      <c r="AS1083">
        <f>HYPERLINK("https://creighton-primo.hosted.exlibrisgroup.com/primo-explore/search?tab=default_tab&amp;search_scope=EVERYTHING&amp;vid=01CRU&amp;lang=en_US&amp;offset=0&amp;query=any,contains,991003258519702656","Catalog Record")</f>
        <v/>
      </c>
      <c r="AT1083">
        <f>HYPERLINK("http://www.worldcat.org/oclc/784061","WorldCat Record")</f>
        <v/>
      </c>
      <c r="AU1083" t="inlineStr">
        <is>
          <t>352108937:eng</t>
        </is>
      </c>
      <c r="AV1083" t="inlineStr">
        <is>
          <t>784061</t>
        </is>
      </c>
      <c r="AW1083" t="inlineStr">
        <is>
          <t>991003258519702656</t>
        </is>
      </c>
      <c r="AX1083" t="inlineStr">
        <is>
          <t>991003258519702656</t>
        </is>
      </c>
      <c r="AY1083" t="inlineStr">
        <is>
          <t>2262492320002656</t>
        </is>
      </c>
      <c r="AZ1083" t="inlineStr">
        <is>
          <t>BOOK</t>
        </is>
      </c>
      <c r="BC1083" t="inlineStr">
        <is>
          <t>32285003104667</t>
        </is>
      </c>
      <c r="BD1083" t="inlineStr">
        <is>
          <t>893246188</t>
        </is>
      </c>
    </row>
    <row r="1084">
      <c r="A1084" t="inlineStr">
        <is>
          <t>No</t>
        </is>
      </c>
      <c r="B1084" t="inlineStr">
        <is>
          <t>HQ1593 .B43 1989</t>
        </is>
      </c>
      <c r="C1084" t="inlineStr">
        <is>
          <t>0                      HQ 1593000B  43          1989</t>
        </is>
      </c>
      <c r="D1084" t="inlineStr">
        <is>
          <t>Back to home and duty : women between the wars, 1918-1939 / Deirdre Beddoe.</t>
        </is>
      </c>
      <c r="F1084" t="inlineStr">
        <is>
          <t>No</t>
        </is>
      </c>
      <c r="G1084" t="inlineStr">
        <is>
          <t>1</t>
        </is>
      </c>
      <c r="H1084" t="inlineStr">
        <is>
          <t>No</t>
        </is>
      </c>
      <c r="I1084" t="inlineStr">
        <is>
          <t>No</t>
        </is>
      </c>
      <c r="J1084" t="inlineStr">
        <is>
          <t>0</t>
        </is>
      </c>
      <c r="K1084" t="inlineStr">
        <is>
          <t>Beddoe, Deirdre.</t>
        </is>
      </c>
      <c r="L1084" t="inlineStr">
        <is>
          <t>London : Pandora, 1989.</t>
        </is>
      </c>
      <c r="M1084" t="inlineStr">
        <is>
          <t>1989</t>
        </is>
      </c>
      <c r="O1084" t="inlineStr">
        <is>
          <t>eng</t>
        </is>
      </c>
      <c r="P1084" t="inlineStr">
        <is>
          <t>enk</t>
        </is>
      </c>
      <c r="R1084" t="inlineStr">
        <is>
          <t xml:space="preserve">HQ </t>
        </is>
      </c>
      <c r="S1084" t="n">
        <v>4</v>
      </c>
      <c r="T1084" t="n">
        <v>4</v>
      </c>
      <c r="U1084" t="inlineStr">
        <is>
          <t>2005-11-14</t>
        </is>
      </c>
      <c r="V1084" t="inlineStr">
        <is>
          <t>2005-11-14</t>
        </is>
      </c>
      <c r="W1084" t="inlineStr">
        <is>
          <t>1990-05-25</t>
        </is>
      </c>
      <c r="X1084" t="inlineStr">
        <is>
          <t>1990-05-25</t>
        </is>
      </c>
      <c r="Y1084" t="n">
        <v>382</v>
      </c>
      <c r="Z1084" t="n">
        <v>209</v>
      </c>
      <c r="AA1084" t="n">
        <v>211</v>
      </c>
      <c r="AB1084" t="n">
        <v>2</v>
      </c>
      <c r="AC1084" t="n">
        <v>2</v>
      </c>
      <c r="AD1084" t="n">
        <v>12</v>
      </c>
      <c r="AE1084" t="n">
        <v>12</v>
      </c>
      <c r="AF1084" t="n">
        <v>2</v>
      </c>
      <c r="AG1084" t="n">
        <v>2</v>
      </c>
      <c r="AH1084" t="n">
        <v>5</v>
      </c>
      <c r="AI1084" t="n">
        <v>5</v>
      </c>
      <c r="AJ1084" t="n">
        <v>7</v>
      </c>
      <c r="AK1084" t="n">
        <v>7</v>
      </c>
      <c r="AL1084" t="n">
        <v>1</v>
      </c>
      <c r="AM1084" t="n">
        <v>1</v>
      </c>
      <c r="AN1084" t="n">
        <v>0</v>
      </c>
      <c r="AO1084" t="n">
        <v>0</v>
      </c>
      <c r="AP1084" t="inlineStr">
        <is>
          <t>No</t>
        </is>
      </c>
      <c r="AQ1084" t="inlineStr">
        <is>
          <t>Yes</t>
        </is>
      </c>
      <c r="AR1084">
        <f>HYPERLINK("http://catalog.hathitrust.org/Record/007107764","HathiTrust Record")</f>
        <v/>
      </c>
      <c r="AS1084">
        <f>HYPERLINK("https://creighton-primo.hosted.exlibrisgroup.com/primo-explore/search?tab=default_tab&amp;search_scope=EVERYTHING&amp;vid=01CRU&amp;lang=en_US&amp;offset=0&amp;query=any,contains,991001555419702656","Catalog Record")</f>
        <v/>
      </c>
      <c r="AT1084">
        <f>HYPERLINK("http://www.worldcat.org/oclc/20263095","WorldCat Record")</f>
        <v/>
      </c>
      <c r="AU1084" t="inlineStr">
        <is>
          <t>22110749:eng</t>
        </is>
      </c>
      <c r="AV1084" t="inlineStr">
        <is>
          <t>20263095</t>
        </is>
      </c>
      <c r="AW1084" t="inlineStr">
        <is>
          <t>991001555419702656</t>
        </is>
      </c>
      <c r="AX1084" t="inlineStr">
        <is>
          <t>991001555419702656</t>
        </is>
      </c>
      <c r="AY1084" t="inlineStr">
        <is>
          <t>2260302540002656</t>
        </is>
      </c>
      <c r="AZ1084" t="inlineStr">
        <is>
          <t>BOOK</t>
        </is>
      </c>
      <c r="BB1084" t="inlineStr">
        <is>
          <t>9780044405153</t>
        </is>
      </c>
      <c r="BC1084" t="inlineStr">
        <is>
          <t>32285000155944</t>
        </is>
      </c>
      <c r="BD1084" t="inlineStr">
        <is>
          <t>893522634</t>
        </is>
      </c>
    </row>
    <row r="1085">
      <c r="A1085" t="inlineStr">
        <is>
          <t>No</t>
        </is>
      </c>
      <c r="B1085" t="inlineStr">
        <is>
          <t>HQ1593 .C8 1973</t>
        </is>
      </c>
      <c r="C1085" t="inlineStr">
        <is>
          <t>0                      HQ 1593000C  8           1973</t>
        </is>
      </c>
      <c r="D1085" t="inlineStr">
        <is>
          <t>Feminine attitudes in the nineteenth century.</t>
        </is>
      </c>
      <c r="F1085" t="inlineStr">
        <is>
          <t>No</t>
        </is>
      </c>
      <c r="G1085" t="inlineStr">
        <is>
          <t>1</t>
        </is>
      </c>
      <c r="H1085" t="inlineStr">
        <is>
          <t>No</t>
        </is>
      </c>
      <c r="I1085" t="inlineStr">
        <is>
          <t>No</t>
        </is>
      </c>
      <c r="J1085" t="inlineStr">
        <is>
          <t>0</t>
        </is>
      </c>
      <c r="K1085" t="inlineStr">
        <is>
          <t>Cunnington, C. Willett (Cecil Willett), 1878-1961.</t>
        </is>
      </c>
      <c r="L1085" t="inlineStr">
        <is>
          <t>New York, Haskell House Publishers, 1973.</t>
        </is>
      </c>
      <c r="M1085" t="inlineStr">
        <is>
          <t>1973</t>
        </is>
      </c>
      <c r="O1085" t="inlineStr">
        <is>
          <t>eng</t>
        </is>
      </c>
      <c r="P1085" t="inlineStr">
        <is>
          <t>nyu</t>
        </is>
      </c>
      <c r="R1085" t="inlineStr">
        <is>
          <t xml:space="preserve">HQ </t>
        </is>
      </c>
      <c r="S1085" t="n">
        <v>4</v>
      </c>
      <c r="T1085" t="n">
        <v>4</v>
      </c>
      <c r="U1085" t="inlineStr">
        <is>
          <t>2008-09-03</t>
        </is>
      </c>
      <c r="V1085" t="inlineStr">
        <is>
          <t>2008-09-03</t>
        </is>
      </c>
      <c r="W1085" t="inlineStr">
        <is>
          <t>1997-08-15</t>
        </is>
      </c>
      <c r="X1085" t="inlineStr">
        <is>
          <t>1997-08-15</t>
        </is>
      </c>
      <c r="Y1085" t="n">
        <v>178</v>
      </c>
      <c r="Z1085" t="n">
        <v>155</v>
      </c>
      <c r="AA1085" t="n">
        <v>412</v>
      </c>
      <c r="AB1085" t="n">
        <v>2</v>
      </c>
      <c r="AC1085" t="n">
        <v>4</v>
      </c>
      <c r="AD1085" t="n">
        <v>6</v>
      </c>
      <c r="AE1085" t="n">
        <v>19</v>
      </c>
      <c r="AF1085" t="n">
        <v>2</v>
      </c>
      <c r="AG1085" t="n">
        <v>6</v>
      </c>
      <c r="AH1085" t="n">
        <v>0</v>
      </c>
      <c r="AI1085" t="n">
        <v>4</v>
      </c>
      <c r="AJ1085" t="n">
        <v>4</v>
      </c>
      <c r="AK1085" t="n">
        <v>4</v>
      </c>
      <c r="AL1085" t="n">
        <v>1</v>
      </c>
      <c r="AM1085" t="n">
        <v>3</v>
      </c>
      <c r="AN1085" t="n">
        <v>0</v>
      </c>
      <c r="AO1085" t="n">
        <v>4</v>
      </c>
      <c r="AP1085" t="inlineStr">
        <is>
          <t>No</t>
        </is>
      </c>
      <c r="AQ1085" t="inlineStr">
        <is>
          <t>Yes</t>
        </is>
      </c>
      <c r="AR1085">
        <f>HYPERLINK("http://catalog.hathitrust.org/Record/001055276","HathiTrust Record")</f>
        <v/>
      </c>
      <c r="AS1085">
        <f>HYPERLINK("https://creighton-primo.hosted.exlibrisgroup.com/primo-explore/search?tab=default_tab&amp;search_scope=EVERYTHING&amp;vid=01CRU&amp;lang=en_US&amp;offset=0&amp;query=any,contains,991002247759702656","Catalog Record")</f>
        <v/>
      </c>
      <c r="AT1085">
        <f>HYPERLINK("http://www.worldcat.org/oclc/297817","WorldCat Record")</f>
        <v/>
      </c>
      <c r="AU1085" t="inlineStr">
        <is>
          <t>705306:eng</t>
        </is>
      </c>
      <c r="AV1085" t="inlineStr">
        <is>
          <t>297817</t>
        </is>
      </c>
      <c r="AW1085" t="inlineStr">
        <is>
          <t>991002247759702656</t>
        </is>
      </c>
      <c r="AX1085" t="inlineStr">
        <is>
          <t>991002247759702656</t>
        </is>
      </c>
      <c r="AY1085" t="inlineStr">
        <is>
          <t>2264828160002656</t>
        </is>
      </c>
      <c r="AZ1085" t="inlineStr">
        <is>
          <t>BOOK</t>
        </is>
      </c>
      <c r="BB1085" t="inlineStr">
        <is>
          <t>9780838314838</t>
        </is>
      </c>
      <c r="BC1085" t="inlineStr">
        <is>
          <t>32285003104675</t>
        </is>
      </c>
      <c r="BD1085" t="inlineStr">
        <is>
          <t>893504181</t>
        </is>
      </c>
    </row>
    <row r="1086">
      <c r="A1086" t="inlineStr">
        <is>
          <t>No</t>
        </is>
      </c>
      <c r="B1086" t="inlineStr">
        <is>
          <t>HQ1593 .F7 1984</t>
        </is>
      </c>
      <c r="C1086" t="inlineStr">
        <is>
          <t>0                      HQ 1593000F  7           1984</t>
        </is>
      </c>
      <c r="D1086" t="inlineStr">
        <is>
          <t>The weaker vessel / Antonia Fraser.</t>
        </is>
      </c>
      <c r="F1086" t="inlineStr">
        <is>
          <t>No</t>
        </is>
      </c>
      <c r="G1086" t="inlineStr">
        <is>
          <t>1</t>
        </is>
      </c>
      <c r="H1086" t="inlineStr">
        <is>
          <t>No</t>
        </is>
      </c>
      <c r="I1086" t="inlineStr">
        <is>
          <t>Yes</t>
        </is>
      </c>
      <c r="J1086" t="inlineStr">
        <is>
          <t>0</t>
        </is>
      </c>
      <c r="K1086" t="inlineStr">
        <is>
          <t>Fraser, Antonia, 1932-</t>
        </is>
      </c>
      <c r="L1086" t="inlineStr">
        <is>
          <t>New York : Knopf : Distributed by Random House, c1984.</t>
        </is>
      </c>
      <c r="M1086" t="inlineStr">
        <is>
          <t>1984</t>
        </is>
      </c>
      <c r="N1086" t="inlineStr">
        <is>
          <t>1st American ed.</t>
        </is>
      </c>
      <c r="O1086" t="inlineStr">
        <is>
          <t>eng</t>
        </is>
      </c>
      <c r="P1086" t="inlineStr">
        <is>
          <t>nyu</t>
        </is>
      </c>
      <c r="R1086" t="inlineStr">
        <is>
          <t xml:space="preserve">HQ </t>
        </is>
      </c>
      <c r="S1086" t="n">
        <v>8</v>
      </c>
      <c r="T1086" t="n">
        <v>8</v>
      </c>
      <c r="U1086" t="inlineStr">
        <is>
          <t>2005-01-13</t>
        </is>
      </c>
      <c r="V1086" t="inlineStr">
        <is>
          <t>2005-01-13</t>
        </is>
      </c>
      <c r="W1086" t="inlineStr">
        <is>
          <t>1993-04-29</t>
        </is>
      </c>
      <c r="X1086" t="inlineStr">
        <is>
          <t>1993-04-29</t>
        </is>
      </c>
      <c r="Y1086" t="n">
        <v>2088</v>
      </c>
      <c r="Z1086" t="n">
        <v>1994</v>
      </c>
      <c r="AA1086" t="n">
        <v>2192</v>
      </c>
      <c r="AB1086" t="n">
        <v>11</v>
      </c>
      <c r="AC1086" t="n">
        <v>14</v>
      </c>
      <c r="AD1086" t="n">
        <v>40</v>
      </c>
      <c r="AE1086" t="n">
        <v>45</v>
      </c>
      <c r="AF1086" t="n">
        <v>15</v>
      </c>
      <c r="AG1086" t="n">
        <v>16</v>
      </c>
      <c r="AH1086" t="n">
        <v>9</v>
      </c>
      <c r="AI1086" t="n">
        <v>11</v>
      </c>
      <c r="AJ1086" t="n">
        <v>20</v>
      </c>
      <c r="AK1086" t="n">
        <v>22</v>
      </c>
      <c r="AL1086" t="n">
        <v>6</v>
      </c>
      <c r="AM1086" t="n">
        <v>8</v>
      </c>
      <c r="AN1086" t="n">
        <v>2</v>
      </c>
      <c r="AO1086" t="n">
        <v>2</v>
      </c>
      <c r="AP1086" t="inlineStr">
        <is>
          <t>No</t>
        </is>
      </c>
      <c r="AQ1086" t="inlineStr">
        <is>
          <t>No</t>
        </is>
      </c>
      <c r="AS1086">
        <f>HYPERLINK("https://creighton-primo.hosted.exlibrisgroup.com/primo-explore/search?tab=default_tab&amp;search_scope=EVERYTHING&amp;vid=01CRU&amp;lang=en_US&amp;offset=0&amp;query=any,contains,991000411939702656","Catalog Record")</f>
        <v/>
      </c>
      <c r="AT1086">
        <f>HYPERLINK("http://www.worldcat.org/oclc/10711508","WorldCat Record")</f>
        <v/>
      </c>
      <c r="AU1086" t="inlineStr">
        <is>
          <t>5615652979:eng</t>
        </is>
      </c>
      <c r="AV1086" t="inlineStr">
        <is>
          <t>10711508</t>
        </is>
      </c>
      <c r="AW1086" t="inlineStr">
        <is>
          <t>991000411939702656</t>
        </is>
      </c>
      <c r="AX1086" t="inlineStr">
        <is>
          <t>991000411939702656</t>
        </is>
      </c>
      <c r="AY1086" t="inlineStr">
        <is>
          <t>2260233820002656</t>
        </is>
      </c>
      <c r="AZ1086" t="inlineStr">
        <is>
          <t>BOOK</t>
        </is>
      </c>
      <c r="BB1086" t="inlineStr">
        <is>
          <t>9780394513515</t>
        </is>
      </c>
      <c r="BC1086" t="inlineStr">
        <is>
          <t>32285001631034</t>
        </is>
      </c>
      <c r="BD1086" t="inlineStr">
        <is>
          <t>893708342</t>
        </is>
      </c>
    </row>
    <row r="1087">
      <c r="A1087" t="inlineStr">
        <is>
          <t>No</t>
        </is>
      </c>
      <c r="B1087" t="inlineStr">
        <is>
          <t>HQ1593 .G46 1996</t>
        </is>
      </c>
      <c r="C1087" t="inlineStr">
        <is>
          <t>0                      HQ 1593000G  46          1996</t>
        </is>
      </c>
      <c r="D1087" t="inlineStr">
        <is>
          <t>Gender and science : late nineteenth-century debates on the female mind and body / edited and introduced by Katharina Rowold.</t>
        </is>
      </c>
      <c r="F1087" t="inlineStr">
        <is>
          <t>No</t>
        </is>
      </c>
      <c r="G1087" t="inlineStr">
        <is>
          <t>1</t>
        </is>
      </c>
      <c r="H1087" t="inlineStr">
        <is>
          <t>No</t>
        </is>
      </c>
      <c r="I1087" t="inlineStr">
        <is>
          <t>No</t>
        </is>
      </c>
      <c r="J1087" t="inlineStr">
        <is>
          <t>0</t>
        </is>
      </c>
      <c r="L1087" t="inlineStr">
        <is>
          <t>Bristol, England : Thoemmes Press, 1996.</t>
        </is>
      </c>
      <c r="M1087" t="inlineStr">
        <is>
          <t>1996</t>
        </is>
      </c>
      <c r="O1087" t="inlineStr">
        <is>
          <t>eng</t>
        </is>
      </c>
      <c r="P1087" t="inlineStr">
        <is>
          <t>enk</t>
        </is>
      </c>
      <c r="Q1087" t="inlineStr">
        <is>
          <t>Key issues</t>
        </is>
      </c>
      <c r="R1087" t="inlineStr">
        <is>
          <t xml:space="preserve">HQ </t>
        </is>
      </c>
      <c r="S1087" t="n">
        <v>4</v>
      </c>
      <c r="T1087" t="n">
        <v>4</v>
      </c>
      <c r="U1087" t="inlineStr">
        <is>
          <t>2004-12-02</t>
        </is>
      </c>
      <c r="V1087" t="inlineStr">
        <is>
          <t>2004-12-02</t>
        </is>
      </c>
      <c r="W1087" t="inlineStr">
        <is>
          <t>1997-10-15</t>
        </is>
      </c>
      <c r="X1087" t="inlineStr">
        <is>
          <t>1997-10-15</t>
        </is>
      </c>
      <c r="Y1087" t="n">
        <v>236</v>
      </c>
      <c r="Z1087" t="n">
        <v>163</v>
      </c>
      <c r="AA1087" t="n">
        <v>164</v>
      </c>
      <c r="AB1087" t="n">
        <v>2</v>
      </c>
      <c r="AC1087" t="n">
        <v>2</v>
      </c>
      <c r="AD1087" t="n">
        <v>9</v>
      </c>
      <c r="AE1087" t="n">
        <v>9</v>
      </c>
      <c r="AF1087" t="n">
        <v>1</v>
      </c>
      <c r="AG1087" t="n">
        <v>1</v>
      </c>
      <c r="AH1087" t="n">
        <v>4</v>
      </c>
      <c r="AI1087" t="n">
        <v>4</v>
      </c>
      <c r="AJ1087" t="n">
        <v>6</v>
      </c>
      <c r="AK1087" t="n">
        <v>6</v>
      </c>
      <c r="AL1087" t="n">
        <v>1</v>
      </c>
      <c r="AM1087" t="n">
        <v>1</v>
      </c>
      <c r="AN1087" t="n">
        <v>0</v>
      </c>
      <c r="AO1087" t="n">
        <v>0</v>
      </c>
      <c r="AP1087" t="inlineStr">
        <is>
          <t>No</t>
        </is>
      </c>
      <c r="AQ1087" t="inlineStr">
        <is>
          <t>Yes</t>
        </is>
      </c>
      <c r="AR1087">
        <f>HYPERLINK("http://catalog.hathitrust.org/Record/003135512","HathiTrust Record")</f>
        <v/>
      </c>
      <c r="AS1087">
        <f>HYPERLINK("https://creighton-primo.hosted.exlibrisgroup.com/primo-explore/search?tab=default_tab&amp;search_scope=EVERYTHING&amp;vid=01CRU&amp;lang=en_US&amp;offset=0&amp;query=any,contains,991002659899702656","Catalog Record")</f>
        <v/>
      </c>
      <c r="AT1087">
        <f>HYPERLINK("http://www.worldcat.org/oclc/37902219","WorldCat Record")</f>
        <v/>
      </c>
      <c r="AU1087" t="inlineStr">
        <is>
          <t>837019936:eng</t>
        </is>
      </c>
      <c r="AV1087" t="inlineStr">
        <is>
          <t>37902219</t>
        </is>
      </c>
      <c r="AW1087" t="inlineStr">
        <is>
          <t>991002659899702656</t>
        </is>
      </c>
      <c r="AX1087" t="inlineStr">
        <is>
          <t>991002659899702656</t>
        </is>
      </c>
      <c r="AY1087" t="inlineStr">
        <is>
          <t>2269785890002656</t>
        </is>
      </c>
      <c r="AZ1087" t="inlineStr">
        <is>
          <t>BOOK</t>
        </is>
      </c>
      <c r="BB1087" t="inlineStr">
        <is>
          <t>9781855064102</t>
        </is>
      </c>
      <c r="BC1087" t="inlineStr">
        <is>
          <t>32285003254678</t>
        </is>
      </c>
      <c r="BD1087" t="inlineStr">
        <is>
          <t>893239343</t>
        </is>
      </c>
    </row>
    <row r="1088">
      <c r="A1088" t="inlineStr">
        <is>
          <t>No</t>
        </is>
      </c>
      <c r="B1088" t="inlineStr">
        <is>
          <t>HQ1593 .H35 1979</t>
        </is>
      </c>
      <c r="C1088" t="inlineStr">
        <is>
          <t>0                      HQ 1593000H  35          1979</t>
        </is>
      </c>
      <c r="D1088" t="inlineStr">
        <is>
          <t>Emigrant gentlewomen : genteel poverty and female emigration, 1830-1914 / A. James Hammerton.</t>
        </is>
      </c>
      <c r="F1088" t="inlineStr">
        <is>
          <t>No</t>
        </is>
      </c>
      <c r="G1088" t="inlineStr">
        <is>
          <t>1</t>
        </is>
      </c>
      <c r="H1088" t="inlineStr">
        <is>
          <t>No</t>
        </is>
      </c>
      <c r="I1088" t="inlineStr">
        <is>
          <t>No</t>
        </is>
      </c>
      <c r="J1088" t="inlineStr">
        <is>
          <t>0</t>
        </is>
      </c>
      <c r="K1088" t="inlineStr">
        <is>
          <t>Hammerton, A. James.</t>
        </is>
      </c>
      <c r="L1088" t="inlineStr">
        <is>
          <t>London : Croom Helm ; Totowa, N.J. : Rowman and Littlefield, 1979.</t>
        </is>
      </c>
      <c r="M1088" t="inlineStr">
        <is>
          <t>1979</t>
        </is>
      </c>
      <c r="O1088" t="inlineStr">
        <is>
          <t>eng</t>
        </is>
      </c>
      <c r="P1088" t="inlineStr">
        <is>
          <t>enk</t>
        </is>
      </c>
      <c r="R1088" t="inlineStr">
        <is>
          <t xml:space="preserve">HQ </t>
        </is>
      </c>
      <c r="S1088" t="n">
        <v>1</v>
      </c>
      <c r="T1088" t="n">
        <v>1</v>
      </c>
      <c r="U1088" t="inlineStr">
        <is>
          <t>2009-08-02</t>
        </is>
      </c>
      <c r="V1088" t="inlineStr">
        <is>
          <t>2009-08-02</t>
        </is>
      </c>
      <c r="W1088" t="inlineStr">
        <is>
          <t>1993-04-29</t>
        </is>
      </c>
      <c r="X1088" t="inlineStr">
        <is>
          <t>1993-04-29</t>
        </is>
      </c>
      <c r="Y1088" t="n">
        <v>476</v>
      </c>
      <c r="Z1088" t="n">
        <v>324</v>
      </c>
      <c r="AA1088" t="n">
        <v>350</v>
      </c>
      <c r="AB1088" t="n">
        <v>3</v>
      </c>
      <c r="AC1088" t="n">
        <v>3</v>
      </c>
      <c r="AD1088" t="n">
        <v>12</v>
      </c>
      <c r="AE1088" t="n">
        <v>13</v>
      </c>
      <c r="AF1088" t="n">
        <v>2</v>
      </c>
      <c r="AG1088" t="n">
        <v>2</v>
      </c>
      <c r="AH1088" t="n">
        <v>6</v>
      </c>
      <c r="AI1088" t="n">
        <v>6</v>
      </c>
      <c r="AJ1088" t="n">
        <v>5</v>
      </c>
      <c r="AK1088" t="n">
        <v>6</v>
      </c>
      <c r="AL1088" t="n">
        <v>2</v>
      </c>
      <c r="AM1088" t="n">
        <v>2</v>
      </c>
      <c r="AN1088" t="n">
        <v>0</v>
      </c>
      <c r="AO1088" t="n">
        <v>0</v>
      </c>
      <c r="AP1088" t="inlineStr">
        <is>
          <t>No</t>
        </is>
      </c>
      <c r="AQ1088" t="inlineStr">
        <is>
          <t>Yes</t>
        </is>
      </c>
      <c r="AR1088">
        <f>HYPERLINK("http://catalog.hathitrust.org/Record/000300779","HathiTrust Record")</f>
        <v/>
      </c>
      <c r="AS1088">
        <f>HYPERLINK("https://creighton-primo.hosted.exlibrisgroup.com/primo-explore/search?tab=default_tab&amp;search_scope=EVERYTHING&amp;vid=01CRU&amp;lang=en_US&amp;offset=0&amp;query=any,contains,991004748989702656","Catalog Record")</f>
        <v/>
      </c>
      <c r="AT1088">
        <f>HYPERLINK("http://www.worldcat.org/oclc/4932629","WorldCat Record")</f>
        <v/>
      </c>
      <c r="AU1088" t="inlineStr">
        <is>
          <t>889791329:eng</t>
        </is>
      </c>
      <c r="AV1088" t="inlineStr">
        <is>
          <t>4932629</t>
        </is>
      </c>
      <c r="AW1088" t="inlineStr">
        <is>
          <t>991004748989702656</t>
        </is>
      </c>
      <c r="AX1088" t="inlineStr">
        <is>
          <t>991004748989702656</t>
        </is>
      </c>
      <c r="AY1088" t="inlineStr">
        <is>
          <t>2270467040002656</t>
        </is>
      </c>
      <c r="AZ1088" t="inlineStr">
        <is>
          <t>BOOK</t>
        </is>
      </c>
      <c r="BB1088" t="inlineStr">
        <is>
          <t>9780847661220</t>
        </is>
      </c>
      <c r="BC1088" t="inlineStr">
        <is>
          <t>32285001631042</t>
        </is>
      </c>
      <c r="BD1088" t="inlineStr">
        <is>
          <t>893901707</t>
        </is>
      </c>
    </row>
    <row r="1089">
      <c r="A1089" t="inlineStr">
        <is>
          <t>No</t>
        </is>
      </c>
      <c r="B1089" t="inlineStr">
        <is>
          <t>HQ1593 .L66 1981</t>
        </is>
      </c>
      <c r="C1089" t="inlineStr">
        <is>
          <t>0                      HQ 1593000L  66          1981</t>
        </is>
      </c>
      <c r="D1089" t="inlineStr">
        <is>
          <t>Eminent Victorian women / Elizabeth Longford.</t>
        </is>
      </c>
      <c r="F1089" t="inlineStr">
        <is>
          <t>No</t>
        </is>
      </c>
      <c r="G1089" t="inlineStr">
        <is>
          <t>1</t>
        </is>
      </c>
      <c r="H1089" t="inlineStr">
        <is>
          <t>No</t>
        </is>
      </c>
      <c r="I1089" t="inlineStr">
        <is>
          <t>No</t>
        </is>
      </c>
      <c r="J1089" t="inlineStr">
        <is>
          <t>0</t>
        </is>
      </c>
      <c r="K1089" t="inlineStr">
        <is>
          <t>Longford, Elizabeth, 1906-2002.</t>
        </is>
      </c>
      <c r="L1089" t="inlineStr">
        <is>
          <t>New York : Knopf : distributed by Random House, 1981.</t>
        </is>
      </c>
      <c r="M1089" t="inlineStr">
        <is>
          <t>1981</t>
        </is>
      </c>
      <c r="N1089" t="inlineStr">
        <is>
          <t>1st American ed.</t>
        </is>
      </c>
      <c r="O1089" t="inlineStr">
        <is>
          <t>eng</t>
        </is>
      </c>
      <c r="P1089" t="inlineStr">
        <is>
          <t>nyu</t>
        </is>
      </c>
      <c r="R1089" t="inlineStr">
        <is>
          <t xml:space="preserve">HQ </t>
        </is>
      </c>
      <c r="S1089" t="n">
        <v>2</v>
      </c>
      <c r="T1089" t="n">
        <v>2</v>
      </c>
      <c r="U1089" t="inlineStr">
        <is>
          <t>1996-10-29</t>
        </is>
      </c>
      <c r="V1089" t="inlineStr">
        <is>
          <t>1996-10-29</t>
        </is>
      </c>
      <c r="W1089" t="inlineStr">
        <is>
          <t>1993-04-29</t>
        </is>
      </c>
      <c r="X1089" t="inlineStr">
        <is>
          <t>1993-04-29</t>
        </is>
      </c>
      <c r="Y1089" t="n">
        <v>942</v>
      </c>
      <c r="Z1089" t="n">
        <v>865</v>
      </c>
      <c r="AA1089" t="n">
        <v>958</v>
      </c>
      <c r="AB1089" t="n">
        <v>4</v>
      </c>
      <c r="AC1089" t="n">
        <v>5</v>
      </c>
      <c r="AD1089" t="n">
        <v>21</v>
      </c>
      <c r="AE1089" t="n">
        <v>23</v>
      </c>
      <c r="AF1089" t="n">
        <v>9</v>
      </c>
      <c r="AG1089" t="n">
        <v>9</v>
      </c>
      <c r="AH1089" t="n">
        <v>5</v>
      </c>
      <c r="AI1089" t="n">
        <v>5</v>
      </c>
      <c r="AJ1089" t="n">
        <v>10</v>
      </c>
      <c r="AK1089" t="n">
        <v>11</v>
      </c>
      <c r="AL1089" t="n">
        <v>3</v>
      </c>
      <c r="AM1089" t="n">
        <v>4</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HYPERLINK("https://creighton-primo.hosted.exlibrisgroup.com/primo-explore/search?tab=default_tab&amp;search_scope=EVERYTHING&amp;vid=01CRU&amp;lang=en_US&amp;offset=0&amp;query=any,contains,991005127969702656","Catalog Record")</f>
        <v/>
      </c>
      <c r="AT1089">
        <f>HYPERLINK("http://www.worldcat.org/oclc/7554830","WorldCat Record")</f>
        <v/>
      </c>
      <c r="AU1089" t="inlineStr">
        <is>
          <t>51508043:eng</t>
        </is>
      </c>
      <c r="AV1089" t="inlineStr">
        <is>
          <t>7554830</t>
        </is>
      </c>
      <c r="AW1089" t="inlineStr">
        <is>
          <t>991005127969702656</t>
        </is>
      </c>
      <c r="AX1089" t="inlineStr">
        <is>
          <t>991005127969702656</t>
        </is>
      </c>
      <c r="AY1089" t="inlineStr">
        <is>
          <t>2264610830002656</t>
        </is>
      </c>
      <c r="AZ1089" t="inlineStr">
        <is>
          <t>BOOK</t>
        </is>
      </c>
      <c r="BB1089" t="inlineStr">
        <is>
          <t>9780394513232</t>
        </is>
      </c>
      <c r="BC1089" t="inlineStr">
        <is>
          <t>32285001631059</t>
        </is>
      </c>
      <c r="BD1089" t="inlineStr">
        <is>
          <t>893694792</t>
        </is>
      </c>
    </row>
    <row r="1090">
      <c r="A1090" t="inlineStr">
        <is>
          <t>No</t>
        </is>
      </c>
      <c r="B1090" t="inlineStr">
        <is>
          <t>HQ1593 .S63 1990</t>
        </is>
      </c>
      <c r="C1090" t="inlineStr">
        <is>
          <t>0                      HQ 1593000S  63          1990</t>
        </is>
      </c>
      <c r="D1090" t="inlineStr">
        <is>
          <t>The Social mobility of women : beyond male mobility models / edited by Geoff Payne and Pamela Abbott.</t>
        </is>
      </c>
      <c r="F1090" t="inlineStr">
        <is>
          <t>No</t>
        </is>
      </c>
      <c r="G1090" t="inlineStr">
        <is>
          <t>1</t>
        </is>
      </c>
      <c r="H1090" t="inlineStr">
        <is>
          <t>No</t>
        </is>
      </c>
      <c r="I1090" t="inlineStr">
        <is>
          <t>No</t>
        </is>
      </c>
      <c r="J1090" t="inlineStr">
        <is>
          <t>0</t>
        </is>
      </c>
      <c r="L1090" t="inlineStr">
        <is>
          <t>London [England] ; New York : Falmer Press, 1990.</t>
        </is>
      </c>
      <c r="M1090" t="inlineStr">
        <is>
          <t>1990</t>
        </is>
      </c>
      <c r="O1090" t="inlineStr">
        <is>
          <t>eng</t>
        </is>
      </c>
      <c r="P1090" t="inlineStr">
        <is>
          <t>enk</t>
        </is>
      </c>
      <c r="R1090" t="inlineStr">
        <is>
          <t xml:space="preserve">HQ </t>
        </is>
      </c>
      <c r="S1090" t="n">
        <v>5</v>
      </c>
      <c r="T1090" t="n">
        <v>5</v>
      </c>
      <c r="U1090" t="inlineStr">
        <is>
          <t>2005-11-29</t>
        </is>
      </c>
      <c r="V1090" t="inlineStr">
        <is>
          <t>2005-11-29</t>
        </is>
      </c>
      <c r="W1090" t="inlineStr">
        <is>
          <t>1991-09-17</t>
        </is>
      </c>
      <c r="X1090" t="inlineStr">
        <is>
          <t>1991-09-17</t>
        </is>
      </c>
      <c r="Y1090" t="n">
        <v>310</v>
      </c>
      <c r="Z1090" t="n">
        <v>183</v>
      </c>
      <c r="AA1090" t="n">
        <v>213</v>
      </c>
      <c r="AB1090" t="n">
        <v>2</v>
      </c>
      <c r="AC1090" t="n">
        <v>2</v>
      </c>
      <c r="AD1090" t="n">
        <v>8</v>
      </c>
      <c r="AE1090" t="n">
        <v>8</v>
      </c>
      <c r="AF1090" t="n">
        <v>3</v>
      </c>
      <c r="AG1090" t="n">
        <v>3</v>
      </c>
      <c r="AH1090" t="n">
        <v>2</v>
      </c>
      <c r="AI1090" t="n">
        <v>2</v>
      </c>
      <c r="AJ1090" t="n">
        <v>5</v>
      </c>
      <c r="AK1090" t="n">
        <v>5</v>
      </c>
      <c r="AL1090" t="n">
        <v>1</v>
      </c>
      <c r="AM1090" t="n">
        <v>1</v>
      </c>
      <c r="AN1090" t="n">
        <v>0</v>
      </c>
      <c r="AO1090" t="n">
        <v>0</v>
      </c>
      <c r="AP1090" t="inlineStr">
        <is>
          <t>No</t>
        </is>
      </c>
      <c r="AQ1090" t="inlineStr">
        <is>
          <t>No</t>
        </is>
      </c>
      <c r="AS1090">
        <f>HYPERLINK("https://creighton-primo.hosted.exlibrisgroup.com/primo-explore/search?tab=default_tab&amp;search_scope=EVERYTHING&amp;vid=01CRU&amp;lang=en_US&amp;offset=0&amp;query=any,contains,991001896389702656","Catalog Record")</f>
        <v/>
      </c>
      <c r="AT1090">
        <f>HYPERLINK("http://www.worldcat.org/oclc/23969396","WorldCat Record")</f>
        <v/>
      </c>
      <c r="AU1090" t="inlineStr">
        <is>
          <t>1047481313:eng</t>
        </is>
      </c>
      <c r="AV1090" t="inlineStr">
        <is>
          <t>23969396</t>
        </is>
      </c>
      <c r="AW1090" t="inlineStr">
        <is>
          <t>991001896389702656</t>
        </is>
      </c>
      <c r="AX1090" t="inlineStr">
        <is>
          <t>991001896389702656</t>
        </is>
      </c>
      <c r="AY1090" t="inlineStr">
        <is>
          <t>2267700880002656</t>
        </is>
      </c>
      <c r="AZ1090" t="inlineStr">
        <is>
          <t>BOOK</t>
        </is>
      </c>
      <c r="BB1090" t="inlineStr">
        <is>
          <t>9781850008460</t>
        </is>
      </c>
      <c r="BC1090" t="inlineStr">
        <is>
          <t>32285000703297</t>
        </is>
      </c>
      <c r="BD1090" t="inlineStr">
        <is>
          <t>893439518</t>
        </is>
      </c>
    </row>
    <row r="1091">
      <c r="A1091" t="inlineStr">
        <is>
          <t>No</t>
        </is>
      </c>
      <c r="B1091" t="inlineStr">
        <is>
          <t>HQ1593 .S65 2000</t>
        </is>
      </c>
      <c r="C1091" t="inlineStr">
        <is>
          <t>0                      HQ 1593000S  65          2000</t>
        </is>
      </c>
      <c r="D1091" t="inlineStr">
        <is>
          <t>Feminism and the family : politics and society in the UK and the USA / Jennifer Somerville ; consultant editor, Jo Campling.</t>
        </is>
      </c>
      <c r="F1091" t="inlineStr">
        <is>
          <t>No</t>
        </is>
      </c>
      <c r="G1091" t="inlineStr">
        <is>
          <t>1</t>
        </is>
      </c>
      <c r="H1091" t="inlineStr">
        <is>
          <t>No</t>
        </is>
      </c>
      <c r="I1091" t="inlineStr">
        <is>
          <t>No</t>
        </is>
      </c>
      <c r="J1091" t="inlineStr">
        <is>
          <t>0</t>
        </is>
      </c>
      <c r="K1091" t="inlineStr">
        <is>
          <t>Somerville, Jennifer.</t>
        </is>
      </c>
      <c r="L1091" t="inlineStr">
        <is>
          <t>New York : St. Martin's Press, 2000.</t>
        </is>
      </c>
      <c r="M1091" t="inlineStr">
        <is>
          <t>2000</t>
        </is>
      </c>
      <c r="O1091" t="inlineStr">
        <is>
          <t>eng</t>
        </is>
      </c>
      <c r="P1091" t="inlineStr">
        <is>
          <t>nyu</t>
        </is>
      </c>
      <c r="R1091" t="inlineStr">
        <is>
          <t xml:space="preserve">HQ </t>
        </is>
      </c>
      <c r="S1091" t="n">
        <v>4</v>
      </c>
      <c r="T1091" t="n">
        <v>4</v>
      </c>
      <c r="U1091" t="inlineStr">
        <is>
          <t>2004-04-15</t>
        </is>
      </c>
      <c r="V1091" t="inlineStr">
        <is>
          <t>2004-04-15</t>
        </is>
      </c>
      <c r="W1091" t="inlineStr">
        <is>
          <t>2001-03-26</t>
        </is>
      </c>
      <c r="X1091" t="inlineStr">
        <is>
          <t>2001-03-26</t>
        </is>
      </c>
      <c r="Y1091" t="n">
        <v>248</v>
      </c>
      <c r="Z1091" t="n">
        <v>216</v>
      </c>
      <c r="AA1091" t="n">
        <v>238</v>
      </c>
      <c r="AB1091" t="n">
        <v>2</v>
      </c>
      <c r="AC1091" t="n">
        <v>2</v>
      </c>
      <c r="AD1091" t="n">
        <v>14</v>
      </c>
      <c r="AE1091" t="n">
        <v>15</v>
      </c>
      <c r="AF1091" t="n">
        <v>5</v>
      </c>
      <c r="AG1091" t="n">
        <v>5</v>
      </c>
      <c r="AH1091" t="n">
        <v>5</v>
      </c>
      <c r="AI1091" t="n">
        <v>5</v>
      </c>
      <c r="AJ1091" t="n">
        <v>8</v>
      </c>
      <c r="AK1091" t="n">
        <v>9</v>
      </c>
      <c r="AL1091" t="n">
        <v>1</v>
      </c>
      <c r="AM1091" t="n">
        <v>1</v>
      </c>
      <c r="AN1091" t="n">
        <v>0</v>
      </c>
      <c r="AO1091" t="n">
        <v>0</v>
      </c>
      <c r="AP1091" t="inlineStr">
        <is>
          <t>No</t>
        </is>
      </c>
      <c r="AQ1091" t="inlineStr">
        <is>
          <t>No</t>
        </is>
      </c>
      <c r="AS1091">
        <f>HYPERLINK("https://creighton-primo.hosted.exlibrisgroup.com/primo-explore/search?tab=default_tab&amp;search_scope=EVERYTHING&amp;vid=01CRU&amp;lang=en_US&amp;offset=0&amp;query=any,contains,991003493199702656","Catalog Record")</f>
        <v/>
      </c>
      <c r="AT1091">
        <f>HYPERLINK("http://www.worldcat.org/oclc/43286432","WorldCat Record")</f>
        <v/>
      </c>
      <c r="AU1091" t="inlineStr">
        <is>
          <t>1806231427:eng</t>
        </is>
      </c>
      <c r="AV1091" t="inlineStr">
        <is>
          <t>43286432</t>
        </is>
      </c>
      <c r="AW1091" t="inlineStr">
        <is>
          <t>991003493199702656</t>
        </is>
      </c>
      <c r="AX1091" t="inlineStr">
        <is>
          <t>991003493199702656</t>
        </is>
      </c>
      <c r="AY1091" t="inlineStr">
        <is>
          <t>2258420580002656</t>
        </is>
      </c>
      <c r="AZ1091" t="inlineStr">
        <is>
          <t>BOOK</t>
        </is>
      </c>
      <c r="BB1091" t="inlineStr">
        <is>
          <t>9780312233662</t>
        </is>
      </c>
      <c r="BC1091" t="inlineStr">
        <is>
          <t>32285004306964</t>
        </is>
      </c>
      <c r="BD1091" t="inlineStr">
        <is>
          <t>893524863</t>
        </is>
      </c>
    </row>
    <row r="1092">
      <c r="A1092" t="inlineStr">
        <is>
          <t>No</t>
        </is>
      </c>
      <c r="B1092" t="inlineStr">
        <is>
          <t>HQ1593 .S86</t>
        </is>
      </c>
      <c r="C1092" t="inlineStr">
        <is>
          <t>0                      HQ 1593000S  86</t>
        </is>
      </c>
      <c r="D1092" t="inlineStr">
        <is>
          <t>Strong-minded women : and other lost voices from nineteenth-century England / [edited] by Janet Horowitz Murray.</t>
        </is>
      </c>
      <c r="F1092" t="inlineStr">
        <is>
          <t>No</t>
        </is>
      </c>
      <c r="G1092" t="inlineStr">
        <is>
          <t>1</t>
        </is>
      </c>
      <c r="H1092" t="inlineStr">
        <is>
          <t>No</t>
        </is>
      </c>
      <c r="I1092" t="inlineStr">
        <is>
          <t>No</t>
        </is>
      </c>
      <c r="J1092" t="inlineStr">
        <is>
          <t>0</t>
        </is>
      </c>
      <c r="L1092" t="inlineStr">
        <is>
          <t>New York : Pantheon Books, 1982.</t>
        </is>
      </c>
      <c r="M1092" t="inlineStr">
        <is>
          <t>1982</t>
        </is>
      </c>
      <c r="N1092" t="inlineStr">
        <is>
          <t>1st ed.</t>
        </is>
      </c>
      <c r="O1092" t="inlineStr">
        <is>
          <t>eng</t>
        </is>
      </c>
      <c r="P1092" t="inlineStr">
        <is>
          <t>nyu</t>
        </is>
      </c>
      <c r="R1092" t="inlineStr">
        <is>
          <t xml:space="preserve">HQ </t>
        </is>
      </c>
      <c r="S1092" t="n">
        <v>3</v>
      </c>
      <c r="T1092" t="n">
        <v>3</v>
      </c>
      <c r="U1092" t="inlineStr">
        <is>
          <t>2003-11-19</t>
        </is>
      </c>
      <c r="V1092" t="inlineStr">
        <is>
          <t>2003-11-19</t>
        </is>
      </c>
      <c r="W1092" t="inlineStr">
        <is>
          <t>1993-04-29</t>
        </is>
      </c>
      <c r="X1092" t="inlineStr">
        <is>
          <t>1993-04-29</t>
        </is>
      </c>
      <c r="Y1092" t="n">
        <v>801</v>
      </c>
      <c r="Z1092" t="n">
        <v>720</v>
      </c>
      <c r="AA1092" t="n">
        <v>732</v>
      </c>
      <c r="AB1092" t="n">
        <v>5</v>
      </c>
      <c r="AC1092" t="n">
        <v>5</v>
      </c>
      <c r="AD1092" t="n">
        <v>22</v>
      </c>
      <c r="AE1092" t="n">
        <v>23</v>
      </c>
      <c r="AF1092" t="n">
        <v>7</v>
      </c>
      <c r="AG1092" t="n">
        <v>7</v>
      </c>
      <c r="AH1092" t="n">
        <v>5</v>
      </c>
      <c r="AI1092" t="n">
        <v>6</v>
      </c>
      <c r="AJ1092" t="n">
        <v>14</v>
      </c>
      <c r="AK1092" t="n">
        <v>14</v>
      </c>
      <c r="AL1092" t="n">
        <v>4</v>
      </c>
      <c r="AM1092" t="n">
        <v>4</v>
      </c>
      <c r="AN1092" t="n">
        <v>0</v>
      </c>
      <c r="AO1092" t="n">
        <v>0</v>
      </c>
      <c r="AP1092" t="inlineStr">
        <is>
          <t>No</t>
        </is>
      </c>
      <c r="AQ1092" t="inlineStr">
        <is>
          <t>Yes</t>
        </is>
      </c>
      <c r="AR1092">
        <f>HYPERLINK("http://catalog.hathitrust.org/Record/000100677","HathiTrust Record")</f>
        <v/>
      </c>
      <c r="AS1092">
        <f>HYPERLINK("https://creighton-primo.hosted.exlibrisgroup.com/primo-explore/search?tab=default_tab&amp;search_scope=EVERYTHING&amp;vid=01CRU&amp;lang=en_US&amp;offset=0&amp;query=any,contains,991005185979702656","Catalog Record")</f>
        <v/>
      </c>
      <c r="AT1092">
        <f>HYPERLINK("http://www.worldcat.org/oclc/7976046","WorldCat Record")</f>
        <v/>
      </c>
      <c r="AU1092" t="inlineStr">
        <is>
          <t>499697162:eng</t>
        </is>
      </c>
      <c r="AV1092" t="inlineStr">
        <is>
          <t>7976046</t>
        </is>
      </c>
      <c r="AW1092" t="inlineStr">
        <is>
          <t>991005185979702656</t>
        </is>
      </c>
      <c r="AX1092" t="inlineStr">
        <is>
          <t>991005185979702656</t>
        </is>
      </c>
      <c r="AY1092" t="inlineStr">
        <is>
          <t>2261964030002656</t>
        </is>
      </c>
      <c r="AZ1092" t="inlineStr">
        <is>
          <t>BOOK</t>
        </is>
      </c>
      <c r="BB1092" t="inlineStr">
        <is>
          <t>9780394504599</t>
        </is>
      </c>
      <c r="BC1092" t="inlineStr">
        <is>
          <t>32285001631075</t>
        </is>
      </c>
      <c r="BD1092" t="inlineStr">
        <is>
          <t>893431005</t>
        </is>
      </c>
    </row>
    <row r="1093">
      <c r="A1093" t="inlineStr">
        <is>
          <t>No</t>
        </is>
      </c>
      <c r="B1093" t="inlineStr">
        <is>
          <t>HQ1593 .W576 2001</t>
        </is>
      </c>
      <c r="C1093" t="inlineStr">
        <is>
          <t>0                      HQ 1593000W  576         2001</t>
        </is>
      </c>
      <c r="D1093" t="inlineStr">
        <is>
          <t>Women in twentieth-century Britain / edited by Ina Zweiniger-Bargielowska.</t>
        </is>
      </c>
      <c r="F1093" t="inlineStr">
        <is>
          <t>No</t>
        </is>
      </c>
      <c r="G1093" t="inlineStr">
        <is>
          <t>1</t>
        </is>
      </c>
      <c r="H1093" t="inlineStr">
        <is>
          <t>No</t>
        </is>
      </c>
      <c r="I1093" t="inlineStr">
        <is>
          <t>No</t>
        </is>
      </c>
      <c r="J1093" t="inlineStr">
        <is>
          <t>0</t>
        </is>
      </c>
      <c r="L1093" t="inlineStr">
        <is>
          <t>Harlow : Longman, 2001.</t>
        </is>
      </c>
      <c r="M1093" t="inlineStr">
        <is>
          <t>2001</t>
        </is>
      </c>
      <c r="O1093" t="inlineStr">
        <is>
          <t>eng</t>
        </is>
      </c>
      <c r="P1093" t="inlineStr">
        <is>
          <t>enk</t>
        </is>
      </c>
      <c r="R1093" t="inlineStr">
        <is>
          <t xml:space="preserve">HQ </t>
        </is>
      </c>
      <c r="S1093" t="n">
        <v>3</v>
      </c>
      <c r="T1093" t="n">
        <v>3</v>
      </c>
      <c r="U1093" t="inlineStr">
        <is>
          <t>2005-11-14</t>
        </is>
      </c>
      <c r="V1093" t="inlineStr">
        <is>
          <t>2005-11-14</t>
        </is>
      </c>
      <c r="W1093" t="inlineStr">
        <is>
          <t>2002-07-15</t>
        </is>
      </c>
      <c r="X1093" t="inlineStr">
        <is>
          <t>2002-07-15</t>
        </is>
      </c>
      <c r="Y1093" t="n">
        <v>527</v>
      </c>
      <c r="Z1093" t="n">
        <v>365</v>
      </c>
      <c r="AA1093" t="n">
        <v>377</v>
      </c>
      <c r="AB1093" t="n">
        <v>2</v>
      </c>
      <c r="AC1093" t="n">
        <v>2</v>
      </c>
      <c r="AD1093" t="n">
        <v>28</v>
      </c>
      <c r="AE1093" t="n">
        <v>28</v>
      </c>
      <c r="AF1093" t="n">
        <v>11</v>
      </c>
      <c r="AG1093" t="n">
        <v>11</v>
      </c>
      <c r="AH1093" t="n">
        <v>8</v>
      </c>
      <c r="AI1093" t="n">
        <v>8</v>
      </c>
      <c r="AJ1093" t="n">
        <v>15</v>
      </c>
      <c r="AK1093" t="n">
        <v>15</v>
      </c>
      <c r="AL1093" t="n">
        <v>1</v>
      </c>
      <c r="AM1093" t="n">
        <v>1</v>
      </c>
      <c r="AN1093" t="n">
        <v>0</v>
      </c>
      <c r="AO1093" t="n">
        <v>0</v>
      </c>
      <c r="AP1093" t="inlineStr">
        <is>
          <t>No</t>
        </is>
      </c>
      <c r="AQ1093" t="inlineStr">
        <is>
          <t>Yes</t>
        </is>
      </c>
      <c r="AR1093">
        <f>HYPERLINK("http://catalog.hathitrust.org/Record/003572695","HathiTrust Record")</f>
        <v/>
      </c>
      <c r="AS1093">
        <f>HYPERLINK("https://creighton-primo.hosted.exlibrisgroup.com/primo-explore/search?tab=default_tab&amp;search_scope=EVERYTHING&amp;vid=01CRU&amp;lang=en_US&amp;offset=0&amp;query=any,contains,991003826869702656","Catalog Record")</f>
        <v/>
      </c>
      <c r="AT1093">
        <f>HYPERLINK("http://www.worldcat.org/oclc/46601850","WorldCat Record")</f>
        <v/>
      </c>
      <c r="AU1093" t="inlineStr">
        <is>
          <t>35583506:eng</t>
        </is>
      </c>
      <c r="AV1093" t="inlineStr">
        <is>
          <t>46601850</t>
        </is>
      </c>
      <c r="AW1093" t="inlineStr">
        <is>
          <t>991003826869702656</t>
        </is>
      </c>
      <c r="AX1093" t="inlineStr">
        <is>
          <t>991003826869702656</t>
        </is>
      </c>
      <c r="AY1093" t="inlineStr">
        <is>
          <t>2270233680002656</t>
        </is>
      </c>
      <c r="AZ1093" t="inlineStr">
        <is>
          <t>BOOK</t>
        </is>
      </c>
      <c r="BB1093" t="inlineStr">
        <is>
          <t>9780582404809</t>
        </is>
      </c>
      <c r="BC1093" t="inlineStr">
        <is>
          <t>32285004497854</t>
        </is>
      </c>
      <c r="BD1093" t="inlineStr">
        <is>
          <t>893868926</t>
        </is>
      </c>
    </row>
    <row r="1094">
      <c r="A1094" t="inlineStr">
        <is>
          <t>No</t>
        </is>
      </c>
      <c r="B1094" t="inlineStr">
        <is>
          <t>HQ1593.5 .J39 1995</t>
        </is>
      </c>
      <c r="C1094" t="inlineStr">
        <is>
          <t>0                      HQ 1593500J  39          1995</t>
        </is>
      </c>
      <c r="D1094" t="inlineStr">
        <is>
          <t>The white woman's other burden : Western women and South Asia during British colonial rule / Kumari Jayawardena.</t>
        </is>
      </c>
      <c r="F1094" t="inlineStr">
        <is>
          <t>No</t>
        </is>
      </c>
      <c r="G1094" t="inlineStr">
        <is>
          <t>1</t>
        </is>
      </c>
      <c r="H1094" t="inlineStr">
        <is>
          <t>No</t>
        </is>
      </c>
      <c r="I1094" t="inlineStr">
        <is>
          <t>No</t>
        </is>
      </c>
      <c r="J1094" t="inlineStr">
        <is>
          <t>0</t>
        </is>
      </c>
      <c r="K1094" t="inlineStr">
        <is>
          <t>Jayawardena, Kumari.</t>
        </is>
      </c>
      <c r="L1094" t="inlineStr">
        <is>
          <t>New York : Routledge, 1995.</t>
        </is>
      </c>
      <c r="M1094" t="inlineStr">
        <is>
          <t>1995</t>
        </is>
      </c>
      <c r="O1094" t="inlineStr">
        <is>
          <t>eng</t>
        </is>
      </c>
      <c r="P1094" t="inlineStr">
        <is>
          <t>nyu</t>
        </is>
      </c>
      <c r="R1094" t="inlineStr">
        <is>
          <t xml:space="preserve">HQ </t>
        </is>
      </c>
      <c r="S1094" t="n">
        <v>0</v>
      </c>
      <c r="T1094" t="n">
        <v>0</v>
      </c>
      <c r="U1094" t="inlineStr">
        <is>
          <t>2009-03-03</t>
        </is>
      </c>
      <c r="V1094" t="inlineStr">
        <is>
          <t>2009-03-03</t>
        </is>
      </c>
      <c r="W1094" t="inlineStr">
        <is>
          <t>1997-05-27</t>
        </is>
      </c>
      <c r="X1094" t="inlineStr">
        <is>
          <t>1997-05-27</t>
        </is>
      </c>
      <c r="Y1094" t="n">
        <v>498</v>
      </c>
      <c r="Z1094" t="n">
        <v>351</v>
      </c>
      <c r="AA1094" t="n">
        <v>373</v>
      </c>
      <c r="AB1094" t="n">
        <v>3</v>
      </c>
      <c r="AC1094" t="n">
        <v>3</v>
      </c>
      <c r="AD1094" t="n">
        <v>24</v>
      </c>
      <c r="AE1094" t="n">
        <v>24</v>
      </c>
      <c r="AF1094" t="n">
        <v>6</v>
      </c>
      <c r="AG1094" t="n">
        <v>6</v>
      </c>
      <c r="AH1094" t="n">
        <v>6</v>
      </c>
      <c r="AI1094" t="n">
        <v>6</v>
      </c>
      <c r="AJ1094" t="n">
        <v>16</v>
      </c>
      <c r="AK1094" t="n">
        <v>16</v>
      </c>
      <c r="AL1094" t="n">
        <v>2</v>
      </c>
      <c r="AM1094" t="n">
        <v>2</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HYPERLINK("https://creighton-primo.hosted.exlibrisgroup.com/primo-explore/search?tab=default_tab&amp;search_scope=EVERYTHING&amp;vid=01CRU&amp;lang=en_US&amp;offset=0&amp;query=any,contains,991002376879702656","Catalog Record")</f>
        <v/>
      </c>
      <c r="AT1094">
        <f>HYPERLINK("http://www.worldcat.org/oclc/30895673","WorldCat Record")</f>
        <v/>
      </c>
      <c r="AU1094" t="inlineStr">
        <is>
          <t>33356463:eng</t>
        </is>
      </c>
      <c r="AV1094" t="inlineStr">
        <is>
          <t>30895673</t>
        </is>
      </c>
      <c r="AW1094" t="inlineStr">
        <is>
          <t>991002376879702656</t>
        </is>
      </c>
      <c r="AX1094" t="inlineStr">
        <is>
          <t>991002376879702656</t>
        </is>
      </c>
      <c r="AY1094" t="inlineStr">
        <is>
          <t>2270895870002656</t>
        </is>
      </c>
      <c r="AZ1094" t="inlineStr">
        <is>
          <t>BOOK</t>
        </is>
      </c>
      <c r="BB1094" t="inlineStr">
        <is>
          <t>9780415911047</t>
        </is>
      </c>
      <c r="BC1094" t="inlineStr">
        <is>
          <t>32285002611654</t>
        </is>
      </c>
      <c r="BD1094" t="inlineStr">
        <is>
          <t>893597376</t>
        </is>
      </c>
    </row>
    <row r="1095">
      <c r="A1095" t="inlineStr">
        <is>
          <t>No</t>
        </is>
      </c>
      <c r="B1095" t="inlineStr">
        <is>
          <t>HQ1595.A7 P47 1986</t>
        </is>
      </c>
      <c r="C1095" t="inlineStr">
        <is>
          <t>0                      HQ 1595000A  7                  P  47          1986</t>
        </is>
      </c>
      <c r="D1095" t="inlineStr">
        <is>
          <t>The celebrated Mary Astell : an early English feminist / Ruth Perry.</t>
        </is>
      </c>
      <c r="F1095" t="inlineStr">
        <is>
          <t>No</t>
        </is>
      </c>
      <c r="G1095" t="inlineStr">
        <is>
          <t>1</t>
        </is>
      </c>
      <c r="H1095" t="inlineStr">
        <is>
          <t>No</t>
        </is>
      </c>
      <c r="I1095" t="inlineStr">
        <is>
          <t>No</t>
        </is>
      </c>
      <c r="J1095" t="inlineStr">
        <is>
          <t>0</t>
        </is>
      </c>
      <c r="K1095" t="inlineStr">
        <is>
          <t>Perry, Ruth, 1943-</t>
        </is>
      </c>
      <c r="L1095" t="inlineStr">
        <is>
          <t>Chicago : University of Chicago Press, 1986.</t>
        </is>
      </c>
      <c r="M1095" t="inlineStr">
        <is>
          <t>1986</t>
        </is>
      </c>
      <c r="O1095" t="inlineStr">
        <is>
          <t>eng</t>
        </is>
      </c>
      <c r="P1095" t="inlineStr">
        <is>
          <t>ilu</t>
        </is>
      </c>
      <c r="Q1095" t="inlineStr">
        <is>
          <t>Women in culture and society</t>
        </is>
      </c>
      <c r="R1095" t="inlineStr">
        <is>
          <t xml:space="preserve">HQ </t>
        </is>
      </c>
      <c r="S1095" t="n">
        <v>5</v>
      </c>
      <c r="T1095" t="n">
        <v>5</v>
      </c>
      <c r="U1095" t="inlineStr">
        <is>
          <t>2010-01-29</t>
        </is>
      </c>
      <c r="V1095" t="inlineStr">
        <is>
          <t>2010-01-29</t>
        </is>
      </c>
      <c r="W1095" t="inlineStr">
        <is>
          <t>2003-09-03</t>
        </is>
      </c>
      <c r="X1095" t="inlineStr">
        <is>
          <t>2003-09-03</t>
        </is>
      </c>
      <c r="Y1095" t="n">
        <v>747</v>
      </c>
      <c r="Z1095" t="n">
        <v>599</v>
      </c>
      <c r="AA1095" t="n">
        <v>604</v>
      </c>
      <c r="AB1095" t="n">
        <v>4</v>
      </c>
      <c r="AC1095" t="n">
        <v>4</v>
      </c>
      <c r="AD1095" t="n">
        <v>31</v>
      </c>
      <c r="AE1095" t="n">
        <v>31</v>
      </c>
      <c r="AF1095" t="n">
        <v>11</v>
      </c>
      <c r="AG1095" t="n">
        <v>11</v>
      </c>
      <c r="AH1095" t="n">
        <v>9</v>
      </c>
      <c r="AI1095" t="n">
        <v>9</v>
      </c>
      <c r="AJ1095" t="n">
        <v>16</v>
      </c>
      <c r="AK1095" t="n">
        <v>16</v>
      </c>
      <c r="AL1095" t="n">
        <v>3</v>
      </c>
      <c r="AM1095" t="n">
        <v>3</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HYPERLINK("https://creighton-primo.hosted.exlibrisgroup.com/primo-explore/search?tab=default_tab&amp;search_scope=EVERYTHING&amp;vid=01CRU&amp;lang=en_US&amp;offset=0&amp;query=any,contains,991004112779702656","Catalog Record")</f>
        <v/>
      </c>
      <c r="AT1095">
        <f>HYPERLINK("http://www.worldcat.org/oclc/12974702","WorldCat Record")</f>
        <v/>
      </c>
      <c r="AU1095" t="inlineStr">
        <is>
          <t>5632139:eng</t>
        </is>
      </c>
      <c r="AV1095" t="inlineStr">
        <is>
          <t>12974702</t>
        </is>
      </c>
      <c r="AW1095" t="inlineStr">
        <is>
          <t>991004112779702656</t>
        </is>
      </c>
      <c r="AX1095" t="inlineStr">
        <is>
          <t>991004112779702656</t>
        </is>
      </c>
      <c r="AY1095" t="inlineStr">
        <is>
          <t>2262440020002656</t>
        </is>
      </c>
      <c r="AZ1095" t="inlineStr">
        <is>
          <t>BOOK</t>
        </is>
      </c>
      <c r="BB1095" t="inlineStr">
        <is>
          <t>9780226660936</t>
        </is>
      </c>
      <c r="BC1095" t="inlineStr">
        <is>
          <t>32285004781158</t>
        </is>
      </c>
      <c r="BD1095" t="inlineStr">
        <is>
          <t>893775630</t>
        </is>
      </c>
    </row>
    <row r="1096">
      <c r="A1096" t="inlineStr">
        <is>
          <t>No</t>
        </is>
      </c>
      <c r="B1096" t="inlineStr">
        <is>
          <t>HQ1595.A7 S875 2005</t>
        </is>
      </c>
      <c r="C1096" t="inlineStr">
        <is>
          <t>0                      HQ 1595000A  7                  S  875         2005</t>
        </is>
      </c>
      <c r="D1096" t="inlineStr">
        <is>
          <t>The eloquence of Mary Astell / Christine Mason Sutherland.</t>
        </is>
      </c>
      <c r="F1096" t="inlineStr">
        <is>
          <t>No</t>
        </is>
      </c>
      <c r="G1096" t="inlineStr">
        <is>
          <t>1</t>
        </is>
      </c>
      <c r="H1096" t="inlineStr">
        <is>
          <t>No</t>
        </is>
      </c>
      <c r="I1096" t="inlineStr">
        <is>
          <t>No</t>
        </is>
      </c>
      <c r="J1096" t="inlineStr">
        <is>
          <t>0</t>
        </is>
      </c>
      <c r="K1096" t="inlineStr">
        <is>
          <t>Sutherland, Christine Mason.</t>
        </is>
      </c>
      <c r="L1096" t="inlineStr">
        <is>
          <t>Calgary : University of Calgary Press, c2005.</t>
        </is>
      </c>
      <c r="M1096" t="inlineStr">
        <is>
          <t>2005</t>
        </is>
      </c>
      <c r="O1096" t="inlineStr">
        <is>
          <t>eng</t>
        </is>
      </c>
      <c r="P1096" t="inlineStr">
        <is>
          <t>abc</t>
        </is>
      </c>
      <c r="R1096" t="inlineStr">
        <is>
          <t xml:space="preserve">HQ </t>
        </is>
      </c>
      <c r="S1096" t="n">
        <v>2</v>
      </c>
      <c r="T1096" t="n">
        <v>2</v>
      </c>
      <c r="U1096" t="inlineStr">
        <is>
          <t>2010-01-29</t>
        </is>
      </c>
      <c r="V1096" t="inlineStr">
        <is>
          <t>2010-01-29</t>
        </is>
      </c>
      <c r="W1096" t="inlineStr">
        <is>
          <t>2007-03-15</t>
        </is>
      </c>
      <c r="X1096" t="inlineStr">
        <is>
          <t>2007-03-15</t>
        </is>
      </c>
      <c r="Y1096" t="n">
        <v>232</v>
      </c>
      <c r="Z1096" t="n">
        <v>191</v>
      </c>
      <c r="AA1096" t="n">
        <v>320</v>
      </c>
      <c r="AB1096" t="n">
        <v>2</v>
      </c>
      <c r="AC1096" t="n">
        <v>2</v>
      </c>
      <c r="AD1096" t="n">
        <v>12</v>
      </c>
      <c r="AE1096" t="n">
        <v>16</v>
      </c>
      <c r="AF1096" t="n">
        <v>5</v>
      </c>
      <c r="AG1096" t="n">
        <v>8</v>
      </c>
      <c r="AH1096" t="n">
        <v>6</v>
      </c>
      <c r="AI1096" t="n">
        <v>6</v>
      </c>
      <c r="AJ1096" t="n">
        <v>4</v>
      </c>
      <c r="AK1096" t="n">
        <v>5</v>
      </c>
      <c r="AL1096" t="n">
        <v>1</v>
      </c>
      <c r="AM1096" t="n">
        <v>1</v>
      </c>
      <c r="AN1096" t="n">
        <v>0</v>
      </c>
      <c r="AO1096" t="n">
        <v>0</v>
      </c>
      <c r="AP1096" t="inlineStr">
        <is>
          <t>No</t>
        </is>
      </c>
      <c r="AQ1096" t="inlineStr">
        <is>
          <t>Yes</t>
        </is>
      </c>
      <c r="AR1096">
        <f>HYPERLINK("http://catalog.hathitrust.org/Record/005247324","HathiTrust Record")</f>
        <v/>
      </c>
      <c r="AS1096">
        <f>HYPERLINK("https://creighton-primo.hosted.exlibrisgroup.com/primo-explore/search?tab=default_tab&amp;search_scope=EVERYTHING&amp;vid=01CRU&amp;lang=en_US&amp;offset=0&amp;query=any,contains,991004949399702656","Catalog Record")</f>
        <v/>
      </c>
      <c r="AT1096">
        <f>HYPERLINK("http://www.worldcat.org/oclc/61427561","WorldCat Record")</f>
        <v/>
      </c>
      <c r="AU1096" t="inlineStr">
        <is>
          <t>35018210:eng</t>
        </is>
      </c>
      <c r="AV1096" t="inlineStr">
        <is>
          <t>61427561</t>
        </is>
      </c>
      <c r="AW1096" t="inlineStr">
        <is>
          <t>991004949399702656</t>
        </is>
      </c>
      <c r="AX1096" t="inlineStr">
        <is>
          <t>991004949399702656</t>
        </is>
      </c>
      <c r="AY1096" t="inlineStr">
        <is>
          <t>2264648840002656</t>
        </is>
      </c>
      <c r="AZ1096" t="inlineStr">
        <is>
          <t>BOOK</t>
        </is>
      </c>
      <c r="BB1096" t="inlineStr">
        <is>
          <t>9781552381533</t>
        </is>
      </c>
      <c r="BC1096" t="inlineStr">
        <is>
          <t>32285005282008</t>
        </is>
      </c>
      <c r="BD1096" t="inlineStr">
        <is>
          <t>893501125</t>
        </is>
      </c>
    </row>
    <row r="1097">
      <c r="A1097" t="inlineStr">
        <is>
          <t>No</t>
        </is>
      </c>
      <c r="B1097" t="inlineStr">
        <is>
          <t>HQ1595.B8 P4</t>
        </is>
      </c>
      <c r="C1097" t="inlineStr">
        <is>
          <t>0                      HQ 1595000B  8                  P  4</t>
        </is>
      </c>
      <c r="D1097" t="inlineStr">
        <is>
          <t>A singular iniquity; the campaigns of Josephine Butler.</t>
        </is>
      </c>
      <c r="F1097" t="inlineStr">
        <is>
          <t>No</t>
        </is>
      </c>
      <c r="G1097" t="inlineStr">
        <is>
          <t>1</t>
        </is>
      </c>
      <c r="H1097" t="inlineStr">
        <is>
          <t>No</t>
        </is>
      </c>
      <c r="I1097" t="inlineStr">
        <is>
          <t>No</t>
        </is>
      </c>
      <c r="J1097" t="inlineStr">
        <is>
          <t>0</t>
        </is>
      </c>
      <c r="K1097" t="inlineStr">
        <is>
          <t>Petrie, Glen.</t>
        </is>
      </c>
      <c r="L1097" t="inlineStr">
        <is>
          <t>New York, Viking Press [1971]</t>
        </is>
      </c>
      <c r="M1097" t="inlineStr">
        <is>
          <t>1971</t>
        </is>
      </c>
      <c r="O1097" t="inlineStr">
        <is>
          <t>eng</t>
        </is>
      </c>
      <c r="P1097" t="inlineStr">
        <is>
          <t>nyu</t>
        </is>
      </c>
      <c r="R1097" t="inlineStr">
        <is>
          <t xml:space="preserve">HQ </t>
        </is>
      </c>
      <c r="S1097" t="n">
        <v>2</v>
      </c>
      <c r="T1097" t="n">
        <v>2</v>
      </c>
      <c r="U1097" t="inlineStr">
        <is>
          <t>2009-03-03</t>
        </is>
      </c>
      <c r="V1097" t="inlineStr">
        <is>
          <t>2009-03-03</t>
        </is>
      </c>
      <c r="W1097" t="inlineStr">
        <is>
          <t>1997-08-15</t>
        </is>
      </c>
      <c r="X1097" t="inlineStr">
        <is>
          <t>1997-08-15</t>
        </is>
      </c>
      <c r="Y1097" t="n">
        <v>448</v>
      </c>
      <c r="Z1097" t="n">
        <v>421</v>
      </c>
      <c r="AA1097" t="n">
        <v>451</v>
      </c>
      <c r="AB1097" t="n">
        <v>4</v>
      </c>
      <c r="AC1097" t="n">
        <v>4</v>
      </c>
      <c r="AD1097" t="n">
        <v>14</v>
      </c>
      <c r="AE1097" t="n">
        <v>15</v>
      </c>
      <c r="AF1097" t="n">
        <v>6</v>
      </c>
      <c r="AG1097" t="n">
        <v>6</v>
      </c>
      <c r="AH1097" t="n">
        <v>3</v>
      </c>
      <c r="AI1097" t="n">
        <v>3</v>
      </c>
      <c r="AJ1097" t="n">
        <v>6</v>
      </c>
      <c r="AK1097" t="n">
        <v>7</v>
      </c>
      <c r="AL1097" t="n">
        <v>3</v>
      </c>
      <c r="AM1097" t="n">
        <v>3</v>
      </c>
      <c r="AN1097" t="n">
        <v>0</v>
      </c>
      <c r="AO1097" t="n">
        <v>0</v>
      </c>
      <c r="AP1097" t="inlineStr">
        <is>
          <t>No</t>
        </is>
      </c>
      <c r="AQ1097" t="inlineStr">
        <is>
          <t>Yes</t>
        </is>
      </c>
      <c r="AR1097">
        <f>HYPERLINK("http://catalog.hathitrust.org/Record/007112208","HathiTrust Record")</f>
        <v/>
      </c>
      <c r="AS1097">
        <f>HYPERLINK("https://creighton-primo.hosted.exlibrisgroup.com/primo-explore/search?tab=default_tab&amp;search_scope=EVERYTHING&amp;vid=01CRU&amp;lang=en_US&amp;offset=0&amp;query=any,contains,991001363289702656","Catalog Record")</f>
        <v/>
      </c>
      <c r="AT1097">
        <f>HYPERLINK("http://www.worldcat.org/oclc/222050","WorldCat Record")</f>
        <v/>
      </c>
      <c r="AU1097" t="inlineStr">
        <is>
          <t>1327189:eng</t>
        </is>
      </c>
      <c r="AV1097" t="inlineStr">
        <is>
          <t>222050</t>
        </is>
      </c>
      <c r="AW1097" t="inlineStr">
        <is>
          <t>991001363289702656</t>
        </is>
      </c>
      <c r="AX1097" t="inlineStr">
        <is>
          <t>991001363289702656</t>
        </is>
      </c>
      <c r="AY1097" t="inlineStr">
        <is>
          <t>2262134440002656</t>
        </is>
      </c>
      <c r="AZ1097" t="inlineStr">
        <is>
          <t>BOOK</t>
        </is>
      </c>
      <c r="BB1097" t="inlineStr">
        <is>
          <t>9780670647118</t>
        </is>
      </c>
      <c r="BC1097" t="inlineStr">
        <is>
          <t>32285003104709</t>
        </is>
      </c>
      <c r="BD1097" t="inlineStr">
        <is>
          <t>893351868</t>
        </is>
      </c>
    </row>
    <row r="1098">
      <c r="A1098" t="inlineStr">
        <is>
          <t>No</t>
        </is>
      </c>
      <c r="B1098" t="inlineStr">
        <is>
          <t>HQ1595.P34 W56 1996</t>
        </is>
      </c>
      <c r="C1098" t="inlineStr">
        <is>
          <t>0                      HQ 1595000P  34                 W  56          1996</t>
        </is>
      </c>
      <c r="D1098" t="inlineStr">
        <is>
          <t>Sylvia Pankhurst : sexual politics and political activism / Barbara Winslow ; foreword by Sheila Rowbotham.</t>
        </is>
      </c>
      <c r="F1098" t="inlineStr">
        <is>
          <t>No</t>
        </is>
      </c>
      <c r="G1098" t="inlineStr">
        <is>
          <t>1</t>
        </is>
      </c>
      <c r="H1098" t="inlineStr">
        <is>
          <t>No</t>
        </is>
      </c>
      <c r="I1098" t="inlineStr">
        <is>
          <t>No</t>
        </is>
      </c>
      <c r="J1098" t="inlineStr">
        <is>
          <t>0</t>
        </is>
      </c>
      <c r="K1098" t="inlineStr">
        <is>
          <t>Winslow, Barbara, 1945-</t>
        </is>
      </c>
      <c r="L1098" t="inlineStr">
        <is>
          <t>New York : St. Martin's Press, 1996.</t>
        </is>
      </c>
      <c r="M1098" t="inlineStr">
        <is>
          <t>1996</t>
        </is>
      </c>
      <c r="O1098" t="inlineStr">
        <is>
          <t>eng</t>
        </is>
      </c>
      <c r="P1098" t="inlineStr">
        <is>
          <t>nyu</t>
        </is>
      </c>
      <c r="R1098" t="inlineStr">
        <is>
          <t xml:space="preserve">HQ </t>
        </is>
      </c>
      <c r="S1098" t="n">
        <v>1</v>
      </c>
      <c r="T1098" t="n">
        <v>1</v>
      </c>
      <c r="U1098" t="inlineStr">
        <is>
          <t>2008-10-30</t>
        </is>
      </c>
      <c r="V1098" t="inlineStr">
        <is>
          <t>2008-10-30</t>
        </is>
      </c>
      <c r="W1098" t="inlineStr">
        <is>
          <t>1997-03-12</t>
        </is>
      </c>
      <c r="X1098" t="inlineStr">
        <is>
          <t>1997-03-12</t>
        </is>
      </c>
      <c r="Y1098" t="n">
        <v>350</v>
      </c>
      <c r="Z1098" t="n">
        <v>316</v>
      </c>
      <c r="AA1098" t="n">
        <v>365</v>
      </c>
      <c r="AB1098" t="n">
        <v>2</v>
      </c>
      <c r="AC1098" t="n">
        <v>2</v>
      </c>
      <c r="AD1098" t="n">
        <v>22</v>
      </c>
      <c r="AE1098" t="n">
        <v>23</v>
      </c>
      <c r="AF1098" t="n">
        <v>7</v>
      </c>
      <c r="AG1098" t="n">
        <v>7</v>
      </c>
      <c r="AH1098" t="n">
        <v>5</v>
      </c>
      <c r="AI1098" t="n">
        <v>6</v>
      </c>
      <c r="AJ1098" t="n">
        <v>15</v>
      </c>
      <c r="AK1098" t="n">
        <v>16</v>
      </c>
      <c r="AL1098" t="n">
        <v>1</v>
      </c>
      <c r="AM1098" t="n">
        <v>1</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HYPERLINK("https://creighton-primo.hosted.exlibrisgroup.com/primo-explore/search?tab=default_tab&amp;search_scope=EVERYTHING&amp;vid=01CRU&amp;lang=en_US&amp;offset=0&amp;query=any,contains,991002654369702656","Catalog Record")</f>
        <v/>
      </c>
      <c r="AT1098">
        <f>HYPERLINK("http://www.worldcat.org/oclc/34704992","WorldCat Record")</f>
        <v/>
      </c>
      <c r="AU1098" t="inlineStr">
        <is>
          <t>389865591:eng</t>
        </is>
      </c>
      <c r="AV1098" t="inlineStr">
        <is>
          <t>34704992</t>
        </is>
      </c>
      <c r="AW1098" t="inlineStr">
        <is>
          <t>991002654369702656</t>
        </is>
      </c>
      <c r="AX1098" t="inlineStr">
        <is>
          <t>991002654369702656</t>
        </is>
      </c>
      <c r="AY1098" t="inlineStr">
        <is>
          <t>2264927240002656</t>
        </is>
      </c>
      <c r="AZ1098" t="inlineStr">
        <is>
          <t>BOOK</t>
        </is>
      </c>
      <c r="BB1098" t="inlineStr">
        <is>
          <t>9780312162689</t>
        </is>
      </c>
      <c r="BC1098" t="inlineStr">
        <is>
          <t>32285002442027</t>
        </is>
      </c>
      <c r="BD1098" t="inlineStr">
        <is>
          <t>893591610</t>
        </is>
      </c>
    </row>
    <row r="1099">
      <c r="A1099" t="inlineStr">
        <is>
          <t>No</t>
        </is>
      </c>
      <c r="B1099" t="inlineStr">
        <is>
          <t>HQ1595.W64 F5 1973</t>
        </is>
      </c>
      <c r="C1099" t="inlineStr">
        <is>
          <t>0                      HQ 1595000W  64                 F  5           1973</t>
        </is>
      </c>
      <c r="D1099" t="inlineStr">
        <is>
          <t>Mary Wollstonecraft; a biography.</t>
        </is>
      </c>
      <c r="F1099" t="inlineStr">
        <is>
          <t>No</t>
        </is>
      </c>
      <c r="G1099" t="inlineStr">
        <is>
          <t>1</t>
        </is>
      </c>
      <c r="H1099" t="inlineStr">
        <is>
          <t>No</t>
        </is>
      </c>
      <c r="I1099" t="inlineStr">
        <is>
          <t>No</t>
        </is>
      </c>
      <c r="J1099" t="inlineStr">
        <is>
          <t>0</t>
        </is>
      </c>
      <c r="K1099" t="inlineStr">
        <is>
          <t>Flexner, Eleanor, 1908-1995.</t>
        </is>
      </c>
      <c r="L1099" t="inlineStr">
        <is>
          <t>Baltimore, Penguin Books [1973, c1972]</t>
        </is>
      </c>
      <c r="M1099" t="inlineStr">
        <is>
          <t>1973</t>
        </is>
      </c>
      <c r="O1099" t="inlineStr">
        <is>
          <t>eng</t>
        </is>
      </c>
      <c r="P1099" t="inlineStr">
        <is>
          <t xml:space="preserve">xx </t>
        </is>
      </c>
      <c r="R1099" t="inlineStr">
        <is>
          <t xml:space="preserve">HQ </t>
        </is>
      </c>
      <c r="S1099" t="n">
        <v>1</v>
      </c>
      <c r="T1099" t="n">
        <v>1</v>
      </c>
      <c r="U1099" t="inlineStr">
        <is>
          <t>2007-02-03</t>
        </is>
      </c>
      <c r="V1099" t="inlineStr">
        <is>
          <t>2007-02-03</t>
        </is>
      </c>
      <c r="W1099" t="inlineStr">
        <is>
          <t>1997-08-15</t>
        </is>
      </c>
      <c r="X1099" t="inlineStr">
        <is>
          <t>1997-08-15</t>
        </is>
      </c>
      <c r="Y1099" t="n">
        <v>199</v>
      </c>
      <c r="Z1099" t="n">
        <v>181</v>
      </c>
      <c r="AA1099" t="n">
        <v>1321</v>
      </c>
      <c r="AB1099" t="n">
        <v>3</v>
      </c>
      <c r="AC1099" t="n">
        <v>9</v>
      </c>
      <c r="AD1099" t="n">
        <v>9</v>
      </c>
      <c r="AE1099" t="n">
        <v>41</v>
      </c>
      <c r="AF1099" t="n">
        <v>4</v>
      </c>
      <c r="AG1099" t="n">
        <v>17</v>
      </c>
      <c r="AH1099" t="n">
        <v>3</v>
      </c>
      <c r="AI1099" t="n">
        <v>9</v>
      </c>
      <c r="AJ1099" t="n">
        <v>4</v>
      </c>
      <c r="AK1099" t="n">
        <v>21</v>
      </c>
      <c r="AL1099" t="n">
        <v>1</v>
      </c>
      <c r="AM1099" t="n">
        <v>6</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HYPERLINK("https://creighton-primo.hosted.exlibrisgroup.com/primo-explore/search?tab=default_tab&amp;search_scope=EVERYTHING&amp;vid=01CRU&amp;lang=en_US&amp;offset=0&amp;query=any,contains,991003431309702656","Catalog Record")</f>
        <v/>
      </c>
      <c r="AT1099">
        <f>HYPERLINK("http://www.worldcat.org/oclc/965942","WorldCat Record")</f>
        <v/>
      </c>
      <c r="AU1099" t="inlineStr">
        <is>
          <t>1863006151:eng</t>
        </is>
      </c>
      <c r="AV1099" t="inlineStr">
        <is>
          <t>965942</t>
        </is>
      </c>
      <c r="AW1099" t="inlineStr">
        <is>
          <t>991003431309702656</t>
        </is>
      </c>
      <c r="AX1099" t="inlineStr">
        <is>
          <t>991003431309702656</t>
        </is>
      </c>
      <c r="AY1099" t="inlineStr">
        <is>
          <t>2261167030002656</t>
        </is>
      </c>
      <c r="AZ1099" t="inlineStr">
        <is>
          <t>BOOK</t>
        </is>
      </c>
      <c r="BC1099" t="inlineStr">
        <is>
          <t>32285003104717</t>
        </is>
      </c>
      <c r="BD1099" t="inlineStr">
        <is>
          <t>893240199</t>
        </is>
      </c>
    </row>
    <row r="1100">
      <c r="A1100" t="inlineStr">
        <is>
          <t>No</t>
        </is>
      </c>
      <c r="B1100" t="inlineStr">
        <is>
          <t>HQ1596 .R39 1990</t>
        </is>
      </c>
      <c r="C1100" t="inlineStr">
        <is>
          <t>0                      HQ 1596000R  39          1990</t>
        </is>
      </c>
      <c r="D1100" t="inlineStr">
        <is>
          <t>The origins of modern feminism : women in Britain, France and the United States, 1780-1860 / Jane Rendall.</t>
        </is>
      </c>
      <c r="F1100" t="inlineStr">
        <is>
          <t>No</t>
        </is>
      </c>
      <c r="G1100" t="inlineStr">
        <is>
          <t>1</t>
        </is>
      </c>
      <c r="H1100" t="inlineStr">
        <is>
          <t>No</t>
        </is>
      </c>
      <c r="I1100" t="inlineStr">
        <is>
          <t>No</t>
        </is>
      </c>
      <c r="J1100" t="inlineStr">
        <is>
          <t>0</t>
        </is>
      </c>
      <c r="K1100" t="inlineStr">
        <is>
          <t>Rendall, Jane, 1945-</t>
        </is>
      </c>
      <c r="L1100" t="inlineStr">
        <is>
          <t>Chicago, Ill. : Lyceum Books, [1990], c1985.</t>
        </is>
      </c>
      <c r="M1100" t="inlineStr">
        <is>
          <t>1990</t>
        </is>
      </c>
      <c r="O1100" t="inlineStr">
        <is>
          <t>eng</t>
        </is>
      </c>
      <c r="P1100" t="inlineStr">
        <is>
          <t>ilu</t>
        </is>
      </c>
      <c r="R1100" t="inlineStr">
        <is>
          <t xml:space="preserve">HQ </t>
        </is>
      </c>
      <c r="S1100" t="n">
        <v>8</v>
      </c>
      <c r="T1100" t="n">
        <v>8</v>
      </c>
      <c r="U1100" t="inlineStr">
        <is>
          <t>2004-01-21</t>
        </is>
      </c>
      <c r="V1100" t="inlineStr">
        <is>
          <t>2004-01-21</t>
        </is>
      </c>
      <c r="W1100" t="inlineStr">
        <is>
          <t>1991-02-22</t>
        </is>
      </c>
      <c r="X1100" t="inlineStr">
        <is>
          <t>1991-02-22</t>
        </is>
      </c>
      <c r="Y1100" t="n">
        <v>136</v>
      </c>
      <c r="Z1100" t="n">
        <v>114</v>
      </c>
      <c r="AA1100" t="n">
        <v>642</v>
      </c>
      <c r="AB1100" t="n">
        <v>4</v>
      </c>
      <c r="AC1100" t="n">
        <v>8</v>
      </c>
      <c r="AD1100" t="n">
        <v>6</v>
      </c>
      <c r="AE1100" t="n">
        <v>30</v>
      </c>
      <c r="AF1100" t="n">
        <v>2</v>
      </c>
      <c r="AG1100" t="n">
        <v>11</v>
      </c>
      <c r="AH1100" t="n">
        <v>1</v>
      </c>
      <c r="AI1100" t="n">
        <v>8</v>
      </c>
      <c r="AJ1100" t="n">
        <v>2</v>
      </c>
      <c r="AK1100" t="n">
        <v>14</v>
      </c>
      <c r="AL1100" t="n">
        <v>2</v>
      </c>
      <c r="AM1100" t="n">
        <v>6</v>
      </c>
      <c r="AN1100" t="n">
        <v>0</v>
      </c>
      <c r="AO1100" t="n">
        <v>0</v>
      </c>
      <c r="AP1100" t="inlineStr">
        <is>
          <t>No</t>
        </is>
      </c>
      <c r="AQ1100" t="inlineStr">
        <is>
          <t>No</t>
        </is>
      </c>
      <c r="AS1100">
        <f>HYPERLINK("https://creighton-primo.hosted.exlibrisgroup.com/primo-explore/search?tab=default_tab&amp;search_scope=EVERYTHING&amp;vid=01CRU&amp;lang=en_US&amp;offset=0&amp;query=any,contains,991001655309702656","Catalog Record")</f>
        <v/>
      </c>
      <c r="AT1100">
        <f>HYPERLINK("http://www.worldcat.org/oclc/21119148","WorldCat Record")</f>
        <v/>
      </c>
      <c r="AU1100" t="inlineStr">
        <is>
          <t>793230579:eng</t>
        </is>
      </c>
      <c r="AV1100" t="inlineStr">
        <is>
          <t>21119148</t>
        </is>
      </c>
      <c r="AW1100" t="inlineStr">
        <is>
          <t>991001655309702656</t>
        </is>
      </c>
      <c r="AX1100" t="inlineStr">
        <is>
          <t>991001655309702656</t>
        </is>
      </c>
      <c r="AY1100" t="inlineStr">
        <is>
          <t>2258339970002656</t>
        </is>
      </c>
      <c r="AZ1100" t="inlineStr">
        <is>
          <t>BOOK</t>
        </is>
      </c>
      <c r="BB1100" t="inlineStr">
        <is>
          <t>9780925065391</t>
        </is>
      </c>
      <c r="BC1100" t="inlineStr">
        <is>
          <t>32285000492610</t>
        </is>
      </c>
      <c r="BD1100" t="inlineStr">
        <is>
          <t>893709431</t>
        </is>
      </c>
    </row>
    <row r="1101">
      <c r="A1101" t="inlineStr">
        <is>
          <t>No</t>
        </is>
      </c>
      <c r="B1101" t="inlineStr">
        <is>
          <t>HQ1596 .V5 1972</t>
        </is>
      </c>
      <c r="C1101" t="inlineStr">
        <is>
          <t>0                      HQ 1596000V  5           1972</t>
        </is>
      </c>
      <c r="D1101" t="inlineStr">
        <is>
          <t>Suffer and be still; women in the Victorian age. Edited by Martha Vicinus.</t>
        </is>
      </c>
      <c r="F1101" t="inlineStr">
        <is>
          <t>No</t>
        </is>
      </c>
      <c r="G1101" t="inlineStr">
        <is>
          <t>1</t>
        </is>
      </c>
      <c r="H1101" t="inlineStr">
        <is>
          <t>No</t>
        </is>
      </c>
      <c r="I1101" t="inlineStr">
        <is>
          <t>No</t>
        </is>
      </c>
      <c r="J1101" t="inlineStr">
        <is>
          <t>0</t>
        </is>
      </c>
      <c r="K1101" t="inlineStr">
        <is>
          <t>Vicinus, Martha.</t>
        </is>
      </c>
      <c r="L1101" t="inlineStr">
        <is>
          <t>Bloomington, Indiana University Press [1972]</t>
        </is>
      </c>
      <c r="M1101" t="inlineStr">
        <is>
          <t>1972</t>
        </is>
      </c>
      <c r="O1101" t="inlineStr">
        <is>
          <t>eng</t>
        </is>
      </c>
      <c r="P1101" t="inlineStr">
        <is>
          <t>inu</t>
        </is>
      </c>
      <c r="R1101" t="inlineStr">
        <is>
          <t xml:space="preserve">HQ </t>
        </is>
      </c>
      <c r="S1101" t="n">
        <v>4</v>
      </c>
      <c r="T1101" t="n">
        <v>4</v>
      </c>
      <c r="U1101" t="inlineStr">
        <is>
          <t>2005-11-29</t>
        </is>
      </c>
      <c r="V1101" t="inlineStr">
        <is>
          <t>2005-11-29</t>
        </is>
      </c>
      <c r="W1101" t="inlineStr">
        <is>
          <t>1997-08-15</t>
        </is>
      </c>
      <c r="X1101" t="inlineStr">
        <is>
          <t>1997-08-15</t>
        </is>
      </c>
      <c r="Y1101" t="n">
        <v>1350</v>
      </c>
      <c r="Z1101" t="n">
        <v>1185</v>
      </c>
      <c r="AA1101" t="n">
        <v>1438</v>
      </c>
      <c r="AB1101" t="n">
        <v>12</v>
      </c>
      <c r="AC1101" t="n">
        <v>13</v>
      </c>
      <c r="AD1101" t="n">
        <v>43</v>
      </c>
      <c r="AE1101" t="n">
        <v>51</v>
      </c>
      <c r="AF1101" t="n">
        <v>19</v>
      </c>
      <c r="AG1101" t="n">
        <v>24</v>
      </c>
      <c r="AH1101" t="n">
        <v>10</v>
      </c>
      <c r="AI1101" t="n">
        <v>10</v>
      </c>
      <c r="AJ1101" t="n">
        <v>16</v>
      </c>
      <c r="AK1101" t="n">
        <v>20</v>
      </c>
      <c r="AL1101" t="n">
        <v>8</v>
      </c>
      <c r="AM1101" t="n">
        <v>9</v>
      </c>
      <c r="AN1101" t="n">
        <v>0</v>
      </c>
      <c r="AO1101" t="n">
        <v>0</v>
      </c>
      <c r="AP1101" t="inlineStr">
        <is>
          <t>No</t>
        </is>
      </c>
      <c r="AQ1101" t="inlineStr">
        <is>
          <t>Yes</t>
        </is>
      </c>
      <c r="AR1101">
        <f>HYPERLINK("http://catalog.hathitrust.org/Record/001117010","HathiTrust Record")</f>
        <v/>
      </c>
      <c r="AS1101">
        <f>HYPERLINK("https://creighton-primo.hosted.exlibrisgroup.com/primo-explore/search?tab=default_tab&amp;search_scope=EVERYTHING&amp;vid=01CRU&amp;lang=en_US&amp;offset=0&amp;query=any,contains,991002550159702656","Catalog Record")</f>
        <v/>
      </c>
      <c r="AT1101">
        <f>HYPERLINK("http://www.worldcat.org/oclc/369505","WorldCat Record")</f>
        <v/>
      </c>
      <c r="AU1101" t="inlineStr">
        <is>
          <t>352634053:eng</t>
        </is>
      </c>
      <c r="AV1101" t="inlineStr">
        <is>
          <t>369505</t>
        </is>
      </c>
      <c r="AW1101" t="inlineStr">
        <is>
          <t>991002550159702656</t>
        </is>
      </c>
      <c r="AX1101" t="inlineStr">
        <is>
          <t>991002550159702656</t>
        </is>
      </c>
      <c r="AY1101" t="inlineStr">
        <is>
          <t>2265230420002656</t>
        </is>
      </c>
      <c r="AZ1101" t="inlineStr">
        <is>
          <t>BOOK</t>
        </is>
      </c>
      <c r="BB1101" t="inlineStr">
        <is>
          <t>9780253355720</t>
        </is>
      </c>
      <c r="BC1101" t="inlineStr">
        <is>
          <t>32285003104741</t>
        </is>
      </c>
      <c r="BD1101" t="inlineStr">
        <is>
          <t>893523748</t>
        </is>
      </c>
    </row>
    <row r="1102">
      <c r="A1102" t="inlineStr">
        <is>
          <t>No</t>
        </is>
      </c>
      <c r="B1102" t="inlineStr">
        <is>
          <t>HQ1596 .W44 1977</t>
        </is>
      </c>
      <c r="C1102" t="inlineStr">
        <is>
          <t>0                      HQ 1596000W  44          1977</t>
        </is>
      </c>
      <c r="D1102" t="inlineStr">
        <is>
          <t>A Widening sphere : changing roles of Victorian women / edited by Martha Vicinus.</t>
        </is>
      </c>
      <c r="F1102" t="inlineStr">
        <is>
          <t>No</t>
        </is>
      </c>
      <c r="G1102" t="inlineStr">
        <is>
          <t>1</t>
        </is>
      </c>
      <c r="H1102" t="inlineStr">
        <is>
          <t>No</t>
        </is>
      </c>
      <c r="I1102" t="inlineStr">
        <is>
          <t>No</t>
        </is>
      </c>
      <c r="J1102" t="inlineStr">
        <is>
          <t>0</t>
        </is>
      </c>
      <c r="L1102" t="inlineStr">
        <is>
          <t>Bloomington : Indiana University Press, c1977.</t>
        </is>
      </c>
      <c r="M1102" t="inlineStr">
        <is>
          <t>1977</t>
        </is>
      </c>
      <c r="O1102" t="inlineStr">
        <is>
          <t>eng</t>
        </is>
      </c>
      <c r="P1102" t="inlineStr">
        <is>
          <t>inu</t>
        </is>
      </c>
      <c r="R1102" t="inlineStr">
        <is>
          <t xml:space="preserve">HQ </t>
        </is>
      </c>
      <c r="S1102" t="n">
        <v>2</v>
      </c>
      <c r="T1102" t="n">
        <v>2</v>
      </c>
      <c r="U1102" t="inlineStr">
        <is>
          <t>2003-03-12</t>
        </is>
      </c>
      <c r="V1102" t="inlineStr">
        <is>
          <t>2003-03-12</t>
        </is>
      </c>
      <c r="W1102" t="inlineStr">
        <is>
          <t>1997-08-15</t>
        </is>
      </c>
      <c r="X1102" t="inlineStr">
        <is>
          <t>1997-08-15</t>
        </is>
      </c>
      <c r="Y1102" t="n">
        <v>1089</v>
      </c>
      <c r="Z1102" t="n">
        <v>915</v>
      </c>
      <c r="AA1102" t="n">
        <v>975</v>
      </c>
      <c r="AB1102" t="n">
        <v>10</v>
      </c>
      <c r="AC1102" t="n">
        <v>10</v>
      </c>
      <c r="AD1102" t="n">
        <v>47</v>
      </c>
      <c r="AE1102" t="n">
        <v>47</v>
      </c>
      <c r="AF1102" t="n">
        <v>18</v>
      </c>
      <c r="AG1102" t="n">
        <v>18</v>
      </c>
      <c r="AH1102" t="n">
        <v>10</v>
      </c>
      <c r="AI1102" t="n">
        <v>10</v>
      </c>
      <c r="AJ1102" t="n">
        <v>21</v>
      </c>
      <c r="AK1102" t="n">
        <v>21</v>
      </c>
      <c r="AL1102" t="n">
        <v>9</v>
      </c>
      <c r="AM1102" t="n">
        <v>9</v>
      </c>
      <c r="AN1102" t="n">
        <v>0</v>
      </c>
      <c r="AO1102" t="n">
        <v>0</v>
      </c>
      <c r="AP1102" t="inlineStr">
        <is>
          <t>No</t>
        </is>
      </c>
      <c r="AQ1102" t="inlineStr">
        <is>
          <t>Yes</t>
        </is>
      </c>
      <c r="AR1102">
        <f>HYPERLINK("http://catalog.hathitrust.org/Record/000731292","HathiTrust Record")</f>
        <v/>
      </c>
      <c r="AS1102">
        <f>HYPERLINK("https://creighton-primo.hosted.exlibrisgroup.com/primo-explore/search?tab=default_tab&amp;search_scope=EVERYTHING&amp;vid=01CRU&amp;lang=en_US&amp;offset=0&amp;query=any,contains,991004157399702656","Catalog Record")</f>
        <v/>
      </c>
      <c r="AT1102">
        <f>HYPERLINK("http://www.worldcat.org/oclc/2542424","WorldCat Record")</f>
        <v/>
      </c>
      <c r="AU1102" t="inlineStr">
        <is>
          <t>836632216:eng</t>
        </is>
      </c>
      <c r="AV1102" t="inlineStr">
        <is>
          <t>2542424</t>
        </is>
      </c>
      <c r="AW1102" t="inlineStr">
        <is>
          <t>991004157399702656</t>
        </is>
      </c>
      <c r="AX1102" t="inlineStr">
        <is>
          <t>991004157399702656</t>
        </is>
      </c>
      <c r="AY1102" t="inlineStr">
        <is>
          <t>2272130090002656</t>
        </is>
      </c>
      <c r="AZ1102" t="inlineStr">
        <is>
          <t>BOOK</t>
        </is>
      </c>
      <c r="BB1102" t="inlineStr">
        <is>
          <t>9780253365408</t>
        </is>
      </c>
      <c r="BC1102" t="inlineStr">
        <is>
          <t>32285003104758</t>
        </is>
      </c>
      <c r="BD1102" t="inlineStr">
        <is>
          <t>893337388</t>
        </is>
      </c>
    </row>
    <row r="1103">
      <c r="A1103" t="inlineStr">
        <is>
          <t>No</t>
        </is>
      </c>
      <c r="B1103" t="inlineStr">
        <is>
          <t>HQ1597 .B69 1984</t>
        </is>
      </c>
      <c r="C1103" t="inlineStr">
        <is>
          <t>0                      HQ 1597000B  69          1984</t>
        </is>
      </c>
      <c r="D1103" t="inlineStr">
        <is>
          <t>The feminist challenge : the movement for women's liberation in Britain and the USA / David Bouchier.</t>
        </is>
      </c>
      <c r="F1103" t="inlineStr">
        <is>
          <t>No</t>
        </is>
      </c>
      <c r="G1103" t="inlineStr">
        <is>
          <t>1</t>
        </is>
      </c>
      <c r="H1103" t="inlineStr">
        <is>
          <t>No</t>
        </is>
      </c>
      <c r="I1103" t="inlineStr">
        <is>
          <t>No</t>
        </is>
      </c>
      <c r="J1103" t="inlineStr">
        <is>
          <t>0</t>
        </is>
      </c>
      <c r="K1103" t="inlineStr">
        <is>
          <t>Bouchier, David, 1939-</t>
        </is>
      </c>
      <c r="L1103" t="inlineStr">
        <is>
          <t>New York : Schocken Books, [1984], c1983.</t>
        </is>
      </c>
      <c r="M1103" t="inlineStr">
        <is>
          <t>1984</t>
        </is>
      </c>
      <c r="N1103" t="inlineStr">
        <is>
          <t>1st American ed.</t>
        </is>
      </c>
      <c r="O1103" t="inlineStr">
        <is>
          <t>eng</t>
        </is>
      </c>
      <c r="P1103" t="inlineStr">
        <is>
          <t>nyu</t>
        </is>
      </c>
      <c r="R1103" t="inlineStr">
        <is>
          <t xml:space="preserve">HQ </t>
        </is>
      </c>
      <c r="S1103" t="n">
        <v>9</v>
      </c>
      <c r="T1103" t="n">
        <v>9</v>
      </c>
      <c r="U1103" t="inlineStr">
        <is>
          <t>2004-12-11</t>
        </is>
      </c>
      <c r="V1103" t="inlineStr">
        <is>
          <t>2004-12-11</t>
        </is>
      </c>
      <c r="W1103" t="inlineStr">
        <is>
          <t>1993-04-29</t>
        </is>
      </c>
      <c r="X1103" t="inlineStr">
        <is>
          <t>1993-04-29</t>
        </is>
      </c>
      <c r="Y1103" t="n">
        <v>628</v>
      </c>
      <c r="Z1103" t="n">
        <v>577</v>
      </c>
      <c r="AA1103" t="n">
        <v>627</v>
      </c>
      <c r="AB1103" t="n">
        <v>1</v>
      </c>
      <c r="AC1103" t="n">
        <v>2</v>
      </c>
      <c r="AD1103" t="n">
        <v>21</v>
      </c>
      <c r="AE1103" t="n">
        <v>23</v>
      </c>
      <c r="AF1103" t="n">
        <v>9</v>
      </c>
      <c r="AG1103" t="n">
        <v>9</v>
      </c>
      <c r="AH1103" t="n">
        <v>7</v>
      </c>
      <c r="AI1103" t="n">
        <v>7</v>
      </c>
      <c r="AJ1103" t="n">
        <v>11</v>
      </c>
      <c r="AK1103" t="n">
        <v>12</v>
      </c>
      <c r="AL1103" t="n">
        <v>0</v>
      </c>
      <c r="AM1103" t="n">
        <v>1</v>
      </c>
      <c r="AN1103" t="n">
        <v>0</v>
      </c>
      <c r="AO1103" t="n">
        <v>0</v>
      </c>
      <c r="AP1103" t="inlineStr">
        <is>
          <t>No</t>
        </is>
      </c>
      <c r="AQ1103" t="inlineStr">
        <is>
          <t>Yes</t>
        </is>
      </c>
      <c r="AR1103">
        <f>HYPERLINK("http://catalog.hathitrust.org/Record/000323020","HathiTrust Record")</f>
        <v/>
      </c>
      <c r="AS1103">
        <f>HYPERLINK("https://creighton-primo.hosted.exlibrisgroup.com/primo-explore/search?tab=default_tab&amp;search_scope=EVERYTHING&amp;vid=01CRU&amp;lang=en_US&amp;offset=0&amp;query=any,contains,991000240429702656","Catalog Record")</f>
        <v/>
      </c>
      <c r="AT1103">
        <f>HYPERLINK("http://www.worldcat.org/oclc/9683419","WorldCat Record")</f>
        <v/>
      </c>
      <c r="AU1103" t="inlineStr">
        <is>
          <t>3560780:eng</t>
        </is>
      </c>
      <c r="AV1103" t="inlineStr">
        <is>
          <t>9683419</t>
        </is>
      </c>
      <c r="AW1103" t="inlineStr">
        <is>
          <t>991000240429702656</t>
        </is>
      </c>
      <c r="AX1103" t="inlineStr">
        <is>
          <t>991000240429702656</t>
        </is>
      </c>
      <c r="AY1103" t="inlineStr">
        <is>
          <t>2261903640002656</t>
        </is>
      </c>
      <c r="AZ1103" t="inlineStr">
        <is>
          <t>BOOK</t>
        </is>
      </c>
      <c r="BB1103" t="inlineStr">
        <is>
          <t>9780805238815</t>
        </is>
      </c>
      <c r="BC1103" t="inlineStr">
        <is>
          <t>32285001631109</t>
        </is>
      </c>
      <c r="BD1103" t="inlineStr">
        <is>
          <t>893620324</t>
        </is>
      </c>
    </row>
    <row r="1104">
      <c r="A1104" t="inlineStr">
        <is>
          <t>No</t>
        </is>
      </c>
      <c r="B1104" t="inlineStr">
        <is>
          <t>HQ1597 .O15 1975</t>
        </is>
      </c>
      <c r="C1104" t="inlineStr">
        <is>
          <t>0                      HQ 1597000O  15          1975</t>
        </is>
      </c>
      <c r="D1104" t="inlineStr">
        <is>
          <t>The sociology of housework / Ann Oakley.</t>
        </is>
      </c>
      <c r="F1104" t="inlineStr">
        <is>
          <t>No</t>
        </is>
      </c>
      <c r="G1104" t="inlineStr">
        <is>
          <t>1</t>
        </is>
      </c>
      <c r="H1104" t="inlineStr">
        <is>
          <t>No</t>
        </is>
      </c>
      <c r="I1104" t="inlineStr">
        <is>
          <t>No</t>
        </is>
      </c>
      <c r="J1104" t="inlineStr">
        <is>
          <t>0</t>
        </is>
      </c>
      <c r="K1104" t="inlineStr">
        <is>
          <t>Oakley, Ann.</t>
        </is>
      </c>
      <c r="L1104" t="inlineStr">
        <is>
          <t>New York : Pantheon Books, [1975] c1974.</t>
        </is>
      </c>
      <c r="M1104" t="inlineStr">
        <is>
          <t>1975</t>
        </is>
      </c>
      <c r="N1104" t="inlineStr">
        <is>
          <t>1st American ed.</t>
        </is>
      </c>
      <c r="O1104" t="inlineStr">
        <is>
          <t>eng</t>
        </is>
      </c>
      <c r="P1104" t="inlineStr">
        <is>
          <t>nyu</t>
        </is>
      </c>
      <c r="R1104" t="inlineStr">
        <is>
          <t xml:space="preserve">HQ </t>
        </is>
      </c>
      <c r="S1104" t="n">
        <v>1</v>
      </c>
      <c r="T1104" t="n">
        <v>1</v>
      </c>
      <c r="U1104" t="inlineStr">
        <is>
          <t>1998-11-09</t>
        </is>
      </c>
      <c r="V1104" t="inlineStr">
        <is>
          <t>1998-11-09</t>
        </is>
      </c>
      <c r="W1104" t="inlineStr">
        <is>
          <t>1997-08-15</t>
        </is>
      </c>
      <c r="X1104" t="inlineStr">
        <is>
          <t>1997-08-15</t>
        </is>
      </c>
      <c r="Y1104" t="n">
        <v>729</v>
      </c>
      <c r="Z1104" t="n">
        <v>676</v>
      </c>
      <c r="AA1104" t="n">
        <v>836</v>
      </c>
      <c r="AB1104" t="n">
        <v>4</v>
      </c>
      <c r="AC1104" t="n">
        <v>5</v>
      </c>
      <c r="AD1104" t="n">
        <v>25</v>
      </c>
      <c r="AE1104" t="n">
        <v>32</v>
      </c>
      <c r="AF1104" t="n">
        <v>11</v>
      </c>
      <c r="AG1104" t="n">
        <v>14</v>
      </c>
      <c r="AH1104" t="n">
        <v>8</v>
      </c>
      <c r="AI1104" t="n">
        <v>10</v>
      </c>
      <c r="AJ1104" t="n">
        <v>12</v>
      </c>
      <c r="AK1104" t="n">
        <v>15</v>
      </c>
      <c r="AL1104" t="n">
        <v>3</v>
      </c>
      <c r="AM1104" t="n">
        <v>4</v>
      </c>
      <c r="AN1104" t="n">
        <v>0</v>
      </c>
      <c r="AO1104" t="n">
        <v>0</v>
      </c>
      <c r="AP1104" t="inlineStr">
        <is>
          <t>No</t>
        </is>
      </c>
      <c r="AQ1104" t="inlineStr">
        <is>
          <t>No</t>
        </is>
      </c>
      <c r="AS1104">
        <f>HYPERLINK("https://creighton-primo.hosted.exlibrisgroup.com/primo-explore/search?tab=default_tab&amp;search_scope=EVERYTHING&amp;vid=01CRU&amp;lang=en_US&amp;offset=0&amp;query=any,contains,991003627909702656","Catalog Record")</f>
        <v/>
      </c>
      <c r="AT1104">
        <f>HYPERLINK("http://www.worldcat.org/oclc/1218422","WorldCat Record")</f>
        <v/>
      </c>
      <c r="AU1104" t="inlineStr">
        <is>
          <t>464456:eng</t>
        </is>
      </c>
      <c r="AV1104" t="inlineStr">
        <is>
          <t>1218422</t>
        </is>
      </c>
      <c r="AW1104" t="inlineStr">
        <is>
          <t>991003627909702656</t>
        </is>
      </c>
      <c r="AX1104" t="inlineStr">
        <is>
          <t>991003627909702656</t>
        </is>
      </c>
      <c r="AY1104" t="inlineStr">
        <is>
          <t>2271801750002656</t>
        </is>
      </c>
      <c r="AZ1104" t="inlineStr">
        <is>
          <t>BOOK</t>
        </is>
      </c>
      <c r="BB1104" t="inlineStr">
        <is>
          <t>9780394497747</t>
        </is>
      </c>
      <c r="BC1104" t="inlineStr">
        <is>
          <t>32285003104766</t>
        </is>
      </c>
      <c r="BD1104" t="inlineStr">
        <is>
          <t>893410482</t>
        </is>
      </c>
    </row>
    <row r="1105">
      <c r="A1105" t="inlineStr">
        <is>
          <t>No</t>
        </is>
      </c>
      <c r="B1105" t="inlineStr">
        <is>
          <t>HQ1597 .R69 1991</t>
        </is>
      </c>
      <c r="C1105" t="inlineStr">
        <is>
          <t>0                      HQ 1597000R  69          1991</t>
        </is>
      </c>
      <c r="D1105" t="inlineStr">
        <is>
          <t>The past is before us : feminism in action since the 1960s / Sheila Rowbotham.</t>
        </is>
      </c>
      <c r="F1105" t="inlineStr">
        <is>
          <t>No</t>
        </is>
      </c>
      <c r="G1105" t="inlineStr">
        <is>
          <t>1</t>
        </is>
      </c>
      <c r="H1105" t="inlineStr">
        <is>
          <t>No</t>
        </is>
      </c>
      <c r="I1105" t="inlineStr">
        <is>
          <t>No</t>
        </is>
      </c>
      <c r="J1105" t="inlineStr">
        <is>
          <t>0</t>
        </is>
      </c>
      <c r="K1105" t="inlineStr">
        <is>
          <t>Rowbotham, Sheila.</t>
        </is>
      </c>
      <c r="L1105" t="inlineStr">
        <is>
          <t>Boston : Beacon Press, [1991], c1989.</t>
        </is>
      </c>
      <c r="M1105" t="inlineStr">
        <is>
          <t>1991</t>
        </is>
      </c>
      <c r="O1105" t="inlineStr">
        <is>
          <t>eng</t>
        </is>
      </c>
      <c r="P1105" t="inlineStr">
        <is>
          <t>mau</t>
        </is>
      </c>
      <c r="R1105" t="inlineStr">
        <is>
          <t xml:space="preserve">HQ </t>
        </is>
      </c>
      <c r="S1105" t="n">
        <v>1</v>
      </c>
      <c r="T1105" t="n">
        <v>1</v>
      </c>
      <c r="U1105" t="inlineStr">
        <is>
          <t>1992-01-15</t>
        </is>
      </c>
      <c r="V1105" t="inlineStr">
        <is>
          <t>1992-01-15</t>
        </is>
      </c>
      <c r="W1105" t="inlineStr">
        <is>
          <t>1991-11-26</t>
        </is>
      </c>
      <c r="X1105" t="inlineStr">
        <is>
          <t>1991-11-26</t>
        </is>
      </c>
      <c r="Y1105" t="n">
        <v>167</v>
      </c>
      <c r="Z1105" t="n">
        <v>152</v>
      </c>
      <c r="AA1105" t="n">
        <v>423</v>
      </c>
      <c r="AB1105" t="n">
        <v>1</v>
      </c>
      <c r="AC1105" t="n">
        <v>5</v>
      </c>
      <c r="AD1105" t="n">
        <v>9</v>
      </c>
      <c r="AE1105" t="n">
        <v>24</v>
      </c>
      <c r="AF1105" t="n">
        <v>3</v>
      </c>
      <c r="AG1105" t="n">
        <v>5</v>
      </c>
      <c r="AH1105" t="n">
        <v>1</v>
      </c>
      <c r="AI1105" t="n">
        <v>4</v>
      </c>
      <c r="AJ1105" t="n">
        <v>5</v>
      </c>
      <c r="AK1105" t="n">
        <v>13</v>
      </c>
      <c r="AL1105" t="n">
        <v>0</v>
      </c>
      <c r="AM1105" t="n">
        <v>4</v>
      </c>
      <c r="AN1105" t="n">
        <v>1</v>
      </c>
      <c r="AO1105" t="n">
        <v>1</v>
      </c>
      <c r="AP1105" t="inlineStr">
        <is>
          <t>No</t>
        </is>
      </c>
      <c r="AQ1105" t="inlineStr">
        <is>
          <t>No</t>
        </is>
      </c>
      <c r="AS1105">
        <f>HYPERLINK("https://creighton-primo.hosted.exlibrisgroup.com/primo-explore/search?tab=default_tab&amp;search_scope=EVERYTHING&amp;vid=01CRU&amp;lang=en_US&amp;offset=0&amp;query=any,contains,991001822539702656","Catalog Record")</f>
        <v/>
      </c>
      <c r="AT1105">
        <f>HYPERLINK("http://www.worldcat.org/oclc/22906182","WorldCat Record")</f>
        <v/>
      </c>
      <c r="AU1105" t="inlineStr">
        <is>
          <t>18939070:eng</t>
        </is>
      </c>
      <c r="AV1105" t="inlineStr">
        <is>
          <t>22906182</t>
        </is>
      </c>
      <c r="AW1105" t="inlineStr">
        <is>
          <t>991001822539702656</t>
        </is>
      </c>
      <c r="AX1105" t="inlineStr">
        <is>
          <t>991001822539702656</t>
        </is>
      </c>
      <c r="AY1105" t="inlineStr">
        <is>
          <t>2262147730002656</t>
        </is>
      </c>
      <c r="AZ1105" t="inlineStr">
        <is>
          <t>BOOK</t>
        </is>
      </c>
      <c r="BB1105" t="inlineStr">
        <is>
          <t>9780807067598</t>
        </is>
      </c>
      <c r="BC1105" t="inlineStr">
        <is>
          <t>32285000818103</t>
        </is>
      </c>
      <c r="BD1105" t="inlineStr">
        <is>
          <t>893261956</t>
        </is>
      </c>
    </row>
    <row r="1106">
      <c r="A1106" t="inlineStr">
        <is>
          <t>No</t>
        </is>
      </c>
      <c r="B1106" t="inlineStr">
        <is>
          <t>HQ1599.E5 B69 1982</t>
        </is>
      </c>
      <c r="C1106" t="inlineStr">
        <is>
          <t>0                      HQ 1599000E  5                  B  69          1982</t>
        </is>
      </c>
      <c r="D1106" t="inlineStr">
        <is>
          <t>Three Victorian women who changed their world : Josephine Butler, Octavia Hill, Florence Nightingale / Nancy Boyd.</t>
        </is>
      </c>
      <c r="F1106" t="inlineStr">
        <is>
          <t>No</t>
        </is>
      </c>
      <c r="G1106" t="inlineStr">
        <is>
          <t>1</t>
        </is>
      </c>
      <c r="H1106" t="inlineStr">
        <is>
          <t>No</t>
        </is>
      </c>
      <c r="I1106" t="inlineStr">
        <is>
          <t>No</t>
        </is>
      </c>
      <c r="J1106" t="inlineStr">
        <is>
          <t>0</t>
        </is>
      </c>
      <c r="K1106" t="inlineStr">
        <is>
          <t>Boyd, Nancy.</t>
        </is>
      </c>
      <c r="L1106" t="inlineStr">
        <is>
          <t>New York : Oxford University Press, 1982.</t>
        </is>
      </c>
      <c r="M1106" t="inlineStr">
        <is>
          <t>1982</t>
        </is>
      </c>
      <c r="O1106" t="inlineStr">
        <is>
          <t>eng</t>
        </is>
      </c>
      <c r="P1106" t="inlineStr">
        <is>
          <t>nyu</t>
        </is>
      </c>
      <c r="R1106" t="inlineStr">
        <is>
          <t xml:space="preserve">HQ </t>
        </is>
      </c>
      <c r="S1106" t="n">
        <v>2</v>
      </c>
      <c r="T1106" t="n">
        <v>2</v>
      </c>
      <c r="U1106" t="inlineStr">
        <is>
          <t>2009-03-03</t>
        </is>
      </c>
      <c r="V1106" t="inlineStr">
        <is>
          <t>2009-03-03</t>
        </is>
      </c>
      <c r="W1106" t="inlineStr">
        <is>
          <t>1993-04-29</t>
        </is>
      </c>
      <c r="X1106" t="inlineStr">
        <is>
          <t>1993-04-29</t>
        </is>
      </c>
      <c r="Y1106" t="n">
        <v>710</v>
      </c>
      <c r="Z1106" t="n">
        <v>660</v>
      </c>
      <c r="AA1106" t="n">
        <v>667</v>
      </c>
      <c r="AB1106" t="n">
        <v>2</v>
      </c>
      <c r="AC1106" t="n">
        <v>2</v>
      </c>
      <c r="AD1106" t="n">
        <v>20</v>
      </c>
      <c r="AE1106" t="n">
        <v>20</v>
      </c>
      <c r="AF1106" t="n">
        <v>8</v>
      </c>
      <c r="AG1106" t="n">
        <v>8</v>
      </c>
      <c r="AH1106" t="n">
        <v>9</v>
      </c>
      <c r="AI1106" t="n">
        <v>9</v>
      </c>
      <c r="AJ1106" t="n">
        <v>8</v>
      </c>
      <c r="AK1106" t="n">
        <v>8</v>
      </c>
      <c r="AL1106" t="n">
        <v>1</v>
      </c>
      <c r="AM1106" t="n">
        <v>1</v>
      </c>
      <c r="AN1106" t="n">
        <v>0</v>
      </c>
      <c r="AO1106" t="n">
        <v>0</v>
      </c>
      <c r="AP1106" t="inlineStr">
        <is>
          <t>No</t>
        </is>
      </c>
      <c r="AQ1106" t="inlineStr">
        <is>
          <t>Yes</t>
        </is>
      </c>
      <c r="AR1106">
        <f>HYPERLINK("http://catalog.hathitrust.org/Record/002554011","HathiTrust Record")</f>
        <v/>
      </c>
      <c r="AS1106">
        <f>HYPERLINK("https://creighton-primo.hosted.exlibrisgroup.com/primo-explore/search?tab=default_tab&amp;search_scope=EVERYTHING&amp;vid=01CRU&amp;lang=en_US&amp;offset=0&amp;query=any,contains,991005228099702656","Catalog Record")</f>
        <v/>
      </c>
      <c r="AT1106">
        <f>HYPERLINK("http://www.worldcat.org/oclc/8287399","WorldCat Record")</f>
        <v/>
      </c>
      <c r="AU1106" t="inlineStr">
        <is>
          <t>316263870:eng</t>
        </is>
      </c>
      <c r="AV1106" t="inlineStr">
        <is>
          <t>8287399</t>
        </is>
      </c>
      <c r="AW1106" t="inlineStr">
        <is>
          <t>991005228099702656</t>
        </is>
      </c>
      <c r="AX1106" t="inlineStr">
        <is>
          <t>991005228099702656</t>
        </is>
      </c>
      <c r="AY1106" t="inlineStr">
        <is>
          <t>2264301460002656</t>
        </is>
      </c>
      <c r="AZ1106" t="inlineStr">
        <is>
          <t>BOOK</t>
        </is>
      </c>
      <c r="BB1106" t="inlineStr">
        <is>
          <t>9780195202717</t>
        </is>
      </c>
      <c r="BC1106" t="inlineStr">
        <is>
          <t>32285001631125</t>
        </is>
      </c>
      <c r="BD1106" t="inlineStr">
        <is>
          <t>893801967</t>
        </is>
      </c>
    </row>
    <row r="1107">
      <c r="A1107" t="inlineStr">
        <is>
          <t>No</t>
        </is>
      </c>
      <c r="B1107" t="inlineStr">
        <is>
          <t>HQ1599.E5 F67 1986</t>
        </is>
      </c>
      <c r="C1107" t="inlineStr">
        <is>
          <t>0                      HQ 1599000E  5                  F  67          1986</t>
        </is>
      </c>
      <c r="D1107" t="inlineStr">
        <is>
          <t>Significant sisters : the grassroots of active feminism, 1839-1939 / Margaret Forster.</t>
        </is>
      </c>
      <c r="F1107" t="inlineStr">
        <is>
          <t>No</t>
        </is>
      </c>
      <c r="G1107" t="inlineStr">
        <is>
          <t>1</t>
        </is>
      </c>
      <c r="H1107" t="inlineStr">
        <is>
          <t>No</t>
        </is>
      </c>
      <c r="I1107" t="inlineStr">
        <is>
          <t>No</t>
        </is>
      </c>
      <c r="J1107" t="inlineStr">
        <is>
          <t>0</t>
        </is>
      </c>
      <c r="K1107" t="inlineStr">
        <is>
          <t>Forster, Margaret, 1938-2016.</t>
        </is>
      </c>
      <c r="L1107" t="inlineStr">
        <is>
          <t>New York : Oxford University Press, 1986, c1984.</t>
        </is>
      </c>
      <c r="M1107" t="inlineStr">
        <is>
          <t>1986</t>
        </is>
      </c>
      <c r="N1107" t="inlineStr">
        <is>
          <t>1st ed.</t>
        </is>
      </c>
      <c r="O1107" t="inlineStr">
        <is>
          <t>eng</t>
        </is>
      </c>
      <c r="P1107" t="inlineStr">
        <is>
          <t>nyu</t>
        </is>
      </c>
      <c r="R1107" t="inlineStr">
        <is>
          <t xml:space="preserve">HQ </t>
        </is>
      </c>
      <c r="S1107" t="n">
        <v>2</v>
      </c>
      <c r="T1107" t="n">
        <v>2</v>
      </c>
      <c r="U1107" t="inlineStr">
        <is>
          <t>1996-10-27</t>
        </is>
      </c>
      <c r="V1107" t="inlineStr">
        <is>
          <t>1996-10-27</t>
        </is>
      </c>
      <c r="W1107" t="inlineStr">
        <is>
          <t>1992-01-24</t>
        </is>
      </c>
      <c r="X1107" t="inlineStr">
        <is>
          <t>1992-01-24</t>
        </is>
      </c>
      <c r="Y1107" t="n">
        <v>233</v>
      </c>
      <c r="Z1107" t="n">
        <v>220</v>
      </c>
      <c r="AA1107" t="n">
        <v>1231</v>
      </c>
      <c r="AB1107" t="n">
        <v>1</v>
      </c>
      <c r="AC1107" t="n">
        <v>5</v>
      </c>
      <c r="AD1107" t="n">
        <v>4</v>
      </c>
      <c r="AE1107" t="n">
        <v>32</v>
      </c>
      <c r="AF1107" t="n">
        <v>1</v>
      </c>
      <c r="AG1107" t="n">
        <v>13</v>
      </c>
      <c r="AH1107" t="n">
        <v>1</v>
      </c>
      <c r="AI1107" t="n">
        <v>8</v>
      </c>
      <c r="AJ1107" t="n">
        <v>3</v>
      </c>
      <c r="AK1107" t="n">
        <v>19</v>
      </c>
      <c r="AL1107" t="n">
        <v>0</v>
      </c>
      <c r="AM1107" t="n">
        <v>3</v>
      </c>
      <c r="AN1107" t="n">
        <v>0</v>
      </c>
      <c r="AO1107" t="n">
        <v>0</v>
      </c>
      <c r="AP1107" t="inlineStr">
        <is>
          <t>No</t>
        </is>
      </c>
      <c r="AQ1107" t="inlineStr">
        <is>
          <t>Yes</t>
        </is>
      </c>
      <c r="AR1107">
        <f>HYPERLINK("http://catalog.hathitrust.org/Record/012274395","HathiTrust Record")</f>
        <v/>
      </c>
      <c r="AS1107">
        <f>HYPERLINK("https://creighton-primo.hosted.exlibrisgroup.com/primo-explore/search?tab=default_tab&amp;search_scope=EVERYTHING&amp;vid=01CRU&amp;lang=en_US&amp;offset=0&amp;query=any,contains,991000815269702656","Catalog Record")</f>
        <v/>
      </c>
      <c r="AT1107">
        <f>HYPERLINK("http://www.worldcat.org/oclc/13356311","WorldCat Record")</f>
        <v/>
      </c>
      <c r="AU1107" t="inlineStr">
        <is>
          <t>815145305:eng</t>
        </is>
      </c>
      <c r="AV1107" t="inlineStr">
        <is>
          <t>13356311</t>
        </is>
      </c>
      <c r="AW1107" t="inlineStr">
        <is>
          <t>991000815269702656</t>
        </is>
      </c>
      <c r="AX1107" t="inlineStr">
        <is>
          <t>991000815269702656</t>
        </is>
      </c>
      <c r="AY1107" t="inlineStr">
        <is>
          <t>2266579550002656</t>
        </is>
      </c>
      <c r="AZ1107" t="inlineStr">
        <is>
          <t>BOOK</t>
        </is>
      </c>
      <c r="BB1107" t="inlineStr">
        <is>
          <t>9780195040142</t>
        </is>
      </c>
      <c r="BC1107" t="inlineStr">
        <is>
          <t>32285000918366</t>
        </is>
      </c>
      <c r="BD1107" t="inlineStr">
        <is>
          <t>893595911</t>
        </is>
      </c>
    </row>
    <row r="1108">
      <c r="A1108" t="inlineStr">
        <is>
          <t>No</t>
        </is>
      </c>
      <c r="B1108" t="inlineStr">
        <is>
          <t>HQ1599.E5 G69 2003</t>
        </is>
      </c>
      <c r="C1108" t="inlineStr">
        <is>
          <t>0                      HQ 1599000E  5                  G  69          2003</t>
        </is>
      </c>
      <c r="D1108" t="inlineStr">
        <is>
          <t>Common bodies : women, touch, and power in seventeenth-century England / Laura Gowing.</t>
        </is>
      </c>
      <c r="F1108" t="inlineStr">
        <is>
          <t>No</t>
        </is>
      </c>
      <c r="G1108" t="inlineStr">
        <is>
          <t>1</t>
        </is>
      </c>
      <c r="H1108" t="inlineStr">
        <is>
          <t>No</t>
        </is>
      </c>
      <c r="I1108" t="inlineStr">
        <is>
          <t>No</t>
        </is>
      </c>
      <c r="J1108" t="inlineStr">
        <is>
          <t>0</t>
        </is>
      </c>
      <c r="K1108" t="inlineStr">
        <is>
          <t>Gowing, Laura.</t>
        </is>
      </c>
      <c r="L1108" t="inlineStr">
        <is>
          <t>New Haven : Yale University Press, c2003.</t>
        </is>
      </c>
      <c r="M1108" t="inlineStr">
        <is>
          <t>2003</t>
        </is>
      </c>
      <c r="O1108" t="inlineStr">
        <is>
          <t>eng</t>
        </is>
      </c>
      <c r="P1108" t="inlineStr">
        <is>
          <t>ctu</t>
        </is>
      </c>
      <c r="R1108" t="inlineStr">
        <is>
          <t xml:space="preserve">HQ </t>
        </is>
      </c>
      <c r="S1108" t="n">
        <v>2</v>
      </c>
      <c r="T1108" t="n">
        <v>2</v>
      </c>
      <c r="U1108" t="inlineStr">
        <is>
          <t>2005-10-26</t>
        </is>
      </c>
      <c r="V1108" t="inlineStr">
        <is>
          <t>2005-10-26</t>
        </is>
      </c>
      <c r="W1108" t="inlineStr">
        <is>
          <t>2005-05-26</t>
        </is>
      </c>
      <c r="X1108" t="inlineStr">
        <is>
          <t>2005-05-26</t>
        </is>
      </c>
      <c r="Y1108" t="n">
        <v>541</v>
      </c>
      <c r="Z1108" t="n">
        <v>407</v>
      </c>
      <c r="AA1108" t="n">
        <v>413</v>
      </c>
      <c r="AB1108" t="n">
        <v>3</v>
      </c>
      <c r="AC1108" t="n">
        <v>3</v>
      </c>
      <c r="AD1108" t="n">
        <v>29</v>
      </c>
      <c r="AE1108" t="n">
        <v>29</v>
      </c>
      <c r="AF1108" t="n">
        <v>14</v>
      </c>
      <c r="AG1108" t="n">
        <v>14</v>
      </c>
      <c r="AH1108" t="n">
        <v>8</v>
      </c>
      <c r="AI1108" t="n">
        <v>8</v>
      </c>
      <c r="AJ1108" t="n">
        <v>12</v>
      </c>
      <c r="AK1108" t="n">
        <v>12</v>
      </c>
      <c r="AL1108" t="n">
        <v>2</v>
      </c>
      <c r="AM1108" t="n">
        <v>2</v>
      </c>
      <c r="AN1108" t="n">
        <v>1</v>
      </c>
      <c r="AO1108" t="n">
        <v>1</v>
      </c>
      <c r="AP1108" t="inlineStr">
        <is>
          <t>No</t>
        </is>
      </c>
      <c r="AQ1108" t="inlineStr">
        <is>
          <t>No</t>
        </is>
      </c>
      <c r="AS1108">
        <f>HYPERLINK("https://creighton-primo.hosted.exlibrisgroup.com/primo-explore/search?tab=default_tab&amp;search_scope=EVERYTHING&amp;vid=01CRU&amp;lang=en_US&amp;offset=0&amp;query=any,contains,991004544589702656","Catalog Record")</f>
        <v/>
      </c>
      <c r="AT1108">
        <f>HYPERLINK("http://www.worldcat.org/oclc/52412097","WorldCat Record")</f>
        <v/>
      </c>
      <c r="AU1108" t="inlineStr">
        <is>
          <t>672088:eng</t>
        </is>
      </c>
      <c r="AV1108" t="inlineStr">
        <is>
          <t>52412097</t>
        </is>
      </c>
      <c r="AW1108" t="inlineStr">
        <is>
          <t>991004544589702656</t>
        </is>
      </c>
      <c r="AX1108" t="inlineStr">
        <is>
          <t>991004544589702656</t>
        </is>
      </c>
      <c r="AY1108" t="inlineStr">
        <is>
          <t>2266751390002656</t>
        </is>
      </c>
      <c r="AZ1108" t="inlineStr">
        <is>
          <t>BOOK</t>
        </is>
      </c>
      <c r="BB1108" t="inlineStr">
        <is>
          <t>9780300100969</t>
        </is>
      </c>
      <c r="BC1108" t="inlineStr">
        <is>
          <t>32285005091193</t>
        </is>
      </c>
      <c r="BD1108" t="inlineStr">
        <is>
          <t>893513366</t>
        </is>
      </c>
    </row>
    <row r="1109">
      <c r="A1109" t="inlineStr">
        <is>
          <t>No</t>
        </is>
      </c>
      <c r="B1109" t="inlineStr">
        <is>
          <t>HQ1599.E5 R63 1982</t>
        </is>
      </c>
      <c r="C1109" t="inlineStr">
        <is>
          <t>0                      HQ 1599000E  5                  R  63          1982</t>
        </is>
      </c>
      <c r="D1109" t="inlineStr">
        <is>
          <t>Feminism in eighteenth-century England / Katharine M. Rogers.</t>
        </is>
      </c>
      <c r="F1109" t="inlineStr">
        <is>
          <t>No</t>
        </is>
      </c>
      <c r="G1109" t="inlineStr">
        <is>
          <t>1</t>
        </is>
      </c>
      <c r="H1109" t="inlineStr">
        <is>
          <t>No</t>
        </is>
      </c>
      <c r="I1109" t="inlineStr">
        <is>
          <t>No</t>
        </is>
      </c>
      <c r="J1109" t="inlineStr">
        <is>
          <t>0</t>
        </is>
      </c>
      <c r="K1109" t="inlineStr">
        <is>
          <t>Rogers, Katharine M.</t>
        </is>
      </c>
      <c r="L1109" t="inlineStr">
        <is>
          <t>Urbana : University of Illinois Press, c1982.</t>
        </is>
      </c>
      <c r="M1109" t="inlineStr">
        <is>
          <t>1982</t>
        </is>
      </c>
      <c r="O1109" t="inlineStr">
        <is>
          <t>eng</t>
        </is>
      </c>
      <c r="P1109" t="inlineStr">
        <is>
          <t>ilu</t>
        </is>
      </c>
      <c r="R1109" t="inlineStr">
        <is>
          <t xml:space="preserve">HQ </t>
        </is>
      </c>
      <c r="S1109" t="n">
        <v>7</v>
      </c>
      <c r="T1109" t="n">
        <v>7</v>
      </c>
      <c r="U1109" t="inlineStr">
        <is>
          <t>2008-11-05</t>
        </is>
      </c>
      <c r="V1109" t="inlineStr">
        <is>
          <t>2008-11-05</t>
        </is>
      </c>
      <c r="W1109" t="inlineStr">
        <is>
          <t>1993-04-29</t>
        </is>
      </c>
      <c r="X1109" t="inlineStr">
        <is>
          <t>1993-04-29</t>
        </is>
      </c>
      <c r="Y1109" t="n">
        <v>709</v>
      </c>
      <c r="Z1109" t="n">
        <v>596</v>
      </c>
      <c r="AA1109" t="n">
        <v>599</v>
      </c>
      <c r="AB1109" t="n">
        <v>4</v>
      </c>
      <c r="AC1109" t="n">
        <v>4</v>
      </c>
      <c r="AD1109" t="n">
        <v>28</v>
      </c>
      <c r="AE1109" t="n">
        <v>28</v>
      </c>
      <c r="AF1109" t="n">
        <v>11</v>
      </c>
      <c r="AG1109" t="n">
        <v>11</v>
      </c>
      <c r="AH1109" t="n">
        <v>7</v>
      </c>
      <c r="AI1109" t="n">
        <v>7</v>
      </c>
      <c r="AJ1109" t="n">
        <v>16</v>
      </c>
      <c r="AK1109" t="n">
        <v>16</v>
      </c>
      <c r="AL1109" t="n">
        <v>3</v>
      </c>
      <c r="AM1109" t="n">
        <v>3</v>
      </c>
      <c r="AN1109" t="n">
        <v>0</v>
      </c>
      <c r="AO1109" t="n">
        <v>0</v>
      </c>
      <c r="AP1109" t="inlineStr">
        <is>
          <t>No</t>
        </is>
      </c>
      <c r="AQ1109" t="inlineStr">
        <is>
          <t>No</t>
        </is>
      </c>
      <c r="AS1109">
        <f>HYPERLINK("https://creighton-primo.hosted.exlibrisgroup.com/primo-explore/search?tab=default_tab&amp;search_scope=EVERYTHING&amp;vid=01CRU&amp;lang=en_US&amp;offset=0&amp;query=any,contains,991005182139702656","Catalog Record")</f>
        <v/>
      </c>
      <c r="AT1109">
        <f>HYPERLINK("http://www.worldcat.org/oclc/7946890","WorldCat Record")</f>
        <v/>
      </c>
      <c r="AU1109" t="inlineStr">
        <is>
          <t>421287:eng</t>
        </is>
      </c>
      <c r="AV1109" t="inlineStr">
        <is>
          <t>7946890</t>
        </is>
      </c>
      <c r="AW1109" t="inlineStr">
        <is>
          <t>991005182139702656</t>
        </is>
      </c>
      <c r="AX1109" t="inlineStr">
        <is>
          <t>991005182139702656</t>
        </is>
      </c>
      <c r="AY1109" t="inlineStr">
        <is>
          <t>2272426330002656</t>
        </is>
      </c>
      <c r="AZ1109" t="inlineStr">
        <is>
          <t>BOOK</t>
        </is>
      </c>
      <c r="BB1109" t="inlineStr">
        <is>
          <t>9780252009006</t>
        </is>
      </c>
      <c r="BC1109" t="inlineStr">
        <is>
          <t>32285001631174</t>
        </is>
      </c>
      <c r="BD1109" t="inlineStr">
        <is>
          <t>893320188</t>
        </is>
      </c>
    </row>
    <row r="1110">
      <c r="A1110" t="inlineStr">
        <is>
          <t>No</t>
        </is>
      </c>
      <c r="B1110" t="inlineStr">
        <is>
          <t>HQ1599.E5 V47 1998</t>
        </is>
      </c>
      <c r="C1110" t="inlineStr">
        <is>
          <t>0                      HQ 1599000E  5                  V  47          1998</t>
        </is>
      </c>
      <c r="D1110" t="inlineStr">
        <is>
          <t>The gentleman's daughter : women's lives in Georgian England / Amanda Vickery.</t>
        </is>
      </c>
      <c r="F1110" t="inlineStr">
        <is>
          <t>No</t>
        </is>
      </c>
      <c r="G1110" t="inlineStr">
        <is>
          <t>1</t>
        </is>
      </c>
      <c r="H1110" t="inlineStr">
        <is>
          <t>No</t>
        </is>
      </c>
      <c r="I1110" t="inlineStr">
        <is>
          <t>No</t>
        </is>
      </c>
      <c r="J1110" t="inlineStr">
        <is>
          <t>0</t>
        </is>
      </c>
      <c r="K1110" t="inlineStr">
        <is>
          <t>Vickery, Amanda.</t>
        </is>
      </c>
      <c r="L1110" t="inlineStr">
        <is>
          <t>New Haven, Conn. : Yale University Press, c1998.</t>
        </is>
      </c>
      <c r="M1110" t="inlineStr">
        <is>
          <t>1998</t>
        </is>
      </c>
      <c r="O1110" t="inlineStr">
        <is>
          <t>eng</t>
        </is>
      </c>
      <c r="P1110" t="inlineStr">
        <is>
          <t>ctu</t>
        </is>
      </c>
      <c r="R1110" t="inlineStr">
        <is>
          <t xml:space="preserve">HQ </t>
        </is>
      </c>
      <c r="S1110" t="n">
        <v>3</v>
      </c>
      <c r="T1110" t="n">
        <v>3</v>
      </c>
      <c r="U1110" t="inlineStr">
        <is>
          <t>2010-12-13</t>
        </is>
      </c>
      <c r="V1110" t="inlineStr">
        <is>
          <t>2010-12-13</t>
        </is>
      </c>
      <c r="W1110" t="inlineStr">
        <is>
          <t>1999-11-03</t>
        </is>
      </c>
      <c r="X1110" t="inlineStr">
        <is>
          <t>1999-11-03</t>
        </is>
      </c>
      <c r="Y1110" t="n">
        <v>844</v>
      </c>
      <c r="Z1110" t="n">
        <v>617</v>
      </c>
      <c r="AA1110" t="n">
        <v>668</v>
      </c>
      <c r="AB1110" t="n">
        <v>2</v>
      </c>
      <c r="AC1110" t="n">
        <v>3</v>
      </c>
      <c r="AD1110" t="n">
        <v>36</v>
      </c>
      <c r="AE1110" t="n">
        <v>38</v>
      </c>
      <c r="AF1110" t="n">
        <v>19</v>
      </c>
      <c r="AG1110" t="n">
        <v>20</v>
      </c>
      <c r="AH1110" t="n">
        <v>8</v>
      </c>
      <c r="AI1110" t="n">
        <v>8</v>
      </c>
      <c r="AJ1110" t="n">
        <v>18</v>
      </c>
      <c r="AK1110" t="n">
        <v>19</v>
      </c>
      <c r="AL1110" t="n">
        <v>1</v>
      </c>
      <c r="AM1110" t="n">
        <v>2</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HYPERLINK("https://creighton-primo.hosted.exlibrisgroup.com/primo-explore/search?tab=default_tab&amp;search_scope=EVERYTHING&amp;vid=01CRU&amp;lang=en_US&amp;offset=0&amp;query=any,contains,991002880899702656","Catalog Record")</f>
        <v/>
      </c>
      <c r="AT1110">
        <f>HYPERLINK("http://www.worldcat.org/oclc/37975447","WorldCat Record")</f>
        <v/>
      </c>
      <c r="AU1110" t="inlineStr">
        <is>
          <t>837024000:eng</t>
        </is>
      </c>
      <c r="AV1110" t="inlineStr">
        <is>
          <t>37975447</t>
        </is>
      </c>
      <c r="AW1110" t="inlineStr">
        <is>
          <t>991002880899702656</t>
        </is>
      </c>
      <c r="AX1110" t="inlineStr">
        <is>
          <t>991002880899702656</t>
        </is>
      </c>
      <c r="AY1110" t="inlineStr">
        <is>
          <t>2260055570002656</t>
        </is>
      </c>
      <c r="AZ1110" t="inlineStr">
        <is>
          <t>BOOK</t>
        </is>
      </c>
      <c r="BB1110" t="inlineStr">
        <is>
          <t>9780300075311</t>
        </is>
      </c>
      <c r="BC1110" t="inlineStr">
        <is>
          <t>32285003617429</t>
        </is>
      </c>
      <c r="BD1110" t="inlineStr">
        <is>
          <t>893899364</t>
        </is>
      </c>
    </row>
    <row r="1111">
      <c r="A1111" t="inlineStr">
        <is>
          <t>No</t>
        </is>
      </c>
      <c r="B1111" t="inlineStr">
        <is>
          <t>HQ1599.E5 W65</t>
        </is>
      </c>
      <c r="C1111" t="inlineStr">
        <is>
          <t>0                      HQ 1599000E  5                  W  65</t>
        </is>
      </c>
      <c r="D1111" t="inlineStr">
        <is>
          <t>The Women of England : from Anglo-Saxon times to the present : interpretive bibliographical essays / edited with an introd. by Barbara Kanner.</t>
        </is>
      </c>
      <c r="F1111" t="inlineStr">
        <is>
          <t>No</t>
        </is>
      </c>
      <c r="G1111" t="inlineStr">
        <is>
          <t>1</t>
        </is>
      </c>
      <c r="H1111" t="inlineStr">
        <is>
          <t>No</t>
        </is>
      </c>
      <c r="I1111" t="inlineStr">
        <is>
          <t>No</t>
        </is>
      </c>
      <c r="J1111" t="inlineStr">
        <is>
          <t>0</t>
        </is>
      </c>
      <c r="L1111" t="inlineStr">
        <is>
          <t>Hamden, Conn. : Archon Books, 1979.</t>
        </is>
      </c>
      <c r="M1111" t="inlineStr">
        <is>
          <t>1979</t>
        </is>
      </c>
      <c r="O1111" t="inlineStr">
        <is>
          <t>eng</t>
        </is>
      </c>
      <c r="P1111" t="inlineStr">
        <is>
          <t>ctu</t>
        </is>
      </c>
      <c r="R1111" t="inlineStr">
        <is>
          <t xml:space="preserve">HQ </t>
        </is>
      </c>
      <c r="S1111" t="n">
        <v>2</v>
      </c>
      <c r="T1111" t="n">
        <v>2</v>
      </c>
      <c r="U1111" t="inlineStr">
        <is>
          <t>2004-11-15</t>
        </is>
      </c>
      <c r="V1111" t="inlineStr">
        <is>
          <t>2004-11-15</t>
        </is>
      </c>
      <c r="W1111" t="inlineStr">
        <is>
          <t>1993-04-29</t>
        </is>
      </c>
      <c r="X1111" t="inlineStr">
        <is>
          <t>1993-04-29</t>
        </is>
      </c>
      <c r="Y1111" t="n">
        <v>897</v>
      </c>
      <c r="Z1111" t="n">
        <v>818</v>
      </c>
      <c r="AA1111" t="n">
        <v>831</v>
      </c>
      <c r="AB1111" t="n">
        <v>5</v>
      </c>
      <c r="AC1111" t="n">
        <v>5</v>
      </c>
      <c r="AD1111" t="n">
        <v>36</v>
      </c>
      <c r="AE1111" t="n">
        <v>36</v>
      </c>
      <c r="AF1111" t="n">
        <v>15</v>
      </c>
      <c r="AG1111" t="n">
        <v>15</v>
      </c>
      <c r="AH1111" t="n">
        <v>8</v>
      </c>
      <c r="AI1111" t="n">
        <v>8</v>
      </c>
      <c r="AJ1111" t="n">
        <v>17</v>
      </c>
      <c r="AK1111" t="n">
        <v>17</v>
      </c>
      <c r="AL1111" t="n">
        <v>4</v>
      </c>
      <c r="AM1111" t="n">
        <v>4</v>
      </c>
      <c r="AN1111" t="n">
        <v>0</v>
      </c>
      <c r="AO1111" t="n">
        <v>0</v>
      </c>
      <c r="AP1111" t="inlineStr">
        <is>
          <t>No</t>
        </is>
      </c>
      <c r="AQ1111" t="inlineStr">
        <is>
          <t>Yes</t>
        </is>
      </c>
      <c r="AR1111">
        <f>HYPERLINK("http://catalog.hathitrust.org/Record/000019539","HathiTrust Record")</f>
        <v/>
      </c>
      <c r="AS1111">
        <f>HYPERLINK("https://creighton-primo.hosted.exlibrisgroup.com/primo-explore/search?tab=default_tab&amp;search_scope=EVERYTHING&amp;vid=01CRU&amp;lang=en_US&amp;offset=0&amp;query=any,contains,991004687209702656","Catalog Record")</f>
        <v/>
      </c>
      <c r="AT1111">
        <f>HYPERLINK("http://www.worldcat.org/oclc/4593332","WorldCat Record")</f>
        <v/>
      </c>
      <c r="AU1111" t="inlineStr">
        <is>
          <t>889990884:eng</t>
        </is>
      </c>
      <c r="AV1111" t="inlineStr">
        <is>
          <t>4593332</t>
        </is>
      </c>
      <c r="AW1111" t="inlineStr">
        <is>
          <t>991004687209702656</t>
        </is>
      </c>
      <c r="AX1111" t="inlineStr">
        <is>
          <t>991004687209702656</t>
        </is>
      </c>
      <c r="AY1111" t="inlineStr">
        <is>
          <t>2270992760002656</t>
        </is>
      </c>
      <c r="AZ1111" t="inlineStr">
        <is>
          <t>BOOK</t>
        </is>
      </c>
      <c r="BB1111" t="inlineStr">
        <is>
          <t>9780208016393</t>
        </is>
      </c>
      <c r="BC1111" t="inlineStr">
        <is>
          <t>32285001631182</t>
        </is>
      </c>
      <c r="BD1111" t="inlineStr">
        <is>
          <t>893606340</t>
        </is>
      </c>
    </row>
    <row r="1112">
      <c r="A1112" t="inlineStr">
        <is>
          <t>No</t>
        </is>
      </c>
      <c r="B1112" t="inlineStr">
        <is>
          <t>HQ16 .D359 1997</t>
        </is>
      </c>
      <c r="C1112" t="inlineStr">
        <is>
          <t>0                      HQ 0016000D  359         1997</t>
        </is>
      </c>
      <c r="D1112" t="inlineStr">
        <is>
          <t>Sexuality and modern Western culture / Carolyn J. Dean.</t>
        </is>
      </c>
      <c r="F1112" t="inlineStr">
        <is>
          <t>No</t>
        </is>
      </c>
      <c r="G1112" t="inlineStr">
        <is>
          <t>1</t>
        </is>
      </c>
      <c r="H1112" t="inlineStr">
        <is>
          <t>No</t>
        </is>
      </c>
      <c r="I1112" t="inlineStr">
        <is>
          <t>No</t>
        </is>
      </c>
      <c r="J1112" t="inlineStr">
        <is>
          <t>0</t>
        </is>
      </c>
      <c r="K1112" t="inlineStr">
        <is>
          <t>Dean, Carolyn J. (Carolyn Janice), 1960-</t>
        </is>
      </c>
      <c r="L1112" t="inlineStr">
        <is>
          <t>New York : Twayne Publishers, c1997.</t>
        </is>
      </c>
      <c r="M1112" t="inlineStr">
        <is>
          <t>1997</t>
        </is>
      </c>
      <c r="O1112" t="inlineStr">
        <is>
          <t>eng</t>
        </is>
      </c>
      <c r="P1112" t="inlineStr">
        <is>
          <t>nyu</t>
        </is>
      </c>
      <c r="Q1112" t="inlineStr">
        <is>
          <t>Twayne's studies in intellectual and cultural history ; no. 8</t>
        </is>
      </c>
      <c r="R1112" t="inlineStr">
        <is>
          <t xml:space="preserve">HQ </t>
        </is>
      </c>
      <c r="S1112" t="n">
        <v>2</v>
      </c>
      <c r="T1112" t="n">
        <v>2</v>
      </c>
      <c r="U1112" t="inlineStr">
        <is>
          <t>2010-04-12</t>
        </is>
      </c>
      <c r="V1112" t="inlineStr">
        <is>
          <t>2010-04-12</t>
        </is>
      </c>
      <c r="W1112" t="inlineStr">
        <is>
          <t>2010-04-12</t>
        </is>
      </c>
      <c r="X1112" t="inlineStr">
        <is>
          <t>2010-04-12</t>
        </is>
      </c>
      <c r="Y1112" t="n">
        <v>16</v>
      </c>
      <c r="Z1112" t="n">
        <v>15</v>
      </c>
      <c r="AA1112" t="n">
        <v>15</v>
      </c>
      <c r="AB1112" t="n">
        <v>1</v>
      </c>
      <c r="AC1112" t="n">
        <v>1</v>
      </c>
      <c r="AD1112" t="n">
        <v>0</v>
      </c>
      <c r="AE1112" t="n">
        <v>0</v>
      </c>
      <c r="AF1112" t="n">
        <v>0</v>
      </c>
      <c r="AG1112" t="n">
        <v>0</v>
      </c>
      <c r="AH1112" t="n">
        <v>0</v>
      </c>
      <c r="AI1112" t="n">
        <v>0</v>
      </c>
      <c r="AJ1112" t="n">
        <v>0</v>
      </c>
      <c r="AK1112" t="n">
        <v>0</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HYPERLINK("https://creighton-primo.hosted.exlibrisgroup.com/primo-explore/search?tab=default_tab&amp;search_scope=EVERYTHING&amp;vid=01CRU&amp;lang=en_US&amp;offset=0&amp;query=any,contains,991005382339702656","Catalog Record")</f>
        <v/>
      </c>
      <c r="AT1112">
        <f>HYPERLINK("http://www.worldcat.org/oclc/38577322","WorldCat Record")</f>
        <v/>
      </c>
      <c r="AU1112" t="inlineStr">
        <is>
          <t>5612375558:eng</t>
        </is>
      </c>
      <c r="AV1112" t="inlineStr">
        <is>
          <t>38577322</t>
        </is>
      </c>
      <c r="AW1112" t="inlineStr">
        <is>
          <t>991005382339702656</t>
        </is>
      </c>
      <c r="AX1112" t="inlineStr">
        <is>
          <t>991005382339702656</t>
        </is>
      </c>
      <c r="AY1112" t="inlineStr">
        <is>
          <t>2264501060002656</t>
        </is>
      </c>
      <c r="AZ1112" t="inlineStr">
        <is>
          <t>BOOK</t>
        </is>
      </c>
      <c r="BB1112" t="inlineStr">
        <is>
          <t>9780805786156</t>
        </is>
      </c>
      <c r="BC1112" t="inlineStr">
        <is>
          <t>32285005563027</t>
        </is>
      </c>
      <c r="BD1112" t="inlineStr">
        <is>
          <t>893896350</t>
        </is>
      </c>
    </row>
    <row r="1113">
      <c r="A1113" t="inlineStr">
        <is>
          <t>No</t>
        </is>
      </c>
      <c r="B1113" t="inlineStr">
        <is>
          <t>HQ16 .H62 1976</t>
        </is>
      </c>
      <c r="C1113" t="inlineStr">
        <is>
          <t>0                      HQ 0016000H  62          1976</t>
        </is>
      </c>
      <c r="D1113" t="inlineStr">
        <is>
          <t>History of modern morals / by Max Hodann ; translated by Stella Browne.</t>
        </is>
      </c>
      <c r="F1113" t="inlineStr">
        <is>
          <t>No</t>
        </is>
      </c>
      <c r="G1113" t="inlineStr">
        <is>
          <t>1</t>
        </is>
      </c>
      <c r="H1113" t="inlineStr">
        <is>
          <t>No</t>
        </is>
      </c>
      <c r="I1113" t="inlineStr">
        <is>
          <t>No</t>
        </is>
      </c>
      <c r="J1113" t="inlineStr">
        <is>
          <t>0</t>
        </is>
      </c>
      <c r="K1113" t="inlineStr">
        <is>
          <t>Hodann, Max, 1894-1946.</t>
        </is>
      </c>
      <c r="L1113" t="inlineStr">
        <is>
          <t>New York : AMS Press, 1976.</t>
        </is>
      </c>
      <c r="M1113" t="inlineStr">
        <is>
          <t>1976</t>
        </is>
      </c>
      <c r="O1113" t="inlineStr">
        <is>
          <t>eng</t>
        </is>
      </c>
      <c r="P1113" t="inlineStr">
        <is>
          <t>nyu</t>
        </is>
      </c>
      <c r="R1113" t="inlineStr">
        <is>
          <t xml:space="preserve">HQ </t>
        </is>
      </c>
      <c r="S1113" t="n">
        <v>4</v>
      </c>
      <c r="T1113" t="n">
        <v>4</v>
      </c>
      <c r="U1113" t="inlineStr">
        <is>
          <t>2007-03-28</t>
        </is>
      </c>
      <c r="V1113" t="inlineStr">
        <is>
          <t>2007-03-28</t>
        </is>
      </c>
      <c r="W1113" t="inlineStr">
        <is>
          <t>1993-09-18</t>
        </is>
      </c>
      <c r="X1113" t="inlineStr">
        <is>
          <t>1993-09-18</t>
        </is>
      </c>
      <c r="Y1113" t="n">
        <v>39</v>
      </c>
      <c r="Z1113" t="n">
        <v>31</v>
      </c>
      <c r="AA1113" t="n">
        <v>65</v>
      </c>
      <c r="AB1113" t="n">
        <v>1</v>
      </c>
      <c r="AC1113" t="n">
        <v>1</v>
      </c>
      <c r="AD1113" t="n">
        <v>0</v>
      </c>
      <c r="AE1113" t="n">
        <v>1</v>
      </c>
      <c r="AF1113" t="n">
        <v>0</v>
      </c>
      <c r="AG1113" t="n">
        <v>0</v>
      </c>
      <c r="AH1113" t="n">
        <v>0</v>
      </c>
      <c r="AI1113" t="n">
        <v>0</v>
      </c>
      <c r="AJ1113" t="n">
        <v>0</v>
      </c>
      <c r="AK1113" t="n">
        <v>1</v>
      </c>
      <c r="AL1113" t="n">
        <v>0</v>
      </c>
      <c r="AM1113" t="n">
        <v>0</v>
      </c>
      <c r="AN1113" t="n">
        <v>0</v>
      </c>
      <c r="AO1113" t="n">
        <v>0</v>
      </c>
      <c r="AP1113" t="inlineStr">
        <is>
          <t>No</t>
        </is>
      </c>
      <c r="AQ1113" t="inlineStr">
        <is>
          <t>Yes</t>
        </is>
      </c>
      <c r="AR1113">
        <f>HYPERLINK("http://catalog.hathitrust.org/Record/010613433","HathiTrust Record")</f>
        <v/>
      </c>
      <c r="AS1113">
        <f>HYPERLINK("https://creighton-primo.hosted.exlibrisgroup.com/primo-explore/search?tab=default_tab&amp;search_scope=EVERYTHING&amp;vid=01CRU&amp;lang=en_US&amp;offset=0&amp;query=any,contains,991003909219702656","Catalog Record")</f>
        <v/>
      </c>
      <c r="AT1113">
        <f>HYPERLINK("http://www.worldcat.org/oclc/1848833","WorldCat Record")</f>
        <v/>
      </c>
      <c r="AU1113" t="inlineStr">
        <is>
          <t>3187838:eng</t>
        </is>
      </c>
      <c r="AV1113" t="inlineStr">
        <is>
          <t>1848833</t>
        </is>
      </c>
      <c r="AW1113" t="inlineStr">
        <is>
          <t>991003909219702656</t>
        </is>
      </c>
      <c r="AX1113" t="inlineStr">
        <is>
          <t>991003909219702656</t>
        </is>
      </c>
      <c r="AY1113" t="inlineStr">
        <is>
          <t>2257400960002656</t>
        </is>
      </c>
      <c r="AZ1113" t="inlineStr">
        <is>
          <t>BOOK</t>
        </is>
      </c>
      <c r="BB1113" t="inlineStr">
        <is>
          <t>9780404574604</t>
        </is>
      </c>
      <c r="BC1113" t="inlineStr">
        <is>
          <t>32285001770543</t>
        </is>
      </c>
      <c r="BD1113" t="inlineStr">
        <is>
          <t>893349375</t>
        </is>
      </c>
    </row>
    <row r="1114">
      <c r="A1114" t="inlineStr">
        <is>
          <t>No</t>
        </is>
      </c>
      <c r="B1114" t="inlineStr">
        <is>
          <t>HQ16 .L38 1983</t>
        </is>
      </c>
      <c r="C1114" t="inlineStr">
        <is>
          <t>0                      HQ 0016000L  38          1983</t>
        </is>
      </c>
      <c r="D1114" t="inlineStr">
        <is>
          <t>The spirit and the flesh : sex in utopian communities / by Robert H. Lauer and Jeanette C. Lauer.</t>
        </is>
      </c>
      <c r="F1114" t="inlineStr">
        <is>
          <t>No</t>
        </is>
      </c>
      <c r="G1114" t="inlineStr">
        <is>
          <t>1</t>
        </is>
      </c>
      <c r="H1114" t="inlineStr">
        <is>
          <t>No</t>
        </is>
      </c>
      <c r="I1114" t="inlineStr">
        <is>
          <t>No</t>
        </is>
      </c>
      <c r="J1114" t="inlineStr">
        <is>
          <t>0</t>
        </is>
      </c>
      <c r="K1114" t="inlineStr">
        <is>
          <t>Lauer, Robert H.</t>
        </is>
      </c>
      <c r="L1114" t="inlineStr">
        <is>
          <t>Metuchen, N.J. : Scarecrow Press, 1983.</t>
        </is>
      </c>
      <c r="M1114" t="inlineStr">
        <is>
          <t>1983</t>
        </is>
      </c>
      <c r="O1114" t="inlineStr">
        <is>
          <t>eng</t>
        </is>
      </c>
      <c r="P1114" t="inlineStr">
        <is>
          <t>nju</t>
        </is>
      </c>
      <c r="R1114" t="inlineStr">
        <is>
          <t xml:space="preserve">HQ </t>
        </is>
      </c>
      <c r="S1114" t="n">
        <v>3</v>
      </c>
      <c r="T1114" t="n">
        <v>3</v>
      </c>
      <c r="U1114" t="inlineStr">
        <is>
          <t>1994-02-13</t>
        </is>
      </c>
      <c r="V1114" t="inlineStr">
        <is>
          <t>1994-02-13</t>
        </is>
      </c>
      <c r="W1114" t="inlineStr">
        <is>
          <t>1993-12-27</t>
        </is>
      </c>
      <c r="X1114" t="inlineStr">
        <is>
          <t>1993-12-27</t>
        </is>
      </c>
      <c r="Y1114" t="n">
        <v>431</v>
      </c>
      <c r="Z1114" t="n">
        <v>381</v>
      </c>
      <c r="AA1114" t="n">
        <v>387</v>
      </c>
      <c r="AB1114" t="n">
        <v>3</v>
      </c>
      <c r="AC1114" t="n">
        <v>3</v>
      </c>
      <c r="AD1114" t="n">
        <v>18</v>
      </c>
      <c r="AE1114" t="n">
        <v>18</v>
      </c>
      <c r="AF1114" t="n">
        <v>9</v>
      </c>
      <c r="AG1114" t="n">
        <v>9</v>
      </c>
      <c r="AH1114" t="n">
        <v>3</v>
      </c>
      <c r="AI1114" t="n">
        <v>3</v>
      </c>
      <c r="AJ1114" t="n">
        <v>7</v>
      </c>
      <c r="AK1114" t="n">
        <v>7</v>
      </c>
      <c r="AL1114" t="n">
        <v>2</v>
      </c>
      <c r="AM1114" t="n">
        <v>2</v>
      </c>
      <c r="AN1114" t="n">
        <v>0</v>
      </c>
      <c r="AO1114" t="n">
        <v>0</v>
      </c>
      <c r="AP1114" t="inlineStr">
        <is>
          <t>No</t>
        </is>
      </c>
      <c r="AQ1114" t="inlineStr">
        <is>
          <t>Yes</t>
        </is>
      </c>
      <c r="AR1114">
        <f>HYPERLINK("http://catalog.hathitrust.org/Record/000314255","HathiTrust Record")</f>
        <v/>
      </c>
      <c r="AS1114">
        <f>HYPERLINK("https://creighton-primo.hosted.exlibrisgroup.com/primo-explore/search?tab=default_tab&amp;search_scope=EVERYTHING&amp;vid=01CRU&amp;lang=en_US&amp;offset=0&amp;query=any,contains,991000214279702656","Catalog Record")</f>
        <v/>
      </c>
      <c r="AT1114">
        <f>HYPERLINK("http://www.worldcat.org/oclc/9557190","WorldCat Record")</f>
        <v/>
      </c>
      <c r="AU1114" t="inlineStr">
        <is>
          <t>836619524:eng</t>
        </is>
      </c>
      <c r="AV1114" t="inlineStr">
        <is>
          <t>9557190</t>
        </is>
      </c>
      <c r="AW1114" t="inlineStr">
        <is>
          <t>991000214279702656</t>
        </is>
      </c>
      <c r="AX1114" t="inlineStr">
        <is>
          <t>991000214279702656</t>
        </is>
      </c>
      <c r="AY1114" t="inlineStr">
        <is>
          <t>2266570860002656</t>
        </is>
      </c>
      <c r="AZ1114" t="inlineStr">
        <is>
          <t>BOOK</t>
        </is>
      </c>
      <c r="BB1114" t="inlineStr">
        <is>
          <t>9780810816350</t>
        </is>
      </c>
      <c r="BC1114" t="inlineStr">
        <is>
          <t>32285001827525</t>
        </is>
      </c>
      <c r="BD1114" t="inlineStr">
        <is>
          <t>893438109</t>
        </is>
      </c>
    </row>
    <row r="1115">
      <c r="A1115" t="inlineStr">
        <is>
          <t>No</t>
        </is>
      </c>
      <c r="B1115" t="inlineStr">
        <is>
          <t>HQ16 .M35 1999</t>
        </is>
      </c>
      <c r="C1115" t="inlineStr">
        <is>
          <t>0                      HQ 0016000M  35          1999</t>
        </is>
      </c>
      <c r="D1115" t="inlineStr">
        <is>
          <t>Twentieth-century sexuality : a history / Angus McLaren.</t>
        </is>
      </c>
      <c r="F1115" t="inlineStr">
        <is>
          <t>No</t>
        </is>
      </c>
      <c r="G1115" t="inlineStr">
        <is>
          <t>1</t>
        </is>
      </c>
      <c r="H1115" t="inlineStr">
        <is>
          <t>No</t>
        </is>
      </c>
      <c r="I1115" t="inlineStr">
        <is>
          <t>No</t>
        </is>
      </c>
      <c r="J1115" t="inlineStr">
        <is>
          <t>0</t>
        </is>
      </c>
      <c r="K1115" t="inlineStr">
        <is>
          <t>McLaren, Angus.</t>
        </is>
      </c>
      <c r="L1115" t="inlineStr">
        <is>
          <t>Oxford, UK ; Malden, Mass. : Blackwell, 1999.</t>
        </is>
      </c>
      <c r="M1115" t="inlineStr">
        <is>
          <t>1999</t>
        </is>
      </c>
      <c r="O1115" t="inlineStr">
        <is>
          <t>eng</t>
        </is>
      </c>
      <c r="P1115" t="inlineStr">
        <is>
          <t>enk</t>
        </is>
      </c>
      <c r="Q1115" t="inlineStr">
        <is>
          <t>Family, sexuality, and social relations in past times</t>
        </is>
      </c>
      <c r="R1115" t="inlineStr">
        <is>
          <t xml:space="preserve">HQ </t>
        </is>
      </c>
      <c r="S1115" t="n">
        <v>3</v>
      </c>
      <c r="T1115" t="n">
        <v>3</v>
      </c>
      <c r="U1115" t="inlineStr">
        <is>
          <t>2010-12-10</t>
        </is>
      </c>
      <c r="V1115" t="inlineStr">
        <is>
          <t>2010-12-10</t>
        </is>
      </c>
      <c r="W1115" t="inlineStr">
        <is>
          <t>2010-04-21</t>
        </is>
      </c>
      <c r="X1115" t="inlineStr">
        <is>
          <t>2010-04-21</t>
        </is>
      </c>
      <c r="Y1115" t="n">
        <v>512</v>
      </c>
      <c r="Z1115" t="n">
        <v>336</v>
      </c>
      <c r="AA1115" t="n">
        <v>1035</v>
      </c>
      <c r="AB1115" t="n">
        <v>3</v>
      </c>
      <c r="AC1115" t="n">
        <v>4</v>
      </c>
      <c r="AD1115" t="n">
        <v>14</v>
      </c>
      <c r="AE1115" t="n">
        <v>25</v>
      </c>
      <c r="AF1115" t="n">
        <v>4</v>
      </c>
      <c r="AG1115" t="n">
        <v>11</v>
      </c>
      <c r="AH1115" t="n">
        <v>6</v>
      </c>
      <c r="AI1115" t="n">
        <v>7</v>
      </c>
      <c r="AJ1115" t="n">
        <v>7</v>
      </c>
      <c r="AK1115" t="n">
        <v>11</v>
      </c>
      <c r="AL1115" t="n">
        <v>2</v>
      </c>
      <c r="AM1115" t="n">
        <v>3</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HYPERLINK("https://creighton-primo.hosted.exlibrisgroup.com/primo-explore/search?tab=default_tab&amp;search_scope=EVERYTHING&amp;vid=01CRU&amp;lang=en_US&amp;offset=0&amp;query=any,contains,991005382329702656","Catalog Record")</f>
        <v/>
      </c>
      <c r="AT1115">
        <f>HYPERLINK("http://www.worldcat.org/oclc/40408669","WorldCat Record")</f>
        <v/>
      </c>
      <c r="AU1115" t="inlineStr">
        <is>
          <t>46582938:eng</t>
        </is>
      </c>
      <c r="AV1115" t="inlineStr">
        <is>
          <t>40408669</t>
        </is>
      </c>
      <c r="AW1115" t="inlineStr">
        <is>
          <t>991005382329702656</t>
        </is>
      </c>
      <c r="AX1115" t="inlineStr">
        <is>
          <t>991005382329702656</t>
        </is>
      </c>
      <c r="AY1115" t="inlineStr">
        <is>
          <t>2256054800002656</t>
        </is>
      </c>
      <c r="AZ1115" t="inlineStr">
        <is>
          <t>BOOK</t>
        </is>
      </c>
      <c r="BB1115" t="inlineStr">
        <is>
          <t>9780631208129</t>
        </is>
      </c>
      <c r="BC1115" t="inlineStr">
        <is>
          <t>32285005566319</t>
        </is>
      </c>
      <c r="BD1115" t="inlineStr">
        <is>
          <t>893707817</t>
        </is>
      </c>
    </row>
    <row r="1116">
      <c r="A1116" t="inlineStr">
        <is>
          <t>No</t>
        </is>
      </c>
      <c r="B1116" t="inlineStr">
        <is>
          <t>HQ16 .P35 2006</t>
        </is>
      </c>
      <c r="C1116" t="inlineStr">
        <is>
          <t>0                      HQ 0016000P  35          2006</t>
        </is>
      </c>
      <c r="D1116" t="inlineStr">
        <is>
          <t>Palgrave advances in the modern history of sexuality / edited by H.G. Cocks and Matt Houlbrook.</t>
        </is>
      </c>
      <c r="F1116" t="inlineStr">
        <is>
          <t>No</t>
        </is>
      </c>
      <c r="G1116" t="inlineStr">
        <is>
          <t>1</t>
        </is>
      </c>
      <c r="H1116" t="inlineStr">
        <is>
          <t>No</t>
        </is>
      </c>
      <c r="I1116" t="inlineStr">
        <is>
          <t>No</t>
        </is>
      </c>
      <c r="J1116" t="inlineStr">
        <is>
          <t>0</t>
        </is>
      </c>
      <c r="L1116" t="inlineStr">
        <is>
          <t>Basingstoke [England] ; New York : Palgrave Macmillan, 2006.</t>
        </is>
      </c>
      <c r="M1116" t="inlineStr">
        <is>
          <t>2006</t>
        </is>
      </c>
      <c r="O1116" t="inlineStr">
        <is>
          <t>eng</t>
        </is>
      </c>
      <c r="P1116" t="inlineStr">
        <is>
          <t>enk</t>
        </is>
      </c>
      <c r="Q1116" t="inlineStr">
        <is>
          <t>Palgrave advances</t>
        </is>
      </c>
      <c r="R1116" t="inlineStr">
        <is>
          <t xml:space="preserve">HQ </t>
        </is>
      </c>
      <c r="S1116" t="n">
        <v>5</v>
      </c>
      <c r="T1116" t="n">
        <v>5</v>
      </c>
      <c r="U1116" t="inlineStr">
        <is>
          <t>2007-11-12</t>
        </is>
      </c>
      <c r="V1116" t="inlineStr">
        <is>
          <t>2007-11-12</t>
        </is>
      </c>
      <c r="W1116" t="inlineStr">
        <is>
          <t>2007-03-14</t>
        </is>
      </c>
      <c r="X1116" t="inlineStr">
        <is>
          <t>2007-03-14</t>
        </is>
      </c>
      <c r="Y1116" t="n">
        <v>530</v>
      </c>
      <c r="Z1116" t="n">
        <v>407</v>
      </c>
      <c r="AA1116" t="n">
        <v>448</v>
      </c>
      <c r="AB1116" t="n">
        <v>3</v>
      </c>
      <c r="AC1116" t="n">
        <v>4</v>
      </c>
      <c r="AD1116" t="n">
        <v>25</v>
      </c>
      <c r="AE1116" t="n">
        <v>27</v>
      </c>
      <c r="AF1116" t="n">
        <v>14</v>
      </c>
      <c r="AG1116" t="n">
        <v>15</v>
      </c>
      <c r="AH1116" t="n">
        <v>6</v>
      </c>
      <c r="AI1116" t="n">
        <v>6</v>
      </c>
      <c r="AJ1116" t="n">
        <v>11</v>
      </c>
      <c r="AK1116" t="n">
        <v>12</v>
      </c>
      <c r="AL1116" t="n">
        <v>2</v>
      </c>
      <c r="AM1116" t="n">
        <v>3</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HYPERLINK("https://creighton-primo.hosted.exlibrisgroup.com/primo-explore/search?tab=default_tab&amp;search_scope=EVERYTHING&amp;vid=01CRU&amp;lang=en_US&amp;offset=0&amp;query=any,contains,991004991419702656","Catalog Record")</f>
        <v/>
      </c>
      <c r="AT1116">
        <f>HYPERLINK("http://www.worldcat.org/oclc/61178241","WorldCat Record")</f>
        <v/>
      </c>
      <c r="AU1116" t="inlineStr">
        <is>
          <t>792930138:eng</t>
        </is>
      </c>
      <c r="AV1116" t="inlineStr">
        <is>
          <t>61178241</t>
        </is>
      </c>
      <c r="AW1116" t="inlineStr">
        <is>
          <t>991004991419702656</t>
        </is>
      </c>
      <c r="AX1116" t="inlineStr">
        <is>
          <t>991004991419702656</t>
        </is>
      </c>
      <c r="AY1116" t="inlineStr">
        <is>
          <t>2269316850002656</t>
        </is>
      </c>
      <c r="AZ1116" t="inlineStr">
        <is>
          <t>BOOK</t>
        </is>
      </c>
      <c r="BB1116" t="inlineStr">
        <is>
          <t>9781403912893</t>
        </is>
      </c>
      <c r="BC1116" t="inlineStr">
        <is>
          <t>32285005281208</t>
        </is>
      </c>
      <c r="BD1116" t="inlineStr">
        <is>
          <t>893446498</t>
        </is>
      </c>
    </row>
    <row r="1117">
      <c r="A1117" t="inlineStr">
        <is>
          <t>No</t>
        </is>
      </c>
      <c r="B1117" t="inlineStr">
        <is>
          <t>HQ16 .S46 2007</t>
        </is>
      </c>
      <c r="C1117" t="inlineStr">
        <is>
          <t>0                      HQ 0016000S  46          2007</t>
        </is>
      </c>
      <c r="D1117" t="inlineStr">
        <is>
          <t>Sex matters : the sexuality and society reader / [edited by] Mindy Stombler ... [et al.].</t>
        </is>
      </c>
      <c r="F1117" t="inlineStr">
        <is>
          <t>No</t>
        </is>
      </c>
      <c r="G1117" t="inlineStr">
        <is>
          <t>1</t>
        </is>
      </c>
      <c r="H1117" t="inlineStr">
        <is>
          <t>No</t>
        </is>
      </c>
      <c r="I1117" t="inlineStr">
        <is>
          <t>No</t>
        </is>
      </c>
      <c r="J1117" t="inlineStr">
        <is>
          <t>0</t>
        </is>
      </c>
      <c r="L1117" t="inlineStr">
        <is>
          <t>Boston : Pearson A and B, c2007.</t>
        </is>
      </c>
      <c r="M1117" t="inlineStr">
        <is>
          <t>2007</t>
        </is>
      </c>
      <c r="N1117" t="inlineStr">
        <is>
          <t>2nd ed.</t>
        </is>
      </c>
      <c r="O1117" t="inlineStr">
        <is>
          <t>eng</t>
        </is>
      </c>
      <c r="P1117" t="inlineStr">
        <is>
          <t>mau</t>
        </is>
      </c>
      <c r="R1117" t="inlineStr">
        <is>
          <t xml:space="preserve">HQ </t>
        </is>
      </c>
      <c r="S1117" t="n">
        <v>3</v>
      </c>
      <c r="T1117" t="n">
        <v>3</v>
      </c>
      <c r="U1117" t="inlineStr">
        <is>
          <t>2008-05-08</t>
        </is>
      </c>
      <c r="V1117" t="inlineStr">
        <is>
          <t>2008-05-08</t>
        </is>
      </c>
      <c r="W1117" t="inlineStr">
        <is>
          <t>2007-06-11</t>
        </is>
      </c>
      <c r="X1117" t="inlineStr">
        <is>
          <t>2007-06-11</t>
        </is>
      </c>
      <c r="Y1117" t="n">
        <v>91</v>
      </c>
      <c r="Z1117" t="n">
        <v>55</v>
      </c>
      <c r="AA1117" t="n">
        <v>278</v>
      </c>
      <c r="AB1117" t="n">
        <v>1</v>
      </c>
      <c r="AC1117" t="n">
        <v>3</v>
      </c>
      <c r="AD1117" t="n">
        <v>2</v>
      </c>
      <c r="AE1117" t="n">
        <v>15</v>
      </c>
      <c r="AF1117" t="n">
        <v>0</v>
      </c>
      <c r="AG1117" t="n">
        <v>3</v>
      </c>
      <c r="AH1117" t="n">
        <v>1</v>
      </c>
      <c r="AI1117" t="n">
        <v>5</v>
      </c>
      <c r="AJ1117" t="n">
        <v>1</v>
      </c>
      <c r="AK1117" t="n">
        <v>8</v>
      </c>
      <c r="AL1117" t="n">
        <v>0</v>
      </c>
      <c r="AM1117" t="n">
        <v>2</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HYPERLINK("https://creighton-primo.hosted.exlibrisgroup.com/primo-explore/search?tab=default_tab&amp;search_scope=EVERYTHING&amp;vid=01CRU&amp;lang=en_US&amp;offset=0&amp;query=any,contains,991005083099702656","Catalog Record")</f>
        <v/>
      </c>
      <c r="AT1117">
        <f>HYPERLINK("http://www.worldcat.org/oclc/74813836","WorldCat Record")</f>
        <v/>
      </c>
      <c r="AU1117" t="inlineStr">
        <is>
          <t>796419555:eng</t>
        </is>
      </c>
      <c r="AV1117" t="inlineStr">
        <is>
          <t>74813836</t>
        </is>
      </c>
      <c r="AW1117" t="inlineStr">
        <is>
          <t>991005083099702656</t>
        </is>
      </c>
      <c r="AX1117" t="inlineStr">
        <is>
          <t>991005083099702656</t>
        </is>
      </c>
      <c r="AY1117" t="inlineStr">
        <is>
          <t>2268470600002656</t>
        </is>
      </c>
      <c r="AZ1117" t="inlineStr">
        <is>
          <t>BOOK</t>
        </is>
      </c>
      <c r="BB1117" t="inlineStr">
        <is>
          <t>9780205485444</t>
        </is>
      </c>
      <c r="BC1117" t="inlineStr">
        <is>
          <t>32285005316210</t>
        </is>
      </c>
      <c r="BD1117" t="inlineStr">
        <is>
          <t>893613090</t>
        </is>
      </c>
    </row>
    <row r="1118">
      <c r="A1118" t="inlineStr">
        <is>
          <t>No</t>
        </is>
      </c>
      <c r="B1118" t="inlineStr">
        <is>
          <t>HQ1600.3 .O53 1998</t>
        </is>
      </c>
      <c r="C1118" t="inlineStr">
        <is>
          <t>0                      HQ 1600300O  53          1998</t>
        </is>
      </c>
      <c r="D1118" t="inlineStr">
        <is>
          <t>Emerging voices : women in contemporary Irish society / by Pat O'Connor.</t>
        </is>
      </c>
      <c r="F1118" t="inlineStr">
        <is>
          <t>No</t>
        </is>
      </c>
      <c r="G1118" t="inlineStr">
        <is>
          <t>1</t>
        </is>
      </c>
      <c r="H1118" t="inlineStr">
        <is>
          <t>No</t>
        </is>
      </c>
      <c r="I1118" t="inlineStr">
        <is>
          <t>No</t>
        </is>
      </c>
      <c r="J1118" t="inlineStr">
        <is>
          <t>0</t>
        </is>
      </c>
      <c r="K1118" t="inlineStr">
        <is>
          <t>O'Connor, Pat, 1950-</t>
        </is>
      </c>
      <c r="L1118" t="inlineStr">
        <is>
          <t>Dublin : Institute of Public Administration, 1998.</t>
        </is>
      </c>
      <c r="M1118" t="inlineStr">
        <is>
          <t>1998</t>
        </is>
      </c>
      <c r="O1118" t="inlineStr">
        <is>
          <t>eng</t>
        </is>
      </c>
      <c r="P1118" t="inlineStr">
        <is>
          <t xml:space="preserve">ie </t>
        </is>
      </c>
      <c r="R1118" t="inlineStr">
        <is>
          <t xml:space="preserve">HQ </t>
        </is>
      </c>
      <c r="S1118" t="n">
        <v>2</v>
      </c>
      <c r="T1118" t="n">
        <v>2</v>
      </c>
      <c r="U1118" t="inlineStr">
        <is>
          <t>2010-12-03</t>
        </is>
      </c>
      <c r="V1118" t="inlineStr">
        <is>
          <t>2010-12-03</t>
        </is>
      </c>
      <c r="W1118" t="inlineStr">
        <is>
          <t>2005-05-09</t>
        </is>
      </c>
      <c r="X1118" t="inlineStr">
        <is>
          <t>2005-05-09</t>
        </is>
      </c>
      <c r="Y1118" t="n">
        <v>106</v>
      </c>
      <c r="Z1118" t="n">
        <v>61</v>
      </c>
      <c r="AA1118" t="n">
        <v>62</v>
      </c>
      <c r="AB1118" t="n">
        <v>1</v>
      </c>
      <c r="AC1118" t="n">
        <v>1</v>
      </c>
      <c r="AD1118" t="n">
        <v>8</v>
      </c>
      <c r="AE1118" t="n">
        <v>8</v>
      </c>
      <c r="AF1118" t="n">
        <v>1</v>
      </c>
      <c r="AG1118" t="n">
        <v>1</v>
      </c>
      <c r="AH1118" t="n">
        <v>3</v>
      </c>
      <c r="AI1118" t="n">
        <v>3</v>
      </c>
      <c r="AJ1118" t="n">
        <v>5</v>
      </c>
      <c r="AK1118" t="n">
        <v>5</v>
      </c>
      <c r="AL1118" t="n">
        <v>0</v>
      </c>
      <c r="AM1118" t="n">
        <v>0</v>
      </c>
      <c r="AN1118" t="n">
        <v>1</v>
      </c>
      <c r="AO1118" t="n">
        <v>1</v>
      </c>
      <c r="AP1118" t="inlineStr">
        <is>
          <t>No</t>
        </is>
      </c>
      <c r="AQ1118" t="inlineStr">
        <is>
          <t>No</t>
        </is>
      </c>
      <c r="AS1118">
        <f>HYPERLINK("https://creighton-primo.hosted.exlibrisgroup.com/primo-explore/search?tab=default_tab&amp;search_scope=EVERYTHING&amp;vid=01CRU&amp;lang=en_US&amp;offset=0&amp;query=any,contains,991004519349702656","Catalog Record")</f>
        <v/>
      </c>
      <c r="AT1118">
        <f>HYPERLINK("http://www.worldcat.org/oclc/39899839","WorldCat Record")</f>
        <v/>
      </c>
      <c r="AU1118" t="inlineStr">
        <is>
          <t>10540534:eng</t>
        </is>
      </c>
      <c r="AV1118" t="inlineStr">
        <is>
          <t>39899839</t>
        </is>
      </c>
      <c r="AW1118" t="inlineStr">
        <is>
          <t>991004519349702656</t>
        </is>
      </c>
      <c r="AX1118" t="inlineStr">
        <is>
          <t>991004519349702656</t>
        </is>
      </c>
      <c r="AY1118" t="inlineStr">
        <is>
          <t>2263045060002656</t>
        </is>
      </c>
      <c r="AZ1118" t="inlineStr">
        <is>
          <t>BOOK</t>
        </is>
      </c>
      <c r="BB1118" t="inlineStr">
        <is>
          <t>9781872002743</t>
        </is>
      </c>
      <c r="BC1118" t="inlineStr">
        <is>
          <t>32285005035950</t>
        </is>
      </c>
      <c r="BD1118" t="inlineStr">
        <is>
          <t>893241528</t>
        </is>
      </c>
    </row>
    <row r="1119">
      <c r="A1119" t="inlineStr">
        <is>
          <t>No</t>
        </is>
      </c>
      <c r="B1119" t="inlineStr">
        <is>
          <t>HQ1600.3 .T94 1992</t>
        </is>
      </c>
      <c r="C1119" t="inlineStr">
        <is>
          <t>0                      HQ 1600300T  94          1992</t>
        </is>
      </c>
      <c r="D1119" t="inlineStr">
        <is>
          <t>A link in the chain : the story of the Irish Housewives Association, 1942-1992 / Hilda Tweedy.</t>
        </is>
      </c>
      <c r="F1119" t="inlineStr">
        <is>
          <t>No</t>
        </is>
      </c>
      <c r="G1119" t="inlineStr">
        <is>
          <t>1</t>
        </is>
      </c>
      <c r="H1119" t="inlineStr">
        <is>
          <t>No</t>
        </is>
      </c>
      <c r="I1119" t="inlineStr">
        <is>
          <t>No</t>
        </is>
      </c>
      <c r="J1119" t="inlineStr">
        <is>
          <t>0</t>
        </is>
      </c>
      <c r="K1119" t="inlineStr">
        <is>
          <t>Tweedy, Hilda.</t>
        </is>
      </c>
      <c r="L1119" t="inlineStr">
        <is>
          <t>Dublin : Attic Press, 1992.</t>
        </is>
      </c>
      <c r="M1119" t="inlineStr">
        <is>
          <t>1992</t>
        </is>
      </c>
      <c r="O1119" t="inlineStr">
        <is>
          <t>eng</t>
        </is>
      </c>
      <c r="P1119" t="inlineStr">
        <is>
          <t xml:space="preserve">ie </t>
        </is>
      </c>
      <c r="R1119" t="inlineStr">
        <is>
          <t xml:space="preserve">HQ </t>
        </is>
      </c>
      <c r="S1119" t="n">
        <v>1</v>
      </c>
      <c r="T1119" t="n">
        <v>1</v>
      </c>
      <c r="U1119" t="inlineStr">
        <is>
          <t>2004-05-17</t>
        </is>
      </c>
      <c r="V1119" t="inlineStr">
        <is>
          <t>2004-05-17</t>
        </is>
      </c>
      <c r="W1119" t="inlineStr">
        <is>
          <t>2004-05-17</t>
        </is>
      </c>
      <c r="X1119" t="inlineStr">
        <is>
          <t>2004-05-17</t>
        </is>
      </c>
      <c r="Y1119" t="n">
        <v>61</v>
      </c>
      <c r="Z1119" t="n">
        <v>36</v>
      </c>
      <c r="AA1119" t="n">
        <v>37</v>
      </c>
      <c r="AB1119" t="n">
        <v>1</v>
      </c>
      <c r="AC1119" t="n">
        <v>1</v>
      </c>
      <c r="AD1119" t="n">
        <v>2</v>
      </c>
      <c r="AE1119" t="n">
        <v>2</v>
      </c>
      <c r="AF1119" t="n">
        <v>0</v>
      </c>
      <c r="AG1119" t="n">
        <v>0</v>
      </c>
      <c r="AH1119" t="n">
        <v>1</v>
      </c>
      <c r="AI1119" t="n">
        <v>1</v>
      </c>
      <c r="AJ1119" t="n">
        <v>1</v>
      </c>
      <c r="AK1119" t="n">
        <v>1</v>
      </c>
      <c r="AL1119" t="n">
        <v>0</v>
      </c>
      <c r="AM1119" t="n">
        <v>0</v>
      </c>
      <c r="AN1119" t="n">
        <v>0</v>
      </c>
      <c r="AO1119" t="n">
        <v>0</v>
      </c>
      <c r="AP1119" t="inlineStr">
        <is>
          <t>No</t>
        </is>
      </c>
      <c r="AQ1119" t="inlineStr">
        <is>
          <t>No</t>
        </is>
      </c>
      <c r="AS1119">
        <f>HYPERLINK("https://creighton-primo.hosted.exlibrisgroup.com/primo-explore/search?tab=default_tab&amp;search_scope=EVERYTHING&amp;vid=01CRU&amp;lang=en_US&amp;offset=0&amp;query=any,contains,991004249039702656","Catalog Record")</f>
        <v/>
      </c>
      <c r="AT1119">
        <f>HYPERLINK("http://www.worldcat.org/oclc/27293784","WorldCat Record")</f>
        <v/>
      </c>
      <c r="AU1119" t="inlineStr">
        <is>
          <t>836906089:eng</t>
        </is>
      </c>
      <c r="AV1119" t="inlineStr">
        <is>
          <t>27293784</t>
        </is>
      </c>
      <c r="AW1119" t="inlineStr">
        <is>
          <t>991004249039702656</t>
        </is>
      </c>
      <c r="AX1119" t="inlineStr">
        <is>
          <t>991004249039702656</t>
        </is>
      </c>
      <c r="AY1119" t="inlineStr">
        <is>
          <t>2260857590002656</t>
        </is>
      </c>
      <c r="AZ1119" t="inlineStr">
        <is>
          <t>BOOK</t>
        </is>
      </c>
      <c r="BB1119" t="inlineStr">
        <is>
          <t>9781855940369</t>
        </is>
      </c>
      <c r="BC1119" t="inlineStr">
        <is>
          <t>32285004905625</t>
        </is>
      </c>
      <c r="BD1119" t="inlineStr">
        <is>
          <t>893894752</t>
        </is>
      </c>
    </row>
    <row r="1120">
      <c r="A1120" t="inlineStr">
        <is>
          <t>No</t>
        </is>
      </c>
      <c r="B1120" t="inlineStr">
        <is>
          <t>HQ1600.3.Z75 H376 2002</t>
        </is>
      </c>
      <c r="C1120" t="inlineStr">
        <is>
          <t>0                      HQ 1600300Z  75                 H  376         2002</t>
        </is>
      </c>
      <c r="D1120" t="inlineStr">
        <is>
          <t>Genteel revolutionaries : Anna and Thomas Haslam and the Irish women's movement / Carmel Quinlan.</t>
        </is>
      </c>
      <c r="F1120" t="inlineStr">
        <is>
          <t>No</t>
        </is>
      </c>
      <c r="G1120" t="inlineStr">
        <is>
          <t>1</t>
        </is>
      </c>
      <c r="H1120" t="inlineStr">
        <is>
          <t>No</t>
        </is>
      </c>
      <c r="I1120" t="inlineStr">
        <is>
          <t>No</t>
        </is>
      </c>
      <c r="J1120" t="inlineStr">
        <is>
          <t>0</t>
        </is>
      </c>
      <c r="K1120" t="inlineStr">
        <is>
          <t>Quinlan, Carmel, 1944-</t>
        </is>
      </c>
      <c r="L1120" t="inlineStr">
        <is>
          <t>Cork : Cork University Press, c2002.</t>
        </is>
      </c>
      <c r="M1120" t="inlineStr">
        <is>
          <t>2002</t>
        </is>
      </c>
      <c r="O1120" t="inlineStr">
        <is>
          <t>eng</t>
        </is>
      </c>
      <c r="P1120" t="inlineStr">
        <is>
          <t xml:space="preserve">ie </t>
        </is>
      </c>
      <c r="R1120" t="inlineStr">
        <is>
          <t xml:space="preserve">HQ </t>
        </is>
      </c>
      <c r="S1120" t="n">
        <v>1</v>
      </c>
      <c r="T1120" t="n">
        <v>1</v>
      </c>
      <c r="U1120" t="inlineStr">
        <is>
          <t>2005-07-26</t>
        </is>
      </c>
      <c r="V1120" t="inlineStr">
        <is>
          <t>2005-07-26</t>
        </is>
      </c>
      <c r="W1120" t="inlineStr">
        <is>
          <t>2005-07-26</t>
        </is>
      </c>
      <c r="X1120" t="inlineStr">
        <is>
          <t>2005-07-26</t>
        </is>
      </c>
      <c r="Y1120" t="n">
        <v>127</v>
      </c>
      <c r="Z1120" t="n">
        <v>112</v>
      </c>
      <c r="AA1120" t="n">
        <v>135</v>
      </c>
      <c r="AB1120" t="n">
        <v>2</v>
      </c>
      <c r="AC1120" t="n">
        <v>2</v>
      </c>
      <c r="AD1120" t="n">
        <v>8</v>
      </c>
      <c r="AE1120" t="n">
        <v>10</v>
      </c>
      <c r="AF1120" t="n">
        <v>5</v>
      </c>
      <c r="AG1120" t="n">
        <v>5</v>
      </c>
      <c r="AH1120" t="n">
        <v>2</v>
      </c>
      <c r="AI1120" t="n">
        <v>3</v>
      </c>
      <c r="AJ1120" t="n">
        <v>3</v>
      </c>
      <c r="AK1120" t="n">
        <v>5</v>
      </c>
      <c r="AL1120" t="n">
        <v>1</v>
      </c>
      <c r="AM1120" t="n">
        <v>1</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HYPERLINK("https://creighton-primo.hosted.exlibrisgroup.com/primo-explore/search?tab=default_tab&amp;search_scope=EVERYTHING&amp;vid=01CRU&amp;lang=en_US&amp;offset=0&amp;query=any,contains,991004515389702656","Catalog Record")</f>
        <v/>
      </c>
      <c r="AT1120">
        <f>HYPERLINK("http://www.worldcat.org/oclc/50235131","WorldCat Record")</f>
        <v/>
      </c>
      <c r="AU1120" t="inlineStr">
        <is>
          <t>291966899:eng</t>
        </is>
      </c>
      <c r="AV1120" t="inlineStr">
        <is>
          <t>50235131</t>
        </is>
      </c>
      <c r="AW1120" t="inlineStr">
        <is>
          <t>991004515389702656</t>
        </is>
      </c>
      <c r="AX1120" t="inlineStr">
        <is>
          <t>991004515389702656</t>
        </is>
      </c>
      <c r="AY1120" t="inlineStr">
        <is>
          <t>2262618980002656</t>
        </is>
      </c>
      <c r="AZ1120" t="inlineStr">
        <is>
          <t>BOOK</t>
        </is>
      </c>
      <c r="BB1120" t="inlineStr">
        <is>
          <t>9781859183281</t>
        </is>
      </c>
      <c r="BC1120" t="inlineStr">
        <is>
          <t>32285005097760</t>
        </is>
      </c>
      <c r="BD1120" t="inlineStr">
        <is>
          <t>893712696</t>
        </is>
      </c>
    </row>
    <row r="1121">
      <c r="A1121" t="inlineStr">
        <is>
          <t>No</t>
        </is>
      </c>
      <c r="B1121" t="inlineStr">
        <is>
          <t>HQ1613 .D37 1983</t>
        </is>
      </c>
      <c r="C1121" t="inlineStr">
        <is>
          <t>0                      HQ 1613000D  37          1983</t>
        </is>
      </c>
      <c r="D1121" t="inlineStr">
        <is>
          <t>Mythologie de la femme dans l'ancienne France, XVIe-XIXe siècle / Pierre Darmon.</t>
        </is>
      </c>
      <c r="F1121" t="inlineStr">
        <is>
          <t>No</t>
        </is>
      </c>
      <c r="G1121" t="inlineStr">
        <is>
          <t>1</t>
        </is>
      </c>
      <c r="H1121" t="inlineStr">
        <is>
          <t>No</t>
        </is>
      </c>
      <c r="I1121" t="inlineStr">
        <is>
          <t>No</t>
        </is>
      </c>
      <c r="J1121" t="inlineStr">
        <is>
          <t>0</t>
        </is>
      </c>
      <c r="K1121" t="inlineStr">
        <is>
          <t>Darmon, Pierre, 1939-</t>
        </is>
      </c>
      <c r="L1121" t="inlineStr">
        <is>
          <t>Paris : Éditions du Seuil, c1983.</t>
        </is>
      </c>
      <c r="M1121" t="inlineStr">
        <is>
          <t>1983</t>
        </is>
      </c>
      <c r="O1121" t="inlineStr">
        <is>
          <t>fre</t>
        </is>
      </c>
      <c r="P1121" t="inlineStr">
        <is>
          <t xml:space="preserve">fr </t>
        </is>
      </c>
      <c r="R1121" t="inlineStr">
        <is>
          <t xml:space="preserve">HQ </t>
        </is>
      </c>
      <c r="S1121" t="n">
        <v>1</v>
      </c>
      <c r="T1121" t="n">
        <v>1</v>
      </c>
      <c r="U1121" t="inlineStr">
        <is>
          <t>1996-11-20</t>
        </is>
      </c>
      <c r="V1121" t="inlineStr">
        <is>
          <t>1996-11-20</t>
        </is>
      </c>
      <c r="W1121" t="inlineStr">
        <is>
          <t>1993-04-29</t>
        </is>
      </c>
      <c r="X1121" t="inlineStr">
        <is>
          <t>1993-04-29</t>
        </is>
      </c>
      <c r="Y1121" t="n">
        <v>80</v>
      </c>
      <c r="Z1121" t="n">
        <v>68</v>
      </c>
      <c r="AA1121" t="n">
        <v>69</v>
      </c>
      <c r="AB1121" t="n">
        <v>1</v>
      </c>
      <c r="AC1121" t="n">
        <v>1</v>
      </c>
      <c r="AD1121" t="n">
        <v>4</v>
      </c>
      <c r="AE1121" t="n">
        <v>4</v>
      </c>
      <c r="AF1121" t="n">
        <v>0</v>
      </c>
      <c r="AG1121" t="n">
        <v>0</v>
      </c>
      <c r="AH1121" t="n">
        <v>1</v>
      </c>
      <c r="AI1121" t="n">
        <v>1</v>
      </c>
      <c r="AJ1121" t="n">
        <v>4</v>
      </c>
      <c r="AK1121" t="n">
        <v>4</v>
      </c>
      <c r="AL1121" t="n">
        <v>0</v>
      </c>
      <c r="AM1121" t="n">
        <v>0</v>
      </c>
      <c r="AN1121" t="n">
        <v>0</v>
      </c>
      <c r="AO1121" t="n">
        <v>0</v>
      </c>
      <c r="AP1121" t="inlineStr">
        <is>
          <t>No</t>
        </is>
      </c>
      <c r="AQ1121" t="inlineStr">
        <is>
          <t>Yes</t>
        </is>
      </c>
      <c r="AR1121">
        <f>HYPERLINK("http://catalog.hathitrust.org/Record/102079639","HathiTrust Record")</f>
        <v/>
      </c>
      <c r="AS1121">
        <f>HYPERLINK("https://creighton-primo.hosted.exlibrisgroup.com/primo-explore/search?tab=default_tab&amp;search_scope=EVERYTHING&amp;vid=01CRU&amp;lang=en_US&amp;offset=0&amp;query=any,contains,991000267339702656","Catalog Record")</f>
        <v/>
      </c>
      <c r="AT1121">
        <f>HYPERLINK("http://www.worldcat.org/oclc/9834632","WorldCat Record")</f>
        <v/>
      </c>
      <c r="AU1121" t="inlineStr">
        <is>
          <t>5624083489:fre</t>
        </is>
      </c>
      <c r="AV1121" t="inlineStr">
        <is>
          <t>9834632</t>
        </is>
      </c>
      <c r="AW1121" t="inlineStr">
        <is>
          <t>991000267339702656</t>
        </is>
      </c>
      <c r="AX1121" t="inlineStr">
        <is>
          <t>991000267339702656</t>
        </is>
      </c>
      <c r="AY1121" t="inlineStr">
        <is>
          <t>2259061190002656</t>
        </is>
      </c>
      <c r="AZ1121" t="inlineStr">
        <is>
          <t>BOOK</t>
        </is>
      </c>
      <c r="BB1121" t="inlineStr">
        <is>
          <t>9782020064149</t>
        </is>
      </c>
      <c r="BC1121" t="inlineStr">
        <is>
          <t>32285001631208</t>
        </is>
      </c>
      <c r="BD1121" t="inlineStr">
        <is>
          <t>893515152</t>
        </is>
      </c>
    </row>
    <row r="1122">
      <c r="A1122" t="inlineStr">
        <is>
          <t>No</t>
        </is>
      </c>
      <c r="B1122" t="inlineStr">
        <is>
          <t>HQ1613 .D8 1986</t>
        </is>
      </c>
      <c r="C1122" t="inlineStr">
        <is>
          <t>0                      HQ 1613000D  8           1986</t>
        </is>
      </c>
      <c r="D1122" t="inlineStr">
        <is>
          <t>Feminism in France : from May '68 to Mitterrand / Claire Duchen.</t>
        </is>
      </c>
      <c r="F1122" t="inlineStr">
        <is>
          <t>No</t>
        </is>
      </c>
      <c r="G1122" t="inlineStr">
        <is>
          <t>1</t>
        </is>
      </c>
      <c r="H1122" t="inlineStr">
        <is>
          <t>No</t>
        </is>
      </c>
      <c r="I1122" t="inlineStr">
        <is>
          <t>No</t>
        </is>
      </c>
      <c r="J1122" t="inlineStr">
        <is>
          <t>0</t>
        </is>
      </c>
      <c r="K1122" t="inlineStr">
        <is>
          <t>Duchen, Claire.</t>
        </is>
      </c>
      <c r="L1122" t="inlineStr">
        <is>
          <t>London ; Boston : Routledge &amp; Kegan Paul, 1986.</t>
        </is>
      </c>
      <c r="M1122" t="inlineStr">
        <is>
          <t>1986</t>
        </is>
      </c>
      <c r="O1122" t="inlineStr">
        <is>
          <t>eng</t>
        </is>
      </c>
      <c r="P1122" t="inlineStr">
        <is>
          <t>enk</t>
        </is>
      </c>
      <c r="R1122" t="inlineStr">
        <is>
          <t xml:space="preserve">HQ </t>
        </is>
      </c>
      <c r="S1122" t="n">
        <v>5</v>
      </c>
      <c r="T1122" t="n">
        <v>5</v>
      </c>
      <c r="U1122" t="inlineStr">
        <is>
          <t>1999-08-04</t>
        </is>
      </c>
      <c r="V1122" t="inlineStr">
        <is>
          <t>1999-08-04</t>
        </is>
      </c>
      <c r="W1122" t="inlineStr">
        <is>
          <t>1994-10-21</t>
        </is>
      </c>
      <c r="X1122" t="inlineStr">
        <is>
          <t>1994-10-21</t>
        </is>
      </c>
      <c r="Y1122" t="n">
        <v>575</v>
      </c>
      <c r="Z1122" t="n">
        <v>419</v>
      </c>
      <c r="AA1122" t="n">
        <v>442</v>
      </c>
      <c r="AB1122" t="n">
        <v>2</v>
      </c>
      <c r="AC1122" t="n">
        <v>2</v>
      </c>
      <c r="AD1122" t="n">
        <v>22</v>
      </c>
      <c r="AE1122" t="n">
        <v>23</v>
      </c>
      <c r="AF1122" t="n">
        <v>10</v>
      </c>
      <c r="AG1122" t="n">
        <v>11</v>
      </c>
      <c r="AH1122" t="n">
        <v>8</v>
      </c>
      <c r="AI1122" t="n">
        <v>8</v>
      </c>
      <c r="AJ1122" t="n">
        <v>13</v>
      </c>
      <c r="AK1122" t="n">
        <v>13</v>
      </c>
      <c r="AL1122" t="n">
        <v>1</v>
      </c>
      <c r="AM1122" t="n">
        <v>1</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HYPERLINK("https://creighton-primo.hosted.exlibrisgroup.com/primo-explore/search?tab=default_tab&amp;search_scope=EVERYTHING&amp;vid=01CRU&amp;lang=en_US&amp;offset=0&amp;query=any,contains,991000637579702656","Catalog Record")</f>
        <v/>
      </c>
      <c r="AT1122">
        <f>HYPERLINK("http://www.worldcat.org/oclc/12082602","WorldCat Record")</f>
        <v/>
      </c>
      <c r="AU1122" t="inlineStr">
        <is>
          <t>836713839:eng</t>
        </is>
      </c>
      <c r="AV1122" t="inlineStr">
        <is>
          <t>12082602</t>
        </is>
      </c>
      <c r="AW1122" t="inlineStr">
        <is>
          <t>991000637579702656</t>
        </is>
      </c>
      <c r="AX1122" t="inlineStr">
        <is>
          <t>991000637579702656</t>
        </is>
      </c>
      <c r="AY1122" t="inlineStr">
        <is>
          <t>2264614600002656</t>
        </is>
      </c>
      <c r="AZ1122" t="inlineStr">
        <is>
          <t>BOOK</t>
        </is>
      </c>
      <c r="BB1122" t="inlineStr">
        <is>
          <t>9780710204554</t>
        </is>
      </c>
      <c r="BC1122" t="inlineStr">
        <is>
          <t>32285001949980</t>
        </is>
      </c>
      <c r="BD1122" t="inlineStr">
        <is>
          <t>893796847</t>
        </is>
      </c>
    </row>
    <row r="1123">
      <c r="A1123" t="inlineStr">
        <is>
          <t>No</t>
        </is>
      </c>
      <c r="B1123" t="inlineStr">
        <is>
          <t>HQ1613 .S54</t>
        </is>
      </c>
      <c r="C1123" t="inlineStr">
        <is>
          <t>0                      HQ 1613000S  54</t>
        </is>
      </c>
      <c r="D1123" t="inlineStr">
        <is>
          <t>Ladies of the leisure class : the bourgeoises of northern France in the nineteenth century / Bonnie G. Smith.</t>
        </is>
      </c>
      <c r="F1123" t="inlineStr">
        <is>
          <t>No</t>
        </is>
      </c>
      <c r="G1123" t="inlineStr">
        <is>
          <t>1</t>
        </is>
      </c>
      <c r="H1123" t="inlineStr">
        <is>
          <t>No</t>
        </is>
      </c>
      <c r="I1123" t="inlineStr">
        <is>
          <t>No</t>
        </is>
      </c>
      <c r="J1123" t="inlineStr">
        <is>
          <t>0</t>
        </is>
      </c>
      <c r="K1123" t="inlineStr">
        <is>
          <t>Smith, Bonnie G., 1940-</t>
        </is>
      </c>
      <c r="L1123" t="inlineStr">
        <is>
          <t>Princeton, N.J. : Princeton University Press, c1981.</t>
        </is>
      </c>
      <c r="M1123" t="inlineStr">
        <is>
          <t>1981</t>
        </is>
      </c>
      <c r="O1123" t="inlineStr">
        <is>
          <t>eng</t>
        </is>
      </c>
      <c r="P1123" t="inlineStr">
        <is>
          <t>nju</t>
        </is>
      </c>
      <c r="R1123" t="inlineStr">
        <is>
          <t xml:space="preserve">HQ </t>
        </is>
      </c>
      <c r="S1123" t="n">
        <v>5</v>
      </c>
      <c r="T1123" t="n">
        <v>5</v>
      </c>
      <c r="U1123" t="inlineStr">
        <is>
          <t>2007-11-25</t>
        </is>
      </c>
      <c r="V1123" t="inlineStr">
        <is>
          <t>2007-11-25</t>
        </is>
      </c>
      <c r="W1123" t="inlineStr">
        <is>
          <t>1993-03-17</t>
        </is>
      </c>
      <c r="X1123" t="inlineStr">
        <is>
          <t>1993-03-17</t>
        </is>
      </c>
      <c r="Y1123" t="n">
        <v>722</v>
      </c>
      <c r="Z1123" t="n">
        <v>564</v>
      </c>
      <c r="AA1123" t="n">
        <v>707</v>
      </c>
      <c r="AB1123" t="n">
        <v>5</v>
      </c>
      <c r="AC1123" t="n">
        <v>5</v>
      </c>
      <c r="AD1123" t="n">
        <v>29</v>
      </c>
      <c r="AE1123" t="n">
        <v>35</v>
      </c>
      <c r="AF1123" t="n">
        <v>9</v>
      </c>
      <c r="AG1123" t="n">
        <v>14</v>
      </c>
      <c r="AH1123" t="n">
        <v>9</v>
      </c>
      <c r="AI1123" t="n">
        <v>11</v>
      </c>
      <c r="AJ1123" t="n">
        <v>16</v>
      </c>
      <c r="AK1123" t="n">
        <v>18</v>
      </c>
      <c r="AL1123" t="n">
        <v>4</v>
      </c>
      <c r="AM1123" t="n">
        <v>4</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HYPERLINK("https://creighton-primo.hosted.exlibrisgroup.com/primo-explore/search?tab=default_tab&amp;search_scope=EVERYTHING&amp;vid=01CRU&amp;lang=en_US&amp;offset=0&amp;query=any,contains,991005105849702656","Catalog Record")</f>
        <v/>
      </c>
      <c r="AT1123">
        <f>HYPERLINK("http://www.worldcat.org/oclc/7329534","WorldCat Record")</f>
        <v/>
      </c>
      <c r="AU1123" t="inlineStr">
        <is>
          <t>423360332:eng</t>
        </is>
      </c>
      <c r="AV1123" t="inlineStr">
        <is>
          <t>7329534</t>
        </is>
      </c>
      <c r="AW1123" t="inlineStr">
        <is>
          <t>991005105849702656</t>
        </is>
      </c>
      <c r="AX1123" t="inlineStr">
        <is>
          <t>991005105849702656</t>
        </is>
      </c>
      <c r="AY1123" t="inlineStr">
        <is>
          <t>2271585160002656</t>
        </is>
      </c>
      <c r="AZ1123" t="inlineStr">
        <is>
          <t>BOOK</t>
        </is>
      </c>
      <c r="BB1123" t="inlineStr">
        <is>
          <t>9780691053301</t>
        </is>
      </c>
      <c r="BC1123" t="inlineStr">
        <is>
          <t>32285001574259</t>
        </is>
      </c>
      <c r="BD1123" t="inlineStr">
        <is>
          <t>893418383</t>
        </is>
      </c>
    </row>
    <row r="1124">
      <c r="A1124" t="inlineStr">
        <is>
          <t>No</t>
        </is>
      </c>
      <c r="B1124" t="inlineStr">
        <is>
          <t>HQ1615.T7 B8 1982</t>
        </is>
      </c>
      <c r="C1124" t="inlineStr">
        <is>
          <t>0                      HQ 1615000T  7                  B  8           1982</t>
        </is>
      </c>
      <c r="D1124" t="inlineStr">
        <is>
          <t>Flora Tristán, la visionaria / Silvina Bullrich.</t>
        </is>
      </c>
      <c r="F1124" t="inlineStr">
        <is>
          <t>No</t>
        </is>
      </c>
      <c r="G1124" t="inlineStr">
        <is>
          <t>1</t>
        </is>
      </c>
      <c r="H1124" t="inlineStr">
        <is>
          <t>No</t>
        </is>
      </c>
      <c r="I1124" t="inlineStr">
        <is>
          <t>No</t>
        </is>
      </c>
      <c r="J1124" t="inlineStr">
        <is>
          <t>0</t>
        </is>
      </c>
      <c r="K1124" t="inlineStr">
        <is>
          <t>Bullrich, Silvina, 1915-1990.</t>
        </is>
      </c>
      <c r="L1124" t="inlineStr">
        <is>
          <t>Buenos Aires : Riesa Ediciones, 1982.</t>
        </is>
      </c>
      <c r="M1124" t="inlineStr">
        <is>
          <t>1982</t>
        </is>
      </c>
      <c r="O1124" t="inlineStr">
        <is>
          <t>spa</t>
        </is>
      </c>
      <c r="P1124" t="inlineStr">
        <is>
          <t xml:space="preserve">ag </t>
        </is>
      </c>
      <c r="R1124" t="inlineStr">
        <is>
          <t xml:space="preserve">HQ </t>
        </is>
      </c>
      <c r="S1124" t="n">
        <v>1</v>
      </c>
      <c r="T1124" t="n">
        <v>1</v>
      </c>
      <c r="U1124" t="inlineStr">
        <is>
          <t>2001-12-10</t>
        </is>
      </c>
      <c r="V1124" t="inlineStr">
        <is>
          <t>2001-12-10</t>
        </is>
      </c>
      <c r="W1124" t="inlineStr">
        <is>
          <t>2001-12-10</t>
        </is>
      </c>
      <c r="X1124" t="inlineStr">
        <is>
          <t>2001-12-10</t>
        </is>
      </c>
      <c r="Y1124" t="n">
        <v>98</v>
      </c>
      <c r="Z1124" t="n">
        <v>82</v>
      </c>
      <c r="AA1124" t="n">
        <v>84</v>
      </c>
      <c r="AB1124" t="n">
        <v>2</v>
      </c>
      <c r="AC1124" t="n">
        <v>2</v>
      </c>
      <c r="AD1124" t="n">
        <v>2</v>
      </c>
      <c r="AE1124" t="n">
        <v>2</v>
      </c>
      <c r="AF1124" t="n">
        <v>0</v>
      </c>
      <c r="AG1124" t="n">
        <v>0</v>
      </c>
      <c r="AH1124" t="n">
        <v>0</v>
      </c>
      <c r="AI1124" t="n">
        <v>0</v>
      </c>
      <c r="AJ1124" t="n">
        <v>1</v>
      </c>
      <c r="AK1124" t="n">
        <v>1</v>
      </c>
      <c r="AL1124" t="n">
        <v>1</v>
      </c>
      <c r="AM1124" t="n">
        <v>1</v>
      </c>
      <c r="AN1124" t="n">
        <v>0</v>
      </c>
      <c r="AO1124" t="n">
        <v>0</v>
      </c>
      <c r="AP1124" t="inlineStr">
        <is>
          <t>No</t>
        </is>
      </c>
      <c r="AQ1124" t="inlineStr">
        <is>
          <t>Yes</t>
        </is>
      </c>
      <c r="AR1124">
        <f>HYPERLINK("http://catalog.hathitrust.org/Record/006729544","HathiTrust Record")</f>
        <v/>
      </c>
      <c r="AS1124">
        <f>HYPERLINK("https://creighton-primo.hosted.exlibrisgroup.com/primo-explore/search?tab=default_tab&amp;search_scope=EVERYTHING&amp;vid=01CRU&amp;lang=en_US&amp;offset=0&amp;query=any,contains,991003693099702656","Catalog Record")</f>
        <v/>
      </c>
      <c r="AT1124">
        <f>HYPERLINK("http://www.worldcat.org/oclc/10082908","WorldCat Record")</f>
        <v/>
      </c>
      <c r="AU1124" t="inlineStr">
        <is>
          <t>3363951:spa</t>
        </is>
      </c>
      <c r="AV1124" t="inlineStr">
        <is>
          <t>10082908</t>
        </is>
      </c>
      <c r="AW1124" t="inlineStr">
        <is>
          <t>991003693099702656</t>
        </is>
      </c>
      <c r="AX1124" t="inlineStr">
        <is>
          <t>991003693099702656</t>
        </is>
      </c>
      <c r="AY1124" t="inlineStr">
        <is>
          <t>2266052380002656</t>
        </is>
      </c>
      <c r="AZ1124" t="inlineStr">
        <is>
          <t>BOOK</t>
        </is>
      </c>
      <c r="BB1124" t="inlineStr">
        <is>
          <t>9789501100006</t>
        </is>
      </c>
      <c r="BC1124" t="inlineStr">
        <is>
          <t>32285004426903</t>
        </is>
      </c>
      <c r="BD1124" t="inlineStr">
        <is>
          <t>893410570</t>
        </is>
      </c>
    </row>
    <row r="1125">
      <c r="A1125" t="inlineStr">
        <is>
          <t>No</t>
        </is>
      </c>
      <c r="B1125" t="inlineStr">
        <is>
          <t>HQ1616 .L68</t>
        </is>
      </c>
      <c r="C1125" t="inlineStr">
        <is>
          <t>0                      HQ 1616000L  68</t>
        </is>
      </c>
      <c r="D1125" t="inlineStr">
        <is>
          <t>Le paradis des femmes : women, salons, and social stratification in seventeenth-century France / by Carolyn C. Lougee.</t>
        </is>
      </c>
      <c r="F1125" t="inlineStr">
        <is>
          <t>No</t>
        </is>
      </c>
      <c r="G1125" t="inlineStr">
        <is>
          <t>1</t>
        </is>
      </c>
      <c r="H1125" t="inlineStr">
        <is>
          <t>No</t>
        </is>
      </c>
      <c r="I1125" t="inlineStr">
        <is>
          <t>No</t>
        </is>
      </c>
      <c r="J1125" t="inlineStr">
        <is>
          <t>0</t>
        </is>
      </c>
      <c r="K1125" t="inlineStr">
        <is>
          <t>Lougee, Carolyn Chappell.</t>
        </is>
      </c>
      <c r="L1125" t="inlineStr">
        <is>
          <t>Princeton, N.J. : Princeton University Press, 1976.</t>
        </is>
      </c>
      <c r="M1125" t="inlineStr">
        <is>
          <t>1976</t>
        </is>
      </c>
      <c r="O1125" t="inlineStr">
        <is>
          <t>eng</t>
        </is>
      </c>
      <c r="P1125" t="inlineStr">
        <is>
          <t>nju</t>
        </is>
      </c>
      <c r="R1125" t="inlineStr">
        <is>
          <t xml:space="preserve">HQ </t>
        </is>
      </c>
      <c r="S1125" t="n">
        <v>6</v>
      </c>
      <c r="T1125" t="n">
        <v>6</v>
      </c>
      <c r="U1125" t="inlineStr">
        <is>
          <t>2007-11-26</t>
        </is>
      </c>
      <c r="V1125" t="inlineStr">
        <is>
          <t>2007-11-26</t>
        </is>
      </c>
      <c r="W1125" t="inlineStr">
        <is>
          <t>1997-08-15</t>
        </is>
      </c>
      <c r="X1125" t="inlineStr">
        <is>
          <t>1997-08-15</t>
        </is>
      </c>
      <c r="Y1125" t="n">
        <v>681</v>
      </c>
      <c r="Z1125" t="n">
        <v>562</v>
      </c>
      <c r="AA1125" t="n">
        <v>568</v>
      </c>
      <c r="AB1125" t="n">
        <v>4</v>
      </c>
      <c r="AC1125" t="n">
        <v>4</v>
      </c>
      <c r="AD1125" t="n">
        <v>24</v>
      </c>
      <c r="AE1125" t="n">
        <v>24</v>
      </c>
      <c r="AF1125" t="n">
        <v>7</v>
      </c>
      <c r="AG1125" t="n">
        <v>7</v>
      </c>
      <c r="AH1125" t="n">
        <v>6</v>
      </c>
      <c r="AI1125" t="n">
        <v>6</v>
      </c>
      <c r="AJ1125" t="n">
        <v>12</v>
      </c>
      <c r="AK1125" t="n">
        <v>12</v>
      </c>
      <c r="AL1125" t="n">
        <v>3</v>
      </c>
      <c r="AM1125" t="n">
        <v>3</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HYPERLINK("https://creighton-primo.hosted.exlibrisgroup.com/primo-explore/search?tab=default_tab&amp;search_scope=EVERYTHING&amp;vid=01CRU&amp;lang=en_US&amp;offset=0&amp;query=any,contains,991004020669702656","Catalog Record")</f>
        <v/>
      </c>
      <c r="AT1125">
        <f>HYPERLINK("http://www.worldcat.org/oclc/2121378","WorldCat Record")</f>
        <v/>
      </c>
      <c r="AU1125" t="inlineStr">
        <is>
          <t>365328907:eng</t>
        </is>
      </c>
      <c r="AV1125" t="inlineStr">
        <is>
          <t>2121378</t>
        </is>
      </c>
      <c r="AW1125" t="inlineStr">
        <is>
          <t>991004020669702656</t>
        </is>
      </c>
      <c r="AX1125" t="inlineStr">
        <is>
          <t>991004020669702656</t>
        </is>
      </c>
      <c r="AY1125" t="inlineStr">
        <is>
          <t>2267147150002656</t>
        </is>
      </c>
      <c r="AZ1125" t="inlineStr">
        <is>
          <t>BOOK</t>
        </is>
      </c>
      <c r="BB1125" t="inlineStr">
        <is>
          <t>9780691052397</t>
        </is>
      </c>
      <c r="BC1125" t="inlineStr">
        <is>
          <t>32285003104808</t>
        </is>
      </c>
      <c r="BD1125" t="inlineStr">
        <is>
          <t>893781763</t>
        </is>
      </c>
    </row>
    <row r="1126">
      <c r="A1126" t="inlineStr">
        <is>
          <t>No</t>
        </is>
      </c>
      <c r="B1126" t="inlineStr">
        <is>
          <t>HQ1617 .F747 2000</t>
        </is>
      </c>
      <c r="C1126" t="inlineStr">
        <is>
          <t>0                      HQ 1617000F  747         2000</t>
        </is>
      </c>
      <c r="D1126" t="inlineStr">
        <is>
          <t>French feminism reader / edited by Kelly Oliver.</t>
        </is>
      </c>
      <c r="F1126" t="inlineStr">
        <is>
          <t>No</t>
        </is>
      </c>
      <c r="G1126" t="inlineStr">
        <is>
          <t>1</t>
        </is>
      </c>
      <c r="H1126" t="inlineStr">
        <is>
          <t>No</t>
        </is>
      </c>
      <c r="I1126" t="inlineStr">
        <is>
          <t>No</t>
        </is>
      </c>
      <c r="J1126" t="inlineStr">
        <is>
          <t>0</t>
        </is>
      </c>
      <c r="L1126" t="inlineStr">
        <is>
          <t>Lanham, Md. : Rowman &amp; Littlefield Publishers, c2000.</t>
        </is>
      </c>
      <c r="M1126" t="inlineStr">
        <is>
          <t>2000</t>
        </is>
      </c>
      <c r="O1126" t="inlineStr">
        <is>
          <t>eng</t>
        </is>
      </c>
      <c r="P1126" t="inlineStr">
        <is>
          <t>mdu</t>
        </is>
      </c>
      <c r="R1126" t="inlineStr">
        <is>
          <t xml:space="preserve">HQ </t>
        </is>
      </c>
      <c r="S1126" t="n">
        <v>7</v>
      </c>
      <c r="T1126" t="n">
        <v>7</v>
      </c>
      <c r="U1126" t="inlineStr">
        <is>
          <t>2004-06-09</t>
        </is>
      </c>
      <c r="V1126" t="inlineStr">
        <is>
          <t>2004-06-09</t>
        </is>
      </c>
      <c r="W1126" t="inlineStr">
        <is>
          <t>2000-10-24</t>
        </is>
      </c>
      <c r="X1126" t="inlineStr">
        <is>
          <t>2000-10-24</t>
        </is>
      </c>
      <c r="Y1126" t="n">
        <v>380</v>
      </c>
      <c r="Z1126" t="n">
        <v>294</v>
      </c>
      <c r="AA1126" t="n">
        <v>312</v>
      </c>
      <c r="AB1126" t="n">
        <v>4</v>
      </c>
      <c r="AC1126" t="n">
        <v>4</v>
      </c>
      <c r="AD1126" t="n">
        <v>27</v>
      </c>
      <c r="AE1126" t="n">
        <v>28</v>
      </c>
      <c r="AF1126" t="n">
        <v>11</v>
      </c>
      <c r="AG1126" t="n">
        <v>12</v>
      </c>
      <c r="AH1126" t="n">
        <v>7</v>
      </c>
      <c r="AI1126" t="n">
        <v>8</v>
      </c>
      <c r="AJ1126" t="n">
        <v>13</v>
      </c>
      <c r="AK1126" t="n">
        <v>13</v>
      </c>
      <c r="AL1126" t="n">
        <v>3</v>
      </c>
      <c r="AM1126" t="n">
        <v>3</v>
      </c>
      <c r="AN1126" t="n">
        <v>0</v>
      </c>
      <c r="AO1126" t="n">
        <v>0</v>
      </c>
      <c r="AP1126" t="inlineStr">
        <is>
          <t>No</t>
        </is>
      </c>
      <c r="AQ1126" t="inlineStr">
        <is>
          <t>Yes</t>
        </is>
      </c>
      <c r="AR1126">
        <f>HYPERLINK("http://catalog.hathitrust.org/Record/004113015","HathiTrust Record")</f>
        <v/>
      </c>
      <c r="AS1126">
        <f>HYPERLINK("https://creighton-primo.hosted.exlibrisgroup.com/primo-explore/search?tab=default_tab&amp;search_scope=EVERYTHING&amp;vid=01CRU&amp;lang=en_US&amp;offset=0&amp;query=any,contains,991003293419702656","Catalog Record")</f>
        <v/>
      </c>
      <c r="AT1126">
        <f>HYPERLINK("http://www.worldcat.org/oclc/43114211","WorldCat Record")</f>
        <v/>
      </c>
      <c r="AU1126" t="inlineStr">
        <is>
          <t>27769447:eng</t>
        </is>
      </c>
      <c r="AV1126" t="inlineStr">
        <is>
          <t>43114211</t>
        </is>
      </c>
      <c r="AW1126" t="inlineStr">
        <is>
          <t>991003293419702656</t>
        </is>
      </c>
      <c r="AX1126" t="inlineStr">
        <is>
          <t>991003293419702656</t>
        </is>
      </c>
      <c r="AY1126" t="inlineStr">
        <is>
          <t>2263621880002656</t>
        </is>
      </c>
      <c r="AZ1126" t="inlineStr">
        <is>
          <t>BOOK</t>
        </is>
      </c>
      <c r="BB1126" t="inlineStr">
        <is>
          <t>9780847697663</t>
        </is>
      </c>
      <c r="BC1126" t="inlineStr">
        <is>
          <t>32285004260013</t>
        </is>
      </c>
      <c r="BD1126" t="inlineStr">
        <is>
          <t>893809920</t>
        </is>
      </c>
    </row>
    <row r="1127">
      <c r="A1127" t="inlineStr">
        <is>
          <t>No</t>
        </is>
      </c>
      <c r="B1127" t="inlineStr">
        <is>
          <t>HQ1617 .F75 1987</t>
        </is>
      </c>
      <c r="C1127" t="inlineStr">
        <is>
          <t>0                      HQ 1617000F  75          1987</t>
        </is>
      </c>
      <c r="D1127" t="inlineStr">
        <is>
          <t>French feminist thought : a reader / edited by Toril Moi.</t>
        </is>
      </c>
      <c r="F1127" t="inlineStr">
        <is>
          <t>No</t>
        </is>
      </c>
      <c r="G1127" t="inlineStr">
        <is>
          <t>1</t>
        </is>
      </c>
      <c r="H1127" t="inlineStr">
        <is>
          <t>No</t>
        </is>
      </c>
      <c r="I1127" t="inlineStr">
        <is>
          <t>No</t>
        </is>
      </c>
      <c r="J1127" t="inlineStr">
        <is>
          <t>0</t>
        </is>
      </c>
      <c r="L1127" t="inlineStr">
        <is>
          <t>Oxford, UK ; New York, NY, USA : Blackwell, 1987.</t>
        </is>
      </c>
      <c r="M1127" t="inlineStr">
        <is>
          <t>1987</t>
        </is>
      </c>
      <c r="O1127" t="inlineStr">
        <is>
          <t>eng</t>
        </is>
      </c>
      <c r="P1127" t="inlineStr">
        <is>
          <t>enk</t>
        </is>
      </c>
      <c r="R1127" t="inlineStr">
        <is>
          <t xml:space="preserve">HQ </t>
        </is>
      </c>
      <c r="S1127" t="n">
        <v>11</v>
      </c>
      <c r="T1127" t="n">
        <v>11</v>
      </c>
      <c r="U1127" t="inlineStr">
        <is>
          <t>2004-06-09</t>
        </is>
      </c>
      <c r="V1127" t="inlineStr">
        <is>
          <t>2004-06-09</t>
        </is>
      </c>
      <c r="W1127" t="inlineStr">
        <is>
          <t>1991-01-17</t>
        </is>
      </c>
      <c r="X1127" t="inlineStr">
        <is>
          <t>1991-01-17</t>
        </is>
      </c>
      <c r="Y1127" t="n">
        <v>653</v>
      </c>
      <c r="Z1127" t="n">
        <v>460</v>
      </c>
      <c r="AA1127" t="n">
        <v>468</v>
      </c>
      <c r="AB1127" t="n">
        <v>4</v>
      </c>
      <c r="AC1127" t="n">
        <v>4</v>
      </c>
      <c r="AD1127" t="n">
        <v>30</v>
      </c>
      <c r="AE1127" t="n">
        <v>30</v>
      </c>
      <c r="AF1127" t="n">
        <v>11</v>
      </c>
      <c r="AG1127" t="n">
        <v>11</v>
      </c>
      <c r="AH1127" t="n">
        <v>8</v>
      </c>
      <c r="AI1127" t="n">
        <v>8</v>
      </c>
      <c r="AJ1127" t="n">
        <v>14</v>
      </c>
      <c r="AK1127" t="n">
        <v>14</v>
      </c>
      <c r="AL1127" t="n">
        <v>3</v>
      </c>
      <c r="AM1127" t="n">
        <v>3</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HYPERLINK("https://creighton-primo.hosted.exlibrisgroup.com/primo-explore/search?tab=default_tab&amp;search_scope=EVERYTHING&amp;vid=01CRU&amp;lang=en_US&amp;offset=0&amp;query=any,contains,991001007549702656","Catalog Record")</f>
        <v/>
      </c>
      <c r="AT1127">
        <f>HYPERLINK("http://www.worldcat.org/oclc/15252295","WorldCat Record")</f>
        <v/>
      </c>
      <c r="AU1127" t="inlineStr">
        <is>
          <t>836709643:eng</t>
        </is>
      </c>
      <c r="AV1127" t="inlineStr">
        <is>
          <t>15252295</t>
        </is>
      </c>
      <c r="AW1127" t="inlineStr">
        <is>
          <t>991001007549702656</t>
        </is>
      </c>
      <c r="AX1127" t="inlineStr">
        <is>
          <t>991001007549702656</t>
        </is>
      </c>
      <c r="AY1127" t="inlineStr">
        <is>
          <t>2255235080002656</t>
        </is>
      </c>
      <c r="AZ1127" t="inlineStr">
        <is>
          <t>BOOK</t>
        </is>
      </c>
      <c r="BB1127" t="inlineStr">
        <is>
          <t>9780631149736</t>
        </is>
      </c>
      <c r="BC1127" t="inlineStr">
        <is>
          <t>32285000408970</t>
        </is>
      </c>
      <c r="BD1127" t="inlineStr">
        <is>
          <t>893321563</t>
        </is>
      </c>
    </row>
    <row r="1128">
      <c r="A1128" t="inlineStr">
        <is>
          <t>No</t>
        </is>
      </c>
      <c r="B1128" t="inlineStr">
        <is>
          <t>HQ1617 .M26 1981</t>
        </is>
      </c>
      <c r="C1128" t="inlineStr">
        <is>
          <t>0                      HQ 1617000M  26          1981</t>
        </is>
      </c>
      <c r="D1128" t="inlineStr">
        <is>
          <t>Housewife or harlot : the place of women in French society, 1870-1940 / James F. McMillan.</t>
        </is>
      </c>
      <c r="F1128" t="inlineStr">
        <is>
          <t>No</t>
        </is>
      </c>
      <c r="G1128" t="inlineStr">
        <is>
          <t>1</t>
        </is>
      </c>
      <c r="H1128" t="inlineStr">
        <is>
          <t>No</t>
        </is>
      </c>
      <c r="I1128" t="inlineStr">
        <is>
          <t>No</t>
        </is>
      </c>
      <c r="J1128" t="inlineStr">
        <is>
          <t>0</t>
        </is>
      </c>
      <c r="K1128" t="inlineStr">
        <is>
          <t>McMillan, James F., 1948-2010.</t>
        </is>
      </c>
      <c r="L1128" t="inlineStr">
        <is>
          <t>New York : St. Martin's Press, 1981.</t>
        </is>
      </c>
      <c r="M1128" t="inlineStr">
        <is>
          <t>1981</t>
        </is>
      </c>
      <c r="O1128" t="inlineStr">
        <is>
          <t>eng</t>
        </is>
      </c>
      <c r="P1128" t="inlineStr">
        <is>
          <t>nyu</t>
        </is>
      </c>
      <c r="R1128" t="inlineStr">
        <is>
          <t xml:space="preserve">HQ </t>
        </is>
      </c>
      <c r="S1128" t="n">
        <v>6</v>
      </c>
      <c r="T1128" t="n">
        <v>6</v>
      </c>
      <c r="U1128" t="inlineStr">
        <is>
          <t>2007-11-25</t>
        </is>
      </c>
      <c r="V1128" t="inlineStr">
        <is>
          <t>2007-11-25</t>
        </is>
      </c>
      <c r="W1128" t="inlineStr">
        <is>
          <t>1993-04-29</t>
        </is>
      </c>
      <c r="X1128" t="inlineStr">
        <is>
          <t>1993-04-29</t>
        </is>
      </c>
      <c r="Y1128" t="n">
        <v>630</v>
      </c>
      <c r="Z1128" t="n">
        <v>563</v>
      </c>
      <c r="AA1128" t="n">
        <v>589</v>
      </c>
      <c r="AB1128" t="n">
        <v>3</v>
      </c>
      <c r="AC1128" t="n">
        <v>3</v>
      </c>
      <c r="AD1128" t="n">
        <v>28</v>
      </c>
      <c r="AE1128" t="n">
        <v>28</v>
      </c>
      <c r="AF1128" t="n">
        <v>11</v>
      </c>
      <c r="AG1128" t="n">
        <v>11</v>
      </c>
      <c r="AH1128" t="n">
        <v>8</v>
      </c>
      <c r="AI1128" t="n">
        <v>8</v>
      </c>
      <c r="AJ1128" t="n">
        <v>16</v>
      </c>
      <c r="AK1128" t="n">
        <v>16</v>
      </c>
      <c r="AL1128" t="n">
        <v>2</v>
      </c>
      <c r="AM1128" t="n">
        <v>2</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HYPERLINK("https://creighton-primo.hosted.exlibrisgroup.com/primo-explore/search?tab=default_tab&amp;search_scope=EVERYTHING&amp;vid=01CRU&amp;lang=en_US&amp;offset=0&amp;query=any,contains,991004998119702656","Catalog Record")</f>
        <v/>
      </c>
      <c r="AT1128">
        <f>HYPERLINK("http://www.worldcat.org/oclc/6532275","WorldCat Record")</f>
        <v/>
      </c>
      <c r="AU1128" t="inlineStr">
        <is>
          <t>442728:eng</t>
        </is>
      </c>
      <c r="AV1128" t="inlineStr">
        <is>
          <t>6532275</t>
        </is>
      </c>
      <c r="AW1128" t="inlineStr">
        <is>
          <t>991004998119702656</t>
        </is>
      </c>
      <c r="AX1128" t="inlineStr">
        <is>
          <t>991004998119702656</t>
        </is>
      </c>
      <c r="AY1128" t="inlineStr">
        <is>
          <t>2262072100002656</t>
        </is>
      </c>
      <c r="AZ1128" t="inlineStr">
        <is>
          <t>BOOK</t>
        </is>
      </c>
      <c r="BB1128" t="inlineStr">
        <is>
          <t>9780312393472</t>
        </is>
      </c>
      <c r="BC1128" t="inlineStr">
        <is>
          <t>32285001631257</t>
        </is>
      </c>
      <c r="BD1128" t="inlineStr">
        <is>
          <t>893722691</t>
        </is>
      </c>
    </row>
    <row r="1129">
      <c r="A1129" t="inlineStr">
        <is>
          <t>No</t>
        </is>
      </c>
      <c r="B1129" t="inlineStr">
        <is>
          <t>HQ1617 .N43 1981</t>
        </is>
      </c>
      <c r="C1129" t="inlineStr">
        <is>
          <t>0                      HQ 1617000N  43          1981</t>
        </is>
      </c>
      <c r="D1129" t="inlineStr">
        <is>
          <t>New French feminisms : an anthology / edited and with introductions by Elaine Marks &amp; Isabelle de Courtivron.</t>
        </is>
      </c>
      <c r="F1129" t="inlineStr">
        <is>
          <t>No</t>
        </is>
      </c>
      <c r="G1129" t="inlineStr">
        <is>
          <t>1</t>
        </is>
      </c>
      <c r="H1129" t="inlineStr">
        <is>
          <t>No</t>
        </is>
      </c>
      <c r="I1129" t="inlineStr">
        <is>
          <t>No</t>
        </is>
      </c>
      <c r="J1129" t="inlineStr">
        <is>
          <t>0</t>
        </is>
      </c>
      <c r="L1129" t="inlineStr">
        <is>
          <t>New York : Schocken Books, 1981, c1980.</t>
        </is>
      </c>
      <c r="M1129" t="inlineStr">
        <is>
          <t>1981</t>
        </is>
      </c>
      <c r="O1129" t="inlineStr">
        <is>
          <t>eng</t>
        </is>
      </c>
      <c r="P1129" t="inlineStr">
        <is>
          <t>nyu</t>
        </is>
      </c>
      <c r="R1129" t="inlineStr">
        <is>
          <t xml:space="preserve">HQ </t>
        </is>
      </c>
      <c r="S1129" t="n">
        <v>7</v>
      </c>
      <c r="T1129" t="n">
        <v>7</v>
      </c>
      <c r="U1129" t="inlineStr">
        <is>
          <t>2008-02-13</t>
        </is>
      </c>
      <c r="V1129" t="inlineStr">
        <is>
          <t>2008-02-13</t>
        </is>
      </c>
      <c r="W1129" t="inlineStr">
        <is>
          <t>2003-03-25</t>
        </is>
      </c>
      <c r="X1129" t="inlineStr">
        <is>
          <t>2003-03-25</t>
        </is>
      </c>
      <c r="Y1129" t="n">
        <v>450</v>
      </c>
      <c r="Z1129" t="n">
        <v>339</v>
      </c>
      <c r="AA1129" t="n">
        <v>744</v>
      </c>
      <c r="AB1129" t="n">
        <v>2</v>
      </c>
      <c r="AC1129" t="n">
        <v>4</v>
      </c>
      <c r="AD1129" t="n">
        <v>21</v>
      </c>
      <c r="AE1129" t="n">
        <v>40</v>
      </c>
      <c r="AF1129" t="n">
        <v>11</v>
      </c>
      <c r="AG1129" t="n">
        <v>20</v>
      </c>
      <c r="AH1129" t="n">
        <v>4</v>
      </c>
      <c r="AI1129" t="n">
        <v>11</v>
      </c>
      <c r="AJ1129" t="n">
        <v>11</v>
      </c>
      <c r="AK1129" t="n">
        <v>18</v>
      </c>
      <c r="AL1129" t="n">
        <v>1</v>
      </c>
      <c r="AM1129" t="n">
        <v>3</v>
      </c>
      <c r="AN1129" t="n">
        <v>0</v>
      </c>
      <c r="AO1129" t="n">
        <v>0</v>
      </c>
      <c r="AP1129" t="inlineStr">
        <is>
          <t>No</t>
        </is>
      </c>
      <c r="AQ1129" t="inlineStr">
        <is>
          <t>Yes</t>
        </is>
      </c>
      <c r="AR1129">
        <f>HYPERLINK("http://catalog.hathitrust.org/Record/004400054","HathiTrust Record")</f>
        <v/>
      </c>
      <c r="AS1129">
        <f>HYPERLINK("https://creighton-primo.hosted.exlibrisgroup.com/primo-explore/search?tab=default_tab&amp;search_scope=EVERYTHING&amp;vid=01CRU&amp;lang=en_US&amp;offset=0&amp;query=any,contains,991004023319702656","Catalog Record")</f>
        <v/>
      </c>
      <c r="AT1129">
        <f>HYPERLINK("http://www.worldcat.org/oclc/7554592","WorldCat Record")</f>
        <v/>
      </c>
      <c r="AU1129" t="inlineStr">
        <is>
          <t>195434748:eng</t>
        </is>
      </c>
      <c r="AV1129" t="inlineStr">
        <is>
          <t>7554592</t>
        </is>
      </c>
      <c r="AW1129" t="inlineStr">
        <is>
          <t>991004023319702656</t>
        </is>
      </c>
      <c r="AX1129" t="inlineStr">
        <is>
          <t>991004023319702656</t>
        </is>
      </c>
      <c r="AY1129" t="inlineStr">
        <is>
          <t>2264683050002656</t>
        </is>
      </c>
      <c r="AZ1129" t="inlineStr">
        <is>
          <t>BOOK</t>
        </is>
      </c>
      <c r="BB1129" t="inlineStr">
        <is>
          <t>9780805206814</t>
        </is>
      </c>
      <c r="BC1129" t="inlineStr">
        <is>
          <t>32285004686506</t>
        </is>
      </c>
      <c r="BD1129" t="inlineStr">
        <is>
          <t>893263064</t>
        </is>
      </c>
    </row>
    <row r="1130">
      <c r="A1130" t="inlineStr">
        <is>
          <t>No</t>
        </is>
      </c>
      <c r="B1130" t="inlineStr">
        <is>
          <t>HQ1623 .K55 1973</t>
        </is>
      </c>
      <c r="C1130" t="inlineStr">
        <is>
          <t>0                      HQ 1623000K  55          1973</t>
        </is>
      </c>
      <c r="D1130" t="inlineStr">
        <is>
          <t>Nazi Germany : its women and family life / by Clifford Kirkpatrick.</t>
        </is>
      </c>
      <c r="F1130" t="inlineStr">
        <is>
          <t>No</t>
        </is>
      </c>
      <c r="G1130" t="inlineStr">
        <is>
          <t>1</t>
        </is>
      </c>
      <c r="H1130" t="inlineStr">
        <is>
          <t>No</t>
        </is>
      </c>
      <c r="I1130" t="inlineStr">
        <is>
          <t>No</t>
        </is>
      </c>
      <c r="J1130" t="inlineStr">
        <is>
          <t>0</t>
        </is>
      </c>
      <c r="K1130" t="inlineStr">
        <is>
          <t>Kirkpatrick, Clifford, 1898-1971.</t>
        </is>
      </c>
      <c r="L1130" t="inlineStr">
        <is>
          <t>Indianapolis : Bobbs-Merrill, c1938.</t>
        </is>
      </c>
      <c r="M1130" t="inlineStr">
        <is>
          <t>1973</t>
        </is>
      </c>
      <c r="N1130" t="inlineStr">
        <is>
          <t>1st ed.</t>
        </is>
      </c>
      <c r="O1130" t="inlineStr">
        <is>
          <t>eng</t>
        </is>
      </c>
      <c r="P1130" t="inlineStr">
        <is>
          <t>miu</t>
        </is>
      </c>
      <c r="R1130" t="inlineStr">
        <is>
          <t xml:space="preserve">HQ </t>
        </is>
      </c>
      <c r="S1130" t="n">
        <v>7</v>
      </c>
      <c r="T1130" t="n">
        <v>7</v>
      </c>
      <c r="U1130" t="inlineStr">
        <is>
          <t>1998-02-26</t>
        </is>
      </c>
      <c r="V1130" t="inlineStr">
        <is>
          <t>1998-02-26</t>
        </is>
      </c>
      <c r="W1130" t="inlineStr">
        <is>
          <t>1993-04-12</t>
        </is>
      </c>
      <c r="X1130" t="inlineStr">
        <is>
          <t>1993-04-12</t>
        </is>
      </c>
      <c r="Y1130" t="n">
        <v>8</v>
      </c>
      <c r="Z1130" t="n">
        <v>7</v>
      </c>
      <c r="AA1130" t="n">
        <v>341</v>
      </c>
      <c r="AB1130" t="n">
        <v>1</v>
      </c>
      <c r="AC1130" t="n">
        <v>2</v>
      </c>
      <c r="AD1130" t="n">
        <v>0</v>
      </c>
      <c r="AE1130" t="n">
        <v>10</v>
      </c>
      <c r="AF1130" t="n">
        <v>0</v>
      </c>
      <c r="AG1130" t="n">
        <v>4</v>
      </c>
      <c r="AH1130" t="n">
        <v>0</v>
      </c>
      <c r="AI1130" t="n">
        <v>3</v>
      </c>
      <c r="AJ1130" t="n">
        <v>0</v>
      </c>
      <c r="AK1130" t="n">
        <v>3</v>
      </c>
      <c r="AL1130" t="n">
        <v>0</v>
      </c>
      <c r="AM1130" t="n">
        <v>1</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HYPERLINK("https://creighton-primo.hosted.exlibrisgroup.com/primo-explore/search?tab=default_tab&amp;search_scope=EVERYTHING&amp;vid=01CRU&amp;lang=en_US&amp;offset=0&amp;query=any,contains,991000528099702656","Catalog Record")</f>
        <v/>
      </c>
      <c r="AT1130">
        <f>HYPERLINK("http://www.worldcat.org/oclc/11372854","WorldCat Record")</f>
        <v/>
      </c>
      <c r="AU1130" t="inlineStr">
        <is>
          <t>475573:eng</t>
        </is>
      </c>
      <c r="AV1130" t="inlineStr">
        <is>
          <t>11372854</t>
        </is>
      </c>
      <c r="AW1130" t="inlineStr">
        <is>
          <t>991000528099702656</t>
        </is>
      </c>
      <c r="AX1130" t="inlineStr">
        <is>
          <t>991000528099702656</t>
        </is>
      </c>
      <c r="AY1130" t="inlineStr">
        <is>
          <t>2256295070002656</t>
        </is>
      </c>
      <c r="AZ1130" t="inlineStr">
        <is>
          <t>BOOK</t>
        </is>
      </c>
      <c r="BC1130" t="inlineStr">
        <is>
          <t>32285001615821</t>
        </is>
      </c>
      <c r="BD1130" t="inlineStr">
        <is>
          <t>893231185</t>
        </is>
      </c>
    </row>
    <row r="1131">
      <c r="A1131" t="inlineStr">
        <is>
          <t>No</t>
        </is>
      </c>
      <c r="B1131" t="inlineStr">
        <is>
          <t>HQ1623 .K649 1993</t>
        </is>
      </c>
      <c r="C1131" t="inlineStr">
        <is>
          <t>0                      HQ 1623000K  649         1993</t>
        </is>
      </c>
      <c r="D1131" t="inlineStr">
        <is>
          <t>Women in contemporary Germany : life, work and politics / Eva Kolinsky.</t>
        </is>
      </c>
      <c r="F1131" t="inlineStr">
        <is>
          <t>No</t>
        </is>
      </c>
      <c r="G1131" t="inlineStr">
        <is>
          <t>1</t>
        </is>
      </c>
      <c r="H1131" t="inlineStr">
        <is>
          <t>No</t>
        </is>
      </c>
      <c r="I1131" t="inlineStr">
        <is>
          <t>No</t>
        </is>
      </c>
      <c r="J1131" t="inlineStr">
        <is>
          <t>0</t>
        </is>
      </c>
      <c r="K1131" t="inlineStr">
        <is>
          <t>Kolinsky, Eva.</t>
        </is>
      </c>
      <c r="L1131" t="inlineStr">
        <is>
          <t>Providence, RI, USA ; Oxford, UK : Berg, 1993.</t>
        </is>
      </c>
      <c r="M1131" t="inlineStr">
        <is>
          <t>1993</t>
        </is>
      </c>
      <c r="N1131" t="inlineStr">
        <is>
          <t>Rev. ed.</t>
        </is>
      </c>
      <c r="O1131" t="inlineStr">
        <is>
          <t>eng</t>
        </is>
      </c>
      <c r="P1131" t="inlineStr">
        <is>
          <t>riu</t>
        </is>
      </c>
      <c r="Q1131" t="inlineStr">
        <is>
          <t>German studies series</t>
        </is>
      </c>
      <c r="R1131" t="inlineStr">
        <is>
          <t xml:space="preserve">HQ </t>
        </is>
      </c>
      <c r="S1131" t="n">
        <v>8</v>
      </c>
      <c r="T1131" t="n">
        <v>8</v>
      </c>
      <c r="U1131" t="inlineStr">
        <is>
          <t>1998-02-26</t>
        </is>
      </c>
      <c r="V1131" t="inlineStr">
        <is>
          <t>1998-02-26</t>
        </is>
      </c>
      <c r="W1131" t="inlineStr">
        <is>
          <t>1994-02-23</t>
        </is>
      </c>
      <c r="X1131" t="inlineStr">
        <is>
          <t>1994-02-23</t>
        </is>
      </c>
      <c r="Y1131" t="n">
        <v>313</v>
      </c>
      <c r="Z1131" t="n">
        <v>218</v>
      </c>
      <c r="AA1131" t="n">
        <v>234</v>
      </c>
      <c r="AB1131" t="n">
        <v>2</v>
      </c>
      <c r="AC1131" t="n">
        <v>2</v>
      </c>
      <c r="AD1131" t="n">
        <v>13</v>
      </c>
      <c r="AE1131" t="n">
        <v>14</v>
      </c>
      <c r="AF1131" t="n">
        <v>5</v>
      </c>
      <c r="AG1131" t="n">
        <v>6</v>
      </c>
      <c r="AH1131" t="n">
        <v>6</v>
      </c>
      <c r="AI1131" t="n">
        <v>6</v>
      </c>
      <c r="AJ1131" t="n">
        <v>7</v>
      </c>
      <c r="AK1131" t="n">
        <v>8</v>
      </c>
      <c r="AL1131" t="n">
        <v>1</v>
      </c>
      <c r="AM1131" t="n">
        <v>1</v>
      </c>
      <c r="AN1131" t="n">
        <v>0</v>
      </c>
      <c r="AO1131" t="n">
        <v>0</v>
      </c>
      <c r="AP1131" t="inlineStr">
        <is>
          <t>No</t>
        </is>
      </c>
      <c r="AQ1131" t="inlineStr">
        <is>
          <t>Yes</t>
        </is>
      </c>
      <c r="AR1131">
        <f>HYPERLINK("http://catalog.hathitrust.org/Record/002652437","HathiTrust Record")</f>
        <v/>
      </c>
      <c r="AS1131">
        <f>HYPERLINK("https://creighton-primo.hosted.exlibrisgroup.com/primo-explore/search?tab=default_tab&amp;search_scope=EVERYTHING&amp;vid=01CRU&amp;lang=en_US&amp;offset=0&amp;query=any,contains,991002105469702656","Catalog Record")</f>
        <v/>
      </c>
      <c r="AT1131">
        <f>HYPERLINK("http://www.worldcat.org/oclc/27012504","WorldCat Record")</f>
        <v/>
      </c>
      <c r="AU1131" t="inlineStr">
        <is>
          <t>4202402319:eng</t>
        </is>
      </c>
      <c r="AV1131" t="inlineStr">
        <is>
          <t>27012504</t>
        </is>
      </c>
      <c r="AW1131" t="inlineStr">
        <is>
          <t>991002105469702656</t>
        </is>
      </c>
      <c r="AX1131" t="inlineStr">
        <is>
          <t>991002105469702656</t>
        </is>
      </c>
      <c r="AY1131" t="inlineStr">
        <is>
          <t>2259489410002656</t>
        </is>
      </c>
      <c r="AZ1131" t="inlineStr">
        <is>
          <t>BOOK</t>
        </is>
      </c>
      <c r="BB1131" t="inlineStr">
        <is>
          <t>9780854963911</t>
        </is>
      </c>
      <c r="BC1131" t="inlineStr">
        <is>
          <t>32285001843241</t>
        </is>
      </c>
      <c r="BD1131" t="inlineStr">
        <is>
          <t>893529552</t>
        </is>
      </c>
    </row>
    <row r="1132">
      <c r="A1132" t="inlineStr">
        <is>
          <t>No</t>
        </is>
      </c>
      <c r="B1132" t="inlineStr">
        <is>
          <t>HQ1623 .S72 1981</t>
        </is>
      </c>
      <c r="C1132" t="inlineStr">
        <is>
          <t>0                      HQ 1623000S  72          1981</t>
        </is>
      </c>
      <c r="D1132" t="inlineStr">
        <is>
          <t>The Nazi organisation of women / Jill Stephenson.</t>
        </is>
      </c>
      <c r="F1132" t="inlineStr">
        <is>
          <t>No</t>
        </is>
      </c>
      <c r="G1132" t="inlineStr">
        <is>
          <t>1</t>
        </is>
      </c>
      <c r="H1132" t="inlineStr">
        <is>
          <t>No</t>
        </is>
      </c>
      <c r="I1132" t="inlineStr">
        <is>
          <t>No</t>
        </is>
      </c>
      <c r="J1132" t="inlineStr">
        <is>
          <t>0</t>
        </is>
      </c>
      <c r="K1132" t="inlineStr">
        <is>
          <t>Stephenson, Jill.</t>
        </is>
      </c>
      <c r="L1132" t="inlineStr">
        <is>
          <t>London : Croom Helm ; Totowa, N.J. : Barnes &amp; Noble, 1981.</t>
        </is>
      </c>
      <c r="M1132" t="inlineStr">
        <is>
          <t>1981</t>
        </is>
      </c>
      <c r="O1132" t="inlineStr">
        <is>
          <t>eng</t>
        </is>
      </c>
      <c r="P1132" t="inlineStr">
        <is>
          <t>enk</t>
        </is>
      </c>
      <c r="R1132" t="inlineStr">
        <is>
          <t xml:space="preserve">HQ </t>
        </is>
      </c>
      <c r="S1132" t="n">
        <v>2</v>
      </c>
      <c r="T1132" t="n">
        <v>2</v>
      </c>
      <c r="U1132" t="inlineStr">
        <is>
          <t>2004-03-17</t>
        </is>
      </c>
      <c r="V1132" t="inlineStr">
        <is>
          <t>2004-03-17</t>
        </is>
      </c>
      <c r="W1132" t="inlineStr">
        <is>
          <t>2003-02-12</t>
        </is>
      </c>
      <c r="X1132" t="inlineStr">
        <is>
          <t>2003-02-12</t>
        </is>
      </c>
      <c r="Y1132" t="n">
        <v>615</v>
      </c>
      <c r="Z1132" t="n">
        <v>416</v>
      </c>
      <c r="AA1132" t="n">
        <v>739</v>
      </c>
      <c r="AB1132" t="n">
        <v>3</v>
      </c>
      <c r="AC1132" t="n">
        <v>5</v>
      </c>
      <c r="AD1132" t="n">
        <v>22</v>
      </c>
      <c r="AE1132" t="n">
        <v>36</v>
      </c>
      <c r="AF1132" t="n">
        <v>11</v>
      </c>
      <c r="AG1132" t="n">
        <v>16</v>
      </c>
      <c r="AH1132" t="n">
        <v>5</v>
      </c>
      <c r="AI1132" t="n">
        <v>9</v>
      </c>
      <c r="AJ1132" t="n">
        <v>16</v>
      </c>
      <c r="AK1132" t="n">
        <v>19</v>
      </c>
      <c r="AL1132" t="n">
        <v>2</v>
      </c>
      <c r="AM1132" t="n">
        <v>4</v>
      </c>
      <c r="AN1132" t="n">
        <v>0</v>
      </c>
      <c r="AO1132" t="n">
        <v>1</v>
      </c>
      <c r="AP1132" t="inlineStr">
        <is>
          <t>No</t>
        </is>
      </c>
      <c r="AQ1132" t="inlineStr">
        <is>
          <t>Yes</t>
        </is>
      </c>
      <c r="AR1132">
        <f>HYPERLINK("http://catalog.hathitrust.org/Record/000128763","HathiTrust Record")</f>
        <v/>
      </c>
      <c r="AS1132">
        <f>HYPERLINK("https://creighton-primo.hosted.exlibrisgroup.com/primo-explore/search?tab=default_tab&amp;search_scope=EVERYTHING&amp;vid=01CRU&amp;lang=en_US&amp;offset=0&amp;query=any,contains,991003994269702656","Catalog Record")</f>
        <v/>
      </c>
      <c r="AT1132">
        <f>HYPERLINK("http://www.worldcat.org/oclc/7312398","WorldCat Record")</f>
        <v/>
      </c>
      <c r="AU1132" t="inlineStr">
        <is>
          <t>27194534:eng</t>
        </is>
      </c>
      <c r="AV1132" t="inlineStr">
        <is>
          <t>7312398</t>
        </is>
      </c>
      <c r="AW1132" t="inlineStr">
        <is>
          <t>991003994269702656</t>
        </is>
      </c>
      <c r="AX1132" t="inlineStr">
        <is>
          <t>991003994269702656</t>
        </is>
      </c>
      <c r="AY1132" t="inlineStr">
        <is>
          <t>2272679470002656</t>
        </is>
      </c>
      <c r="AZ1132" t="inlineStr">
        <is>
          <t>BOOK</t>
        </is>
      </c>
      <c r="BB1132" t="inlineStr">
        <is>
          <t>9780389201137</t>
        </is>
      </c>
      <c r="BC1132" t="inlineStr">
        <is>
          <t>32285004698600</t>
        </is>
      </c>
      <c r="BD1132" t="inlineStr">
        <is>
          <t>893894445</t>
        </is>
      </c>
    </row>
    <row r="1133">
      <c r="A1133" t="inlineStr">
        <is>
          <t>No</t>
        </is>
      </c>
      <c r="B1133" t="inlineStr">
        <is>
          <t>HQ1623 .W475 1984</t>
        </is>
      </c>
      <c r="C1133" t="inlineStr">
        <is>
          <t>0                      HQ 1623000W  475         1984</t>
        </is>
      </c>
      <c r="D1133" t="inlineStr">
        <is>
          <t>When biology became destiny : women in Weimar and Nazi Germany / edited by Renate Bridenthal, Atina Grossmann, and Marion Kaplan.</t>
        </is>
      </c>
      <c r="F1133" t="inlineStr">
        <is>
          <t>No</t>
        </is>
      </c>
      <c r="G1133" t="inlineStr">
        <is>
          <t>1</t>
        </is>
      </c>
      <c r="H1133" t="inlineStr">
        <is>
          <t>No</t>
        </is>
      </c>
      <c r="I1133" t="inlineStr">
        <is>
          <t>No</t>
        </is>
      </c>
      <c r="J1133" t="inlineStr">
        <is>
          <t>0</t>
        </is>
      </c>
      <c r="L1133" t="inlineStr">
        <is>
          <t>New York : Monthly Review Press, 1984.</t>
        </is>
      </c>
      <c r="M1133" t="inlineStr">
        <is>
          <t>1984</t>
        </is>
      </c>
      <c r="O1133" t="inlineStr">
        <is>
          <t>eng</t>
        </is>
      </c>
      <c r="P1133" t="inlineStr">
        <is>
          <t>nyu</t>
        </is>
      </c>
      <c r="Q1133" t="inlineStr">
        <is>
          <t>New feminist library</t>
        </is>
      </c>
      <c r="R1133" t="inlineStr">
        <is>
          <t xml:space="preserve">HQ </t>
        </is>
      </c>
      <c r="S1133" t="n">
        <v>9</v>
      </c>
      <c r="T1133" t="n">
        <v>9</v>
      </c>
      <c r="U1133" t="inlineStr">
        <is>
          <t>2004-03-17</t>
        </is>
      </c>
      <c r="V1133" t="inlineStr">
        <is>
          <t>2004-03-17</t>
        </is>
      </c>
      <c r="W1133" t="inlineStr">
        <is>
          <t>1993-04-12</t>
        </is>
      </c>
      <c r="X1133" t="inlineStr">
        <is>
          <t>1993-04-12</t>
        </is>
      </c>
      <c r="Y1133" t="n">
        <v>798</v>
      </c>
      <c r="Z1133" t="n">
        <v>620</v>
      </c>
      <c r="AA1133" t="n">
        <v>627</v>
      </c>
      <c r="AB1133" t="n">
        <v>6</v>
      </c>
      <c r="AC1133" t="n">
        <v>6</v>
      </c>
      <c r="AD1133" t="n">
        <v>32</v>
      </c>
      <c r="AE1133" t="n">
        <v>32</v>
      </c>
      <c r="AF1133" t="n">
        <v>13</v>
      </c>
      <c r="AG1133" t="n">
        <v>13</v>
      </c>
      <c r="AH1133" t="n">
        <v>8</v>
      </c>
      <c r="AI1133" t="n">
        <v>8</v>
      </c>
      <c r="AJ1133" t="n">
        <v>14</v>
      </c>
      <c r="AK1133" t="n">
        <v>14</v>
      </c>
      <c r="AL1133" t="n">
        <v>5</v>
      </c>
      <c r="AM1133" t="n">
        <v>5</v>
      </c>
      <c r="AN1133" t="n">
        <v>0</v>
      </c>
      <c r="AO1133" t="n">
        <v>0</v>
      </c>
      <c r="AP1133" t="inlineStr">
        <is>
          <t>No</t>
        </is>
      </c>
      <c r="AQ1133" t="inlineStr">
        <is>
          <t>Yes</t>
        </is>
      </c>
      <c r="AR1133">
        <f>HYPERLINK("http://catalog.hathitrust.org/Record/000458666","HathiTrust Record")</f>
        <v/>
      </c>
      <c r="AS1133">
        <f>HYPERLINK("https://creighton-primo.hosted.exlibrisgroup.com/primo-explore/search?tab=default_tab&amp;search_scope=EVERYTHING&amp;vid=01CRU&amp;lang=en_US&amp;offset=0&amp;query=any,contains,991000499459702656","Catalog Record")</f>
        <v/>
      </c>
      <c r="AT1133">
        <f>HYPERLINK("http://www.worldcat.org/oclc/11159823","WorldCat Record")</f>
        <v/>
      </c>
      <c r="AU1133" t="inlineStr">
        <is>
          <t>890462600:eng</t>
        </is>
      </c>
      <c r="AV1133" t="inlineStr">
        <is>
          <t>11159823</t>
        </is>
      </c>
      <c r="AW1133" t="inlineStr">
        <is>
          <t>991000499459702656</t>
        </is>
      </c>
      <c r="AX1133" t="inlineStr">
        <is>
          <t>991000499459702656</t>
        </is>
      </c>
      <c r="AY1133" t="inlineStr">
        <is>
          <t>2258090570002656</t>
        </is>
      </c>
      <c r="AZ1133" t="inlineStr">
        <is>
          <t>BOOK</t>
        </is>
      </c>
      <c r="BB1133" t="inlineStr">
        <is>
          <t>9780853456438</t>
        </is>
      </c>
      <c r="BC1133" t="inlineStr">
        <is>
          <t>32285001615797</t>
        </is>
      </c>
      <c r="BD1133" t="inlineStr">
        <is>
          <t>893419509</t>
        </is>
      </c>
    </row>
    <row r="1134">
      <c r="A1134" t="inlineStr">
        <is>
          <t>No</t>
        </is>
      </c>
      <c r="B1134" t="inlineStr">
        <is>
          <t>HQ1625 .G467 1984</t>
        </is>
      </c>
      <c r="C1134" t="inlineStr">
        <is>
          <t>0                      HQ 1625000G  467         1984</t>
        </is>
      </c>
      <c r="D1134" t="inlineStr">
        <is>
          <t>German women in the nineteenth century : a social history / edited by John C. Fout.</t>
        </is>
      </c>
      <c r="F1134" t="inlineStr">
        <is>
          <t>No</t>
        </is>
      </c>
      <c r="G1134" t="inlineStr">
        <is>
          <t>1</t>
        </is>
      </c>
      <c r="H1134" t="inlineStr">
        <is>
          <t>No</t>
        </is>
      </c>
      <c r="I1134" t="inlineStr">
        <is>
          <t>No</t>
        </is>
      </c>
      <c r="J1134" t="inlineStr">
        <is>
          <t>0</t>
        </is>
      </c>
      <c r="L1134" t="inlineStr">
        <is>
          <t>New York : Holmes &amp; Meier, 1984.</t>
        </is>
      </c>
      <c r="M1134" t="inlineStr">
        <is>
          <t>1984</t>
        </is>
      </c>
      <c r="O1134" t="inlineStr">
        <is>
          <t>eng</t>
        </is>
      </c>
      <c r="P1134" t="inlineStr">
        <is>
          <t>nyu</t>
        </is>
      </c>
      <c r="R1134" t="inlineStr">
        <is>
          <t xml:space="preserve">HQ </t>
        </is>
      </c>
      <c r="S1134" t="n">
        <v>4</v>
      </c>
      <c r="T1134" t="n">
        <v>4</v>
      </c>
      <c r="U1134" t="inlineStr">
        <is>
          <t>1999-04-30</t>
        </is>
      </c>
      <c r="V1134" t="inlineStr">
        <is>
          <t>1999-04-30</t>
        </is>
      </c>
      <c r="W1134" t="inlineStr">
        <is>
          <t>1993-03-09</t>
        </is>
      </c>
      <c r="X1134" t="inlineStr">
        <is>
          <t>1993-03-09</t>
        </is>
      </c>
      <c r="Y1134" t="n">
        <v>657</v>
      </c>
      <c r="Z1134" t="n">
        <v>521</v>
      </c>
      <c r="AA1134" t="n">
        <v>531</v>
      </c>
      <c r="AB1134" t="n">
        <v>4</v>
      </c>
      <c r="AC1134" t="n">
        <v>4</v>
      </c>
      <c r="AD1134" t="n">
        <v>26</v>
      </c>
      <c r="AE1134" t="n">
        <v>26</v>
      </c>
      <c r="AF1134" t="n">
        <v>9</v>
      </c>
      <c r="AG1134" t="n">
        <v>9</v>
      </c>
      <c r="AH1134" t="n">
        <v>9</v>
      </c>
      <c r="AI1134" t="n">
        <v>9</v>
      </c>
      <c r="AJ1134" t="n">
        <v>16</v>
      </c>
      <c r="AK1134" t="n">
        <v>16</v>
      </c>
      <c r="AL1134" t="n">
        <v>3</v>
      </c>
      <c r="AM1134" t="n">
        <v>3</v>
      </c>
      <c r="AN1134" t="n">
        <v>0</v>
      </c>
      <c r="AO1134" t="n">
        <v>0</v>
      </c>
      <c r="AP1134" t="inlineStr">
        <is>
          <t>No</t>
        </is>
      </c>
      <c r="AQ1134" t="inlineStr">
        <is>
          <t>Yes</t>
        </is>
      </c>
      <c r="AR1134">
        <f>HYPERLINK("http://catalog.hathitrust.org/Record/000332286","HathiTrust Record")</f>
        <v/>
      </c>
      <c r="AS1134">
        <f>HYPERLINK("https://creighton-primo.hosted.exlibrisgroup.com/primo-explore/search?tab=default_tab&amp;search_scope=EVERYTHING&amp;vid=01CRU&amp;lang=en_US&amp;offset=0&amp;query=any,contains,991000298899702656","Catalog Record")</f>
        <v/>
      </c>
      <c r="AT1134">
        <f>HYPERLINK("http://www.worldcat.org/oclc/10020065","WorldCat Record")</f>
        <v/>
      </c>
      <c r="AU1134" t="inlineStr">
        <is>
          <t>889847643:eng</t>
        </is>
      </c>
      <c r="AV1134" t="inlineStr">
        <is>
          <t>10020065</t>
        </is>
      </c>
      <c r="AW1134" t="inlineStr">
        <is>
          <t>991000298899702656</t>
        </is>
      </c>
      <c r="AX1134" t="inlineStr">
        <is>
          <t>991000298899702656</t>
        </is>
      </c>
      <c r="AY1134" t="inlineStr">
        <is>
          <t>2265365910002656</t>
        </is>
      </c>
      <c r="AZ1134" t="inlineStr">
        <is>
          <t>BOOK</t>
        </is>
      </c>
      <c r="BB1134" t="inlineStr">
        <is>
          <t>9780841908444</t>
        </is>
      </c>
      <c r="BC1134" t="inlineStr">
        <is>
          <t>32285001571396</t>
        </is>
      </c>
      <c r="BD1134" t="inlineStr">
        <is>
          <t>893702002</t>
        </is>
      </c>
    </row>
    <row r="1135">
      <c r="A1135" t="inlineStr">
        <is>
          <t>No</t>
        </is>
      </c>
      <c r="B1135" t="inlineStr">
        <is>
          <t>HQ1627 .F69713 1989</t>
        </is>
      </c>
      <c r="C1135" t="inlineStr">
        <is>
          <t>0                      HQ 1627000F  69713       1989</t>
        </is>
      </c>
      <c r="D1135" t="inlineStr">
        <is>
          <t>Women in German history : from bourgeois emancipation to sexual liberation / Ute Frevert ; translated by Stuart McKinnon-Evans in association with Terry Bond and Barbara Norden.</t>
        </is>
      </c>
      <c r="F1135" t="inlineStr">
        <is>
          <t>No</t>
        </is>
      </c>
      <c r="G1135" t="inlineStr">
        <is>
          <t>1</t>
        </is>
      </c>
      <c r="H1135" t="inlineStr">
        <is>
          <t>No</t>
        </is>
      </c>
      <c r="I1135" t="inlineStr">
        <is>
          <t>No</t>
        </is>
      </c>
      <c r="J1135" t="inlineStr">
        <is>
          <t>0</t>
        </is>
      </c>
      <c r="K1135" t="inlineStr">
        <is>
          <t>Frevert, Ute.</t>
        </is>
      </c>
      <c r="L1135" t="inlineStr">
        <is>
          <t>Oxford ; New York : Berg, 1989, c1988.</t>
        </is>
      </c>
      <c r="M1135" t="inlineStr">
        <is>
          <t>1989</t>
        </is>
      </c>
      <c r="O1135" t="inlineStr">
        <is>
          <t>eng</t>
        </is>
      </c>
      <c r="P1135" t="inlineStr">
        <is>
          <t>enk</t>
        </is>
      </c>
      <c r="R1135" t="inlineStr">
        <is>
          <t xml:space="preserve">HQ </t>
        </is>
      </c>
      <c r="S1135" t="n">
        <v>9</v>
      </c>
      <c r="T1135" t="n">
        <v>9</v>
      </c>
      <c r="U1135" t="inlineStr">
        <is>
          <t>1998-05-13</t>
        </is>
      </c>
      <c r="V1135" t="inlineStr">
        <is>
          <t>1998-05-13</t>
        </is>
      </c>
      <c r="W1135" t="inlineStr">
        <is>
          <t>1989-11-27</t>
        </is>
      </c>
      <c r="X1135" t="inlineStr">
        <is>
          <t>1989-11-27</t>
        </is>
      </c>
      <c r="Y1135" t="n">
        <v>581</v>
      </c>
      <c r="Z1135" t="n">
        <v>428</v>
      </c>
      <c r="AA1135" t="n">
        <v>538</v>
      </c>
      <c r="AB1135" t="n">
        <v>4</v>
      </c>
      <c r="AC1135" t="n">
        <v>5</v>
      </c>
      <c r="AD1135" t="n">
        <v>29</v>
      </c>
      <c r="AE1135" t="n">
        <v>35</v>
      </c>
      <c r="AF1135" t="n">
        <v>12</v>
      </c>
      <c r="AG1135" t="n">
        <v>15</v>
      </c>
      <c r="AH1135" t="n">
        <v>7</v>
      </c>
      <c r="AI1135" t="n">
        <v>7</v>
      </c>
      <c r="AJ1135" t="n">
        <v>16</v>
      </c>
      <c r="AK1135" t="n">
        <v>19</v>
      </c>
      <c r="AL1135" t="n">
        <v>3</v>
      </c>
      <c r="AM1135" t="n">
        <v>4</v>
      </c>
      <c r="AN1135" t="n">
        <v>0</v>
      </c>
      <c r="AO1135" t="n">
        <v>0</v>
      </c>
      <c r="AP1135" t="inlineStr">
        <is>
          <t>No</t>
        </is>
      </c>
      <c r="AQ1135" t="inlineStr">
        <is>
          <t>Yes</t>
        </is>
      </c>
      <c r="AR1135">
        <f>HYPERLINK("http://catalog.hathitrust.org/Record/001088477","HathiTrust Record")</f>
        <v/>
      </c>
      <c r="AS1135">
        <f>HYPERLINK("https://creighton-primo.hosted.exlibrisgroup.com/primo-explore/search?tab=default_tab&amp;search_scope=EVERYTHING&amp;vid=01CRU&amp;lang=en_US&amp;offset=0&amp;query=any,contains,991001333199702656","Catalog Record")</f>
        <v/>
      </c>
      <c r="AT1135">
        <f>HYPERLINK("http://www.worldcat.org/oclc/18327310","WorldCat Record")</f>
        <v/>
      </c>
      <c r="AU1135" t="inlineStr">
        <is>
          <t>17653099:eng</t>
        </is>
      </c>
      <c r="AV1135" t="inlineStr">
        <is>
          <t>18327310</t>
        </is>
      </c>
      <c r="AW1135" t="inlineStr">
        <is>
          <t>991001333199702656</t>
        </is>
      </c>
      <c r="AX1135" t="inlineStr">
        <is>
          <t>991001333199702656</t>
        </is>
      </c>
      <c r="AY1135" t="inlineStr">
        <is>
          <t>2260580300002656</t>
        </is>
      </c>
      <c r="AZ1135" t="inlineStr">
        <is>
          <t>BOOK</t>
        </is>
      </c>
      <c r="BB1135" t="inlineStr">
        <is>
          <t>9780854962334</t>
        </is>
      </c>
      <c r="BC1135" t="inlineStr">
        <is>
          <t>32285000015114</t>
        </is>
      </c>
      <c r="BD1135" t="inlineStr">
        <is>
          <t>893602519</t>
        </is>
      </c>
    </row>
    <row r="1136">
      <c r="A1136" t="inlineStr">
        <is>
          <t>No</t>
        </is>
      </c>
      <c r="B1136" t="inlineStr">
        <is>
          <t>HQ1627 .Q37</t>
        </is>
      </c>
      <c r="C1136" t="inlineStr">
        <is>
          <t>0                      HQ 1627000Q  37</t>
        </is>
      </c>
      <c r="D1136" t="inlineStr">
        <is>
          <t>Reluctant feminists : Socialist women in Imperial Germany, 1885-1917 / Jean H. Quataert.</t>
        </is>
      </c>
      <c r="F1136" t="inlineStr">
        <is>
          <t>No</t>
        </is>
      </c>
      <c r="G1136" t="inlineStr">
        <is>
          <t>1</t>
        </is>
      </c>
      <c r="H1136" t="inlineStr">
        <is>
          <t>No</t>
        </is>
      </c>
      <c r="I1136" t="inlineStr">
        <is>
          <t>No</t>
        </is>
      </c>
      <c r="J1136" t="inlineStr">
        <is>
          <t>0</t>
        </is>
      </c>
      <c r="K1136" t="inlineStr">
        <is>
          <t>Quataert, Jean H. (Jean Helen), 1945-</t>
        </is>
      </c>
      <c r="L1136" t="inlineStr">
        <is>
          <t>Princeton, N.J. : Princeton University Press, c1979.</t>
        </is>
      </c>
      <c r="M1136" t="inlineStr">
        <is>
          <t>1979</t>
        </is>
      </c>
      <c r="O1136" t="inlineStr">
        <is>
          <t>eng</t>
        </is>
      </c>
      <c r="P1136" t="inlineStr">
        <is>
          <t>nju</t>
        </is>
      </c>
      <c r="R1136" t="inlineStr">
        <is>
          <t xml:space="preserve">HQ </t>
        </is>
      </c>
      <c r="S1136" t="n">
        <v>2</v>
      </c>
      <c r="T1136" t="n">
        <v>2</v>
      </c>
      <c r="U1136" t="inlineStr">
        <is>
          <t>1994-09-09</t>
        </is>
      </c>
      <c r="V1136" t="inlineStr">
        <is>
          <t>1994-09-09</t>
        </is>
      </c>
      <c r="W1136" t="inlineStr">
        <is>
          <t>1993-04-29</t>
        </is>
      </c>
      <c r="X1136" t="inlineStr">
        <is>
          <t>1993-04-29</t>
        </is>
      </c>
      <c r="Y1136" t="n">
        <v>627</v>
      </c>
      <c r="Z1136" t="n">
        <v>476</v>
      </c>
      <c r="AA1136" t="n">
        <v>691</v>
      </c>
      <c r="AB1136" t="n">
        <v>6</v>
      </c>
      <c r="AC1136" t="n">
        <v>7</v>
      </c>
      <c r="AD1136" t="n">
        <v>26</v>
      </c>
      <c r="AE1136" t="n">
        <v>36</v>
      </c>
      <c r="AF1136" t="n">
        <v>7</v>
      </c>
      <c r="AG1136" t="n">
        <v>14</v>
      </c>
      <c r="AH1136" t="n">
        <v>7</v>
      </c>
      <c r="AI1136" t="n">
        <v>10</v>
      </c>
      <c r="AJ1136" t="n">
        <v>15</v>
      </c>
      <c r="AK1136" t="n">
        <v>18</v>
      </c>
      <c r="AL1136" t="n">
        <v>5</v>
      </c>
      <c r="AM1136" t="n">
        <v>5</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HYPERLINK("https://creighton-primo.hosted.exlibrisgroup.com/primo-explore/search?tab=default_tab&amp;search_scope=EVERYTHING&amp;vid=01CRU&amp;lang=en_US&amp;offset=0&amp;query=any,contains,991004713489702656","Catalog Record")</f>
        <v/>
      </c>
      <c r="AT1136">
        <f>HYPERLINK("http://www.worldcat.org/oclc/4775210","WorldCat Record")</f>
        <v/>
      </c>
      <c r="AU1136" t="inlineStr">
        <is>
          <t>441436:eng</t>
        </is>
      </c>
      <c r="AV1136" t="inlineStr">
        <is>
          <t>4775210</t>
        </is>
      </c>
      <c r="AW1136" t="inlineStr">
        <is>
          <t>991004713489702656</t>
        </is>
      </c>
      <c r="AX1136" t="inlineStr">
        <is>
          <t>991004713489702656</t>
        </is>
      </c>
      <c r="AY1136" t="inlineStr">
        <is>
          <t>2256456880002656</t>
        </is>
      </c>
      <c r="AZ1136" t="inlineStr">
        <is>
          <t>BOOK</t>
        </is>
      </c>
      <c r="BB1136" t="inlineStr">
        <is>
          <t>9780691052762</t>
        </is>
      </c>
      <c r="BC1136" t="inlineStr">
        <is>
          <t>32285001631265</t>
        </is>
      </c>
      <c r="BD1136" t="inlineStr">
        <is>
          <t>893801261</t>
        </is>
      </c>
    </row>
    <row r="1137">
      <c r="A1137" t="inlineStr">
        <is>
          <t>No</t>
        </is>
      </c>
      <c r="B1137" t="inlineStr">
        <is>
          <t>HQ1627 .R623 1994</t>
        </is>
      </c>
      <c r="C1137" t="inlineStr">
        <is>
          <t>0                      HQ 1627000R  623         1994</t>
        </is>
      </c>
      <c r="D1137" t="inlineStr">
        <is>
          <t>Starke Mütter, ferne Väter : Töchter reflektieren ihre Kindheit im Nationalsozialismus und in der Nachkriegszeit / Ulla Roberts.</t>
        </is>
      </c>
      <c r="F1137" t="inlineStr">
        <is>
          <t>No</t>
        </is>
      </c>
      <c r="G1137" t="inlineStr">
        <is>
          <t>1</t>
        </is>
      </c>
      <c r="H1137" t="inlineStr">
        <is>
          <t>No</t>
        </is>
      </c>
      <c r="I1137" t="inlineStr">
        <is>
          <t>No</t>
        </is>
      </c>
      <c r="J1137" t="inlineStr">
        <is>
          <t>0</t>
        </is>
      </c>
      <c r="K1137" t="inlineStr">
        <is>
          <t>Roberts, Ulla, 1937-</t>
        </is>
      </c>
      <c r="L1137" t="inlineStr">
        <is>
          <t>Frankfurt am Main : Fischer Taschenbuch, c1994.</t>
        </is>
      </c>
      <c r="M1137" t="inlineStr">
        <is>
          <t>1994</t>
        </is>
      </c>
      <c r="O1137" t="inlineStr">
        <is>
          <t>ger</t>
        </is>
      </c>
      <c r="P1137" t="inlineStr">
        <is>
          <t xml:space="preserve">gw </t>
        </is>
      </c>
      <c r="Q1137" t="inlineStr">
        <is>
          <t>Die Frau in der Gesellschaft</t>
        </is>
      </c>
      <c r="R1137" t="inlineStr">
        <is>
          <t xml:space="preserve">HQ </t>
        </is>
      </c>
      <c r="S1137" t="n">
        <v>2</v>
      </c>
      <c r="T1137" t="n">
        <v>2</v>
      </c>
      <c r="U1137" t="inlineStr">
        <is>
          <t>1998-05-13</t>
        </is>
      </c>
      <c r="V1137" t="inlineStr">
        <is>
          <t>1998-05-13</t>
        </is>
      </c>
      <c r="W1137" t="inlineStr">
        <is>
          <t>1997-09-09</t>
        </is>
      </c>
      <c r="X1137" t="inlineStr">
        <is>
          <t>1997-09-09</t>
        </is>
      </c>
      <c r="Y1137" t="n">
        <v>65</v>
      </c>
      <c r="Z1137" t="n">
        <v>25</v>
      </c>
      <c r="AA1137" t="n">
        <v>26</v>
      </c>
      <c r="AB1137" t="n">
        <v>1</v>
      </c>
      <c r="AC1137" t="n">
        <v>1</v>
      </c>
      <c r="AD1137" t="n">
        <v>1</v>
      </c>
      <c r="AE1137" t="n">
        <v>1</v>
      </c>
      <c r="AF1137" t="n">
        <v>0</v>
      </c>
      <c r="AG1137" t="n">
        <v>0</v>
      </c>
      <c r="AH1137" t="n">
        <v>1</v>
      </c>
      <c r="AI1137" t="n">
        <v>1</v>
      </c>
      <c r="AJ1137" t="n">
        <v>0</v>
      </c>
      <c r="AK1137" t="n">
        <v>0</v>
      </c>
      <c r="AL1137" t="n">
        <v>0</v>
      </c>
      <c r="AM1137" t="n">
        <v>0</v>
      </c>
      <c r="AN1137" t="n">
        <v>0</v>
      </c>
      <c r="AO1137" t="n">
        <v>0</v>
      </c>
      <c r="AP1137" t="inlineStr">
        <is>
          <t>No</t>
        </is>
      </c>
      <c r="AQ1137" t="inlineStr">
        <is>
          <t>Yes</t>
        </is>
      </c>
      <c r="AR1137">
        <f>HYPERLINK("http://catalog.hathitrust.org/Record/007575488","HathiTrust Record")</f>
        <v/>
      </c>
      <c r="AS1137">
        <f>HYPERLINK("https://creighton-primo.hosted.exlibrisgroup.com/primo-explore/search?tab=default_tab&amp;search_scope=EVERYTHING&amp;vid=01CRU&amp;lang=en_US&amp;offset=0&amp;query=any,contains,991002394799702656","Catalog Record")</f>
        <v/>
      </c>
      <c r="AT1137">
        <f>HYPERLINK("http://www.worldcat.org/oclc/31091117","WorldCat Record")</f>
        <v/>
      </c>
      <c r="AU1137" t="inlineStr">
        <is>
          <t>898102375:ger</t>
        </is>
      </c>
      <c r="AV1137" t="inlineStr">
        <is>
          <t>31091117</t>
        </is>
      </c>
      <c r="AW1137" t="inlineStr">
        <is>
          <t>991002394799702656</t>
        </is>
      </c>
      <c r="AX1137" t="inlineStr">
        <is>
          <t>991002394799702656</t>
        </is>
      </c>
      <c r="AY1137" t="inlineStr">
        <is>
          <t>2255615590002656</t>
        </is>
      </c>
      <c r="AZ1137" t="inlineStr">
        <is>
          <t>BOOK</t>
        </is>
      </c>
      <c r="BB1137" t="inlineStr">
        <is>
          <t>9783596110759</t>
        </is>
      </c>
      <c r="BC1137" t="inlineStr">
        <is>
          <t>32285003004396</t>
        </is>
      </c>
      <c r="BD1137" t="inlineStr">
        <is>
          <t>893517232</t>
        </is>
      </c>
    </row>
    <row r="1138">
      <c r="A1138" t="inlineStr">
        <is>
          <t>No</t>
        </is>
      </c>
      <c r="B1138" t="inlineStr">
        <is>
          <t>HQ1630.5 .F764 2001</t>
        </is>
      </c>
      <c r="C1138" t="inlineStr">
        <is>
          <t>0                      HQ 1630500F  764         2001</t>
        </is>
      </c>
      <c r="D1138" t="inlineStr">
        <is>
          <t>Women after communism : the East German experience / Helen H. Frink.</t>
        </is>
      </c>
      <c r="F1138" t="inlineStr">
        <is>
          <t>No</t>
        </is>
      </c>
      <c r="G1138" t="inlineStr">
        <is>
          <t>1</t>
        </is>
      </c>
      <c r="H1138" t="inlineStr">
        <is>
          <t>No</t>
        </is>
      </c>
      <c r="I1138" t="inlineStr">
        <is>
          <t>No</t>
        </is>
      </c>
      <c r="J1138" t="inlineStr">
        <is>
          <t>0</t>
        </is>
      </c>
      <c r="K1138" t="inlineStr">
        <is>
          <t>Frink, Helen, 1947-</t>
        </is>
      </c>
      <c r="L1138" t="inlineStr">
        <is>
          <t>Lanham, Md. : University Press of America, c2001.</t>
        </is>
      </c>
      <c r="M1138" t="inlineStr">
        <is>
          <t>2001</t>
        </is>
      </c>
      <c r="O1138" t="inlineStr">
        <is>
          <t>eng</t>
        </is>
      </c>
      <c r="P1138" t="inlineStr">
        <is>
          <t>mdu</t>
        </is>
      </c>
      <c r="R1138" t="inlineStr">
        <is>
          <t xml:space="preserve">HQ </t>
        </is>
      </c>
      <c r="S1138" t="n">
        <v>1</v>
      </c>
      <c r="T1138" t="n">
        <v>1</v>
      </c>
      <c r="U1138" t="inlineStr">
        <is>
          <t>2002-09-25</t>
        </is>
      </c>
      <c r="V1138" t="inlineStr">
        <is>
          <t>2002-09-25</t>
        </is>
      </c>
      <c r="W1138" t="inlineStr">
        <is>
          <t>2002-09-25</t>
        </is>
      </c>
      <c r="X1138" t="inlineStr">
        <is>
          <t>2002-09-25</t>
        </is>
      </c>
      <c r="Y1138" t="n">
        <v>238</v>
      </c>
      <c r="Z1138" t="n">
        <v>196</v>
      </c>
      <c r="AA1138" t="n">
        <v>197</v>
      </c>
      <c r="AB1138" t="n">
        <v>3</v>
      </c>
      <c r="AC1138" t="n">
        <v>3</v>
      </c>
      <c r="AD1138" t="n">
        <v>14</v>
      </c>
      <c r="AE1138" t="n">
        <v>14</v>
      </c>
      <c r="AF1138" t="n">
        <v>6</v>
      </c>
      <c r="AG1138" t="n">
        <v>6</v>
      </c>
      <c r="AH1138" t="n">
        <v>3</v>
      </c>
      <c r="AI1138" t="n">
        <v>3</v>
      </c>
      <c r="AJ1138" t="n">
        <v>5</v>
      </c>
      <c r="AK1138" t="n">
        <v>5</v>
      </c>
      <c r="AL1138" t="n">
        <v>2</v>
      </c>
      <c r="AM1138" t="n">
        <v>2</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HYPERLINK("https://creighton-primo.hosted.exlibrisgroup.com/primo-explore/search?tab=default_tab&amp;search_scope=EVERYTHING&amp;vid=01CRU&amp;lang=en_US&amp;offset=0&amp;query=any,contains,991003850419702656","Catalog Record")</f>
        <v/>
      </c>
      <c r="AT1138">
        <f>HYPERLINK("http://www.worldcat.org/oclc/45115789","WorldCat Record")</f>
        <v/>
      </c>
      <c r="AU1138" t="inlineStr">
        <is>
          <t>20798835:eng</t>
        </is>
      </c>
      <c r="AV1138" t="inlineStr">
        <is>
          <t>45115789</t>
        </is>
      </c>
      <c r="AW1138" t="inlineStr">
        <is>
          <t>991003850419702656</t>
        </is>
      </c>
      <c r="AX1138" t="inlineStr">
        <is>
          <t>991003850419702656</t>
        </is>
      </c>
      <c r="AY1138" t="inlineStr">
        <is>
          <t>2268624150002656</t>
        </is>
      </c>
      <c r="AZ1138" t="inlineStr">
        <is>
          <t>BOOK</t>
        </is>
      </c>
      <c r="BB1138" t="inlineStr">
        <is>
          <t>9780761818946</t>
        </is>
      </c>
      <c r="BC1138" t="inlineStr">
        <is>
          <t>32285004649348</t>
        </is>
      </c>
      <c r="BD1138" t="inlineStr">
        <is>
          <t>893429292</t>
        </is>
      </c>
    </row>
    <row r="1139">
      <c r="A1139" t="inlineStr">
        <is>
          <t>No</t>
        </is>
      </c>
      <c r="B1139" t="inlineStr">
        <is>
          <t>HQ1630.A84 R67 1991</t>
        </is>
      </c>
      <c r="C1139" t="inlineStr">
        <is>
          <t>0                      HQ 1630000A  84                 R  67          1991</t>
        </is>
      </c>
      <c r="D1139" t="inlineStr">
        <is>
          <t>The holy household : women and morals in Reformation Augsburg / Lyndal Roper.</t>
        </is>
      </c>
      <c r="F1139" t="inlineStr">
        <is>
          <t>No</t>
        </is>
      </c>
      <c r="G1139" t="inlineStr">
        <is>
          <t>1</t>
        </is>
      </c>
      <c r="H1139" t="inlineStr">
        <is>
          <t>No</t>
        </is>
      </c>
      <c r="I1139" t="inlineStr">
        <is>
          <t>No</t>
        </is>
      </c>
      <c r="J1139" t="inlineStr">
        <is>
          <t>0</t>
        </is>
      </c>
      <c r="K1139" t="inlineStr">
        <is>
          <t>Roper, Lyndal.</t>
        </is>
      </c>
      <c r="L1139" t="inlineStr">
        <is>
          <t>Oxford : Clarendon Press ; New York : Oxford University Press, 1991.</t>
        </is>
      </c>
      <c r="M1139" t="inlineStr">
        <is>
          <t>1991</t>
        </is>
      </c>
      <c r="N1139" t="inlineStr">
        <is>
          <t>1st paperback ed.</t>
        </is>
      </c>
      <c r="O1139" t="inlineStr">
        <is>
          <t>eng</t>
        </is>
      </c>
      <c r="P1139" t="inlineStr">
        <is>
          <t>enk</t>
        </is>
      </c>
      <c r="Q1139" t="inlineStr">
        <is>
          <t>Oxford studies in social history</t>
        </is>
      </c>
      <c r="R1139" t="inlineStr">
        <is>
          <t xml:space="preserve">HQ </t>
        </is>
      </c>
      <c r="S1139" t="n">
        <v>6</v>
      </c>
      <c r="T1139" t="n">
        <v>6</v>
      </c>
      <c r="U1139" t="inlineStr">
        <is>
          <t>1999-04-09</t>
        </is>
      </c>
      <c r="V1139" t="inlineStr">
        <is>
          <t>1999-04-09</t>
        </is>
      </c>
      <c r="W1139" t="inlineStr">
        <is>
          <t>1994-07-12</t>
        </is>
      </c>
      <c r="X1139" t="inlineStr">
        <is>
          <t>1994-07-12</t>
        </is>
      </c>
      <c r="Y1139" t="n">
        <v>68</v>
      </c>
      <c r="Z1139" t="n">
        <v>51</v>
      </c>
      <c r="AA1139" t="n">
        <v>493</v>
      </c>
      <c r="AB1139" t="n">
        <v>1</v>
      </c>
      <c r="AC1139" t="n">
        <v>3</v>
      </c>
      <c r="AD1139" t="n">
        <v>3</v>
      </c>
      <c r="AE1139" t="n">
        <v>25</v>
      </c>
      <c r="AF1139" t="n">
        <v>2</v>
      </c>
      <c r="AG1139" t="n">
        <v>8</v>
      </c>
      <c r="AH1139" t="n">
        <v>0</v>
      </c>
      <c r="AI1139" t="n">
        <v>8</v>
      </c>
      <c r="AJ1139" t="n">
        <v>2</v>
      </c>
      <c r="AK1139" t="n">
        <v>13</v>
      </c>
      <c r="AL1139" t="n">
        <v>0</v>
      </c>
      <c r="AM1139" t="n">
        <v>2</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HYPERLINK("https://creighton-primo.hosted.exlibrisgroup.com/primo-explore/search?tab=default_tab&amp;search_scope=EVERYTHING&amp;vid=01CRU&amp;lang=en_US&amp;offset=0&amp;query=any,contains,991002196659702656","Catalog Record")</f>
        <v/>
      </c>
      <c r="AT1139">
        <f>HYPERLINK("http://www.worldcat.org/oclc/28248751","WorldCat Record")</f>
        <v/>
      </c>
      <c r="AU1139" t="inlineStr">
        <is>
          <t>9505287:eng</t>
        </is>
      </c>
      <c r="AV1139" t="inlineStr">
        <is>
          <t>28248751</t>
        </is>
      </c>
      <c r="AW1139" t="inlineStr">
        <is>
          <t>991002196659702656</t>
        </is>
      </c>
      <c r="AX1139" t="inlineStr">
        <is>
          <t>991002196659702656</t>
        </is>
      </c>
      <c r="AY1139" t="inlineStr">
        <is>
          <t>2259248120002656</t>
        </is>
      </c>
      <c r="AZ1139" t="inlineStr">
        <is>
          <t>BOOK</t>
        </is>
      </c>
      <c r="BC1139" t="inlineStr">
        <is>
          <t>32285001931707</t>
        </is>
      </c>
      <c r="BD1139" t="inlineStr">
        <is>
          <t>893262131</t>
        </is>
      </c>
    </row>
    <row r="1140">
      <c r="A1140" t="inlineStr">
        <is>
          <t>No</t>
        </is>
      </c>
      <c r="B1140" t="inlineStr">
        <is>
          <t>HQ1630.B47 F73 1999x</t>
        </is>
      </c>
      <c r="C1140" t="inlineStr">
        <is>
          <t>0                      HQ 1630000B  47                 F  73          1999x</t>
        </is>
      </c>
      <c r="D1140" t="inlineStr">
        <is>
          <t>Frauen an der Spree : ein Spaziergang durch die Geschichte / Cornelia Carstens ... [et al.] (Hrsg.).</t>
        </is>
      </c>
      <c r="F1140" t="inlineStr">
        <is>
          <t>No</t>
        </is>
      </c>
      <c r="G1140" t="inlineStr">
        <is>
          <t>1</t>
        </is>
      </c>
      <c r="H1140" t="inlineStr">
        <is>
          <t>No</t>
        </is>
      </c>
      <c r="I1140" t="inlineStr">
        <is>
          <t>No</t>
        </is>
      </c>
      <c r="J1140" t="inlineStr">
        <is>
          <t>0</t>
        </is>
      </c>
      <c r="L1140" t="inlineStr">
        <is>
          <t>Berlin-Brandenburg : be.bra Verlag, c1999.</t>
        </is>
      </c>
      <c r="M1140" t="inlineStr">
        <is>
          <t>1999</t>
        </is>
      </c>
      <c r="O1140" t="inlineStr">
        <is>
          <t>ger</t>
        </is>
      </c>
      <c r="P1140" t="inlineStr">
        <is>
          <t xml:space="preserve">gw </t>
        </is>
      </c>
      <c r="R1140" t="inlineStr">
        <is>
          <t xml:space="preserve">HQ </t>
        </is>
      </c>
      <c r="S1140" t="n">
        <v>1</v>
      </c>
      <c r="T1140" t="n">
        <v>1</v>
      </c>
      <c r="U1140" t="inlineStr">
        <is>
          <t>2002-04-10</t>
        </is>
      </c>
      <c r="V1140" t="inlineStr">
        <is>
          <t>2002-04-10</t>
        </is>
      </c>
      <c r="W1140" t="inlineStr">
        <is>
          <t>2002-04-02</t>
        </is>
      </c>
      <c r="X1140" t="inlineStr">
        <is>
          <t>2002-04-02</t>
        </is>
      </c>
      <c r="Y1140" t="n">
        <v>10</v>
      </c>
      <c r="Z1140" t="n">
        <v>5</v>
      </c>
      <c r="AA1140" t="n">
        <v>5</v>
      </c>
      <c r="AB1140" t="n">
        <v>2</v>
      </c>
      <c r="AC1140" t="n">
        <v>2</v>
      </c>
      <c r="AD1140" t="n">
        <v>1</v>
      </c>
      <c r="AE1140" t="n">
        <v>1</v>
      </c>
      <c r="AF1140" t="n">
        <v>0</v>
      </c>
      <c r="AG1140" t="n">
        <v>0</v>
      </c>
      <c r="AH1140" t="n">
        <v>0</v>
      </c>
      <c r="AI1140" t="n">
        <v>0</v>
      </c>
      <c r="AJ1140" t="n">
        <v>0</v>
      </c>
      <c r="AK1140" t="n">
        <v>0</v>
      </c>
      <c r="AL1140" t="n">
        <v>1</v>
      </c>
      <c r="AM1140" t="n">
        <v>1</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HYPERLINK("https://creighton-primo.hosted.exlibrisgroup.com/primo-explore/search?tab=default_tab&amp;search_scope=EVERYTHING&amp;vid=01CRU&amp;lang=en_US&amp;offset=0&amp;query=any,contains,991003783119702656","Catalog Record")</f>
        <v/>
      </c>
      <c r="AT1140">
        <f>HYPERLINK("http://www.worldcat.org/oclc/49042420","WorldCat Record")</f>
        <v/>
      </c>
      <c r="AU1140" t="inlineStr">
        <is>
          <t>898310093:ger</t>
        </is>
      </c>
      <c r="AV1140" t="inlineStr">
        <is>
          <t>49042420</t>
        </is>
      </c>
      <c r="AW1140" t="inlineStr">
        <is>
          <t>991003783119702656</t>
        </is>
      </c>
      <c r="AX1140" t="inlineStr">
        <is>
          <t>991003783119702656</t>
        </is>
      </c>
      <c r="AY1140" t="inlineStr">
        <is>
          <t>2264409500002656</t>
        </is>
      </c>
      <c r="AZ1140" t="inlineStr">
        <is>
          <t>BOOK</t>
        </is>
      </c>
      <c r="BB1140" t="inlineStr">
        <is>
          <t>9783930863495</t>
        </is>
      </c>
      <c r="BC1140" t="inlineStr">
        <is>
          <t>32285004423595</t>
        </is>
      </c>
      <c r="BD1140" t="inlineStr">
        <is>
          <t>893794044</t>
        </is>
      </c>
    </row>
    <row r="1141">
      <c r="A1141" t="inlineStr">
        <is>
          <t>No</t>
        </is>
      </c>
      <c r="B1141" t="inlineStr">
        <is>
          <t>HQ1644.S6 C6 1977</t>
        </is>
      </c>
      <c r="C1141" t="inlineStr">
        <is>
          <t>0                      HQ 1644000S  6                  C  6           1977</t>
        </is>
      </c>
      <c r="D1141" t="inlineStr">
        <is>
          <t>Women of the shadows / by Ann Cornelisen ; photos. by the author.</t>
        </is>
      </c>
      <c r="F1141" t="inlineStr">
        <is>
          <t>No</t>
        </is>
      </c>
      <c r="G1141" t="inlineStr">
        <is>
          <t>1</t>
        </is>
      </c>
      <c r="H1141" t="inlineStr">
        <is>
          <t>No</t>
        </is>
      </c>
      <c r="I1141" t="inlineStr">
        <is>
          <t>No</t>
        </is>
      </c>
      <c r="J1141" t="inlineStr">
        <is>
          <t>0</t>
        </is>
      </c>
      <c r="K1141" t="inlineStr">
        <is>
          <t>Cornelisen, Ann, 1926-2003.</t>
        </is>
      </c>
      <c r="L1141" t="inlineStr">
        <is>
          <t>New York : Vintage Books, 1977, c1976.</t>
        </is>
      </c>
      <c r="M1141" t="inlineStr">
        <is>
          <t>1977</t>
        </is>
      </c>
      <c r="O1141" t="inlineStr">
        <is>
          <t>eng</t>
        </is>
      </c>
      <c r="P1141" t="inlineStr">
        <is>
          <t>nyu</t>
        </is>
      </c>
      <c r="R1141" t="inlineStr">
        <is>
          <t xml:space="preserve">HQ </t>
        </is>
      </c>
      <c r="S1141" t="n">
        <v>5</v>
      </c>
      <c r="T1141" t="n">
        <v>5</v>
      </c>
      <c r="U1141" t="inlineStr">
        <is>
          <t>1994-11-01</t>
        </is>
      </c>
      <c r="V1141" t="inlineStr">
        <is>
          <t>1994-11-01</t>
        </is>
      </c>
      <c r="W1141" t="inlineStr">
        <is>
          <t>1990-03-29</t>
        </is>
      </c>
      <c r="X1141" t="inlineStr">
        <is>
          <t>1990-03-29</t>
        </is>
      </c>
      <c r="Y1141" t="n">
        <v>170</v>
      </c>
      <c r="Z1141" t="n">
        <v>150</v>
      </c>
      <c r="AA1141" t="n">
        <v>816</v>
      </c>
      <c r="AB1141" t="n">
        <v>2</v>
      </c>
      <c r="AC1141" t="n">
        <v>4</v>
      </c>
      <c r="AD1141" t="n">
        <v>3</v>
      </c>
      <c r="AE1141" t="n">
        <v>28</v>
      </c>
      <c r="AF1141" t="n">
        <v>0</v>
      </c>
      <c r="AG1141" t="n">
        <v>10</v>
      </c>
      <c r="AH1141" t="n">
        <v>0</v>
      </c>
      <c r="AI1141" t="n">
        <v>7</v>
      </c>
      <c r="AJ1141" t="n">
        <v>2</v>
      </c>
      <c r="AK1141" t="n">
        <v>16</v>
      </c>
      <c r="AL1141" t="n">
        <v>1</v>
      </c>
      <c r="AM1141" t="n">
        <v>3</v>
      </c>
      <c r="AN1141" t="n">
        <v>0</v>
      </c>
      <c r="AO1141" t="n">
        <v>0</v>
      </c>
      <c r="AP1141" t="inlineStr">
        <is>
          <t>No</t>
        </is>
      </c>
      <c r="AQ1141" t="inlineStr">
        <is>
          <t>Yes</t>
        </is>
      </c>
      <c r="AR1141">
        <f>HYPERLINK("http://catalog.hathitrust.org/Record/000169106","HathiTrust Record")</f>
        <v/>
      </c>
      <c r="AS1141">
        <f>HYPERLINK("https://creighton-primo.hosted.exlibrisgroup.com/primo-explore/search?tab=default_tab&amp;search_scope=EVERYTHING&amp;vid=01CRU&amp;lang=en_US&amp;offset=0&amp;query=any,contains,991004178269702656","Catalog Record")</f>
        <v/>
      </c>
      <c r="AT1141">
        <f>HYPERLINK("http://www.worldcat.org/oclc/2598206","WorldCat Record")</f>
        <v/>
      </c>
      <c r="AU1141" t="inlineStr">
        <is>
          <t>149216797:eng</t>
        </is>
      </c>
      <c r="AV1141" t="inlineStr">
        <is>
          <t>2598206</t>
        </is>
      </c>
      <c r="AW1141" t="inlineStr">
        <is>
          <t>991004178269702656</t>
        </is>
      </c>
      <c r="AX1141" t="inlineStr">
        <is>
          <t>991004178269702656</t>
        </is>
      </c>
      <c r="AY1141" t="inlineStr">
        <is>
          <t>2265975640002656</t>
        </is>
      </c>
      <c r="AZ1141" t="inlineStr">
        <is>
          <t>BOOK</t>
        </is>
      </c>
      <c r="BB1141" t="inlineStr">
        <is>
          <t>9780394723457</t>
        </is>
      </c>
      <c r="BC1141" t="inlineStr">
        <is>
          <t>32285000107200</t>
        </is>
      </c>
      <c r="BD1141" t="inlineStr">
        <is>
          <t>893712245</t>
        </is>
      </c>
    </row>
    <row r="1142">
      <c r="A1142" t="inlineStr">
        <is>
          <t>No</t>
        </is>
      </c>
      <c r="B1142" t="inlineStr">
        <is>
          <t>HQ1662 .D6 1977</t>
        </is>
      </c>
      <c r="C1142" t="inlineStr">
        <is>
          <t>0                      HQ 1662000D  6           1977</t>
        </is>
      </c>
      <c r="D1142" t="inlineStr">
        <is>
          <t>Women in the Soviet economy, their role in economic, scientific, and technical development : a study sponsored by the Foreign Studies Group, Office of Economic and Manpower Studies, National Science Foundation, and prepared under the supervision of the Department of Economics, University of Maryland / Norton T. Dodge.</t>
        </is>
      </c>
      <c r="F1142" t="inlineStr">
        <is>
          <t>No</t>
        </is>
      </c>
      <c r="G1142" t="inlineStr">
        <is>
          <t>1</t>
        </is>
      </c>
      <c r="H1142" t="inlineStr">
        <is>
          <t>No</t>
        </is>
      </c>
      <c r="I1142" t="inlineStr">
        <is>
          <t>No</t>
        </is>
      </c>
      <c r="J1142" t="inlineStr">
        <is>
          <t>0</t>
        </is>
      </c>
      <c r="K1142" t="inlineStr">
        <is>
          <t>Dodge, Norton T.</t>
        </is>
      </c>
      <c r="L1142" t="inlineStr">
        <is>
          <t>Westport, Conn. : Greenwood Press, 1977, c1966.</t>
        </is>
      </c>
      <c r="M1142" t="inlineStr">
        <is>
          <t>1977</t>
        </is>
      </c>
      <c r="O1142" t="inlineStr">
        <is>
          <t>eng</t>
        </is>
      </c>
      <c r="P1142" t="inlineStr">
        <is>
          <t>ctu</t>
        </is>
      </c>
      <c r="R1142" t="inlineStr">
        <is>
          <t xml:space="preserve">HQ </t>
        </is>
      </c>
      <c r="S1142" t="n">
        <v>2</v>
      </c>
      <c r="T1142" t="n">
        <v>2</v>
      </c>
      <c r="U1142" t="inlineStr">
        <is>
          <t>1998-04-03</t>
        </is>
      </c>
      <c r="V1142" t="inlineStr">
        <is>
          <t>1998-04-03</t>
        </is>
      </c>
      <c r="W1142" t="inlineStr">
        <is>
          <t>1997-08-15</t>
        </is>
      </c>
      <c r="X1142" t="inlineStr">
        <is>
          <t>1997-08-15</t>
        </is>
      </c>
      <c r="Y1142" t="n">
        <v>90</v>
      </c>
      <c r="Z1142" t="n">
        <v>72</v>
      </c>
      <c r="AA1142" t="n">
        <v>75</v>
      </c>
      <c r="AB1142" t="n">
        <v>2</v>
      </c>
      <c r="AC1142" t="n">
        <v>2</v>
      </c>
      <c r="AD1142" t="n">
        <v>2</v>
      </c>
      <c r="AE1142" t="n">
        <v>2</v>
      </c>
      <c r="AF1142" t="n">
        <v>1</v>
      </c>
      <c r="AG1142" t="n">
        <v>1</v>
      </c>
      <c r="AH1142" t="n">
        <v>0</v>
      </c>
      <c r="AI1142" t="n">
        <v>0</v>
      </c>
      <c r="AJ1142" t="n">
        <v>0</v>
      </c>
      <c r="AK1142" t="n">
        <v>0</v>
      </c>
      <c r="AL1142" t="n">
        <v>1</v>
      </c>
      <c r="AM1142" t="n">
        <v>1</v>
      </c>
      <c r="AN1142" t="n">
        <v>0</v>
      </c>
      <c r="AO1142" t="n">
        <v>0</v>
      </c>
      <c r="AP1142" t="inlineStr">
        <is>
          <t>No</t>
        </is>
      </c>
      <c r="AQ1142" t="inlineStr">
        <is>
          <t>Yes</t>
        </is>
      </c>
      <c r="AR1142">
        <f>HYPERLINK("http://catalog.hathitrust.org/Record/000185504","HathiTrust Record")</f>
        <v/>
      </c>
      <c r="AS1142">
        <f>HYPERLINK("https://creighton-primo.hosted.exlibrisgroup.com/primo-explore/search?tab=default_tab&amp;search_scope=EVERYTHING&amp;vid=01CRU&amp;lang=en_US&amp;offset=0&amp;query=any,contains,991004215209702656","Catalog Record")</f>
        <v/>
      </c>
      <c r="AT1142">
        <f>HYPERLINK("http://www.worldcat.org/oclc/2695075","WorldCat Record")</f>
        <v/>
      </c>
      <c r="AU1142" t="inlineStr">
        <is>
          <t>10792672875:eng</t>
        </is>
      </c>
      <c r="AV1142" t="inlineStr">
        <is>
          <t>2695075</t>
        </is>
      </c>
      <c r="AW1142" t="inlineStr">
        <is>
          <t>991004215209702656</t>
        </is>
      </c>
      <c r="AX1142" t="inlineStr">
        <is>
          <t>991004215209702656</t>
        </is>
      </c>
      <c r="AY1142" t="inlineStr">
        <is>
          <t>2264551290002656</t>
        </is>
      </c>
      <c r="AZ1142" t="inlineStr">
        <is>
          <t>BOOK</t>
        </is>
      </c>
      <c r="BB1142" t="inlineStr">
        <is>
          <t>9780837194677</t>
        </is>
      </c>
      <c r="BC1142" t="inlineStr">
        <is>
          <t>32285003104816</t>
        </is>
      </c>
      <c r="BD1142" t="inlineStr">
        <is>
          <t>893869443</t>
        </is>
      </c>
    </row>
    <row r="1143">
      <c r="A1143" t="inlineStr">
        <is>
          <t>No</t>
        </is>
      </c>
      <c r="B1143" t="inlineStr">
        <is>
          <t>HQ1662 .E54 2004</t>
        </is>
      </c>
      <c r="C1143" t="inlineStr">
        <is>
          <t>0                      HQ 1662000E  54          2004</t>
        </is>
      </c>
      <c r="D1143" t="inlineStr">
        <is>
          <t>Women in Russia, 1700-2000 / Barbara Alpern Engel.</t>
        </is>
      </c>
      <c r="F1143" t="inlineStr">
        <is>
          <t>No</t>
        </is>
      </c>
      <c r="G1143" t="inlineStr">
        <is>
          <t>1</t>
        </is>
      </c>
      <c r="H1143" t="inlineStr">
        <is>
          <t>No</t>
        </is>
      </c>
      <c r="I1143" t="inlineStr">
        <is>
          <t>No</t>
        </is>
      </c>
      <c r="J1143" t="inlineStr">
        <is>
          <t>0</t>
        </is>
      </c>
      <c r="K1143" t="inlineStr">
        <is>
          <t>Engel, Barbara Alpern.</t>
        </is>
      </c>
      <c r="L1143" t="inlineStr">
        <is>
          <t>Cambridge, UK ; New York : Cambridge University Press, 2004.</t>
        </is>
      </c>
      <c r="M1143" t="inlineStr">
        <is>
          <t>2004</t>
        </is>
      </c>
      <c r="O1143" t="inlineStr">
        <is>
          <t>eng</t>
        </is>
      </c>
      <c r="P1143" t="inlineStr">
        <is>
          <t>enk</t>
        </is>
      </c>
      <c r="R1143" t="inlineStr">
        <is>
          <t xml:space="preserve">HQ </t>
        </is>
      </c>
      <c r="S1143" t="n">
        <v>3</v>
      </c>
      <c r="T1143" t="n">
        <v>3</v>
      </c>
      <c r="U1143" t="inlineStr">
        <is>
          <t>2007-03-14</t>
        </is>
      </c>
      <c r="V1143" t="inlineStr">
        <is>
          <t>2007-03-14</t>
        </is>
      </c>
      <c r="W1143" t="inlineStr">
        <is>
          <t>2005-10-25</t>
        </is>
      </c>
      <c r="X1143" t="inlineStr">
        <is>
          <t>2005-10-25</t>
        </is>
      </c>
      <c r="Y1143" t="n">
        <v>802</v>
      </c>
      <c r="Z1143" t="n">
        <v>677</v>
      </c>
      <c r="AA1143" t="n">
        <v>679</v>
      </c>
      <c r="AB1143" t="n">
        <v>7</v>
      </c>
      <c r="AC1143" t="n">
        <v>7</v>
      </c>
      <c r="AD1143" t="n">
        <v>45</v>
      </c>
      <c r="AE1143" t="n">
        <v>45</v>
      </c>
      <c r="AF1143" t="n">
        <v>19</v>
      </c>
      <c r="AG1143" t="n">
        <v>19</v>
      </c>
      <c r="AH1143" t="n">
        <v>10</v>
      </c>
      <c r="AI1143" t="n">
        <v>10</v>
      </c>
      <c r="AJ1143" t="n">
        <v>22</v>
      </c>
      <c r="AK1143" t="n">
        <v>22</v>
      </c>
      <c r="AL1143" t="n">
        <v>6</v>
      </c>
      <c r="AM1143" t="n">
        <v>6</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HYPERLINK("https://creighton-primo.hosted.exlibrisgroup.com/primo-explore/search?tab=default_tab&amp;search_scope=EVERYTHING&amp;vid=01CRU&amp;lang=en_US&amp;offset=0&amp;query=any,contains,991004456729702656","Catalog Record")</f>
        <v/>
      </c>
      <c r="AT1143">
        <f>HYPERLINK("http://www.worldcat.org/oclc/51722818","WorldCat Record")</f>
        <v/>
      </c>
      <c r="AU1143" t="inlineStr">
        <is>
          <t>707661:eng</t>
        </is>
      </c>
      <c r="AV1143" t="inlineStr">
        <is>
          <t>51722818</t>
        </is>
      </c>
      <c r="AW1143" t="inlineStr">
        <is>
          <t>991004456729702656</t>
        </is>
      </c>
      <c r="AX1143" t="inlineStr">
        <is>
          <t>991004456729702656</t>
        </is>
      </c>
      <c r="AY1143" t="inlineStr">
        <is>
          <t>2256292480002656</t>
        </is>
      </c>
      <c r="AZ1143" t="inlineStr">
        <is>
          <t>BOOK</t>
        </is>
      </c>
      <c r="BB1143" t="inlineStr">
        <is>
          <t>9780521003186</t>
        </is>
      </c>
      <c r="BC1143" t="inlineStr">
        <is>
          <t>32285005141964</t>
        </is>
      </c>
      <c r="BD1143" t="inlineStr">
        <is>
          <t>893624757</t>
        </is>
      </c>
    </row>
    <row r="1144">
      <c r="A1144" t="inlineStr">
        <is>
          <t>No</t>
        </is>
      </c>
      <c r="B1144" t="inlineStr">
        <is>
          <t>HQ1662 .G66 1990</t>
        </is>
      </c>
      <c r="C1144" t="inlineStr">
        <is>
          <t>0                      HQ 1662000G  66          1990</t>
        </is>
      </c>
      <c r="D1144" t="inlineStr">
        <is>
          <t>Soviet women : walking the tightrope / Francine du Plessix Gray.</t>
        </is>
      </c>
      <c r="F1144" t="inlineStr">
        <is>
          <t>No</t>
        </is>
      </c>
      <c r="G1144" t="inlineStr">
        <is>
          <t>1</t>
        </is>
      </c>
      <c r="H1144" t="inlineStr">
        <is>
          <t>No</t>
        </is>
      </c>
      <c r="I1144" t="inlineStr">
        <is>
          <t>No</t>
        </is>
      </c>
      <c r="J1144" t="inlineStr">
        <is>
          <t>0</t>
        </is>
      </c>
      <c r="K1144" t="inlineStr">
        <is>
          <t>Gray, Francine du Plessix.</t>
        </is>
      </c>
      <c r="L1144" t="inlineStr">
        <is>
          <t>New York : Doubleday, 1990, c1989.</t>
        </is>
      </c>
      <c r="M1144" t="inlineStr">
        <is>
          <t>1990</t>
        </is>
      </c>
      <c r="N1144" t="inlineStr">
        <is>
          <t>1st ed.</t>
        </is>
      </c>
      <c r="O1144" t="inlineStr">
        <is>
          <t>eng</t>
        </is>
      </c>
      <c r="P1144" t="inlineStr">
        <is>
          <t>nyu</t>
        </is>
      </c>
      <c r="R1144" t="inlineStr">
        <is>
          <t xml:space="preserve">HQ </t>
        </is>
      </c>
      <c r="S1144" t="n">
        <v>4</v>
      </c>
      <c r="T1144" t="n">
        <v>4</v>
      </c>
      <c r="U1144" t="inlineStr">
        <is>
          <t>1998-03-23</t>
        </is>
      </c>
      <c r="V1144" t="inlineStr">
        <is>
          <t>1998-03-23</t>
        </is>
      </c>
      <c r="W1144" t="inlineStr">
        <is>
          <t>1990-04-12</t>
        </is>
      </c>
      <c r="X1144" t="inlineStr">
        <is>
          <t>1990-04-12</t>
        </is>
      </c>
      <c r="Y1144" t="n">
        <v>1188</v>
      </c>
      <c r="Z1144" t="n">
        <v>1081</v>
      </c>
      <c r="AA1144" t="n">
        <v>1147</v>
      </c>
      <c r="AB1144" t="n">
        <v>6</v>
      </c>
      <c r="AC1144" t="n">
        <v>6</v>
      </c>
      <c r="AD1144" t="n">
        <v>32</v>
      </c>
      <c r="AE1144" t="n">
        <v>32</v>
      </c>
      <c r="AF1144" t="n">
        <v>13</v>
      </c>
      <c r="AG1144" t="n">
        <v>13</v>
      </c>
      <c r="AH1144" t="n">
        <v>9</v>
      </c>
      <c r="AI1144" t="n">
        <v>9</v>
      </c>
      <c r="AJ1144" t="n">
        <v>16</v>
      </c>
      <c r="AK1144" t="n">
        <v>16</v>
      </c>
      <c r="AL1144" t="n">
        <v>4</v>
      </c>
      <c r="AM1144" t="n">
        <v>4</v>
      </c>
      <c r="AN1144" t="n">
        <v>0</v>
      </c>
      <c r="AO1144" t="n">
        <v>0</v>
      </c>
      <c r="AP1144" t="inlineStr">
        <is>
          <t>No</t>
        </is>
      </c>
      <c r="AQ1144" t="inlineStr">
        <is>
          <t>Yes</t>
        </is>
      </c>
      <c r="AR1144">
        <f>HYPERLINK("http://catalog.hathitrust.org/Record/001843232","HathiTrust Record")</f>
        <v/>
      </c>
      <c r="AS1144">
        <f>HYPERLINK("https://creighton-primo.hosted.exlibrisgroup.com/primo-explore/search?tab=default_tab&amp;search_scope=EVERYTHING&amp;vid=01CRU&amp;lang=en_US&amp;offset=0&amp;query=any,contains,991001568279702656","Catalog Record")</f>
        <v/>
      </c>
      <c r="AT1144">
        <f>HYPERLINK("http://www.worldcat.org/oclc/20357026","WorldCat Record")</f>
        <v/>
      </c>
      <c r="AU1144" t="inlineStr">
        <is>
          <t>31229222:eng</t>
        </is>
      </c>
      <c r="AV1144" t="inlineStr">
        <is>
          <t>20357026</t>
        </is>
      </c>
      <c r="AW1144" t="inlineStr">
        <is>
          <t>991001568279702656</t>
        </is>
      </c>
      <c r="AX1144" t="inlineStr">
        <is>
          <t>991001568279702656</t>
        </is>
      </c>
      <c r="AY1144" t="inlineStr">
        <is>
          <t>2270361900002656</t>
        </is>
      </c>
      <c r="AZ1144" t="inlineStr">
        <is>
          <t>BOOK</t>
        </is>
      </c>
      <c r="BB1144" t="inlineStr">
        <is>
          <t>9780385247573</t>
        </is>
      </c>
      <c r="BC1144" t="inlineStr">
        <is>
          <t>32285000094754</t>
        </is>
      </c>
      <c r="BD1144" t="inlineStr">
        <is>
          <t>893897873</t>
        </is>
      </c>
    </row>
    <row r="1145">
      <c r="A1145" t="inlineStr">
        <is>
          <t>No</t>
        </is>
      </c>
      <c r="B1145" t="inlineStr">
        <is>
          <t>HQ1662 .L3</t>
        </is>
      </c>
      <c r="C1145" t="inlineStr">
        <is>
          <t>0                      HQ 1662000L  3</t>
        </is>
      </c>
      <c r="D1145" t="inlineStr">
        <is>
          <t>Women in Soviet society : equality, development, and social change / Gail Warshofsky Lapidus. --</t>
        </is>
      </c>
      <c r="F1145" t="inlineStr">
        <is>
          <t>No</t>
        </is>
      </c>
      <c r="G1145" t="inlineStr">
        <is>
          <t>1</t>
        </is>
      </c>
      <c r="H1145" t="inlineStr">
        <is>
          <t>No</t>
        </is>
      </c>
      <c r="I1145" t="inlineStr">
        <is>
          <t>No</t>
        </is>
      </c>
      <c r="J1145" t="inlineStr">
        <is>
          <t>0</t>
        </is>
      </c>
      <c r="K1145" t="inlineStr">
        <is>
          <t>Lapidus, Gail Warshofsky.</t>
        </is>
      </c>
      <c r="L1145" t="inlineStr">
        <is>
          <t>Berkeley, CA : University of California Press, 1978.</t>
        </is>
      </c>
      <c r="M1145" t="inlineStr">
        <is>
          <t>1978</t>
        </is>
      </c>
      <c r="O1145" t="inlineStr">
        <is>
          <t>eng</t>
        </is>
      </c>
      <c r="P1145" t="inlineStr">
        <is>
          <t>cau</t>
        </is>
      </c>
      <c r="R1145" t="inlineStr">
        <is>
          <t xml:space="preserve">HQ </t>
        </is>
      </c>
      <c r="S1145" t="n">
        <v>2</v>
      </c>
      <c r="T1145" t="n">
        <v>2</v>
      </c>
      <c r="U1145" t="inlineStr">
        <is>
          <t>2005-04-14</t>
        </is>
      </c>
      <c r="V1145" t="inlineStr">
        <is>
          <t>2005-04-14</t>
        </is>
      </c>
      <c r="W1145" t="inlineStr">
        <is>
          <t>1993-04-29</t>
        </is>
      </c>
      <c r="X1145" t="inlineStr">
        <is>
          <t>1993-04-29</t>
        </is>
      </c>
      <c r="Y1145" t="n">
        <v>974</v>
      </c>
      <c r="Z1145" t="n">
        <v>780</v>
      </c>
      <c r="AA1145" t="n">
        <v>792</v>
      </c>
      <c r="AB1145" t="n">
        <v>7</v>
      </c>
      <c r="AC1145" t="n">
        <v>7</v>
      </c>
      <c r="AD1145" t="n">
        <v>42</v>
      </c>
      <c r="AE1145" t="n">
        <v>42</v>
      </c>
      <c r="AF1145" t="n">
        <v>16</v>
      </c>
      <c r="AG1145" t="n">
        <v>16</v>
      </c>
      <c r="AH1145" t="n">
        <v>9</v>
      </c>
      <c r="AI1145" t="n">
        <v>9</v>
      </c>
      <c r="AJ1145" t="n">
        <v>19</v>
      </c>
      <c r="AK1145" t="n">
        <v>19</v>
      </c>
      <c r="AL1145" t="n">
        <v>6</v>
      </c>
      <c r="AM1145" t="n">
        <v>6</v>
      </c>
      <c r="AN1145" t="n">
        <v>1</v>
      </c>
      <c r="AO1145" t="n">
        <v>1</v>
      </c>
      <c r="AP1145" t="inlineStr">
        <is>
          <t>No</t>
        </is>
      </c>
      <c r="AQ1145" t="inlineStr">
        <is>
          <t>Yes</t>
        </is>
      </c>
      <c r="AR1145">
        <f>HYPERLINK("http://catalog.hathitrust.org/Record/000178044","HathiTrust Record")</f>
        <v/>
      </c>
      <c r="AS1145">
        <f>HYPERLINK("https://creighton-primo.hosted.exlibrisgroup.com/primo-explore/search?tab=default_tab&amp;search_scope=EVERYTHING&amp;vid=01CRU&amp;lang=en_US&amp;offset=0&amp;query=any,contains,991004576139702656","Catalog Record")</f>
        <v/>
      </c>
      <c r="AT1145">
        <f>HYPERLINK("http://www.worldcat.org/oclc/4040532","WorldCat Record")</f>
        <v/>
      </c>
      <c r="AU1145" t="inlineStr">
        <is>
          <t>34364435:eng</t>
        </is>
      </c>
      <c r="AV1145" t="inlineStr">
        <is>
          <t>4040532</t>
        </is>
      </c>
      <c r="AW1145" t="inlineStr">
        <is>
          <t>991004576139702656</t>
        </is>
      </c>
      <c r="AX1145" t="inlineStr">
        <is>
          <t>991004576139702656</t>
        </is>
      </c>
      <c r="AY1145" t="inlineStr">
        <is>
          <t>2271773590002656</t>
        </is>
      </c>
      <c r="AZ1145" t="inlineStr">
        <is>
          <t>BOOK</t>
        </is>
      </c>
      <c r="BB1145" t="inlineStr">
        <is>
          <t>9780520028685</t>
        </is>
      </c>
      <c r="BC1145" t="inlineStr">
        <is>
          <t>32285001631281</t>
        </is>
      </c>
      <c r="BD1145" t="inlineStr">
        <is>
          <t>893612516</t>
        </is>
      </c>
    </row>
    <row r="1146">
      <c r="A1146" t="inlineStr">
        <is>
          <t>No</t>
        </is>
      </c>
      <c r="B1146" t="inlineStr">
        <is>
          <t>HQ1662 .M367 2002</t>
        </is>
      </c>
      <c r="C1146" t="inlineStr">
        <is>
          <t>0                      HQ 1662000M  367         2002</t>
        </is>
      </c>
      <c r="D1146" t="inlineStr">
        <is>
          <t>A woman's kingdom : noblewomen and the control of property in Russia, 1700-1861 / Michelle Lamarche Marrese.</t>
        </is>
      </c>
      <c r="F1146" t="inlineStr">
        <is>
          <t>No</t>
        </is>
      </c>
      <c r="G1146" t="inlineStr">
        <is>
          <t>1</t>
        </is>
      </c>
      <c r="H1146" t="inlineStr">
        <is>
          <t>No</t>
        </is>
      </c>
      <c r="I1146" t="inlineStr">
        <is>
          <t>No</t>
        </is>
      </c>
      <c r="J1146" t="inlineStr">
        <is>
          <t>0</t>
        </is>
      </c>
      <c r="K1146" t="inlineStr">
        <is>
          <t>Marrese, Michelle Lamarche, 1964-2016.</t>
        </is>
      </c>
      <c r="L1146" t="inlineStr">
        <is>
          <t>Ithaca ; London : Cornell University Press, c2002.</t>
        </is>
      </c>
      <c r="M1146" t="inlineStr">
        <is>
          <t>2002</t>
        </is>
      </c>
      <c r="O1146" t="inlineStr">
        <is>
          <t>eng</t>
        </is>
      </c>
      <c r="P1146" t="inlineStr">
        <is>
          <t>nyu</t>
        </is>
      </c>
      <c r="R1146" t="inlineStr">
        <is>
          <t xml:space="preserve">HQ </t>
        </is>
      </c>
      <c r="S1146" t="n">
        <v>1</v>
      </c>
      <c r="T1146" t="n">
        <v>1</v>
      </c>
      <c r="U1146" t="inlineStr">
        <is>
          <t>2003-07-24</t>
        </is>
      </c>
      <c r="V1146" t="inlineStr">
        <is>
          <t>2003-07-24</t>
        </is>
      </c>
      <c r="W1146" t="inlineStr">
        <is>
          <t>2003-07-24</t>
        </is>
      </c>
      <c r="X1146" t="inlineStr">
        <is>
          <t>2003-07-24</t>
        </is>
      </c>
      <c r="Y1146" t="n">
        <v>425</v>
      </c>
      <c r="Z1146" t="n">
        <v>354</v>
      </c>
      <c r="AA1146" t="n">
        <v>543</v>
      </c>
      <c r="AB1146" t="n">
        <v>2</v>
      </c>
      <c r="AC1146" t="n">
        <v>3</v>
      </c>
      <c r="AD1146" t="n">
        <v>25</v>
      </c>
      <c r="AE1146" t="n">
        <v>34</v>
      </c>
      <c r="AF1146" t="n">
        <v>12</v>
      </c>
      <c r="AG1146" t="n">
        <v>15</v>
      </c>
      <c r="AH1146" t="n">
        <v>7</v>
      </c>
      <c r="AI1146" t="n">
        <v>9</v>
      </c>
      <c r="AJ1146" t="n">
        <v>14</v>
      </c>
      <c r="AK1146" t="n">
        <v>18</v>
      </c>
      <c r="AL1146" t="n">
        <v>1</v>
      </c>
      <c r="AM1146" t="n">
        <v>2</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HYPERLINK("https://creighton-primo.hosted.exlibrisgroup.com/primo-explore/search?tab=default_tab&amp;search_scope=EVERYTHING&amp;vid=01CRU&amp;lang=en_US&amp;offset=0&amp;query=any,contains,991004076109702656","Catalog Record")</f>
        <v/>
      </c>
      <c r="AT1146">
        <f>HYPERLINK("http://www.worldcat.org/oclc/48515570","WorldCat Record")</f>
        <v/>
      </c>
      <c r="AU1146" t="inlineStr">
        <is>
          <t>56042637:eng</t>
        </is>
      </c>
      <c r="AV1146" t="inlineStr">
        <is>
          <t>48515570</t>
        </is>
      </c>
      <c r="AW1146" t="inlineStr">
        <is>
          <t>991004076109702656</t>
        </is>
      </c>
      <c r="AX1146" t="inlineStr">
        <is>
          <t>991004076109702656</t>
        </is>
      </c>
      <c r="AY1146" t="inlineStr">
        <is>
          <t>2257161540002656</t>
        </is>
      </c>
      <c r="AZ1146" t="inlineStr">
        <is>
          <t>BOOK</t>
        </is>
      </c>
      <c r="BB1146" t="inlineStr">
        <is>
          <t>9780801439117</t>
        </is>
      </c>
      <c r="BC1146" t="inlineStr">
        <is>
          <t>32285004756796</t>
        </is>
      </c>
      <c r="BD1146" t="inlineStr">
        <is>
          <t>893429623</t>
        </is>
      </c>
    </row>
    <row r="1147">
      <c r="A1147" t="inlineStr">
        <is>
          <t>No</t>
        </is>
      </c>
      <c r="B1147" t="inlineStr">
        <is>
          <t>HQ1662.K6 C55</t>
        </is>
      </c>
      <c r="C1147" t="inlineStr">
        <is>
          <t>0                      HQ 1662000K  6                  C  55</t>
        </is>
      </c>
      <c r="D1147" t="inlineStr">
        <is>
          <t>Bolshevik feminist : the life of Aleksandra Kollontai / Barbara Evans Clements.</t>
        </is>
      </c>
      <c r="F1147" t="inlineStr">
        <is>
          <t>No</t>
        </is>
      </c>
      <c r="G1147" t="inlineStr">
        <is>
          <t>1</t>
        </is>
      </c>
      <c r="H1147" t="inlineStr">
        <is>
          <t>No</t>
        </is>
      </c>
      <c r="I1147" t="inlineStr">
        <is>
          <t>No</t>
        </is>
      </c>
      <c r="J1147" t="inlineStr">
        <is>
          <t>0</t>
        </is>
      </c>
      <c r="K1147" t="inlineStr">
        <is>
          <t>Clements, Barbara Evans, 1945-</t>
        </is>
      </c>
      <c r="L1147" t="inlineStr">
        <is>
          <t>Bloomington : Indiana University Press, c1979.</t>
        </is>
      </c>
      <c r="M1147" t="inlineStr">
        <is>
          <t>1979</t>
        </is>
      </c>
      <c r="O1147" t="inlineStr">
        <is>
          <t>eng</t>
        </is>
      </c>
      <c r="P1147" t="inlineStr">
        <is>
          <t>inu</t>
        </is>
      </c>
      <c r="R1147" t="inlineStr">
        <is>
          <t xml:space="preserve">HQ </t>
        </is>
      </c>
      <c r="S1147" t="n">
        <v>3</v>
      </c>
      <c r="T1147" t="n">
        <v>3</v>
      </c>
      <c r="U1147" t="inlineStr">
        <is>
          <t>2005-04-14</t>
        </is>
      </c>
      <c r="V1147" t="inlineStr">
        <is>
          <t>2005-04-14</t>
        </is>
      </c>
      <c r="W1147" t="inlineStr">
        <is>
          <t>1993-04-29</t>
        </is>
      </c>
      <c r="X1147" t="inlineStr">
        <is>
          <t>1993-04-29</t>
        </is>
      </c>
      <c r="Y1147" t="n">
        <v>757</v>
      </c>
      <c r="Z1147" t="n">
        <v>628</v>
      </c>
      <c r="AA1147" t="n">
        <v>640</v>
      </c>
      <c r="AB1147" t="n">
        <v>6</v>
      </c>
      <c r="AC1147" t="n">
        <v>6</v>
      </c>
      <c r="AD1147" t="n">
        <v>34</v>
      </c>
      <c r="AE1147" t="n">
        <v>35</v>
      </c>
      <c r="AF1147" t="n">
        <v>14</v>
      </c>
      <c r="AG1147" t="n">
        <v>14</v>
      </c>
      <c r="AH1147" t="n">
        <v>8</v>
      </c>
      <c r="AI1147" t="n">
        <v>9</v>
      </c>
      <c r="AJ1147" t="n">
        <v>18</v>
      </c>
      <c r="AK1147" t="n">
        <v>19</v>
      </c>
      <c r="AL1147" t="n">
        <v>4</v>
      </c>
      <c r="AM1147" t="n">
        <v>4</v>
      </c>
      <c r="AN1147" t="n">
        <v>0</v>
      </c>
      <c r="AO1147" t="n">
        <v>0</v>
      </c>
      <c r="AP1147" t="inlineStr">
        <is>
          <t>No</t>
        </is>
      </c>
      <c r="AQ1147" t="inlineStr">
        <is>
          <t>Yes</t>
        </is>
      </c>
      <c r="AR1147">
        <f>HYPERLINK("http://catalog.hathitrust.org/Record/000137316","HathiTrust Record")</f>
        <v/>
      </c>
      <c r="AS1147">
        <f>HYPERLINK("https://creighton-primo.hosted.exlibrisgroup.com/primo-explore/search?tab=default_tab&amp;search_scope=EVERYTHING&amp;vid=01CRU&amp;lang=en_US&amp;offset=0&amp;query=any,contains,991004541269702656","Catalog Record")</f>
        <v/>
      </c>
      <c r="AT1147">
        <f>HYPERLINK("http://www.worldcat.org/oclc/3893845","WorldCat Record")</f>
        <v/>
      </c>
      <c r="AU1147" t="inlineStr">
        <is>
          <t>421617:eng</t>
        </is>
      </c>
      <c r="AV1147" t="inlineStr">
        <is>
          <t>3893845</t>
        </is>
      </c>
      <c r="AW1147" t="inlineStr">
        <is>
          <t>991004541269702656</t>
        </is>
      </c>
      <c r="AX1147" t="inlineStr">
        <is>
          <t>991004541269702656</t>
        </is>
      </c>
      <c r="AY1147" t="inlineStr">
        <is>
          <t>2271890240002656</t>
        </is>
      </c>
      <c r="AZ1147" t="inlineStr">
        <is>
          <t>BOOK</t>
        </is>
      </c>
      <c r="BB1147" t="inlineStr">
        <is>
          <t>9780253312099</t>
        </is>
      </c>
      <c r="BC1147" t="inlineStr">
        <is>
          <t>32285001631273</t>
        </is>
      </c>
      <c r="BD1147" t="inlineStr">
        <is>
          <t>893694060</t>
        </is>
      </c>
    </row>
    <row r="1148">
      <c r="A1148" t="inlineStr">
        <is>
          <t>No</t>
        </is>
      </c>
      <c r="B1148" t="inlineStr">
        <is>
          <t>HQ1663 .W63 1984</t>
        </is>
      </c>
      <c r="C1148" t="inlineStr">
        <is>
          <t>0                      HQ 1663000W  63          1984</t>
        </is>
      </c>
      <c r="D1148" t="inlineStr">
        <is>
          <t>Women and Russia : feminist writings from the Soviet Union / Tatyana Mamonova, editor, with the assistance of Sarah Matilsky ; translated by Rebecca Park and Catherine A. Fitzpatrick ; foreword by Robin Morgan.</t>
        </is>
      </c>
      <c r="F1148" t="inlineStr">
        <is>
          <t>No</t>
        </is>
      </c>
      <c r="G1148" t="inlineStr">
        <is>
          <t>1</t>
        </is>
      </c>
      <c r="H1148" t="inlineStr">
        <is>
          <t>No</t>
        </is>
      </c>
      <c r="I1148" t="inlineStr">
        <is>
          <t>No</t>
        </is>
      </c>
      <c r="J1148" t="inlineStr">
        <is>
          <t>0</t>
        </is>
      </c>
      <c r="L1148" t="inlineStr">
        <is>
          <t>Boston : Beacon Press, c1984.</t>
        </is>
      </c>
      <c r="M1148" t="inlineStr">
        <is>
          <t>1984</t>
        </is>
      </c>
      <c r="O1148" t="inlineStr">
        <is>
          <t>eng</t>
        </is>
      </c>
      <c r="P1148" t="inlineStr">
        <is>
          <t>mau</t>
        </is>
      </c>
      <c r="R1148" t="inlineStr">
        <is>
          <t xml:space="preserve">HQ </t>
        </is>
      </c>
      <c r="S1148" t="n">
        <v>5</v>
      </c>
      <c r="T1148" t="n">
        <v>5</v>
      </c>
      <c r="U1148" t="inlineStr">
        <is>
          <t>1997-04-14</t>
        </is>
      </c>
      <c r="V1148" t="inlineStr">
        <is>
          <t>1997-04-14</t>
        </is>
      </c>
      <c r="W1148" t="inlineStr">
        <is>
          <t>1993-04-29</t>
        </is>
      </c>
      <c r="X1148" t="inlineStr">
        <is>
          <t>1993-04-29</t>
        </is>
      </c>
      <c r="Y1148" t="n">
        <v>829</v>
      </c>
      <c r="Z1148" t="n">
        <v>739</v>
      </c>
      <c r="AA1148" t="n">
        <v>750</v>
      </c>
      <c r="AB1148" t="n">
        <v>7</v>
      </c>
      <c r="AC1148" t="n">
        <v>7</v>
      </c>
      <c r="AD1148" t="n">
        <v>30</v>
      </c>
      <c r="AE1148" t="n">
        <v>31</v>
      </c>
      <c r="AF1148" t="n">
        <v>11</v>
      </c>
      <c r="AG1148" t="n">
        <v>12</v>
      </c>
      <c r="AH1148" t="n">
        <v>7</v>
      </c>
      <c r="AI1148" t="n">
        <v>7</v>
      </c>
      <c r="AJ1148" t="n">
        <v>14</v>
      </c>
      <c r="AK1148" t="n">
        <v>15</v>
      </c>
      <c r="AL1148" t="n">
        <v>6</v>
      </c>
      <c r="AM1148" t="n">
        <v>6</v>
      </c>
      <c r="AN1148" t="n">
        <v>0</v>
      </c>
      <c r="AO1148" t="n">
        <v>0</v>
      </c>
      <c r="AP1148" t="inlineStr">
        <is>
          <t>No</t>
        </is>
      </c>
      <c r="AQ1148" t="inlineStr">
        <is>
          <t>Yes</t>
        </is>
      </c>
      <c r="AR1148">
        <f>HYPERLINK("http://catalog.hathitrust.org/Record/000291003","HathiTrust Record")</f>
        <v/>
      </c>
      <c r="AS1148">
        <f>HYPERLINK("https://creighton-primo.hosted.exlibrisgroup.com/primo-explore/search?tab=default_tab&amp;search_scope=EVERYTHING&amp;vid=01CRU&amp;lang=en_US&amp;offset=0&amp;query=any,contains,991000291269702656","Catalog Record")</f>
        <v/>
      </c>
      <c r="AT1148">
        <f>HYPERLINK("http://www.worldcat.org/oclc/9969781","WorldCat Record")</f>
        <v/>
      </c>
      <c r="AU1148" t="inlineStr">
        <is>
          <t>836681621:eng</t>
        </is>
      </c>
      <c r="AV1148" t="inlineStr">
        <is>
          <t>9969781</t>
        </is>
      </c>
      <c r="AW1148" t="inlineStr">
        <is>
          <t>991000291269702656</t>
        </is>
      </c>
      <c r="AX1148" t="inlineStr">
        <is>
          <t>991000291269702656</t>
        </is>
      </c>
      <c r="AY1148" t="inlineStr">
        <is>
          <t>2265726080002656</t>
        </is>
      </c>
      <c r="AZ1148" t="inlineStr">
        <is>
          <t>BOOK</t>
        </is>
      </c>
      <c r="BB1148" t="inlineStr">
        <is>
          <t>9780807067086</t>
        </is>
      </c>
      <c r="BC1148" t="inlineStr">
        <is>
          <t>32285001631307</t>
        </is>
      </c>
      <c r="BD1148" t="inlineStr">
        <is>
          <t>893771526</t>
        </is>
      </c>
    </row>
    <row r="1149">
      <c r="A1149" t="inlineStr">
        <is>
          <t>No</t>
        </is>
      </c>
      <c r="B1149" t="inlineStr">
        <is>
          <t>HQ1665.15 .P87 1997</t>
        </is>
      </c>
      <c r="C1149" t="inlineStr">
        <is>
          <t>0                      HQ 1665150P  87          1997</t>
        </is>
      </c>
      <c r="D1149" t="inlineStr">
        <is>
          <t>Women in Russian history : from the tenth to the twentieth century / by Natalia Pushkareva ; translated and edited by Eve Levin.</t>
        </is>
      </c>
      <c r="F1149" t="inlineStr">
        <is>
          <t>No</t>
        </is>
      </c>
      <c r="G1149" t="inlineStr">
        <is>
          <t>1</t>
        </is>
      </c>
      <c r="H1149" t="inlineStr">
        <is>
          <t>No</t>
        </is>
      </c>
      <c r="I1149" t="inlineStr">
        <is>
          <t>No</t>
        </is>
      </c>
      <c r="J1149" t="inlineStr">
        <is>
          <t>0</t>
        </is>
      </c>
      <c r="K1149" t="inlineStr">
        <is>
          <t>Pushkareva, N. L. (Natalʹi︠a︡ Lʹvovna)</t>
        </is>
      </c>
      <c r="L1149" t="inlineStr">
        <is>
          <t>Armonk, N.Y. : M.E. Sharpe, 1997.</t>
        </is>
      </c>
      <c r="M1149" t="inlineStr">
        <is>
          <t>1997</t>
        </is>
      </c>
      <c r="O1149" t="inlineStr">
        <is>
          <t>eng</t>
        </is>
      </c>
      <c r="P1149" t="inlineStr">
        <is>
          <t>nyu</t>
        </is>
      </c>
      <c r="Q1149" t="inlineStr">
        <is>
          <t>The New Russian history</t>
        </is>
      </c>
      <c r="R1149" t="inlineStr">
        <is>
          <t xml:space="preserve">HQ </t>
        </is>
      </c>
      <c r="S1149" t="n">
        <v>4</v>
      </c>
      <c r="T1149" t="n">
        <v>4</v>
      </c>
      <c r="U1149" t="inlineStr">
        <is>
          <t>2000-10-04</t>
        </is>
      </c>
      <c r="V1149" t="inlineStr">
        <is>
          <t>2000-10-04</t>
        </is>
      </c>
      <c r="W1149" t="inlineStr">
        <is>
          <t>1997-07-16</t>
        </is>
      </c>
      <c r="X1149" t="inlineStr">
        <is>
          <t>1997-07-16</t>
        </is>
      </c>
      <c r="Y1149" t="n">
        <v>611</v>
      </c>
      <c r="Z1149" t="n">
        <v>513</v>
      </c>
      <c r="AA1149" t="n">
        <v>1294</v>
      </c>
      <c r="AB1149" t="n">
        <v>5</v>
      </c>
      <c r="AC1149" t="n">
        <v>8</v>
      </c>
      <c r="AD1149" t="n">
        <v>27</v>
      </c>
      <c r="AE1149" t="n">
        <v>37</v>
      </c>
      <c r="AF1149" t="n">
        <v>12</v>
      </c>
      <c r="AG1149" t="n">
        <v>17</v>
      </c>
      <c r="AH1149" t="n">
        <v>4</v>
      </c>
      <c r="AI1149" t="n">
        <v>6</v>
      </c>
      <c r="AJ1149" t="n">
        <v>12</v>
      </c>
      <c r="AK1149" t="n">
        <v>14</v>
      </c>
      <c r="AL1149" t="n">
        <v>4</v>
      </c>
      <c r="AM1149" t="n">
        <v>7</v>
      </c>
      <c r="AN1149" t="n">
        <v>0</v>
      </c>
      <c r="AO1149" t="n">
        <v>0</v>
      </c>
      <c r="AP1149" t="inlineStr">
        <is>
          <t>No</t>
        </is>
      </c>
      <c r="AQ1149" t="inlineStr">
        <is>
          <t>Yes</t>
        </is>
      </c>
      <c r="AR1149">
        <f>HYPERLINK("http://catalog.hathitrust.org/Record/003144180","HathiTrust Record")</f>
        <v/>
      </c>
      <c r="AS1149">
        <f>HYPERLINK("https://creighton-primo.hosted.exlibrisgroup.com/primo-explore/search?tab=default_tab&amp;search_scope=EVERYTHING&amp;vid=01CRU&amp;lang=en_US&amp;offset=0&amp;query=any,contains,991002691809702656","Catalog Record")</f>
        <v/>
      </c>
      <c r="AT1149">
        <f>HYPERLINK("http://www.worldcat.org/oclc/35159211","WorldCat Record")</f>
        <v/>
      </c>
      <c r="AU1149" t="inlineStr">
        <is>
          <t>796415986:eng</t>
        </is>
      </c>
      <c r="AV1149" t="inlineStr">
        <is>
          <t>35159211</t>
        </is>
      </c>
      <c r="AW1149" t="inlineStr">
        <is>
          <t>991002691809702656</t>
        </is>
      </c>
      <c r="AX1149" t="inlineStr">
        <is>
          <t>991002691809702656</t>
        </is>
      </c>
      <c r="AY1149" t="inlineStr">
        <is>
          <t>2262346980002656</t>
        </is>
      </c>
      <c r="AZ1149" t="inlineStr">
        <is>
          <t>BOOK</t>
        </is>
      </c>
      <c r="BB1149" t="inlineStr">
        <is>
          <t>9781563247972</t>
        </is>
      </c>
      <c r="BC1149" t="inlineStr">
        <is>
          <t>32285002882453</t>
        </is>
      </c>
      <c r="BD1149" t="inlineStr">
        <is>
          <t>893792792</t>
        </is>
      </c>
    </row>
    <row r="1150">
      <c r="A1150" t="inlineStr">
        <is>
          <t>No</t>
        </is>
      </c>
      <c r="B1150" t="inlineStr">
        <is>
          <t>HQ1665.M6 S2513 1983</t>
        </is>
      </c>
      <c r="C1150" t="inlineStr">
        <is>
          <t>0                      HQ 1665000M  6                  S  2513        1983</t>
        </is>
      </c>
      <c r="D1150" t="inlineStr">
        <is>
          <t>Moscow women : thirteen interviews / by Carola Hansson and Karin Liden ; translated by Gerry Bothmer, George Blecher, and Lone Blecher ; introduction by Gail Warshofsky Lapidus.</t>
        </is>
      </c>
      <c r="F1150" t="inlineStr">
        <is>
          <t>No</t>
        </is>
      </c>
      <c r="G1150" t="inlineStr">
        <is>
          <t>1</t>
        </is>
      </c>
      <c r="H1150" t="inlineStr">
        <is>
          <t>No</t>
        </is>
      </c>
      <c r="I1150" t="inlineStr">
        <is>
          <t>No</t>
        </is>
      </c>
      <c r="J1150" t="inlineStr">
        <is>
          <t>0</t>
        </is>
      </c>
      <c r="K1150" t="inlineStr">
        <is>
          <t>Samtal med kvinnor i Moskva. English.</t>
        </is>
      </c>
      <c r="L1150" t="inlineStr">
        <is>
          <t>New York : Pantheon, c1983.</t>
        </is>
      </c>
      <c r="M1150" t="inlineStr">
        <is>
          <t>1983</t>
        </is>
      </c>
      <c r="N1150" t="inlineStr">
        <is>
          <t>1st American ed.</t>
        </is>
      </c>
      <c r="O1150" t="inlineStr">
        <is>
          <t>eng</t>
        </is>
      </c>
      <c r="P1150" t="inlineStr">
        <is>
          <t>nyu</t>
        </is>
      </c>
      <c r="R1150" t="inlineStr">
        <is>
          <t xml:space="preserve">HQ </t>
        </is>
      </c>
      <c r="S1150" t="n">
        <v>2</v>
      </c>
      <c r="T1150" t="n">
        <v>2</v>
      </c>
      <c r="U1150" t="inlineStr">
        <is>
          <t>1997-04-14</t>
        </is>
      </c>
      <c r="V1150" t="inlineStr">
        <is>
          <t>1997-04-14</t>
        </is>
      </c>
      <c r="W1150" t="inlineStr">
        <is>
          <t>1993-04-29</t>
        </is>
      </c>
      <c r="X1150" t="inlineStr">
        <is>
          <t>1993-04-29</t>
        </is>
      </c>
      <c r="Y1150" t="n">
        <v>733</v>
      </c>
      <c r="Z1150" t="n">
        <v>660</v>
      </c>
      <c r="AA1150" t="n">
        <v>677</v>
      </c>
      <c r="AB1150" t="n">
        <v>5</v>
      </c>
      <c r="AC1150" t="n">
        <v>5</v>
      </c>
      <c r="AD1150" t="n">
        <v>25</v>
      </c>
      <c r="AE1150" t="n">
        <v>25</v>
      </c>
      <c r="AF1150" t="n">
        <v>8</v>
      </c>
      <c r="AG1150" t="n">
        <v>8</v>
      </c>
      <c r="AH1150" t="n">
        <v>5</v>
      </c>
      <c r="AI1150" t="n">
        <v>5</v>
      </c>
      <c r="AJ1150" t="n">
        <v>13</v>
      </c>
      <c r="AK1150" t="n">
        <v>13</v>
      </c>
      <c r="AL1150" t="n">
        <v>4</v>
      </c>
      <c r="AM1150" t="n">
        <v>4</v>
      </c>
      <c r="AN1150" t="n">
        <v>0</v>
      </c>
      <c r="AO1150" t="n">
        <v>0</v>
      </c>
      <c r="AP1150" t="inlineStr">
        <is>
          <t>No</t>
        </is>
      </c>
      <c r="AQ1150" t="inlineStr">
        <is>
          <t>Yes</t>
        </is>
      </c>
      <c r="AR1150">
        <f>HYPERLINK("http://catalog.hathitrust.org/Record/000236172","HathiTrust Record")</f>
        <v/>
      </c>
      <c r="AS1150">
        <f>HYPERLINK("https://creighton-primo.hosted.exlibrisgroup.com/primo-explore/search?tab=default_tab&amp;search_scope=EVERYTHING&amp;vid=01CRU&amp;lang=en_US&amp;offset=0&amp;query=any,contains,991000086639702656","Catalog Record")</f>
        <v/>
      </c>
      <c r="AT1150">
        <f>HYPERLINK("http://www.worldcat.org/oclc/8866469","WorldCat Record")</f>
        <v/>
      </c>
      <c r="AU1150" t="inlineStr">
        <is>
          <t>54527326:eng</t>
        </is>
      </c>
      <c r="AV1150" t="inlineStr">
        <is>
          <t>8866469</t>
        </is>
      </c>
      <c r="AW1150" t="inlineStr">
        <is>
          <t>991000086639702656</t>
        </is>
      </c>
      <c r="AX1150" t="inlineStr">
        <is>
          <t>991000086639702656</t>
        </is>
      </c>
      <c r="AY1150" t="inlineStr">
        <is>
          <t>2262484460002656</t>
        </is>
      </c>
      <c r="AZ1150" t="inlineStr">
        <is>
          <t>BOOK</t>
        </is>
      </c>
      <c r="BB1150" t="inlineStr">
        <is>
          <t>9780394714912</t>
        </is>
      </c>
      <c r="BC1150" t="inlineStr">
        <is>
          <t>32285001631315</t>
        </is>
      </c>
      <c r="BD1150" t="inlineStr">
        <is>
          <t>893771363</t>
        </is>
      </c>
    </row>
    <row r="1151">
      <c r="A1151" t="inlineStr">
        <is>
          <t>No</t>
        </is>
      </c>
      <c r="B1151" t="inlineStr">
        <is>
          <t>HQ1667 .H47 1987</t>
        </is>
      </c>
      <c r="C1151" t="inlineStr">
        <is>
          <t>0                      HQ 1667000H  47          1987</t>
        </is>
      </c>
      <c r="D1151" t="inlineStr">
        <is>
          <t>Welfare state and woman power : essays in state feminism / Helga Maria Hernes.</t>
        </is>
      </c>
      <c r="F1151" t="inlineStr">
        <is>
          <t>No</t>
        </is>
      </c>
      <c r="G1151" t="inlineStr">
        <is>
          <t>1</t>
        </is>
      </c>
      <c r="H1151" t="inlineStr">
        <is>
          <t>No</t>
        </is>
      </c>
      <c r="I1151" t="inlineStr">
        <is>
          <t>No</t>
        </is>
      </c>
      <c r="J1151" t="inlineStr">
        <is>
          <t>0</t>
        </is>
      </c>
      <c r="K1151" t="inlineStr">
        <is>
          <t>Hernes, Helga Maria.</t>
        </is>
      </c>
      <c r="L1151" t="inlineStr">
        <is>
          <t>Oslo : Norwegian University Press ; Oxford : Oxford University Press [distributor], 1987.</t>
        </is>
      </c>
      <c r="M1151" t="inlineStr">
        <is>
          <t>1987</t>
        </is>
      </c>
      <c r="O1151" t="inlineStr">
        <is>
          <t>eng</t>
        </is>
      </c>
      <c r="P1151" t="inlineStr">
        <is>
          <t>enk</t>
        </is>
      </c>
      <c r="Q1151" t="inlineStr">
        <is>
          <t>Scandinavian library</t>
        </is>
      </c>
      <c r="R1151" t="inlineStr">
        <is>
          <t xml:space="preserve">HQ </t>
        </is>
      </c>
      <c r="S1151" t="n">
        <v>2</v>
      </c>
      <c r="T1151" t="n">
        <v>2</v>
      </c>
      <c r="U1151" t="inlineStr">
        <is>
          <t>1996-02-20</t>
        </is>
      </c>
      <c r="V1151" t="inlineStr">
        <is>
          <t>1996-02-20</t>
        </is>
      </c>
      <c r="W1151" t="inlineStr">
        <is>
          <t>1993-04-29</t>
        </is>
      </c>
      <c r="X1151" t="inlineStr">
        <is>
          <t>1993-04-29</t>
        </is>
      </c>
      <c r="Y1151" t="n">
        <v>253</v>
      </c>
      <c r="Z1151" t="n">
        <v>160</v>
      </c>
      <c r="AA1151" t="n">
        <v>165</v>
      </c>
      <c r="AB1151" t="n">
        <v>2</v>
      </c>
      <c r="AC1151" t="n">
        <v>2</v>
      </c>
      <c r="AD1151" t="n">
        <v>4</v>
      </c>
      <c r="AE1151" t="n">
        <v>4</v>
      </c>
      <c r="AF1151" t="n">
        <v>0</v>
      </c>
      <c r="AG1151" t="n">
        <v>0</v>
      </c>
      <c r="AH1151" t="n">
        <v>2</v>
      </c>
      <c r="AI1151" t="n">
        <v>2</v>
      </c>
      <c r="AJ1151" t="n">
        <v>2</v>
      </c>
      <c r="AK1151" t="n">
        <v>2</v>
      </c>
      <c r="AL1151" t="n">
        <v>1</v>
      </c>
      <c r="AM1151" t="n">
        <v>1</v>
      </c>
      <c r="AN1151" t="n">
        <v>0</v>
      </c>
      <c r="AO1151" t="n">
        <v>0</v>
      </c>
      <c r="AP1151" t="inlineStr">
        <is>
          <t>No</t>
        </is>
      </c>
      <c r="AQ1151" t="inlineStr">
        <is>
          <t>Yes</t>
        </is>
      </c>
      <c r="AR1151">
        <f>HYPERLINK("http://catalog.hathitrust.org/Record/000912427","HathiTrust Record")</f>
        <v/>
      </c>
      <c r="AS1151">
        <f>HYPERLINK("https://creighton-primo.hosted.exlibrisgroup.com/primo-explore/search?tab=default_tab&amp;search_scope=EVERYTHING&amp;vid=01CRU&amp;lang=en_US&amp;offset=0&amp;query=any,contains,991001194129702656","Catalog Record")</f>
        <v/>
      </c>
      <c r="AT1151">
        <f>HYPERLINK("http://www.worldcat.org/oclc/20798348","WorldCat Record")</f>
        <v/>
      </c>
      <c r="AU1151" t="inlineStr">
        <is>
          <t>793897744:eng</t>
        </is>
      </c>
      <c r="AV1151" t="inlineStr">
        <is>
          <t>20798348</t>
        </is>
      </c>
      <c r="AW1151" t="inlineStr">
        <is>
          <t>991001194129702656</t>
        </is>
      </c>
      <c r="AX1151" t="inlineStr">
        <is>
          <t>991001194129702656</t>
        </is>
      </c>
      <c r="AY1151" t="inlineStr">
        <is>
          <t>2261997740002656</t>
        </is>
      </c>
      <c r="AZ1151" t="inlineStr">
        <is>
          <t>BOOK</t>
        </is>
      </c>
      <c r="BB1151" t="inlineStr">
        <is>
          <t>9788200184959</t>
        </is>
      </c>
      <c r="BC1151" t="inlineStr">
        <is>
          <t>32285001631323</t>
        </is>
      </c>
      <c r="BD1151" t="inlineStr">
        <is>
          <t>893878709</t>
        </is>
      </c>
    </row>
    <row r="1152">
      <c r="A1152" t="inlineStr">
        <is>
          <t>No</t>
        </is>
      </c>
      <c r="B1152" t="inlineStr">
        <is>
          <t>HQ1715.5.Z8 C79 1989</t>
        </is>
      </c>
      <c r="C1152" t="inlineStr">
        <is>
          <t>0                      HQ 1715500Z  8                  C  79          1989</t>
        </is>
      </c>
      <c r="D1152" t="inlineStr">
        <is>
          <t>Carrying the farm on her back : a portrait of women in a Yugoslav village / by Eva Sköld Westerlind.</t>
        </is>
      </c>
      <c r="F1152" t="inlineStr">
        <is>
          <t>No</t>
        </is>
      </c>
      <c r="G1152" t="inlineStr">
        <is>
          <t>1</t>
        </is>
      </c>
      <c r="H1152" t="inlineStr">
        <is>
          <t>No</t>
        </is>
      </c>
      <c r="I1152" t="inlineStr">
        <is>
          <t>No</t>
        </is>
      </c>
      <c r="J1152" t="inlineStr">
        <is>
          <t>0</t>
        </is>
      </c>
      <c r="K1152" t="inlineStr">
        <is>
          <t>Westerlind, Eva Sköld.</t>
        </is>
      </c>
      <c r="L1152" t="inlineStr">
        <is>
          <t>Kirkland, Wash. : Rainer Books, c1989.</t>
        </is>
      </c>
      <c r="M1152" t="inlineStr">
        <is>
          <t>1989</t>
        </is>
      </c>
      <c r="O1152" t="inlineStr">
        <is>
          <t>eng</t>
        </is>
      </c>
      <c r="P1152" t="inlineStr">
        <is>
          <t>wau</t>
        </is>
      </c>
      <c r="R1152" t="inlineStr">
        <is>
          <t xml:space="preserve">HQ </t>
        </is>
      </c>
      <c r="S1152" t="n">
        <v>3</v>
      </c>
      <c r="T1152" t="n">
        <v>3</v>
      </c>
      <c r="U1152" t="inlineStr">
        <is>
          <t>1999-05-05</t>
        </is>
      </c>
      <c r="V1152" t="inlineStr">
        <is>
          <t>1999-05-05</t>
        </is>
      </c>
      <c r="W1152" t="inlineStr">
        <is>
          <t>1990-06-04</t>
        </is>
      </c>
      <c r="X1152" t="inlineStr">
        <is>
          <t>1990-06-04</t>
        </is>
      </c>
      <c r="Y1152" t="n">
        <v>106</v>
      </c>
      <c r="Z1152" t="n">
        <v>91</v>
      </c>
      <c r="AA1152" t="n">
        <v>97</v>
      </c>
      <c r="AB1152" t="n">
        <v>1</v>
      </c>
      <c r="AC1152" t="n">
        <v>1</v>
      </c>
      <c r="AD1152" t="n">
        <v>1</v>
      </c>
      <c r="AE1152" t="n">
        <v>1</v>
      </c>
      <c r="AF1152" t="n">
        <v>1</v>
      </c>
      <c r="AG1152" t="n">
        <v>1</v>
      </c>
      <c r="AH1152" t="n">
        <v>0</v>
      </c>
      <c r="AI1152" t="n">
        <v>0</v>
      </c>
      <c r="AJ1152" t="n">
        <v>1</v>
      </c>
      <c r="AK1152" t="n">
        <v>1</v>
      </c>
      <c r="AL1152" t="n">
        <v>0</v>
      </c>
      <c r="AM1152" t="n">
        <v>0</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HYPERLINK("https://creighton-primo.hosted.exlibrisgroup.com/primo-explore/search?tab=default_tab&amp;search_scope=EVERYTHING&amp;vid=01CRU&amp;lang=en_US&amp;offset=0&amp;query=any,contains,991001566039702656","Catalog Record")</f>
        <v/>
      </c>
      <c r="AT1152">
        <f>HYPERLINK("http://www.worldcat.org/oclc/20336389","WorldCat Record")</f>
        <v/>
      </c>
      <c r="AU1152" t="inlineStr">
        <is>
          <t>22543463:eng</t>
        </is>
      </c>
      <c r="AV1152" t="inlineStr">
        <is>
          <t>20336389</t>
        </is>
      </c>
      <c r="AW1152" t="inlineStr">
        <is>
          <t>991001566039702656</t>
        </is>
      </c>
      <c r="AX1152" t="inlineStr">
        <is>
          <t>991001566039702656</t>
        </is>
      </c>
      <c r="AY1152" t="inlineStr">
        <is>
          <t>2256002340002656</t>
        </is>
      </c>
      <c r="AZ1152" t="inlineStr">
        <is>
          <t>BOOK</t>
        </is>
      </c>
      <c r="BB1152" t="inlineStr">
        <is>
          <t>9780962193484</t>
        </is>
      </c>
      <c r="BC1152" t="inlineStr">
        <is>
          <t>32285000158120</t>
        </is>
      </c>
      <c r="BD1152" t="inlineStr">
        <is>
          <t>893414321</t>
        </is>
      </c>
    </row>
    <row r="1153">
      <c r="A1153" t="inlineStr">
        <is>
          <t>No</t>
        </is>
      </c>
      <c r="B1153" t="inlineStr">
        <is>
          <t>HQ1726 .A84</t>
        </is>
      </c>
      <c r="C1153" t="inlineStr">
        <is>
          <t>0                      HQ 1726000A  84</t>
        </is>
      </c>
      <c r="D1153" t="inlineStr">
        <is>
          <t>Asian women in transition / Sylvia A. Chipp and Justin J. Green, editors.</t>
        </is>
      </c>
      <c r="F1153" t="inlineStr">
        <is>
          <t>No</t>
        </is>
      </c>
      <c r="G1153" t="inlineStr">
        <is>
          <t>1</t>
        </is>
      </c>
      <c r="H1153" t="inlineStr">
        <is>
          <t>No</t>
        </is>
      </c>
      <c r="I1153" t="inlineStr">
        <is>
          <t>No</t>
        </is>
      </c>
      <c r="J1153" t="inlineStr">
        <is>
          <t>0</t>
        </is>
      </c>
      <c r="L1153" t="inlineStr">
        <is>
          <t>University Park : Pennsylvania State University Press, c1980.</t>
        </is>
      </c>
      <c r="M1153" t="inlineStr">
        <is>
          <t>1980</t>
        </is>
      </c>
      <c r="O1153" t="inlineStr">
        <is>
          <t>eng</t>
        </is>
      </c>
      <c r="P1153" t="inlineStr">
        <is>
          <t>pau</t>
        </is>
      </c>
      <c r="R1153" t="inlineStr">
        <is>
          <t xml:space="preserve">HQ </t>
        </is>
      </c>
      <c r="S1153" t="n">
        <v>13</v>
      </c>
      <c r="T1153" t="n">
        <v>13</v>
      </c>
      <c r="U1153" t="inlineStr">
        <is>
          <t>2005-11-27</t>
        </is>
      </c>
      <c r="V1153" t="inlineStr">
        <is>
          <t>2005-11-27</t>
        </is>
      </c>
      <c r="W1153" t="inlineStr">
        <is>
          <t>1993-04-29</t>
        </is>
      </c>
      <c r="X1153" t="inlineStr">
        <is>
          <t>1993-04-29</t>
        </is>
      </c>
      <c r="Y1153" t="n">
        <v>536</v>
      </c>
      <c r="Z1153" t="n">
        <v>404</v>
      </c>
      <c r="AA1153" t="n">
        <v>421</v>
      </c>
      <c r="AB1153" t="n">
        <v>2</v>
      </c>
      <c r="AC1153" t="n">
        <v>2</v>
      </c>
      <c r="AD1153" t="n">
        <v>11</v>
      </c>
      <c r="AE1153" t="n">
        <v>13</v>
      </c>
      <c r="AF1153" t="n">
        <v>3</v>
      </c>
      <c r="AG1153" t="n">
        <v>4</v>
      </c>
      <c r="AH1153" t="n">
        <v>3</v>
      </c>
      <c r="AI1153" t="n">
        <v>4</v>
      </c>
      <c r="AJ1153" t="n">
        <v>6</v>
      </c>
      <c r="AK1153" t="n">
        <v>6</v>
      </c>
      <c r="AL1153" t="n">
        <v>1</v>
      </c>
      <c r="AM1153" t="n">
        <v>1</v>
      </c>
      <c r="AN1153" t="n">
        <v>0</v>
      </c>
      <c r="AO1153" t="n">
        <v>0</v>
      </c>
      <c r="AP1153" t="inlineStr">
        <is>
          <t>No</t>
        </is>
      </c>
      <c r="AQ1153" t="inlineStr">
        <is>
          <t>Yes</t>
        </is>
      </c>
      <c r="AR1153">
        <f>HYPERLINK("http://catalog.hathitrust.org/Record/000686031","HathiTrust Record")</f>
        <v/>
      </c>
      <c r="AS1153">
        <f>HYPERLINK("https://creighton-primo.hosted.exlibrisgroup.com/primo-explore/search?tab=default_tab&amp;search_scope=EVERYTHING&amp;vid=01CRU&amp;lang=en_US&amp;offset=0&amp;query=any,contains,991004825339702656","Catalog Record")</f>
        <v/>
      </c>
      <c r="AT1153">
        <f>HYPERLINK("http://www.worldcat.org/oclc/5353286","WorldCat Record")</f>
        <v/>
      </c>
      <c r="AU1153" t="inlineStr">
        <is>
          <t>351833613:eng</t>
        </is>
      </c>
      <c r="AV1153" t="inlineStr">
        <is>
          <t>5353286</t>
        </is>
      </c>
      <c r="AW1153" t="inlineStr">
        <is>
          <t>991004825339702656</t>
        </is>
      </c>
      <c r="AX1153" t="inlineStr">
        <is>
          <t>991004825339702656</t>
        </is>
      </c>
      <c r="AY1153" t="inlineStr">
        <is>
          <t>2257463310002656</t>
        </is>
      </c>
      <c r="AZ1153" t="inlineStr">
        <is>
          <t>BOOK</t>
        </is>
      </c>
      <c r="BB1153" t="inlineStr">
        <is>
          <t>9780271002514</t>
        </is>
      </c>
      <c r="BC1153" t="inlineStr">
        <is>
          <t>32285001631356</t>
        </is>
      </c>
      <c r="BD1153" t="inlineStr">
        <is>
          <t>893612816</t>
        </is>
      </c>
    </row>
    <row r="1154">
      <c r="A1154" t="inlineStr">
        <is>
          <t>No</t>
        </is>
      </c>
      <c r="B1154" t="inlineStr">
        <is>
          <t>HQ1726 .M3813 1989</t>
        </is>
      </c>
      <c r="C1154" t="inlineStr">
        <is>
          <t>0                      HQ 1726000M  3813        1989</t>
        </is>
      </c>
      <c r="D1154" t="inlineStr">
        <is>
          <t>Women's Asia / Yayori Matsui.</t>
        </is>
      </c>
      <c r="F1154" t="inlineStr">
        <is>
          <t>No</t>
        </is>
      </c>
      <c r="G1154" t="inlineStr">
        <is>
          <t>1</t>
        </is>
      </c>
      <c r="H1154" t="inlineStr">
        <is>
          <t>No</t>
        </is>
      </c>
      <c r="I1154" t="inlineStr">
        <is>
          <t>No</t>
        </is>
      </c>
      <c r="J1154" t="inlineStr">
        <is>
          <t>0</t>
        </is>
      </c>
      <c r="K1154" t="inlineStr">
        <is>
          <t>Matsui, Yayori.</t>
        </is>
      </c>
      <c r="L1154" t="inlineStr">
        <is>
          <t>London ; Atlantic Highlands, N.J. : Zed Books, c1989.</t>
        </is>
      </c>
      <c r="M1154" t="inlineStr">
        <is>
          <t>1989</t>
        </is>
      </c>
      <c r="O1154" t="inlineStr">
        <is>
          <t>eng</t>
        </is>
      </c>
      <c r="P1154" t="inlineStr">
        <is>
          <t>enk</t>
        </is>
      </c>
      <c r="R1154" t="inlineStr">
        <is>
          <t xml:space="preserve">HQ </t>
        </is>
      </c>
      <c r="S1154" t="n">
        <v>22</v>
      </c>
      <c r="T1154" t="n">
        <v>22</v>
      </c>
      <c r="U1154" t="inlineStr">
        <is>
          <t>2005-11-27</t>
        </is>
      </c>
      <c r="V1154" t="inlineStr">
        <is>
          <t>2005-11-27</t>
        </is>
      </c>
      <c r="W1154" t="inlineStr">
        <is>
          <t>1991-02-01</t>
        </is>
      </c>
      <c r="X1154" t="inlineStr">
        <is>
          <t>1991-02-01</t>
        </is>
      </c>
      <c r="Y1154" t="n">
        <v>402</v>
      </c>
      <c r="Z1154" t="n">
        <v>273</v>
      </c>
      <c r="AA1154" t="n">
        <v>275</v>
      </c>
      <c r="AB1154" t="n">
        <v>3</v>
      </c>
      <c r="AC1154" t="n">
        <v>3</v>
      </c>
      <c r="AD1154" t="n">
        <v>15</v>
      </c>
      <c r="AE1154" t="n">
        <v>15</v>
      </c>
      <c r="AF1154" t="n">
        <v>5</v>
      </c>
      <c r="AG1154" t="n">
        <v>5</v>
      </c>
      <c r="AH1154" t="n">
        <v>4</v>
      </c>
      <c r="AI1154" t="n">
        <v>4</v>
      </c>
      <c r="AJ1154" t="n">
        <v>9</v>
      </c>
      <c r="AK1154" t="n">
        <v>9</v>
      </c>
      <c r="AL1154" t="n">
        <v>2</v>
      </c>
      <c r="AM1154" t="n">
        <v>2</v>
      </c>
      <c r="AN1154" t="n">
        <v>0</v>
      </c>
      <c r="AO1154" t="n">
        <v>0</v>
      </c>
      <c r="AP1154" t="inlineStr">
        <is>
          <t>No</t>
        </is>
      </c>
      <c r="AQ1154" t="inlineStr">
        <is>
          <t>Yes</t>
        </is>
      </c>
      <c r="AR1154">
        <f>HYPERLINK("http://catalog.hathitrust.org/Record/001842840","HathiTrust Record")</f>
        <v/>
      </c>
      <c r="AS1154">
        <f>HYPERLINK("https://creighton-primo.hosted.exlibrisgroup.com/primo-explore/search?tab=default_tab&amp;search_scope=EVERYTHING&amp;vid=01CRU&amp;lang=en_US&amp;offset=0&amp;query=any,contains,991001371939702656","Catalog Record")</f>
        <v/>
      </c>
      <c r="AT1154">
        <f>HYPERLINK("http://www.worldcat.org/oclc/18587927","WorldCat Record")</f>
        <v/>
      </c>
      <c r="AU1154" t="inlineStr">
        <is>
          <t>15770496:eng</t>
        </is>
      </c>
      <c r="AV1154" t="inlineStr">
        <is>
          <t>18587927</t>
        </is>
      </c>
      <c r="AW1154" t="inlineStr">
        <is>
          <t>991001371939702656</t>
        </is>
      </c>
      <c r="AX1154" t="inlineStr">
        <is>
          <t>991001371939702656</t>
        </is>
      </c>
      <c r="AY1154" t="inlineStr">
        <is>
          <t>2265630260002656</t>
        </is>
      </c>
      <c r="AZ1154" t="inlineStr">
        <is>
          <t>BOOK</t>
        </is>
      </c>
      <c r="BB1154" t="inlineStr">
        <is>
          <t>9780862328276</t>
        </is>
      </c>
      <c r="BC1154" t="inlineStr">
        <is>
          <t>32285000463173</t>
        </is>
      </c>
      <c r="BD1154" t="inlineStr">
        <is>
          <t>893528909</t>
        </is>
      </c>
    </row>
    <row r="1155">
      <c r="A1155" t="inlineStr">
        <is>
          <t>No</t>
        </is>
      </c>
      <c r="B1155" t="inlineStr">
        <is>
          <t>HQ1726.5 .C45 2006</t>
        </is>
      </c>
      <c r="C1155" t="inlineStr">
        <is>
          <t>0                      HQ 1726500C  45          2006</t>
        </is>
      </c>
      <c r="D1155" t="inlineStr">
        <is>
          <t>A history of women's seclusion in the Middle East : the veil in the looking glass / Ann Chamberlin.</t>
        </is>
      </c>
      <c r="F1155" t="inlineStr">
        <is>
          <t>No</t>
        </is>
      </c>
      <c r="G1155" t="inlineStr">
        <is>
          <t>1</t>
        </is>
      </c>
      <c r="H1155" t="inlineStr">
        <is>
          <t>No</t>
        </is>
      </c>
      <c r="I1155" t="inlineStr">
        <is>
          <t>No</t>
        </is>
      </c>
      <c r="J1155" t="inlineStr">
        <is>
          <t>0</t>
        </is>
      </c>
      <c r="K1155" t="inlineStr">
        <is>
          <t>Chamberlin, Ann.</t>
        </is>
      </c>
      <c r="L1155" t="inlineStr">
        <is>
          <t>New York : Haworth Press, c2006.</t>
        </is>
      </c>
      <c r="M1155" t="inlineStr">
        <is>
          <t>2006</t>
        </is>
      </c>
      <c r="O1155" t="inlineStr">
        <is>
          <t>eng</t>
        </is>
      </c>
      <c r="P1155" t="inlineStr">
        <is>
          <t>nyu</t>
        </is>
      </c>
      <c r="Q1155" t="inlineStr">
        <is>
          <t>Innovations in feminist studies</t>
        </is>
      </c>
      <c r="R1155" t="inlineStr">
        <is>
          <t xml:space="preserve">HQ </t>
        </is>
      </c>
      <c r="S1155" t="n">
        <v>1</v>
      </c>
      <c r="T1155" t="n">
        <v>1</v>
      </c>
      <c r="U1155" t="inlineStr">
        <is>
          <t>2007-01-03</t>
        </is>
      </c>
      <c r="V1155" t="inlineStr">
        <is>
          <t>2007-01-03</t>
        </is>
      </c>
      <c r="W1155" t="inlineStr">
        <is>
          <t>2007-01-03</t>
        </is>
      </c>
      <c r="X1155" t="inlineStr">
        <is>
          <t>2007-01-03</t>
        </is>
      </c>
      <c r="Y1155" t="n">
        <v>349</v>
      </c>
      <c r="Z1155" t="n">
        <v>263</v>
      </c>
      <c r="AA1155" t="n">
        <v>292</v>
      </c>
      <c r="AB1155" t="n">
        <v>3</v>
      </c>
      <c r="AC1155" t="n">
        <v>3</v>
      </c>
      <c r="AD1155" t="n">
        <v>8</v>
      </c>
      <c r="AE1155" t="n">
        <v>8</v>
      </c>
      <c r="AF1155" t="n">
        <v>2</v>
      </c>
      <c r="AG1155" t="n">
        <v>2</v>
      </c>
      <c r="AH1155" t="n">
        <v>2</v>
      </c>
      <c r="AI1155" t="n">
        <v>2</v>
      </c>
      <c r="AJ1155" t="n">
        <v>5</v>
      </c>
      <c r="AK1155" t="n">
        <v>5</v>
      </c>
      <c r="AL1155" t="n">
        <v>2</v>
      </c>
      <c r="AM1155" t="n">
        <v>2</v>
      </c>
      <c r="AN1155" t="n">
        <v>0</v>
      </c>
      <c r="AO1155" t="n">
        <v>0</v>
      </c>
      <c r="AP1155" t="inlineStr">
        <is>
          <t>No</t>
        </is>
      </c>
      <c r="AQ1155" t="inlineStr">
        <is>
          <t>Yes</t>
        </is>
      </c>
      <c r="AR1155">
        <f>HYPERLINK("http://catalog.hathitrust.org/Record/005376328","HathiTrust Record")</f>
        <v/>
      </c>
      <c r="AS1155">
        <f>HYPERLINK("https://creighton-primo.hosted.exlibrisgroup.com/primo-explore/search?tab=default_tab&amp;search_scope=EVERYTHING&amp;vid=01CRU&amp;lang=en_US&amp;offset=0&amp;query=any,contains,991004997009702656","Catalog Record")</f>
        <v/>
      </c>
      <c r="AT1155">
        <f>HYPERLINK("http://www.worldcat.org/oclc/63187406","WorldCat Record")</f>
        <v/>
      </c>
      <c r="AU1155" t="inlineStr">
        <is>
          <t>357954360:eng</t>
        </is>
      </c>
      <c r="AV1155" t="inlineStr">
        <is>
          <t>63187406</t>
        </is>
      </c>
      <c r="AW1155" t="inlineStr">
        <is>
          <t>991004997009702656</t>
        </is>
      </c>
      <c r="AX1155" t="inlineStr">
        <is>
          <t>991004997009702656</t>
        </is>
      </c>
      <c r="AY1155" t="inlineStr">
        <is>
          <t>2269783020002656</t>
        </is>
      </c>
      <c r="AZ1155" t="inlineStr">
        <is>
          <t>BOOK</t>
        </is>
      </c>
      <c r="BB1155" t="inlineStr">
        <is>
          <t>9780789029836</t>
        </is>
      </c>
      <c r="BC1155" t="inlineStr">
        <is>
          <t>32285005268247</t>
        </is>
      </c>
      <c r="BD1155" t="inlineStr">
        <is>
          <t>893776674</t>
        </is>
      </c>
    </row>
    <row r="1156">
      <c r="A1156" t="inlineStr">
        <is>
          <t>No</t>
        </is>
      </c>
      <c r="B1156" t="inlineStr">
        <is>
          <t>HQ1726.5 .G73 1988</t>
        </is>
      </c>
      <c r="C1156" t="inlineStr">
        <is>
          <t>0                      HQ 1726500G  73          1988</t>
        </is>
      </c>
      <c r="D1156" t="inlineStr">
        <is>
          <t>Images of women : the portrayal of women in photography of the Middle East, 1860-1950 / Sarah Graham-Brown.</t>
        </is>
      </c>
      <c r="F1156" t="inlineStr">
        <is>
          <t>No</t>
        </is>
      </c>
      <c r="G1156" t="inlineStr">
        <is>
          <t>1</t>
        </is>
      </c>
      <c r="H1156" t="inlineStr">
        <is>
          <t>No</t>
        </is>
      </c>
      <c r="I1156" t="inlineStr">
        <is>
          <t>No</t>
        </is>
      </c>
      <c r="J1156" t="inlineStr">
        <is>
          <t>0</t>
        </is>
      </c>
      <c r="K1156" t="inlineStr">
        <is>
          <t>Graham-Brown, Sarah.</t>
        </is>
      </c>
      <c r="L1156" t="inlineStr">
        <is>
          <t>New York : Columbia University Press, 1988.</t>
        </is>
      </c>
      <c r="M1156" t="inlineStr">
        <is>
          <t>1988</t>
        </is>
      </c>
      <c r="O1156" t="inlineStr">
        <is>
          <t>eng</t>
        </is>
      </c>
      <c r="P1156" t="inlineStr">
        <is>
          <t>nyu</t>
        </is>
      </c>
      <c r="R1156" t="inlineStr">
        <is>
          <t xml:space="preserve">HQ </t>
        </is>
      </c>
      <c r="S1156" t="n">
        <v>2</v>
      </c>
      <c r="T1156" t="n">
        <v>2</v>
      </c>
      <c r="U1156" t="inlineStr">
        <is>
          <t>2002-10-23</t>
        </is>
      </c>
      <c r="V1156" t="inlineStr">
        <is>
          <t>2002-10-23</t>
        </is>
      </c>
      <c r="W1156" t="inlineStr">
        <is>
          <t>1999-04-08</t>
        </is>
      </c>
      <c r="X1156" t="inlineStr">
        <is>
          <t>1999-04-08</t>
        </is>
      </c>
      <c r="Y1156" t="n">
        <v>538</v>
      </c>
      <c r="Z1156" t="n">
        <v>472</v>
      </c>
      <c r="AA1156" t="n">
        <v>527</v>
      </c>
      <c r="AB1156" t="n">
        <v>2</v>
      </c>
      <c r="AC1156" t="n">
        <v>2</v>
      </c>
      <c r="AD1156" t="n">
        <v>17</v>
      </c>
      <c r="AE1156" t="n">
        <v>19</v>
      </c>
      <c r="AF1156" t="n">
        <v>8</v>
      </c>
      <c r="AG1156" t="n">
        <v>8</v>
      </c>
      <c r="AH1156" t="n">
        <v>4</v>
      </c>
      <c r="AI1156" t="n">
        <v>5</v>
      </c>
      <c r="AJ1156" t="n">
        <v>8</v>
      </c>
      <c r="AK1156" t="n">
        <v>10</v>
      </c>
      <c r="AL1156" t="n">
        <v>1</v>
      </c>
      <c r="AM1156" t="n">
        <v>1</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HYPERLINK("https://creighton-primo.hosted.exlibrisgroup.com/primo-explore/search?tab=default_tab&amp;search_scope=EVERYTHING&amp;vid=01CRU&amp;lang=en_US&amp;offset=0&amp;query=any,contains,991001225699702656","Catalog Record")</f>
        <v/>
      </c>
      <c r="AT1156">
        <f>HYPERLINK("http://www.worldcat.org/oclc/17506754","WorldCat Record")</f>
        <v/>
      </c>
      <c r="AU1156" t="inlineStr">
        <is>
          <t>12259005:eng</t>
        </is>
      </c>
      <c r="AV1156" t="inlineStr">
        <is>
          <t>17506754</t>
        </is>
      </c>
      <c r="AW1156" t="inlineStr">
        <is>
          <t>991001225699702656</t>
        </is>
      </c>
      <c r="AX1156" t="inlineStr">
        <is>
          <t>991001225699702656</t>
        </is>
      </c>
      <c r="AY1156" t="inlineStr">
        <is>
          <t>2271488760002656</t>
        </is>
      </c>
      <c r="AZ1156" t="inlineStr">
        <is>
          <t>BOOK</t>
        </is>
      </c>
      <c r="BB1156" t="inlineStr">
        <is>
          <t>9780231068260</t>
        </is>
      </c>
      <c r="BC1156" t="inlineStr">
        <is>
          <t>32285003550778</t>
        </is>
      </c>
      <c r="BD1156" t="inlineStr">
        <is>
          <t>893321748</t>
        </is>
      </c>
    </row>
    <row r="1157">
      <c r="A1157" t="inlineStr">
        <is>
          <t>No</t>
        </is>
      </c>
      <c r="B1157" t="inlineStr">
        <is>
          <t>HQ1726.5 .M64 1993</t>
        </is>
      </c>
      <c r="C1157" t="inlineStr">
        <is>
          <t>0                      HQ 1726500M  64          1993</t>
        </is>
      </c>
      <c r="D1157" t="inlineStr">
        <is>
          <t>Modernizing women : gender and social change in the Middle East / by Valentine M. Moghadam.</t>
        </is>
      </c>
      <c r="F1157" t="inlineStr">
        <is>
          <t>No</t>
        </is>
      </c>
      <c r="G1157" t="inlineStr">
        <is>
          <t>1</t>
        </is>
      </c>
      <c r="H1157" t="inlineStr">
        <is>
          <t>No</t>
        </is>
      </c>
      <c r="I1157" t="inlineStr">
        <is>
          <t>Yes</t>
        </is>
      </c>
      <c r="J1157" t="inlineStr">
        <is>
          <t>0</t>
        </is>
      </c>
      <c r="K1157" t="inlineStr">
        <is>
          <t>Moghadam, Valentine M., 1952-</t>
        </is>
      </c>
      <c r="L1157" t="inlineStr">
        <is>
          <t>Boulder, CO : L. Rienner, 1993.</t>
        </is>
      </c>
      <c r="M1157" t="inlineStr">
        <is>
          <t>1993</t>
        </is>
      </c>
      <c r="O1157" t="inlineStr">
        <is>
          <t>eng</t>
        </is>
      </c>
      <c r="P1157" t="inlineStr">
        <is>
          <t>cou</t>
        </is>
      </c>
      <c r="Q1157" t="inlineStr">
        <is>
          <t>Women and change in the developing world</t>
        </is>
      </c>
      <c r="R1157" t="inlineStr">
        <is>
          <t xml:space="preserve">HQ </t>
        </is>
      </c>
      <c r="S1157" t="n">
        <v>26</v>
      </c>
      <c r="T1157" t="n">
        <v>26</v>
      </c>
      <c r="U1157" t="inlineStr">
        <is>
          <t>2008-02-02</t>
        </is>
      </c>
      <c r="V1157" t="inlineStr">
        <is>
          <t>2008-02-02</t>
        </is>
      </c>
      <c r="W1157" t="inlineStr">
        <is>
          <t>1993-07-20</t>
        </is>
      </c>
      <c r="X1157" t="inlineStr">
        <is>
          <t>1993-07-20</t>
        </is>
      </c>
      <c r="Y1157" t="n">
        <v>794</v>
      </c>
      <c r="Z1157" t="n">
        <v>612</v>
      </c>
      <c r="AA1157" t="n">
        <v>902</v>
      </c>
      <c r="AB1157" t="n">
        <v>2</v>
      </c>
      <c r="AC1157" t="n">
        <v>7</v>
      </c>
      <c r="AD1157" t="n">
        <v>33</v>
      </c>
      <c r="AE1157" t="n">
        <v>48</v>
      </c>
      <c r="AF1157" t="n">
        <v>14</v>
      </c>
      <c r="AG1157" t="n">
        <v>20</v>
      </c>
      <c r="AH1157" t="n">
        <v>9</v>
      </c>
      <c r="AI1157" t="n">
        <v>10</v>
      </c>
      <c r="AJ1157" t="n">
        <v>21</v>
      </c>
      <c r="AK1157" t="n">
        <v>24</v>
      </c>
      <c r="AL1157" t="n">
        <v>1</v>
      </c>
      <c r="AM1157" t="n">
        <v>6</v>
      </c>
      <c r="AN1157" t="n">
        <v>0</v>
      </c>
      <c r="AO1157" t="n">
        <v>1</v>
      </c>
      <c r="AP1157" t="inlineStr">
        <is>
          <t>No</t>
        </is>
      </c>
      <c r="AQ1157" t="inlineStr">
        <is>
          <t>No</t>
        </is>
      </c>
      <c r="AS1157">
        <f>HYPERLINK("https://creighton-primo.hosted.exlibrisgroup.com/primo-explore/search?tab=default_tab&amp;search_scope=EVERYTHING&amp;vid=01CRU&amp;lang=en_US&amp;offset=0&amp;query=any,contains,991002091739702656","Catalog Record")</f>
        <v/>
      </c>
      <c r="AT1157">
        <f>HYPERLINK("http://www.worldcat.org/oclc/26851233","WorldCat Record")</f>
        <v/>
      </c>
      <c r="AU1157" t="inlineStr">
        <is>
          <t>795693870:eng</t>
        </is>
      </c>
      <c r="AV1157" t="inlineStr">
        <is>
          <t>26851233</t>
        </is>
      </c>
      <c r="AW1157" t="inlineStr">
        <is>
          <t>991002091739702656</t>
        </is>
      </c>
      <c r="AX1157" t="inlineStr">
        <is>
          <t>991002091739702656</t>
        </is>
      </c>
      <c r="AY1157" t="inlineStr">
        <is>
          <t>2262871080002656</t>
        </is>
      </c>
      <c r="AZ1157" t="inlineStr">
        <is>
          <t>BOOK</t>
        </is>
      </c>
      <c r="BB1157" t="inlineStr">
        <is>
          <t>9781555873462</t>
        </is>
      </c>
      <c r="BC1157" t="inlineStr">
        <is>
          <t>32285001703122</t>
        </is>
      </c>
      <c r="BD1157" t="inlineStr">
        <is>
          <t>893334930</t>
        </is>
      </c>
    </row>
    <row r="1158">
      <c r="A1158" t="inlineStr">
        <is>
          <t>No</t>
        </is>
      </c>
      <c r="B1158" t="inlineStr">
        <is>
          <t>HQ1726.5 .M64 2003</t>
        </is>
      </c>
      <c r="C1158" t="inlineStr">
        <is>
          <t>0                      HQ 1726500M  64          2003</t>
        </is>
      </c>
      <c r="D1158" t="inlineStr">
        <is>
          <t>Modernizing women : gender and social change in the Middle East / Valentine M. Moghadam.</t>
        </is>
      </c>
      <c r="F1158" t="inlineStr">
        <is>
          <t>No</t>
        </is>
      </c>
      <c r="G1158" t="inlineStr">
        <is>
          <t>1</t>
        </is>
      </c>
      <c r="H1158" t="inlineStr">
        <is>
          <t>No</t>
        </is>
      </c>
      <c r="I1158" t="inlineStr">
        <is>
          <t>Yes</t>
        </is>
      </c>
      <c r="J1158" t="inlineStr">
        <is>
          <t>0</t>
        </is>
      </c>
      <c r="K1158" t="inlineStr">
        <is>
          <t>Moghadam, Valentine M., 1952-</t>
        </is>
      </c>
      <c r="L1158" t="inlineStr">
        <is>
          <t>Boulder, Colo. : L. Rienner, 2003.</t>
        </is>
      </c>
      <c r="M1158" t="inlineStr">
        <is>
          <t>2003</t>
        </is>
      </c>
      <c r="N1158" t="inlineStr">
        <is>
          <t>2nd ed.</t>
        </is>
      </c>
      <c r="O1158" t="inlineStr">
        <is>
          <t>eng</t>
        </is>
      </c>
      <c r="P1158" t="inlineStr">
        <is>
          <t>cou</t>
        </is>
      </c>
      <c r="R1158" t="inlineStr">
        <is>
          <t xml:space="preserve">HQ </t>
        </is>
      </c>
      <c r="S1158" t="n">
        <v>13</v>
      </c>
      <c r="T1158" t="n">
        <v>13</v>
      </c>
      <c r="U1158" t="inlineStr">
        <is>
          <t>2010-11-14</t>
        </is>
      </c>
      <c r="V1158" t="inlineStr">
        <is>
          <t>2010-11-14</t>
        </is>
      </c>
      <c r="W1158" t="inlineStr">
        <is>
          <t>2003-09-30</t>
        </is>
      </c>
      <c r="X1158" t="inlineStr">
        <is>
          <t>2003-09-30</t>
        </is>
      </c>
      <c r="Y1158" t="n">
        <v>526</v>
      </c>
      <c r="Z1158" t="n">
        <v>423</v>
      </c>
      <c r="AA1158" t="n">
        <v>902</v>
      </c>
      <c r="AB1158" t="n">
        <v>6</v>
      </c>
      <c r="AC1158" t="n">
        <v>7</v>
      </c>
      <c r="AD1158" t="n">
        <v>25</v>
      </c>
      <c r="AE1158" t="n">
        <v>48</v>
      </c>
      <c r="AF1158" t="n">
        <v>7</v>
      </c>
      <c r="AG1158" t="n">
        <v>20</v>
      </c>
      <c r="AH1158" t="n">
        <v>4</v>
      </c>
      <c r="AI1158" t="n">
        <v>10</v>
      </c>
      <c r="AJ1158" t="n">
        <v>11</v>
      </c>
      <c r="AK1158" t="n">
        <v>24</v>
      </c>
      <c r="AL1158" t="n">
        <v>5</v>
      </c>
      <c r="AM1158" t="n">
        <v>6</v>
      </c>
      <c r="AN1158" t="n">
        <v>1</v>
      </c>
      <c r="AO1158" t="n">
        <v>1</v>
      </c>
      <c r="AP1158" t="inlineStr">
        <is>
          <t>No</t>
        </is>
      </c>
      <c r="AQ1158" t="inlineStr">
        <is>
          <t>No</t>
        </is>
      </c>
      <c r="AS1158">
        <f>HYPERLINK("https://creighton-primo.hosted.exlibrisgroup.com/primo-explore/search?tab=default_tab&amp;search_scope=EVERYTHING&amp;vid=01CRU&amp;lang=en_US&amp;offset=0&amp;query=any,contains,991004143649702656","Catalog Record")</f>
        <v/>
      </c>
      <c r="AT1158">
        <f>HYPERLINK("http://www.worldcat.org/oclc/51753425","WorldCat Record")</f>
        <v/>
      </c>
      <c r="AU1158" t="inlineStr">
        <is>
          <t>795693870:eng</t>
        </is>
      </c>
      <c r="AV1158" t="inlineStr">
        <is>
          <t>51753425</t>
        </is>
      </c>
      <c r="AW1158" t="inlineStr">
        <is>
          <t>991004143649702656</t>
        </is>
      </c>
      <c r="AX1158" t="inlineStr">
        <is>
          <t>991004143649702656</t>
        </is>
      </c>
      <c r="AY1158" t="inlineStr">
        <is>
          <t>2263197710002656</t>
        </is>
      </c>
      <c r="AZ1158" t="inlineStr">
        <is>
          <t>BOOK</t>
        </is>
      </c>
      <c r="BB1158" t="inlineStr">
        <is>
          <t>9781588261717</t>
        </is>
      </c>
      <c r="BC1158" t="inlineStr">
        <is>
          <t>32285004792684</t>
        </is>
      </c>
      <c r="BD1158" t="inlineStr">
        <is>
          <t>893706043</t>
        </is>
      </c>
    </row>
    <row r="1159">
      <c r="A1159" t="inlineStr">
        <is>
          <t>No</t>
        </is>
      </c>
      <c r="B1159" t="inlineStr">
        <is>
          <t>HQ1726.5 .R43 1994</t>
        </is>
      </c>
      <c r="C1159" t="inlineStr">
        <is>
          <t>0                      HQ 1726500R  43          1994</t>
        </is>
      </c>
      <c r="D1159" t="inlineStr">
        <is>
          <t>Reconstructing gender in the Middle East : tradition, identity, and power / Fatma Müge Göçek and Shiva Balaghi, editors.</t>
        </is>
      </c>
      <c r="F1159" t="inlineStr">
        <is>
          <t>No</t>
        </is>
      </c>
      <c r="G1159" t="inlineStr">
        <is>
          <t>1</t>
        </is>
      </c>
      <c r="H1159" t="inlineStr">
        <is>
          <t>No</t>
        </is>
      </c>
      <c r="I1159" t="inlineStr">
        <is>
          <t>No</t>
        </is>
      </c>
      <c r="J1159" t="inlineStr">
        <is>
          <t>0</t>
        </is>
      </c>
      <c r="L1159" t="inlineStr">
        <is>
          <t>New York : Columbia University Press, c1994.</t>
        </is>
      </c>
      <c r="M1159" t="inlineStr">
        <is>
          <t>1994</t>
        </is>
      </c>
      <c r="O1159" t="inlineStr">
        <is>
          <t>eng</t>
        </is>
      </c>
      <c r="P1159" t="inlineStr">
        <is>
          <t>nyu</t>
        </is>
      </c>
      <c r="R1159" t="inlineStr">
        <is>
          <t xml:space="preserve">HQ </t>
        </is>
      </c>
      <c r="S1159" t="n">
        <v>30</v>
      </c>
      <c r="T1159" t="n">
        <v>30</v>
      </c>
      <c r="U1159" t="inlineStr">
        <is>
          <t>2008-03-09</t>
        </is>
      </c>
      <c r="V1159" t="inlineStr">
        <is>
          <t>2008-03-09</t>
        </is>
      </c>
      <c r="W1159" t="inlineStr">
        <is>
          <t>1995-12-01</t>
        </is>
      </c>
      <c r="X1159" t="inlineStr">
        <is>
          <t>1995-12-01</t>
        </is>
      </c>
      <c r="Y1159" t="n">
        <v>417</v>
      </c>
      <c r="Z1159" t="n">
        <v>314</v>
      </c>
      <c r="AA1159" t="n">
        <v>314</v>
      </c>
      <c r="AB1159" t="n">
        <v>2</v>
      </c>
      <c r="AC1159" t="n">
        <v>2</v>
      </c>
      <c r="AD1159" t="n">
        <v>19</v>
      </c>
      <c r="AE1159" t="n">
        <v>19</v>
      </c>
      <c r="AF1159" t="n">
        <v>6</v>
      </c>
      <c r="AG1159" t="n">
        <v>6</v>
      </c>
      <c r="AH1159" t="n">
        <v>7</v>
      </c>
      <c r="AI1159" t="n">
        <v>7</v>
      </c>
      <c r="AJ1159" t="n">
        <v>11</v>
      </c>
      <c r="AK1159" t="n">
        <v>11</v>
      </c>
      <c r="AL1159" t="n">
        <v>1</v>
      </c>
      <c r="AM1159" t="n">
        <v>1</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HYPERLINK("https://creighton-primo.hosted.exlibrisgroup.com/primo-explore/search?tab=default_tab&amp;search_scope=EVERYTHING&amp;vid=01CRU&amp;lang=en_US&amp;offset=0&amp;query=any,contains,991002371179702656","Catalog Record")</f>
        <v/>
      </c>
      <c r="AT1159">
        <f>HYPERLINK("http://www.worldcat.org/oclc/30815773","WorldCat Record")</f>
        <v/>
      </c>
      <c r="AU1159" t="inlineStr">
        <is>
          <t>1070795801:eng</t>
        </is>
      </c>
      <c r="AV1159" t="inlineStr">
        <is>
          <t>30815773</t>
        </is>
      </c>
      <c r="AW1159" t="inlineStr">
        <is>
          <t>991002371179702656</t>
        </is>
      </c>
      <c r="AX1159" t="inlineStr">
        <is>
          <t>991002371179702656</t>
        </is>
      </c>
      <c r="AY1159" t="inlineStr">
        <is>
          <t>2266825430002656</t>
        </is>
      </c>
      <c r="AZ1159" t="inlineStr">
        <is>
          <t>BOOK</t>
        </is>
      </c>
      <c r="BB1159" t="inlineStr">
        <is>
          <t>9780231101226</t>
        </is>
      </c>
      <c r="BC1159" t="inlineStr">
        <is>
          <t>32285002107562</t>
        </is>
      </c>
      <c r="BD1159" t="inlineStr">
        <is>
          <t>893245088</t>
        </is>
      </c>
    </row>
    <row r="1160">
      <c r="A1160" t="inlineStr">
        <is>
          <t>No</t>
        </is>
      </c>
      <c r="B1160" t="inlineStr">
        <is>
          <t>HQ1726.5 .W659 2001</t>
        </is>
      </c>
      <c r="C1160" t="inlineStr">
        <is>
          <t>0                      HQ 1726500W  659         2001</t>
        </is>
      </c>
      <c r="D1160" t="inlineStr">
        <is>
          <t>Women and power in the Middle East / edited by Suad Joseph and Susan Slyomovics.</t>
        </is>
      </c>
      <c r="F1160" t="inlineStr">
        <is>
          <t>No</t>
        </is>
      </c>
      <c r="G1160" t="inlineStr">
        <is>
          <t>1</t>
        </is>
      </c>
      <c r="H1160" t="inlineStr">
        <is>
          <t>No</t>
        </is>
      </c>
      <c r="I1160" t="inlineStr">
        <is>
          <t>No</t>
        </is>
      </c>
      <c r="J1160" t="inlineStr">
        <is>
          <t>0</t>
        </is>
      </c>
      <c r="L1160" t="inlineStr">
        <is>
          <t>Philadelphia, PA : University of Pennsylvania Press, c2001.</t>
        </is>
      </c>
      <c r="M1160" t="inlineStr">
        <is>
          <t>2001</t>
        </is>
      </c>
      <c r="O1160" t="inlineStr">
        <is>
          <t>eng</t>
        </is>
      </c>
      <c r="P1160" t="inlineStr">
        <is>
          <t>pau</t>
        </is>
      </c>
      <c r="R1160" t="inlineStr">
        <is>
          <t xml:space="preserve">HQ </t>
        </is>
      </c>
      <c r="S1160" t="n">
        <v>12</v>
      </c>
      <c r="T1160" t="n">
        <v>12</v>
      </c>
      <c r="U1160" t="inlineStr">
        <is>
          <t>2010-11-14</t>
        </is>
      </c>
      <c r="V1160" t="inlineStr">
        <is>
          <t>2010-11-14</t>
        </is>
      </c>
      <c r="W1160" t="inlineStr">
        <is>
          <t>2003-03-27</t>
        </is>
      </c>
      <c r="X1160" t="inlineStr">
        <is>
          <t>2003-03-27</t>
        </is>
      </c>
      <c r="Y1160" t="n">
        <v>432</v>
      </c>
      <c r="Z1160" t="n">
        <v>333</v>
      </c>
      <c r="AA1160" t="n">
        <v>775</v>
      </c>
      <c r="AB1160" t="n">
        <v>4</v>
      </c>
      <c r="AC1160" t="n">
        <v>7</v>
      </c>
      <c r="AD1160" t="n">
        <v>15</v>
      </c>
      <c r="AE1160" t="n">
        <v>38</v>
      </c>
      <c r="AF1160" t="n">
        <v>3</v>
      </c>
      <c r="AG1160" t="n">
        <v>15</v>
      </c>
      <c r="AH1160" t="n">
        <v>4</v>
      </c>
      <c r="AI1160" t="n">
        <v>8</v>
      </c>
      <c r="AJ1160" t="n">
        <v>8</v>
      </c>
      <c r="AK1160" t="n">
        <v>16</v>
      </c>
      <c r="AL1160" t="n">
        <v>3</v>
      </c>
      <c r="AM1160" t="n">
        <v>6</v>
      </c>
      <c r="AN1160" t="n">
        <v>0</v>
      </c>
      <c r="AO1160" t="n">
        <v>1</v>
      </c>
      <c r="AP1160" t="inlineStr">
        <is>
          <t>No</t>
        </is>
      </c>
      <c r="AQ1160" t="inlineStr">
        <is>
          <t>Yes</t>
        </is>
      </c>
      <c r="AR1160">
        <f>HYPERLINK("http://catalog.hathitrust.org/Record/004146299","HathiTrust Record")</f>
        <v/>
      </c>
      <c r="AS1160">
        <f>HYPERLINK("https://creighton-primo.hosted.exlibrisgroup.com/primo-explore/search?tab=default_tab&amp;search_scope=EVERYTHING&amp;vid=01CRU&amp;lang=en_US&amp;offset=0&amp;query=any,contains,991004006869702656","Catalog Record")</f>
        <v/>
      </c>
      <c r="AT1160">
        <f>HYPERLINK("http://www.worldcat.org/oclc/44701810","WorldCat Record")</f>
        <v/>
      </c>
      <c r="AU1160" t="inlineStr">
        <is>
          <t>350262372:eng</t>
        </is>
      </c>
      <c r="AV1160" t="inlineStr">
        <is>
          <t>44701810</t>
        </is>
      </c>
      <c r="AW1160" t="inlineStr">
        <is>
          <t>991004006869702656</t>
        </is>
      </c>
      <c r="AX1160" t="inlineStr">
        <is>
          <t>991004006869702656</t>
        </is>
      </c>
      <c r="AY1160" t="inlineStr">
        <is>
          <t>2258629480002656</t>
        </is>
      </c>
      <c r="AZ1160" t="inlineStr">
        <is>
          <t>BOOK</t>
        </is>
      </c>
      <c r="BB1160" t="inlineStr">
        <is>
          <t>9780812217490</t>
        </is>
      </c>
      <c r="BC1160" t="inlineStr">
        <is>
          <t>32285004687751</t>
        </is>
      </c>
      <c r="BD1160" t="inlineStr">
        <is>
          <t>893810312</t>
        </is>
      </c>
    </row>
    <row r="1161">
      <c r="A1161" t="inlineStr">
        <is>
          <t>No</t>
        </is>
      </c>
      <c r="B1161" t="inlineStr">
        <is>
          <t>HQ1726.7 .D38 1986</t>
        </is>
      </c>
      <c r="C1161" t="inlineStr">
        <is>
          <t>0                      HQ 1726700D  38          1986</t>
        </is>
      </c>
      <c r="D1161" t="inlineStr">
        <is>
          <t>The Ottoman lady : a social history from 1718 to 1918 / Fanny Davis.</t>
        </is>
      </c>
      <c r="F1161" t="inlineStr">
        <is>
          <t>No</t>
        </is>
      </c>
      <c r="G1161" t="inlineStr">
        <is>
          <t>1</t>
        </is>
      </c>
      <c r="H1161" t="inlineStr">
        <is>
          <t>No</t>
        </is>
      </c>
      <c r="I1161" t="inlineStr">
        <is>
          <t>No</t>
        </is>
      </c>
      <c r="J1161" t="inlineStr">
        <is>
          <t>0</t>
        </is>
      </c>
      <c r="K1161" t="inlineStr">
        <is>
          <t>Davis, Fanny, 1904-1984.</t>
        </is>
      </c>
      <c r="L1161" t="inlineStr">
        <is>
          <t>Westport, Conn. : Greenwood Press, c1986.</t>
        </is>
      </c>
      <c r="M1161" t="inlineStr">
        <is>
          <t>1986</t>
        </is>
      </c>
      <c r="O1161" t="inlineStr">
        <is>
          <t>eng</t>
        </is>
      </c>
      <c r="P1161" t="inlineStr">
        <is>
          <t>ctu</t>
        </is>
      </c>
      <c r="Q1161" t="inlineStr">
        <is>
          <t>Contributions in women's studies, 0147-104X ; no. 70</t>
        </is>
      </c>
      <c r="R1161" t="inlineStr">
        <is>
          <t xml:space="preserve">HQ </t>
        </is>
      </c>
      <c r="S1161" t="n">
        <v>4</v>
      </c>
      <c r="T1161" t="n">
        <v>4</v>
      </c>
      <c r="U1161" t="inlineStr">
        <is>
          <t>1997-02-06</t>
        </is>
      </c>
      <c r="V1161" t="inlineStr">
        <is>
          <t>1997-02-06</t>
        </is>
      </c>
      <c r="W1161" t="inlineStr">
        <is>
          <t>1992-10-23</t>
        </is>
      </c>
      <c r="X1161" t="inlineStr">
        <is>
          <t>1992-10-23</t>
        </is>
      </c>
      <c r="Y1161" t="n">
        <v>393</v>
      </c>
      <c r="Z1161" t="n">
        <v>322</v>
      </c>
      <c r="AA1161" t="n">
        <v>324</v>
      </c>
      <c r="AB1161" t="n">
        <v>3</v>
      </c>
      <c r="AC1161" t="n">
        <v>3</v>
      </c>
      <c r="AD1161" t="n">
        <v>16</v>
      </c>
      <c r="AE1161" t="n">
        <v>16</v>
      </c>
      <c r="AF1161" t="n">
        <v>2</v>
      </c>
      <c r="AG1161" t="n">
        <v>2</v>
      </c>
      <c r="AH1161" t="n">
        <v>6</v>
      </c>
      <c r="AI1161" t="n">
        <v>6</v>
      </c>
      <c r="AJ1161" t="n">
        <v>10</v>
      </c>
      <c r="AK1161" t="n">
        <v>10</v>
      </c>
      <c r="AL1161" t="n">
        <v>2</v>
      </c>
      <c r="AM1161" t="n">
        <v>2</v>
      </c>
      <c r="AN1161" t="n">
        <v>0</v>
      </c>
      <c r="AO1161" t="n">
        <v>0</v>
      </c>
      <c r="AP1161" t="inlineStr">
        <is>
          <t>No</t>
        </is>
      </c>
      <c r="AQ1161" t="inlineStr">
        <is>
          <t>Yes</t>
        </is>
      </c>
      <c r="AR1161">
        <f>HYPERLINK("http://catalog.hathitrust.org/Record/000668846","HathiTrust Record")</f>
        <v/>
      </c>
      <c r="AS1161">
        <f>HYPERLINK("https://creighton-primo.hosted.exlibrisgroup.com/primo-explore/search?tab=default_tab&amp;search_scope=EVERYTHING&amp;vid=01CRU&amp;lang=en_US&amp;offset=0&amp;query=any,contains,991000657919702656","Catalog Record")</f>
        <v/>
      </c>
      <c r="AT1161">
        <f>HYPERLINK("http://www.worldcat.org/oclc/12217271","WorldCat Record")</f>
        <v/>
      </c>
      <c r="AU1161" t="inlineStr">
        <is>
          <t>2609664:eng</t>
        </is>
      </c>
      <c r="AV1161" t="inlineStr">
        <is>
          <t>12217271</t>
        </is>
      </c>
      <c r="AW1161" t="inlineStr">
        <is>
          <t>991000657919702656</t>
        </is>
      </c>
      <c r="AX1161" t="inlineStr">
        <is>
          <t>991000657919702656</t>
        </is>
      </c>
      <c r="AY1161" t="inlineStr">
        <is>
          <t>2267899800002656</t>
        </is>
      </c>
      <c r="AZ1161" t="inlineStr">
        <is>
          <t>BOOK</t>
        </is>
      </c>
      <c r="BB1161" t="inlineStr">
        <is>
          <t>9780313248115</t>
        </is>
      </c>
      <c r="BC1161" t="inlineStr">
        <is>
          <t>32285001375780</t>
        </is>
      </c>
      <c r="BD1161" t="inlineStr">
        <is>
          <t>893702314</t>
        </is>
      </c>
    </row>
    <row r="1162">
      <c r="A1162" t="inlineStr">
        <is>
          <t>No</t>
        </is>
      </c>
      <c r="B1162" t="inlineStr">
        <is>
          <t>HQ1728.5 .G55 1989</t>
        </is>
      </c>
      <c r="C1162" t="inlineStr">
        <is>
          <t>0                      HQ 1728500G  55          1989</t>
        </is>
      </c>
      <c r="D1162" t="inlineStr">
        <is>
          <t>Ginger and salt : Yemeni Jewish women in an Israeli town / Lisa Gilad.</t>
        </is>
      </c>
      <c r="F1162" t="inlineStr">
        <is>
          <t>No</t>
        </is>
      </c>
      <c r="G1162" t="inlineStr">
        <is>
          <t>1</t>
        </is>
      </c>
      <c r="H1162" t="inlineStr">
        <is>
          <t>No</t>
        </is>
      </c>
      <c r="I1162" t="inlineStr">
        <is>
          <t>No</t>
        </is>
      </c>
      <c r="J1162" t="inlineStr">
        <is>
          <t>0</t>
        </is>
      </c>
      <c r="K1162" t="inlineStr">
        <is>
          <t>Gilad, Lisa.</t>
        </is>
      </c>
      <c r="L1162" t="inlineStr">
        <is>
          <t>Boulder : Westview Press, 1989.</t>
        </is>
      </c>
      <c r="M1162" t="inlineStr">
        <is>
          <t>1989</t>
        </is>
      </c>
      <c r="O1162" t="inlineStr">
        <is>
          <t>eng</t>
        </is>
      </c>
      <c r="P1162" t="inlineStr">
        <is>
          <t>cou</t>
        </is>
      </c>
      <c r="Q1162" t="inlineStr">
        <is>
          <t>Women in cross-cultural perspective</t>
        </is>
      </c>
      <c r="R1162" t="inlineStr">
        <is>
          <t xml:space="preserve">HQ </t>
        </is>
      </c>
      <c r="S1162" t="n">
        <v>4</v>
      </c>
      <c r="T1162" t="n">
        <v>4</v>
      </c>
      <c r="U1162" t="inlineStr">
        <is>
          <t>1997-03-12</t>
        </is>
      </c>
      <c r="V1162" t="inlineStr">
        <is>
          <t>1997-03-12</t>
        </is>
      </c>
      <c r="W1162" t="inlineStr">
        <is>
          <t>1990-09-24</t>
        </is>
      </c>
      <c r="X1162" t="inlineStr">
        <is>
          <t>1990-09-24</t>
        </is>
      </c>
      <c r="Y1162" t="n">
        <v>221</v>
      </c>
      <c r="Z1162" t="n">
        <v>174</v>
      </c>
      <c r="AA1162" t="n">
        <v>202</v>
      </c>
      <c r="AB1162" t="n">
        <v>3</v>
      </c>
      <c r="AC1162" t="n">
        <v>3</v>
      </c>
      <c r="AD1162" t="n">
        <v>6</v>
      </c>
      <c r="AE1162" t="n">
        <v>8</v>
      </c>
      <c r="AF1162" t="n">
        <v>0</v>
      </c>
      <c r="AG1162" t="n">
        <v>1</v>
      </c>
      <c r="AH1162" t="n">
        <v>2</v>
      </c>
      <c r="AI1162" t="n">
        <v>3</v>
      </c>
      <c r="AJ1162" t="n">
        <v>3</v>
      </c>
      <c r="AK1162" t="n">
        <v>3</v>
      </c>
      <c r="AL1162" t="n">
        <v>2</v>
      </c>
      <c r="AM1162" t="n">
        <v>2</v>
      </c>
      <c r="AN1162" t="n">
        <v>0</v>
      </c>
      <c r="AO1162" t="n">
        <v>0</v>
      </c>
      <c r="AP1162" t="inlineStr">
        <is>
          <t>No</t>
        </is>
      </c>
      <c r="AQ1162" t="inlineStr">
        <is>
          <t>Yes</t>
        </is>
      </c>
      <c r="AR1162">
        <f>HYPERLINK("http://catalog.hathitrust.org/Record/001100826","HathiTrust Record")</f>
        <v/>
      </c>
      <c r="AS1162">
        <f>HYPERLINK("https://creighton-primo.hosted.exlibrisgroup.com/primo-explore/search?tab=default_tab&amp;search_scope=EVERYTHING&amp;vid=01CRU&amp;lang=en_US&amp;offset=0&amp;query=any,contains,991001364789702656","Catalog Record")</f>
        <v/>
      </c>
      <c r="AT1162">
        <f>HYPERLINK("http://www.worldcat.org/oclc/18557432","WorldCat Record")</f>
        <v/>
      </c>
      <c r="AU1162" t="inlineStr">
        <is>
          <t>368163556:eng</t>
        </is>
      </c>
      <c r="AV1162" t="inlineStr">
        <is>
          <t>18557432</t>
        </is>
      </c>
      <c r="AW1162" t="inlineStr">
        <is>
          <t>991001364789702656</t>
        </is>
      </c>
      <c r="AX1162" t="inlineStr">
        <is>
          <t>991001364789702656</t>
        </is>
      </c>
      <c r="AY1162" t="inlineStr">
        <is>
          <t>2264184330002656</t>
        </is>
      </c>
      <c r="AZ1162" t="inlineStr">
        <is>
          <t>BOOK</t>
        </is>
      </c>
      <c r="BB1162" t="inlineStr">
        <is>
          <t>9780813376868</t>
        </is>
      </c>
      <c r="BC1162" t="inlineStr">
        <is>
          <t>32285000278399</t>
        </is>
      </c>
      <c r="BD1162" t="inlineStr">
        <is>
          <t>893878830</t>
        </is>
      </c>
    </row>
    <row r="1163">
      <c r="A1163" t="inlineStr">
        <is>
          <t>No</t>
        </is>
      </c>
      <c r="B1163" t="inlineStr">
        <is>
          <t>HQ1728.5 .L57 1988</t>
        </is>
      </c>
      <c r="C1163" t="inlineStr">
        <is>
          <t>0                      HQ 1728500L  57          1988</t>
        </is>
      </c>
      <c r="D1163" t="inlineStr">
        <is>
          <t>Israel : the embattled land : Jewish and Palestinian women talk about their lives / by Beata Lipman.</t>
        </is>
      </c>
      <c r="F1163" t="inlineStr">
        <is>
          <t>No</t>
        </is>
      </c>
      <c r="G1163" t="inlineStr">
        <is>
          <t>1</t>
        </is>
      </c>
      <c r="H1163" t="inlineStr">
        <is>
          <t>No</t>
        </is>
      </c>
      <c r="I1163" t="inlineStr">
        <is>
          <t>No</t>
        </is>
      </c>
      <c r="J1163" t="inlineStr">
        <is>
          <t>0</t>
        </is>
      </c>
      <c r="K1163" t="inlineStr">
        <is>
          <t>Lipman, Beata.</t>
        </is>
      </c>
      <c r="L1163" t="inlineStr">
        <is>
          <t>London : Pandora, 1988.</t>
        </is>
      </c>
      <c r="M1163" t="inlineStr">
        <is>
          <t>1988</t>
        </is>
      </c>
      <c r="O1163" t="inlineStr">
        <is>
          <t>eng</t>
        </is>
      </c>
      <c r="P1163" t="inlineStr">
        <is>
          <t>enk</t>
        </is>
      </c>
      <c r="R1163" t="inlineStr">
        <is>
          <t xml:space="preserve">HQ </t>
        </is>
      </c>
      <c r="S1163" t="n">
        <v>1</v>
      </c>
      <c r="T1163" t="n">
        <v>1</v>
      </c>
      <c r="U1163" t="inlineStr">
        <is>
          <t>1992-11-14</t>
        </is>
      </c>
      <c r="V1163" t="inlineStr">
        <is>
          <t>1992-11-14</t>
        </is>
      </c>
      <c r="W1163" t="inlineStr">
        <is>
          <t>1992-01-21</t>
        </is>
      </c>
      <c r="X1163" t="inlineStr">
        <is>
          <t>1992-01-21</t>
        </is>
      </c>
      <c r="Y1163" t="n">
        <v>219</v>
      </c>
      <c r="Z1163" t="n">
        <v>159</v>
      </c>
      <c r="AA1163" t="n">
        <v>165</v>
      </c>
      <c r="AB1163" t="n">
        <v>2</v>
      </c>
      <c r="AC1163" t="n">
        <v>2</v>
      </c>
      <c r="AD1163" t="n">
        <v>5</v>
      </c>
      <c r="AE1163" t="n">
        <v>5</v>
      </c>
      <c r="AF1163" t="n">
        <v>0</v>
      </c>
      <c r="AG1163" t="n">
        <v>0</v>
      </c>
      <c r="AH1163" t="n">
        <v>2</v>
      </c>
      <c r="AI1163" t="n">
        <v>2</v>
      </c>
      <c r="AJ1163" t="n">
        <v>3</v>
      </c>
      <c r="AK1163" t="n">
        <v>3</v>
      </c>
      <c r="AL1163" t="n">
        <v>1</v>
      </c>
      <c r="AM1163" t="n">
        <v>1</v>
      </c>
      <c r="AN1163" t="n">
        <v>0</v>
      </c>
      <c r="AO1163" t="n">
        <v>0</v>
      </c>
      <c r="AP1163" t="inlineStr">
        <is>
          <t>No</t>
        </is>
      </c>
      <c r="AQ1163" t="inlineStr">
        <is>
          <t>Yes</t>
        </is>
      </c>
      <c r="AR1163">
        <f>HYPERLINK("http://catalog.hathitrust.org/Record/000951854","HathiTrust Record")</f>
        <v/>
      </c>
      <c r="AS1163">
        <f>HYPERLINK("https://creighton-primo.hosted.exlibrisgroup.com/primo-explore/search?tab=default_tab&amp;search_scope=EVERYTHING&amp;vid=01CRU&amp;lang=en_US&amp;offset=0&amp;query=any,contains,991001262359702656","Catalog Record")</f>
        <v/>
      </c>
      <c r="AT1163">
        <f>HYPERLINK("http://www.worldcat.org/oclc/23974220","WorldCat Record")</f>
        <v/>
      </c>
      <c r="AU1163" t="inlineStr">
        <is>
          <t>368306381:eng</t>
        </is>
      </c>
      <c r="AV1163" t="inlineStr">
        <is>
          <t>23974220</t>
        </is>
      </c>
      <c r="AW1163" t="inlineStr">
        <is>
          <t>991001262359702656</t>
        </is>
      </c>
      <c r="AX1163" t="inlineStr">
        <is>
          <t>991001262359702656</t>
        </is>
      </c>
      <c r="AY1163" t="inlineStr">
        <is>
          <t>2272547920002656</t>
        </is>
      </c>
      <c r="AZ1163" t="inlineStr">
        <is>
          <t>BOOK</t>
        </is>
      </c>
      <c r="BB1163" t="inlineStr">
        <is>
          <t>9780863582868</t>
        </is>
      </c>
      <c r="BC1163" t="inlineStr">
        <is>
          <t>32285000916337</t>
        </is>
      </c>
      <c r="BD1163" t="inlineStr">
        <is>
          <t>893784976</t>
        </is>
      </c>
    </row>
    <row r="1164">
      <c r="A1164" t="inlineStr">
        <is>
          <t>No</t>
        </is>
      </c>
      <c r="B1164" t="inlineStr">
        <is>
          <t>HQ1730 .D68 2000</t>
        </is>
      </c>
      <c r="C1164" t="inlineStr">
        <is>
          <t>0                      HQ 1730000D  68          2000</t>
        </is>
      </c>
      <c r="D1164" t="inlineStr">
        <is>
          <t>Getting God's ear : women, Islam, and healing in Saudi Arabia and the Gulf / Eleanor Abdella Doumato.</t>
        </is>
      </c>
      <c r="F1164" t="inlineStr">
        <is>
          <t>No</t>
        </is>
      </c>
      <c r="G1164" t="inlineStr">
        <is>
          <t>1</t>
        </is>
      </c>
      <c r="H1164" t="inlineStr">
        <is>
          <t>No</t>
        </is>
      </c>
      <c r="I1164" t="inlineStr">
        <is>
          <t>No</t>
        </is>
      </c>
      <c r="J1164" t="inlineStr">
        <is>
          <t>0</t>
        </is>
      </c>
      <c r="K1164" t="inlineStr">
        <is>
          <t>Doumato, Eleanor Abdella.</t>
        </is>
      </c>
      <c r="L1164" t="inlineStr">
        <is>
          <t>New York : Columbia University Press, c2000.</t>
        </is>
      </c>
      <c r="M1164" t="inlineStr">
        <is>
          <t>2000</t>
        </is>
      </c>
      <c r="O1164" t="inlineStr">
        <is>
          <t>eng</t>
        </is>
      </c>
      <c r="P1164" t="inlineStr">
        <is>
          <t>nyu</t>
        </is>
      </c>
      <c r="R1164" t="inlineStr">
        <is>
          <t xml:space="preserve">HQ </t>
        </is>
      </c>
      <c r="S1164" t="n">
        <v>7</v>
      </c>
      <c r="T1164" t="n">
        <v>7</v>
      </c>
      <c r="U1164" t="inlineStr">
        <is>
          <t>2004-02-16</t>
        </is>
      </c>
      <c r="V1164" t="inlineStr">
        <is>
          <t>2004-02-16</t>
        </is>
      </c>
      <c r="W1164" t="inlineStr">
        <is>
          <t>2000-11-30</t>
        </is>
      </c>
      <c r="X1164" t="inlineStr">
        <is>
          <t>2000-11-30</t>
        </is>
      </c>
      <c r="Y1164" t="n">
        <v>530</v>
      </c>
      <c r="Z1164" t="n">
        <v>449</v>
      </c>
      <c r="AA1164" t="n">
        <v>455</v>
      </c>
      <c r="AB1164" t="n">
        <v>3</v>
      </c>
      <c r="AC1164" t="n">
        <v>3</v>
      </c>
      <c r="AD1164" t="n">
        <v>23</v>
      </c>
      <c r="AE1164" t="n">
        <v>23</v>
      </c>
      <c r="AF1164" t="n">
        <v>8</v>
      </c>
      <c r="AG1164" t="n">
        <v>8</v>
      </c>
      <c r="AH1164" t="n">
        <v>6</v>
      </c>
      <c r="AI1164" t="n">
        <v>6</v>
      </c>
      <c r="AJ1164" t="n">
        <v>11</v>
      </c>
      <c r="AK1164" t="n">
        <v>11</v>
      </c>
      <c r="AL1164" t="n">
        <v>2</v>
      </c>
      <c r="AM1164" t="n">
        <v>2</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HYPERLINK("https://creighton-primo.hosted.exlibrisgroup.com/primo-explore/search?tab=default_tab&amp;search_scope=EVERYTHING&amp;vid=01CRU&amp;lang=en_US&amp;offset=0&amp;query=any,contains,991003321859702656","Catalog Record")</f>
        <v/>
      </c>
      <c r="AT1164">
        <f>HYPERLINK("http://www.worldcat.org/oclc/41548026","WorldCat Record")</f>
        <v/>
      </c>
      <c r="AU1164" t="inlineStr">
        <is>
          <t>837014604:eng</t>
        </is>
      </c>
      <c r="AV1164" t="inlineStr">
        <is>
          <t>41548026</t>
        </is>
      </c>
      <c r="AW1164" t="inlineStr">
        <is>
          <t>991003321859702656</t>
        </is>
      </c>
      <c r="AX1164" t="inlineStr">
        <is>
          <t>991003321859702656</t>
        </is>
      </c>
      <c r="AY1164" t="inlineStr">
        <is>
          <t>2257596030002656</t>
        </is>
      </c>
      <c r="AZ1164" t="inlineStr">
        <is>
          <t>BOOK</t>
        </is>
      </c>
      <c r="BB1164" t="inlineStr">
        <is>
          <t>9780231116664</t>
        </is>
      </c>
      <c r="BC1164" t="inlineStr">
        <is>
          <t>32285004268115</t>
        </is>
      </c>
      <c r="BD1164" t="inlineStr">
        <is>
          <t>893604671</t>
        </is>
      </c>
    </row>
    <row r="1165">
      <c r="A1165" t="inlineStr">
        <is>
          <t>No</t>
        </is>
      </c>
      <c r="B1165" t="inlineStr">
        <is>
          <t>HQ1731.Z8 S838 1982</t>
        </is>
      </c>
      <c r="C1165" t="inlineStr">
        <is>
          <t>0                      HQ 1731000Z  8                  S  838         1982</t>
        </is>
      </c>
      <c r="D1165" t="inlineStr">
        <is>
          <t>Behind the veil in Arabia : women in Oman / Unni Wikan.</t>
        </is>
      </c>
      <c r="F1165" t="inlineStr">
        <is>
          <t>No</t>
        </is>
      </c>
      <c r="G1165" t="inlineStr">
        <is>
          <t>1</t>
        </is>
      </c>
      <c r="H1165" t="inlineStr">
        <is>
          <t>No</t>
        </is>
      </c>
      <c r="I1165" t="inlineStr">
        <is>
          <t>No</t>
        </is>
      </c>
      <c r="J1165" t="inlineStr">
        <is>
          <t>0</t>
        </is>
      </c>
      <c r="K1165" t="inlineStr">
        <is>
          <t>Wikan, Unni, 1944-</t>
        </is>
      </c>
      <c r="L1165" t="inlineStr">
        <is>
          <t>Baltimore : Johns Hopkins University Press, c1982.</t>
        </is>
      </c>
      <c r="M1165" t="inlineStr">
        <is>
          <t>1982</t>
        </is>
      </c>
      <c r="O1165" t="inlineStr">
        <is>
          <t>eng</t>
        </is>
      </c>
      <c r="P1165" t="inlineStr">
        <is>
          <t>mdu</t>
        </is>
      </c>
      <c r="R1165" t="inlineStr">
        <is>
          <t xml:space="preserve">HQ </t>
        </is>
      </c>
      <c r="S1165" t="n">
        <v>18</v>
      </c>
      <c r="T1165" t="n">
        <v>18</v>
      </c>
      <c r="U1165" t="inlineStr">
        <is>
          <t>2003-09-05</t>
        </is>
      </c>
      <c r="V1165" t="inlineStr">
        <is>
          <t>2003-09-05</t>
        </is>
      </c>
      <c r="W1165" t="inlineStr">
        <is>
          <t>1993-04-29</t>
        </is>
      </c>
      <c r="X1165" t="inlineStr">
        <is>
          <t>1993-04-29</t>
        </is>
      </c>
      <c r="Y1165" t="n">
        <v>609</v>
      </c>
      <c r="Z1165" t="n">
        <v>502</v>
      </c>
      <c r="AA1165" t="n">
        <v>678</v>
      </c>
      <c r="AB1165" t="n">
        <v>2</v>
      </c>
      <c r="AC1165" t="n">
        <v>3</v>
      </c>
      <c r="AD1165" t="n">
        <v>17</v>
      </c>
      <c r="AE1165" t="n">
        <v>25</v>
      </c>
      <c r="AF1165" t="n">
        <v>8</v>
      </c>
      <c r="AG1165" t="n">
        <v>11</v>
      </c>
      <c r="AH1165" t="n">
        <v>4</v>
      </c>
      <c r="AI1165" t="n">
        <v>5</v>
      </c>
      <c r="AJ1165" t="n">
        <v>8</v>
      </c>
      <c r="AK1165" t="n">
        <v>14</v>
      </c>
      <c r="AL1165" t="n">
        <v>1</v>
      </c>
      <c r="AM1165" t="n">
        <v>2</v>
      </c>
      <c r="AN1165" t="n">
        <v>0</v>
      </c>
      <c r="AO1165" t="n">
        <v>0</v>
      </c>
      <c r="AP1165" t="inlineStr">
        <is>
          <t>No</t>
        </is>
      </c>
      <c r="AQ1165" t="inlineStr">
        <is>
          <t>Yes</t>
        </is>
      </c>
      <c r="AR1165">
        <f>HYPERLINK("http://catalog.hathitrust.org/Record/000104330","HathiTrust Record")</f>
        <v/>
      </c>
      <c r="AS1165">
        <f>HYPERLINK("https://creighton-primo.hosted.exlibrisgroup.com/primo-explore/search?tab=default_tab&amp;search_scope=EVERYTHING&amp;vid=01CRU&amp;lang=en_US&amp;offset=0&amp;query=any,contains,991005390459702656","Catalog Record")</f>
        <v/>
      </c>
      <c r="AT1165">
        <f>HYPERLINK("http://www.worldcat.org/oclc/7945675","WorldCat Record")</f>
        <v/>
      </c>
      <c r="AU1165" t="inlineStr">
        <is>
          <t>24204001:eng</t>
        </is>
      </c>
      <c r="AV1165" t="inlineStr">
        <is>
          <t>7945675</t>
        </is>
      </c>
      <c r="AW1165" t="inlineStr">
        <is>
          <t>991005390459702656</t>
        </is>
      </c>
      <c r="AX1165" t="inlineStr">
        <is>
          <t>991005390459702656</t>
        </is>
      </c>
      <c r="AY1165" t="inlineStr">
        <is>
          <t>2271025390002656</t>
        </is>
      </c>
      <c r="AZ1165" t="inlineStr">
        <is>
          <t>BOOK</t>
        </is>
      </c>
      <c r="BB1165" t="inlineStr">
        <is>
          <t>9780801827297</t>
        </is>
      </c>
      <c r="BC1165" t="inlineStr">
        <is>
          <t>32285001631372</t>
        </is>
      </c>
      <c r="BD1165" t="inlineStr">
        <is>
          <t>893720343</t>
        </is>
      </c>
    </row>
    <row r="1166">
      <c r="A1166" t="inlineStr">
        <is>
          <t>No</t>
        </is>
      </c>
      <c r="B1166" t="inlineStr">
        <is>
          <t>HQ1732 .W3</t>
        </is>
      </c>
      <c r="C1166" t="inlineStr">
        <is>
          <t>0                      HQ 1732000W  3</t>
        </is>
      </c>
      <c r="D1166" t="inlineStr">
        <is>
          <t>Women in the new Asia; the changing social roles of men and women in South and South-east Asia.</t>
        </is>
      </c>
      <c r="F1166" t="inlineStr">
        <is>
          <t>No</t>
        </is>
      </c>
      <c r="G1166" t="inlineStr">
        <is>
          <t>1</t>
        </is>
      </c>
      <c r="H1166" t="inlineStr">
        <is>
          <t>No</t>
        </is>
      </c>
      <c r="I1166" t="inlineStr">
        <is>
          <t>No</t>
        </is>
      </c>
      <c r="J1166" t="inlineStr">
        <is>
          <t>0</t>
        </is>
      </c>
      <c r="K1166" t="inlineStr">
        <is>
          <t>Ward, Barbara E., -1983 editor.</t>
        </is>
      </c>
      <c r="L1166" t="inlineStr">
        <is>
          <t>[Paris] UNESCO [1963]</t>
        </is>
      </c>
      <c r="M1166" t="inlineStr">
        <is>
          <t>1963</t>
        </is>
      </c>
      <c r="O1166" t="inlineStr">
        <is>
          <t>eng</t>
        </is>
      </c>
      <c r="P1166" t="inlineStr">
        <is>
          <t xml:space="preserve">fr </t>
        </is>
      </c>
      <c r="R1166" t="inlineStr">
        <is>
          <t xml:space="preserve">HQ </t>
        </is>
      </c>
      <c r="S1166" t="n">
        <v>20</v>
      </c>
      <c r="T1166" t="n">
        <v>20</v>
      </c>
      <c r="U1166" t="inlineStr">
        <is>
          <t>2005-11-27</t>
        </is>
      </c>
      <c r="V1166" t="inlineStr">
        <is>
          <t>2005-11-27</t>
        </is>
      </c>
      <c r="W1166" t="inlineStr">
        <is>
          <t>1997-08-15</t>
        </is>
      </c>
      <c r="X1166" t="inlineStr">
        <is>
          <t>1997-08-15</t>
        </is>
      </c>
      <c r="Y1166" t="n">
        <v>577</v>
      </c>
      <c r="Z1166" t="n">
        <v>458</v>
      </c>
      <c r="AA1166" t="n">
        <v>486</v>
      </c>
      <c r="AB1166" t="n">
        <v>3</v>
      </c>
      <c r="AC1166" t="n">
        <v>3</v>
      </c>
      <c r="AD1166" t="n">
        <v>21</v>
      </c>
      <c r="AE1166" t="n">
        <v>22</v>
      </c>
      <c r="AF1166" t="n">
        <v>11</v>
      </c>
      <c r="AG1166" t="n">
        <v>11</v>
      </c>
      <c r="AH1166" t="n">
        <v>6</v>
      </c>
      <c r="AI1166" t="n">
        <v>6</v>
      </c>
      <c r="AJ1166" t="n">
        <v>10</v>
      </c>
      <c r="AK1166" t="n">
        <v>11</v>
      </c>
      <c r="AL1166" t="n">
        <v>1</v>
      </c>
      <c r="AM1166" t="n">
        <v>1</v>
      </c>
      <c r="AN1166" t="n">
        <v>0</v>
      </c>
      <c r="AO1166" t="n">
        <v>0</v>
      </c>
      <c r="AP1166" t="inlineStr">
        <is>
          <t>No</t>
        </is>
      </c>
      <c r="AQ1166" t="inlineStr">
        <is>
          <t>Yes</t>
        </is>
      </c>
      <c r="AR1166">
        <f>HYPERLINK("http://catalog.hathitrust.org/Record/001117014","HathiTrust Record")</f>
        <v/>
      </c>
      <c r="AS1166">
        <f>HYPERLINK("https://creighton-primo.hosted.exlibrisgroup.com/primo-explore/search?tab=default_tab&amp;search_scope=EVERYTHING&amp;vid=01CRU&amp;lang=en_US&amp;offset=0&amp;query=any,contains,991002193989702656","Catalog Record")</f>
        <v/>
      </c>
      <c r="AT1166">
        <f>HYPERLINK("http://www.worldcat.org/oclc/282399","WorldCat Record")</f>
        <v/>
      </c>
      <c r="AU1166" t="inlineStr">
        <is>
          <t>25462579:eng</t>
        </is>
      </c>
      <c r="AV1166" t="inlineStr">
        <is>
          <t>282399</t>
        </is>
      </c>
      <c r="AW1166" t="inlineStr">
        <is>
          <t>991002193989702656</t>
        </is>
      </c>
      <c r="AX1166" t="inlineStr">
        <is>
          <t>991002193989702656</t>
        </is>
      </c>
      <c r="AY1166" t="inlineStr">
        <is>
          <t>2266209740002656</t>
        </is>
      </c>
      <c r="AZ1166" t="inlineStr">
        <is>
          <t>BOOK</t>
        </is>
      </c>
      <c r="BC1166" t="inlineStr">
        <is>
          <t>32285003104832</t>
        </is>
      </c>
      <c r="BD1166" t="inlineStr">
        <is>
          <t>893885956</t>
        </is>
      </c>
    </row>
    <row r="1167">
      <c r="A1167" t="inlineStr">
        <is>
          <t>No</t>
        </is>
      </c>
      <c r="B1167" t="inlineStr">
        <is>
          <t>HQ1735 .K43 1990</t>
        </is>
      </c>
      <c r="C1167" t="inlineStr">
        <is>
          <t>0                      HQ 1735000K  43          1990</t>
        </is>
      </c>
      <c r="D1167" t="inlineStr">
        <is>
          <t>Honour and shame : women in modern Iraq / Sana al-Khayyat.</t>
        </is>
      </c>
      <c r="F1167" t="inlineStr">
        <is>
          <t>No</t>
        </is>
      </c>
      <c r="G1167" t="inlineStr">
        <is>
          <t>1</t>
        </is>
      </c>
      <c r="H1167" t="inlineStr">
        <is>
          <t>No</t>
        </is>
      </c>
      <c r="I1167" t="inlineStr">
        <is>
          <t>No</t>
        </is>
      </c>
      <c r="J1167" t="inlineStr">
        <is>
          <t>0</t>
        </is>
      </c>
      <c r="K1167" t="inlineStr">
        <is>
          <t>Khayyat, Sana.</t>
        </is>
      </c>
      <c r="L1167" t="inlineStr">
        <is>
          <t>London : Saqi Books, 1990.</t>
        </is>
      </c>
      <c r="M1167" t="inlineStr">
        <is>
          <t>1990</t>
        </is>
      </c>
      <c r="O1167" t="inlineStr">
        <is>
          <t>eng</t>
        </is>
      </c>
      <c r="P1167" t="inlineStr">
        <is>
          <t>enk</t>
        </is>
      </c>
      <c r="R1167" t="inlineStr">
        <is>
          <t xml:space="preserve">HQ </t>
        </is>
      </c>
      <c r="S1167" t="n">
        <v>7</v>
      </c>
      <c r="T1167" t="n">
        <v>7</v>
      </c>
      <c r="U1167" t="inlineStr">
        <is>
          <t>2006-10-02</t>
        </is>
      </c>
      <c r="V1167" t="inlineStr">
        <is>
          <t>2006-10-02</t>
        </is>
      </c>
      <c r="W1167" t="inlineStr">
        <is>
          <t>1998-04-07</t>
        </is>
      </c>
      <c r="X1167" t="inlineStr">
        <is>
          <t>1998-04-07</t>
        </is>
      </c>
      <c r="Y1167" t="n">
        <v>225</v>
      </c>
      <c r="Z1167" t="n">
        <v>139</v>
      </c>
      <c r="AA1167" t="n">
        <v>155</v>
      </c>
      <c r="AB1167" t="n">
        <v>1</v>
      </c>
      <c r="AC1167" t="n">
        <v>1</v>
      </c>
      <c r="AD1167" t="n">
        <v>2</v>
      </c>
      <c r="AE1167" t="n">
        <v>4</v>
      </c>
      <c r="AF1167" t="n">
        <v>0</v>
      </c>
      <c r="AG1167" t="n">
        <v>1</v>
      </c>
      <c r="AH1167" t="n">
        <v>1</v>
      </c>
      <c r="AI1167" t="n">
        <v>2</v>
      </c>
      <c r="AJ1167" t="n">
        <v>1</v>
      </c>
      <c r="AK1167" t="n">
        <v>3</v>
      </c>
      <c r="AL1167" t="n">
        <v>0</v>
      </c>
      <c r="AM1167" t="n">
        <v>0</v>
      </c>
      <c r="AN1167" t="n">
        <v>0</v>
      </c>
      <c r="AO1167" t="n">
        <v>0</v>
      </c>
      <c r="AP1167" t="inlineStr">
        <is>
          <t>No</t>
        </is>
      </c>
      <c r="AQ1167" t="inlineStr">
        <is>
          <t>Yes</t>
        </is>
      </c>
      <c r="AR1167">
        <f>HYPERLINK("http://catalog.hathitrust.org/Record/002453421","HathiTrust Record")</f>
        <v/>
      </c>
      <c r="AS1167">
        <f>HYPERLINK("https://creighton-primo.hosted.exlibrisgroup.com/primo-explore/search?tab=default_tab&amp;search_scope=EVERYTHING&amp;vid=01CRU&amp;lang=en_US&amp;offset=0&amp;query=any,contains,991002026049702656","Catalog Record")</f>
        <v/>
      </c>
      <c r="AT1167">
        <f>HYPERLINK("http://www.worldcat.org/oclc/25787313","WorldCat Record")</f>
        <v/>
      </c>
      <c r="AU1167" t="inlineStr">
        <is>
          <t>285388680:eng</t>
        </is>
      </c>
      <c r="AV1167" t="inlineStr">
        <is>
          <t>25787313</t>
        </is>
      </c>
      <c r="AW1167" t="inlineStr">
        <is>
          <t>991002026049702656</t>
        </is>
      </c>
      <c r="AX1167" t="inlineStr">
        <is>
          <t>991002026049702656</t>
        </is>
      </c>
      <c r="AY1167" t="inlineStr">
        <is>
          <t>2256241960002656</t>
        </is>
      </c>
      <c r="AZ1167" t="inlineStr">
        <is>
          <t>BOOK</t>
        </is>
      </c>
      <c r="BB1167" t="inlineStr">
        <is>
          <t>9780863560507</t>
        </is>
      </c>
      <c r="BC1167" t="inlineStr">
        <is>
          <t>32285003383592</t>
        </is>
      </c>
      <c r="BD1167" t="inlineStr">
        <is>
          <t>893316286</t>
        </is>
      </c>
    </row>
    <row r="1168">
      <c r="A1168" t="inlineStr">
        <is>
          <t>No</t>
        </is>
      </c>
      <c r="B1168" t="inlineStr">
        <is>
          <t>HQ1735.2 .R44 1989</t>
        </is>
      </c>
      <c r="C1168" t="inlineStr">
        <is>
          <t>0                      HQ 1735200R  44          1989</t>
        </is>
      </c>
      <c r="D1168" t="inlineStr">
        <is>
          <t>Female warriors of Allah : women and the Islamic revolution / Minou Reeves.</t>
        </is>
      </c>
      <c r="F1168" t="inlineStr">
        <is>
          <t>No</t>
        </is>
      </c>
      <c r="G1168" t="inlineStr">
        <is>
          <t>1</t>
        </is>
      </c>
      <c r="H1168" t="inlineStr">
        <is>
          <t>No</t>
        </is>
      </c>
      <c r="I1168" t="inlineStr">
        <is>
          <t>No</t>
        </is>
      </c>
      <c r="J1168" t="inlineStr">
        <is>
          <t>0</t>
        </is>
      </c>
      <c r="K1168" t="inlineStr">
        <is>
          <t>Reeves, Minou.</t>
        </is>
      </c>
      <c r="L1168" t="inlineStr">
        <is>
          <t>New York : Dutton, c1989.</t>
        </is>
      </c>
      <c r="M1168" t="inlineStr">
        <is>
          <t>1989</t>
        </is>
      </c>
      <c r="N1168" t="inlineStr">
        <is>
          <t>1st ed.</t>
        </is>
      </c>
      <c r="O1168" t="inlineStr">
        <is>
          <t>eng</t>
        </is>
      </c>
      <c r="P1168" t="inlineStr">
        <is>
          <t>nyu</t>
        </is>
      </c>
      <c r="R1168" t="inlineStr">
        <is>
          <t xml:space="preserve">HQ </t>
        </is>
      </c>
      <c r="S1168" t="n">
        <v>12</v>
      </c>
      <c r="T1168" t="n">
        <v>12</v>
      </c>
      <c r="U1168" t="inlineStr">
        <is>
          <t>2007-04-04</t>
        </is>
      </c>
      <c r="V1168" t="inlineStr">
        <is>
          <t>2007-04-04</t>
        </is>
      </c>
      <c r="W1168" t="inlineStr">
        <is>
          <t>1995-11-03</t>
        </is>
      </c>
      <c r="X1168" t="inlineStr">
        <is>
          <t>1995-11-03</t>
        </is>
      </c>
      <c r="Y1168" t="n">
        <v>422</v>
      </c>
      <c r="Z1168" t="n">
        <v>359</v>
      </c>
      <c r="AA1168" t="n">
        <v>366</v>
      </c>
      <c r="AB1168" t="n">
        <v>6</v>
      </c>
      <c r="AC1168" t="n">
        <v>6</v>
      </c>
      <c r="AD1168" t="n">
        <v>10</v>
      </c>
      <c r="AE1168" t="n">
        <v>10</v>
      </c>
      <c r="AF1168" t="n">
        <v>1</v>
      </c>
      <c r="AG1168" t="n">
        <v>1</v>
      </c>
      <c r="AH1168" t="n">
        <v>2</v>
      </c>
      <c r="AI1168" t="n">
        <v>2</v>
      </c>
      <c r="AJ1168" t="n">
        <v>4</v>
      </c>
      <c r="AK1168" t="n">
        <v>4</v>
      </c>
      <c r="AL1168" t="n">
        <v>3</v>
      </c>
      <c r="AM1168" t="n">
        <v>3</v>
      </c>
      <c r="AN1168" t="n">
        <v>1</v>
      </c>
      <c r="AO1168" t="n">
        <v>1</v>
      </c>
      <c r="AP1168" t="inlineStr">
        <is>
          <t>No</t>
        </is>
      </c>
      <c r="AQ1168" t="inlineStr">
        <is>
          <t>Yes</t>
        </is>
      </c>
      <c r="AR1168">
        <f>HYPERLINK("http://catalog.hathitrust.org/Record/003974346","HathiTrust Record")</f>
        <v/>
      </c>
      <c r="AS1168">
        <f>HYPERLINK("https://creighton-primo.hosted.exlibrisgroup.com/primo-explore/search?tab=default_tab&amp;search_scope=EVERYTHING&amp;vid=01CRU&amp;lang=en_US&amp;offset=0&amp;query=any,contains,991001279879702656","Catalog Record")</f>
        <v/>
      </c>
      <c r="AT1168">
        <f>HYPERLINK("http://www.worldcat.org/oclc/17916392","WorldCat Record")</f>
        <v/>
      </c>
      <c r="AU1168" t="inlineStr">
        <is>
          <t>890465700:eng</t>
        </is>
      </c>
      <c r="AV1168" t="inlineStr">
        <is>
          <t>17916392</t>
        </is>
      </c>
      <c r="AW1168" t="inlineStr">
        <is>
          <t>991001279879702656</t>
        </is>
      </c>
      <c r="AX1168" t="inlineStr">
        <is>
          <t>991001279879702656</t>
        </is>
      </c>
      <c r="AY1168" t="inlineStr">
        <is>
          <t>2270420500002656</t>
        </is>
      </c>
      <c r="AZ1168" t="inlineStr">
        <is>
          <t>BOOK</t>
        </is>
      </c>
      <c r="BB1168" t="inlineStr">
        <is>
          <t>9780525247128</t>
        </is>
      </c>
      <c r="BC1168" t="inlineStr">
        <is>
          <t>32285002100591</t>
        </is>
      </c>
      <c r="BD1168" t="inlineStr">
        <is>
          <t>893715331</t>
        </is>
      </c>
    </row>
    <row r="1169">
      <c r="A1169" t="inlineStr">
        <is>
          <t>No</t>
        </is>
      </c>
      <c r="B1169" t="inlineStr">
        <is>
          <t>HQ1735.6 .S385 2008</t>
        </is>
      </c>
      <c r="C1169" t="inlineStr">
        <is>
          <t>0                      HQ 1735600S  385         2008</t>
        </is>
      </c>
      <c r="D1169" t="inlineStr">
        <is>
          <t>Women of Afghanistan in the post-Taliban era : how lives have changed and where they stand today / Rosemarie Skaine.</t>
        </is>
      </c>
      <c r="F1169" t="inlineStr">
        <is>
          <t>No</t>
        </is>
      </c>
      <c r="G1169" t="inlineStr">
        <is>
          <t>1</t>
        </is>
      </c>
      <c r="H1169" t="inlineStr">
        <is>
          <t>No</t>
        </is>
      </c>
      <c r="I1169" t="inlineStr">
        <is>
          <t>No</t>
        </is>
      </c>
      <c r="J1169" t="inlineStr">
        <is>
          <t>0</t>
        </is>
      </c>
      <c r="K1169" t="inlineStr">
        <is>
          <t>Skaine, Rosemarie.</t>
        </is>
      </c>
      <c r="L1169" t="inlineStr">
        <is>
          <t>Jefferson, N.C. : McFarland &amp; Co., c2008.</t>
        </is>
      </c>
      <c r="M1169" t="inlineStr">
        <is>
          <t>2008</t>
        </is>
      </c>
      <c r="O1169" t="inlineStr">
        <is>
          <t>eng</t>
        </is>
      </c>
      <c r="P1169" t="inlineStr">
        <is>
          <t>ncu</t>
        </is>
      </c>
      <c r="R1169" t="inlineStr">
        <is>
          <t xml:space="preserve">HQ </t>
        </is>
      </c>
      <c r="S1169" t="n">
        <v>2</v>
      </c>
      <c r="T1169" t="n">
        <v>2</v>
      </c>
      <c r="U1169" t="inlineStr">
        <is>
          <t>2010-11-14</t>
        </is>
      </c>
      <c r="V1169" t="inlineStr">
        <is>
          <t>2010-11-14</t>
        </is>
      </c>
      <c r="W1169" t="inlineStr">
        <is>
          <t>2009-02-04</t>
        </is>
      </c>
      <c r="X1169" t="inlineStr">
        <is>
          <t>2009-02-04</t>
        </is>
      </c>
      <c r="Y1169" t="n">
        <v>470</v>
      </c>
      <c r="Z1169" t="n">
        <v>402</v>
      </c>
      <c r="AA1169" t="n">
        <v>408</v>
      </c>
      <c r="AB1169" t="n">
        <v>5</v>
      </c>
      <c r="AC1169" t="n">
        <v>5</v>
      </c>
      <c r="AD1169" t="n">
        <v>20</v>
      </c>
      <c r="AE1169" t="n">
        <v>20</v>
      </c>
      <c r="AF1169" t="n">
        <v>7</v>
      </c>
      <c r="AG1169" t="n">
        <v>7</v>
      </c>
      <c r="AH1169" t="n">
        <v>4</v>
      </c>
      <c r="AI1169" t="n">
        <v>4</v>
      </c>
      <c r="AJ1169" t="n">
        <v>11</v>
      </c>
      <c r="AK1169" t="n">
        <v>11</v>
      </c>
      <c r="AL1169" t="n">
        <v>3</v>
      </c>
      <c r="AM1169" t="n">
        <v>3</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HYPERLINK("https://creighton-primo.hosted.exlibrisgroup.com/primo-explore/search?tab=default_tab&amp;search_scope=EVERYTHING&amp;vid=01CRU&amp;lang=en_US&amp;offset=0&amp;query=any,contains,991005291069702656","Catalog Record")</f>
        <v/>
      </c>
      <c r="AT1169">
        <f>HYPERLINK("http://www.worldcat.org/oclc/231671104","WorldCat Record")</f>
        <v/>
      </c>
      <c r="AU1169" t="inlineStr">
        <is>
          <t>793857745:eng</t>
        </is>
      </c>
      <c r="AV1169" t="inlineStr">
        <is>
          <t>231671104</t>
        </is>
      </c>
      <c r="AW1169" t="inlineStr">
        <is>
          <t>991005291069702656</t>
        </is>
      </c>
      <c r="AX1169" t="inlineStr">
        <is>
          <t>991005291069702656</t>
        </is>
      </c>
      <c r="AY1169" t="inlineStr">
        <is>
          <t>2259993100002656</t>
        </is>
      </c>
      <c r="AZ1169" t="inlineStr">
        <is>
          <t>BOOK</t>
        </is>
      </c>
      <c r="BB1169" t="inlineStr">
        <is>
          <t>9780786437924</t>
        </is>
      </c>
      <c r="BC1169" t="inlineStr">
        <is>
          <t>32285005502488</t>
        </is>
      </c>
      <c r="BD1169" t="inlineStr">
        <is>
          <t>893695082</t>
        </is>
      </c>
    </row>
    <row r="1170">
      <c r="A1170" t="inlineStr">
        <is>
          <t>No</t>
        </is>
      </c>
      <c r="B1170" t="inlineStr">
        <is>
          <t>HQ1735.6.Z75 L3813 2001</t>
        </is>
      </c>
      <c r="C1170" t="inlineStr">
        <is>
          <t>0                      HQ 1735600Z  75                 L  3813        2001</t>
        </is>
      </c>
      <c r="D1170" t="inlineStr">
        <is>
          <t>My forbidden face : growing up under the Taliban : a young woman's story / Latifa ; written with the collaboration of Sheékéba Hachemi ; translated by Linda Coverdale ; [preface by Karenna Gore Schiff].</t>
        </is>
      </c>
      <c r="F1170" t="inlineStr">
        <is>
          <t>No</t>
        </is>
      </c>
      <c r="G1170" t="inlineStr">
        <is>
          <t>1</t>
        </is>
      </c>
      <c r="H1170" t="inlineStr">
        <is>
          <t>No</t>
        </is>
      </c>
      <c r="I1170" t="inlineStr">
        <is>
          <t>No</t>
        </is>
      </c>
      <c r="J1170" t="inlineStr">
        <is>
          <t>0</t>
        </is>
      </c>
      <c r="K1170" t="inlineStr">
        <is>
          <t>Latifa, 1980-</t>
        </is>
      </c>
      <c r="L1170" t="inlineStr">
        <is>
          <t>New York : Hyperion, c2001.</t>
        </is>
      </c>
      <c r="M1170" t="inlineStr">
        <is>
          <t>2001</t>
        </is>
      </c>
      <c r="N1170" t="inlineStr">
        <is>
          <t>1st ed.</t>
        </is>
      </c>
      <c r="O1170" t="inlineStr">
        <is>
          <t>eng</t>
        </is>
      </c>
      <c r="P1170" t="inlineStr">
        <is>
          <t>nyu</t>
        </is>
      </c>
      <c r="R1170" t="inlineStr">
        <is>
          <t xml:space="preserve">HQ </t>
        </is>
      </c>
      <c r="S1170" t="n">
        <v>5</v>
      </c>
      <c r="T1170" t="n">
        <v>5</v>
      </c>
      <c r="U1170" t="inlineStr">
        <is>
          <t>2007-11-25</t>
        </is>
      </c>
      <c r="V1170" t="inlineStr">
        <is>
          <t>2007-11-25</t>
        </is>
      </c>
      <c r="W1170" t="inlineStr">
        <is>
          <t>2002-07-09</t>
        </is>
      </c>
      <c r="X1170" t="inlineStr">
        <is>
          <t>2002-07-09</t>
        </is>
      </c>
      <c r="Y1170" t="n">
        <v>1572</v>
      </c>
      <c r="Z1170" t="n">
        <v>1485</v>
      </c>
      <c r="AA1170" t="n">
        <v>1619</v>
      </c>
      <c r="AB1170" t="n">
        <v>18</v>
      </c>
      <c r="AC1170" t="n">
        <v>20</v>
      </c>
      <c r="AD1170" t="n">
        <v>25</v>
      </c>
      <c r="AE1170" t="n">
        <v>27</v>
      </c>
      <c r="AF1170" t="n">
        <v>11</v>
      </c>
      <c r="AG1170" t="n">
        <v>11</v>
      </c>
      <c r="AH1170" t="n">
        <v>1</v>
      </c>
      <c r="AI1170" t="n">
        <v>3</v>
      </c>
      <c r="AJ1170" t="n">
        <v>12</v>
      </c>
      <c r="AK1170" t="n">
        <v>12</v>
      </c>
      <c r="AL1170" t="n">
        <v>5</v>
      </c>
      <c r="AM1170" t="n">
        <v>5</v>
      </c>
      <c r="AN1170" t="n">
        <v>0</v>
      </c>
      <c r="AO1170" t="n">
        <v>0</v>
      </c>
      <c r="AP1170" t="inlineStr">
        <is>
          <t>No</t>
        </is>
      </c>
      <c r="AQ1170" t="inlineStr">
        <is>
          <t>Yes</t>
        </is>
      </c>
      <c r="AR1170">
        <f>HYPERLINK("http://catalog.hathitrust.org/Record/007141368","HathiTrust Record")</f>
        <v/>
      </c>
      <c r="AS1170">
        <f>HYPERLINK("https://creighton-primo.hosted.exlibrisgroup.com/primo-explore/search?tab=default_tab&amp;search_scope=EVERYTHING&amp;vid=01CRU&amp;lang=en_US&amp;offset=0&amp;query=any,contains,991003821909702656","Catalog Record")</f>
        <v/>
      </c>
      <c r="AT1170">
        <f>HYPERLINK("http://www.worldcat.org/oclc/49214720","WorldCat Record")</f>
        <v/>
      </c>
      <c r="AU1170" t="inlineStr">
        <is>
          <t>141014907:eng</t>
        </is>
      </c>
      <c r="AV1170" t="inlineStr">
        <is>
          <t>49214720</t>
        </is>
      </c>
      <c r="AW1170" t="inlineStr">
        <is>
          <t>991003821909702656</t>
        </is>
      </c>
      <c r="AX1170" t="inlineStr">
        <is>
          <t>991003821909702656</t>
        </is>
      </c>
      <c r="AY1170" t="inlineStr">
        <is>
          <t>2262554660002656</t>
        </is>
      </c>
      <c r="AZ1170" t="inlineStr">
        <is>
          <t>BOOK</t>
        </is>
      </c>
      <c r="BB1170" t="inlineStr">
        <is>
          <t>9780786869015</t>
        </is>
      </c>
      <c r="BC1170" t="inlineStr">
        <is>
          <t>32285004496401</t>
        </is>
      </c>
      <c r="BD1170" t="inlineStr">
        <is>
          <t>893429259</t>
        </is>
      </c>
    </row>
    <row r="1171">
      <c r="A1171" t="inlineStr">
        <is>
          <t>No</t>
        </is>
      </c>
      <c r="B1171" t="inlineStr">
        <is>
          <t>HQ1735.9 .B46 1983</t>
        </is>
      </c>
      <c r="C1171" t="inlineStr">
        <is>
          <t>0                      HQ 1735900B  46          1983</t>
        </is>
      </c>
      <c r="D1171" t="inlineStr">
        <is>
          <t>Dangerous wives and sacred sisters : social and symbolic roles of high-caste women in Nepal / Lynn Bennett.</t>
        </is>
      </c>
      <c r="F1171" t="inlineStr">
        <is>
          <t>No</t>
        </is>
      </c>
      <c r="G1171" t="inlineStr">
        <is>
          <t>1</t>
        </is>
      </c>
      <c r="H1171" t="inlineStr">
        <is>
          <t>No</t>
        </is>
      </c>
      <c r="I1171" t="inlineStr">
        <is>
          <t>No</t>
        </is>
      </c>
      <c r="J1171" t="inlineStr">
        <is>
          <t>0</t>
        </is>
      </c>
      <c r="K1171" t="inlineStr">
        <is>
          <t>Bennett, Lynn, 1945-</t>
        </is>
      </c>
      <c r="L1171" t="inlineStr">
        <is>
          <t>New York : Columbia University Press, 1983.</t>
        </is>
      </c>
      <c r="M1171" t="inlineStr">
        <is>
          <t>1983</t>
        </is>
      </c>
      <c r="O1171" t="inlineStr">
        <is>
          <t>eng</t>
        </is>
      </c>
      <c r="P1171" t="inlineStr">
        <is>
          <t>nyu</t>
        </is>
      </c>
      <c r="R1171" t="inlineStr">
        <is>
          <t xml:space="preserve">HQ </t>
        </is>
      </c>
      <c r="S1171" t="n">
        <v>3</v>
      </c>
      <c r="T1171" t="n">
        <v>3</v>
      </c>
      <c r="U1171" t="inlineStr">
        <is>
          <t>2004-04-19</t>
        </is>
      </c>
      <c r="V1171" t="inlineStr">
        <is>
          <t>2004-04-19</t>
        </is>
      </c>
      <c r="W1171" t="inlineStr">
        <is>
          <t>1994-11-22</t>
        </is>
      </c>
      <c r="X1171" t="inlineStr">
        <is>
          <t>1994-11-22</t>
        </is>
      </c>
      <c r="Y1171" t="n">
        <v>540</v>
      </c>
      <c r="Z1171" t="n">
        <v>424</v>
      </c>
      <c r="AA1171" t="n">
        <v>433</v>
      </c>
      <c r="AB1171" t="n">
        <v>3</v>
      </c>
      <c r="AC1171" t="n">
        <v>3</v>
      </c>
      <c r="AD1171" t="n">
        <v>15</v>
      </c>
      <c r="AE1171" t="n">
        <v>15</v>
      </c>
      <c r="AF1171" t="n">
        <v>3</v>
      </c>
      <c r="AG1171" t="n">
        <v>3</v>
      </c>
      <c r="AH1171" t="n">
        <v>3</v>
      </c>
      <c r="AI1171" t="n">
        <v>3</v>
      </c>
      <c r="AJ1171" t="n">
        <v>10</v>
      </c>
      <c r="AK1171" t="n">
        <v>10</v>
      </c>
      <c r="AL1171" t="n">
        <v>2</v>
      </c>
      <c r="AM1171" t="n">
        <v>2</v>
      </c>
      <c r="AN1171" t="n">
        <v>0</v>
      </c>
      <c r="AO1171" t="n">
        <v>0</v>
      </c>
      <c r="AP1171" t="inlineStr">
        <is>
          <t>No</t>
        </is>
      </c>
      <c r="AQ1171" t="inlineStr">
        <is>
          <t>Yes</t>
        </is>
      </c>
      <c r="AR1171">
        <f>HYPERLINK("http://catalog.hathitrust.org/Record/000161475","HathiTrust Record")</f>
        <v/>
      </c>
      <c r="AS1171">
        <f>HYPERLINK("https://creighton-primo.hosted.exlibrisgroup.com/primo-explore/search?tab=default_tab&amp;search_scope=EVERYTHING&amp;vid=01CRU&amp;lang=en_US&amp;offset=0&amp;query=any,contains,991000217879702656","Catalog Record")</f>
        <v/>
      </c>
      <c r="AT1171">
        <f>HYPERLINK("http://www.worldcat.org/oclc/9575039","WorldCat Record")</f>
        <v/>
      </c>
      <c r="AU1171" t="inlineStr">
        <is>
          <t>836619942:eng</t>
        </is>
      </c>
      <c r="AV1171" t="inlineStr">
        <is>
          <t>9575039</t>
        </is>
      </c>
      <c r="AW1171" t="inlineStr">
        <is>
          <t>991000217879702656</t>
        </is>
      </c>
      <c r="AX1171" t="inlineStr">
        <is>
          <t>991000217879702656</t>
        </is>
      </c>
      <c r="AY1171" t="inlineStr">
        <is>
          <t>2270393120002656</t>
        </is>
      </c>
      <c r="AZ1171" t="inlineStr">
        <is>
          <t>BOOK</t>
        </is>
      </c>
      <c r="BB1171" t="inlineStr">
        <is>
          <t>9780231046640</t>
        </is>
      </c>
      <c r="BC1171" t="inlineStr">
        <is>
          <t>32285001959658</t>
        </is>
      </c>
      <c r="BD1171" t="inlineStr">
        <is>
          <t>893230974</t>
        </is>
      </c>
    </row>
    <row r="1172">
      <c r="A1172" t="inlineStr">
        <is>
          <t>No</t>
        </is>
      </c>
      <c r="B1172" t="inlineStr">
        <is>
          <t>HQ1737 .S6</t>
        </is>
      </c>
      <c r="C1172" t="inlineStr">
        <is>
          <t>0                      HQ 1737000S  6</t>
        </is>
      </c>
      <c r="D1172" t="inlineStr">
        <is>
          <t>Women in modern China / Helen Foster Snow.</t>
        </is>
      </c>
      <c r="F1172" t="inlineStr">
        <is>
          <t>No</t>
        </is>
      </c>
      <c r="G1172" t="inlineStr">
        <is>
          <t>1</t>
        </is>
      </c>
      <c r="H1172" t="inlineStr">
        <is>
          <t>No</t>
        </is>
      </c>
      <c r="I1172" t="inlineStr">
        <is>
          <t>No</t>
        </is>
      </c>
      <c r="J1172" t="inlineStr">
        <is>
          <t>0</t>
        </is>
      </c>
      <c r="K1172" t="inlineStr">
        <is>
          <t>Wales, Nym, 1907-1997.</t>
        </is>
      </c>
      <c r="L1172" t="inlineStr">
        <is>
          <t>The Hague ; Paris : Mouton [1967]</t>
        </is>
      </c>
      <c r="M1172" t="inlineStr">
        <is>
          <t>1967</t>
        </is>
      </c>
      <c r="O1172" t="inlineStr">
        <is>
          <t>eng</t>
        </is>
      </c>
      <c r="P1172" t="inlineStr">
        <is>
          <t xml:space="preserve">ne </t>
        </is>
      </c>
      <c r="R1172" t="inlineStr">
        <is>
          <t xml:space="preserve">HQ </t>
        </is>
      </c>
      <c r="S1172" t="n">
        <v>14</v>
      </c>
      <c r="T1172" t="n">
        <v>14</v>
      </c>
      <c r="U1172" t="inlineStr">
        <is>
          <t>2009-12-12</t>
        </is>
      </c>
      <c r="V1172" t="inlineStr">
        <is>
          <t>2009-12-12</t>
        </is>
      </c>
      <c r="W1172" t="inlineStr">
        <is>
          <t>1994-11-02</t>
        </is>
      </c>
      <c r="X1172" t="inlineStr">
        <is>
          <t>1994-11-02</t>
        </is>
      </c>
      <c r="Y1172" t="n">
        <v>298</v>
      </c>
      <c r="Z1172" t="n">
        <v>251</v>
      </c>
      <c r="AA1172" t="n">
        <v>253</v>
      </c>
      <c r="AB1172" t="n">
        <v>2</v>
      </c>
      <c r="AC1172" t="n">
        <v>2</v>
      </c>
      <c r="AD1172" t="n">
        <v>6</v>
      </c>
      <c r="AE1172" t="n">
        <v>6</v>
      </c>
      <c r="AF1172" t="n">
        <v>2</v>
      </c>
      <c r="AG1172" t="n">
        <v>2</v>
      </c>
      <c r="AH1172" t="n">
        <v>0</v>
      </c>
      <c r="AI1172" t="n">
        <v>0</v>
      </c>
      <c r="AJ1172" t="n">
        <v>3</v>
      </c>
      <c r="AK1172" t="n">
        <v>3</v>
      </c>
      <c r="AL1172" t="n">
        <v>1</v>
      </c>
      <c r="AM1172" t="n">
        <v>1</v>
      </c>
      <c r="AN1172" t="n">
        <v>0</v>
      </c>
      <c r="AO1172" t="n">
        <v>0</v>
      </c>
      <c r="AP1172" t="inlineStr">
        <is>
          <t>No</t>
        </is>
      </c>
      <c r="AQ1172" t="inlineStr">
        <is>
          <t>Yes</t>
        </is>
      </c>
      <c r="AR1172">
        <f>HYPERLINK("http://catalog.hathitrust.org/Record/001063895","HathiTrust Record")</f>
        <v/>
      </c>
      <c r="AS1172">
        <f>HYPERLINK("https://creighton-primo.hosted.exlibrisgroup.com/primo-explore/search?tab=default_tab&amp;search_scope=EVERYTHING&amp;vid=01CRU&amp;lang=en_US&amp;offset=0&amp;query=any,contains,991003912619702656","Catalog Record")</f>
        <v/>
      </c>
      <c r="AT1172">
        <f>HYPERLINK("http://www.worldcat.org/oclc/1855209","WorldCat Record")</f>
        <v/>
      </c>
      <c r="AU1172" t="inlineStr">
        <is>
          <t>3901685691:eng</t>
        </is>
      </c>
      <c r="AV1172" t="inlineStr">
        <is>
          <t>1855209</t>
        </is>
      </c>
      <c r="AW1172" t="inlineStr">
        <is>
          <t>991003912619702656</t>
        </is>
      </c>
      <c r="AX1172" t="inlineStr">
        <is>
          <t>991003912619702656</t>
        </is>
      </c>
      <c r="AY1172" t="inlineStr">
        <is>
          <t>2264324110002656</t>
        </is>
      </c>
      <c r="AZ1172" t="inlineStr">
        <is>
          <t>BOOK</t>
        </is>
      </c>
      <c r="BC1172" t="inlineStr">
        <is>
          <t>32285001964062</t>
        </is>
      </c>
      <c r="BD1172" t="inlineStr">
        <is>
          <t>893605391</t>
        </is>
      </c>
    </row>
    <row r="1173">
      <c r="A1173" t="inlineStr">
        <is>
          <t>No</t>
        </is>
      </c>
      <c r="B1173" t="inlineStr">
        <is>
          <t>HQ1737 .W65</t>
        </is>
      </c>
      <c r="C1173" t="inlineStr">
        <is>
          <t>0                      HQ 1737000W  65</t>
        </is>
      </c>
      <c r="D1173" t="inlineStr">
        <is>
          <t>Women in Chinese society / edited by Margery Wolf and Roxane Witke ; contributors, Emily M. Ahern ... [et al.].</t>
        </is>
      </c>
      <c r="F1173" t="inlineStr">
        <is>
          <t>No</t>
        </is>
      </c>
      <c r="G1173" t="inlineStr">
        <is>
          <t>1</t>
        </is>
      </c>
      <c r="H1173" t="inlineStr">
        <is>
          <t>No</t>
        </is>
      </c>
      <c r="I1173" t="inlineStr">
        <is>
          <t>No</t>
        </is>
      </c>
      <c r="J1173" t="inlineStr">
        <is>
          <t>0</t>
        </is>
      </c>
      <c r="L1173" t="inlineStr">
        <is>
          <t>Stanford, Calif. : Stanford University Press, 1975.</t>
        </is>
      </c>
      <c r="M1173" t="inlineStr">
        <is>
          <t>1975</t>
        </is>
      </c>
      <c r="O1173" t="inlineStr">
        <is>
          <t>eng</t>
        </is>
      </c>
      <c r="P1173" t="inlineStr">
        <is>
          <t>cau</t>
        </is>
      </c>
      <c r="Q1173" t="inlineStr">
        <is>
          <t>Studies in Chinese society</t>
        </is>
      </c>
      <c r="R1173" t="inlineStr">
        <is>
          <t xml:space="preserve">HQ </t>
        </is>
      </c>
      <c r="S1173" t="n">
        <v>29</v>
      </c>
      <c r="T1173" t="n">
        <v>29</v>
      </c>
      <c r="U1173" t="inlineStr">
        <is>
          <t>2009-12-12</t>
        </is>
      </c>
      <c r="V1173" t="inlineStr">
        <is>
          <t>2009-12-12</t>
        </is>
      </c>
      <c r="W1173" t="inlineStr">
        <is>
          <t>1993-10-14</t>
        </is>
      </c>
      <c r="X1173" t="inlineStr">
        <is>
          <t>1993-10-14</t>
        </is>
      </c>
      <c r="Y1173" t="n">
        <v>930</v>
      </c>
      <c r="Z1173" t="n">
        <v>747</v>
      </c>
      <c r="AA1173" t="n">
        <v>862</v>
      </c>
      <c r="AB1173" t="n">
        <v>2</v>
      </c>
      <c r="AC1173" t="n">
        <v>5</v>
      </c>
      <c r="AD1173" t="n">
        <v>31</v>
      </c>
      <c r="AE1173" t="n">
        <v>39</v>
      </c>
      <c r="AF1173" t="n">
        <v>14</v>
      </c>
      <c r="AG1173" t="n">
        <v>16</v>
      </c>
      <c r="AH1173" t="n">
        <v>8</v>
      </c>
      <c r="AI1173" t="n">
        <v>9</v>
      </c>
      <c r="AJ1173" t="n">
        <v>16</v>
      </c>
      <c r="AK1173" t="n">
        <v>19</v>
      </c>
      <c r="AL1173" t="n">
        <v>1</v>
      </c>
      <c r="AM1173" t="n">
        <v>4</v>
      </c>
      <c r="AN1173" t="n">
        <v>1</v>
      </c>
      <c r="AO1173" t="n">
        <v>1</v>
      </c>
      <c r="AP1173" t="inlineStr">
        <is>
          <t>No</t>
        </is>
      </c>
      <c r="AQ1173" t="inlineStr">
        <is>
          <t>No</t>
        </is>
      </c>
      <c r="AS1173">
        <f>HYPERLINK("https://creighton-primo.hosted.exlibrisgroup.com/primo-explore/search?tab=default_tab&amp;search_scope=EVERYTHING&amp;vid=01CRU&amp;lang=en_US&amp;offset=0&amp;query=any,contains,991003803189702656","Catalog Record")</f>
        <v/>
      </c>
      <c r="AT1173">
        <f>HYPERLINK("http://www.worldcat.org/oclc/1529107","WorldCat Record")</f>
        <v/>
      </c>
      <c r="AU1173" t="inlineStr">
        <is>
          <t>1117782435:eng</t>
        </is>
      </c>
      <c r="AV1173" t="inlineStr">
        <is>
          <t>1529107</t>
        </is>
      </c>
      <c r="AW1173" t="inlineStr">
        <is>
          <t>991003803189702656</t>
        </is>
      </c>
      <c r="AX1173" t="inlineStr">
        <is>
          <t>991003803189702656</t>
        </is>
      </c>
      <c r="AY1173" t="inlineStr">
        <is>
          <t>2257286180002656</t>
        </is>
      </c>
      <c r="AZ1173" t="inlineStr">
        <is>
          <t>BOOK</t>
        </is>
      </c>
      <c r="BB1173" t="inlineStr">
        <is>
          <t>9780804708746</t>
        </is>
      </c>
      <c r="BC1173" t="inlineStr">
        <is>
          <t>32285001791671</t>
        </is>
      </c>
      <c r="BD1173" t="inlineStr">
        <is>
          <t>893234608</t>
        </is>
      </c>
    </row>
    <row r="1174">
      <c r="A1174" t="inlineStr">
        <is>
          <t>No</t>
        </is>
      </c>
      <c r="B1174" t="inlineStr">
        <is>
          <t>HQ1740.5 .W65</t>
        </is>
      </c>
      <c r="C1174" t="inlineStr">
        <is>
          <t>0                      HQ 1740500W  65</t>
        </is>
      </c>
      <c r="D1174" t="inlineStr">
        <is>
          <t>Women and the family in rural Taiwan.</t>
        </is>
      </c>
      <c r="F1174" t="inlineStr">
        <is>
          <t>No</t>
        </is>
      </c>
      <c r="G1174" t="inlineStr">
        <is>
          <t>1</t>
        </is>
      </c>
      <c r="H1174" t="inlineStr">
        <is>
          <t>No</t>
        </is>
      </c>
      <c r="I1174" t="inlineStr">
        <is>
          <t>No</t>
        </is>
      </c>
      <c r="J1174" t="inlineStr">
        <is>
          <t>0</t>
        </is>
      </c>
      <c r="K1174" t="inlineStr">
        <is>
          <t>Wolf, Margery.</t>
        </is>
      </c>
      <c r="L1174" t="inlineStr">
        <is>
          <t>Stanford, Calif., Stanford University Press, 1972.</t>
        </is>
      </c>
      <c r="M1174" t="inlineStr">
        <is>
          <t>1972</t>
        </is>
      </c>
      <c r="O1174" t="inlineStr">
        <is>
          <t>eng</t>
        </is>
      </c>
      <c r="P1174" t="inlineStr">
        <is>
          <t>cau</t>
        </is>
      </c>
      <c r="R1174" t="inlineStr">
        <is>
          <t xml:space="preserve">HQ </t>
        </is>
      </c>
      <c r="S1174" t="n">
        <v>5</v>
      </c>
      <c r="T1174" t="n">
        <v>5</v>
      </c>
      <c r="U1174" t="inlineStr">
        <is>
          <t>2007-10-01</t>
        </is>
      </c>
      <c r="V1174" t="inlineStr">
        <is>
          <t>2007-10-01</t>
        </is>
      </c>
      <c r="W1174" t="inlineStr">
        <is>
          <t>1997-08-15</t>
        </is>
      </c>
      <c r="X1174" t="inlineStr">
        <is>
          <t>1997-08-15</t>
        </is>
      </c>
      <c r="Y1174" t="n">
        <v>706</v>
      </c>
      <c r="Z1174" t="n">
        <v>549</v>
      </c>
      <c r="AA1174" t="n">
        <v>749</v>
      </c>
      <c r="AB1174" t="n">
        <v>3</v>
      </c>
      <c r="AC1174" t="n">
        <v>5</v>
      </c>
      <c r="AD1174" t="n">
        <v>26</v>
      </c>
      <c r="AE1174" t="n">
        <v>40</v>
      </c>
      <c r="AF1174" t="n">
        <v>13</v>
      </c>
      <c r="AG1174" t="n">
        <v>19</v>
      </c>
      <c r="AH1174" t="n">
        <v>6</v>
      </c>
      <c r="AI1174" t="n">
        <v>9</v>
      </c>
      <c r="AJ1174" t="n">
        <v>14</v>
      </c>
      <c r="AK1174" t="n">
        <v>19</v>
      </c>
      <c r="AL1174" t="n">
        <v>2</v>
      </c>
      <c r="AM1174" t="n">
        <v>4</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HYPERLINK("https://creighton-primo.hosted.exlibrisgroup.com/primo-explore/search?tab=default_tab&amp;search_scope=EVERYTHING&amp;vid=01CRU&amp;lang=en_US&amp;offset=0&amp;query=any,contains,991002692969702656","Catalog Record")</f>
        <v/>
      </c>
      <c r="AT1174">
        <f>HYPERLINK("http://www.worldcat.org/oclc/402178","WorldCat Record")</f>
        <v/>
      </c>
      <c r="AU1174" t="inlineStr">
        <is>
          <t>459478:eng</t>
        </is>
      </c>
      <c r="AV1174" t="inlineStr">
        <is>
          <t>402178</t>
        </is>
      </c>
      <c r="AW1174" t="inlineStr">
        <is>
          <t>991002692969702656</t>
        </is>
      </c>
      <c r="AX1174" t="inlineStr">
        <is>
          <t>991002692969702656</t>
        </is>
      </c>
      <c r="AY1174" t="inlineStr">
        <is>
          <t>2267668620002656</t>
        </is>
      </c>
      <c r="AZ1174" t="inlineStr">
        <is>
          <t>BOOK</t>
        </is>
      </c>
      <c r="BB1174" t="inlineStr">
        <is>
          <t>9780804708081</t>
        </is>
      </c>
      <c r="BC1174" t="inlineStr">
        <is>
          <t>32285003104840</t>
        </is>
      </c>
      <c r="BD1174" t="inlineStr">
        <is>
          <t>893786420</t>
        </is>
      </c>
    </row>
    <row r="1175">
      <c r="A1175" t="inlineStr">
        <is>
          <t>No</t>
        </is>
      </c>
      <c r="B1175" t="inlineStr">
        <is>
          <t>HQ1742 .C46 2002</t>
        </is>
      </c>
      <c r="C1175" t="inlineStr">
        <is>
          <t>0                      HQ 1742000C  46          2002</t>
        </is>
      </c>
      <c r="D1175" t="inlineStr">
        <is>
          <t>Changing women's status in India : focus on the Northeast / editors, Walter Fernandes, Sanjay Barbora.</t>
        </is>
      </c>
      <c r="F1175" t="inlineStr">
        <is>
          <t>No</t>
        </is>
      </c>
      <c r="G1175" t="inlineStr">
        <is>
          <t>1</t>
        </is>
      </c>
      <c r="H1175" t="inlineStr">
        <is>
          <t>No</t>
        </is>
      </c>
      <c r="I1175" t="inlineStr">
        <is>
          <t>No</t>
        </is>
      </c>
      <c r="J1175" t="inlineStr">
        <is>
          <t>0</t>
        </is>
      </c>
      <c r="L1175" t="inlineStr">
        <is>
          <t>Guwahati : North Eastern Social Research Centre, 2002.</t>
        </is>
      </c>
      <c r="M1175" t="inlineStr">
        <is>
          <t>2002</t>
        </is>
      </c>
      <c r="O1175" t="inlineStr">
        <is>
          <t>eng</t>
        </is>
      </c>
      <c r="P1175" t="inlineStr">
        <is>
          <t xml:space="preserve">ii </t>
        </is>
      </c>
      <c r="R1175" t="inlineStr">
        <is>
          <t xml:space="preserve">HQ </t>
        </is>
      </c>
      <c r="S1175" t="n">
        <v>4</v>
      </c>
      <c r="T1175" t="n">
        <v>4</v>
      </c>
      <c r="U1175" t="inlineStr">
        <is>
          <t>2008-02-08</t>
        </is>
      </c>
      <c r="V1175" t="inlineStr">
        <is>
          <t>2008-02-08</t>
        </is>
      </c>
      <c r="W1175" t="inlineStr">
        <is>
          <t>2003-03-11</t>
        </is>
      </c>
      <c r="X1175" t="inlineStr">
        <is>
          <t>2003-03-11</t>
        </is>
      </c>
      <c r="Y1175" t="n">
        <v>30</v>
      </c>
      <c r="Z1175" t="n">
        <v>21</v>
      </c>
      <c r="AA1175" t="n">
        <v>23</v>
      </c>
      <c r="AB1175" t="n">
        <v>1</v>
      </c>
      <c r="AC1175" t="n">
        <v>1</v>
      </c>
      <c r="AD1175" t="n">
        <v>2</v>
      </c>
      <c r="AE1175" t="n">
        <v>2</v>
      </c>
      <c r="AF1175" t="n">
        <v>0</v>
      </c>
      <c r="AG1175" t="n">
        <v>0</v>
      </c>
      <c r="AH1175" t="n">
        <v>2</v>
      </c>
      <c r="AI1175" t="n">
        <v>2</v>
      </c>
      <c r="AJ1175" t="n">
        <v>2</v>
      </c>
      <c r="AK1175" t="n">
        <v>2</v>
      </c>
      <c r="AL1175" t="n">
        <v>0</v>
      </c>
      <c r="AM1175" t="n">
        <v>0</v>
      </c>
      <c r="AN1175" t="n">
        <v>0</v>
      </c>
      <c r="AO1175" t="n">
        <v>0</v>
      </c>
      <c r="AP1175" t="inlineStr">
        <is>
          <t>No</t>
        </is>
      </c>
      <c r="AQ1175" t="inlineStr">
        <is>
          <t>Yes</t>
        </is>
      </c>
      <c r="AR1175">
        <f>HYPERLINK("http://catalog.hathitrust.org/Record/003872676","HathiTrust Record")</f>
        <v/>
      </c>
      <c r="AS1175">
        <f>HYPERLINK("https://creighton-primo.hosted.exlibrisgroup.com/primo-explore/search?tab=default_tab&amp;search_scope=EVERYTHING&amp;vid=01CRU&amp;lang=en_US&amp;offset=0&amp;query=any,contains,991003851869702656","Catalog Record")</f>
        <v/>
      </c>
      <c r="AT1175">
        <f>HYPERLINK("http://www.worldcat.org/oclc/52270087","WorldCat Record")</f>
        <v/>
      </c>
      <c r="AU1175" t="inlineStr">
        <is>
          <t>473670731:eng</t>
        </is>
      </c>
      <c r="AV1175" t="inlineStr">
        <is>
          <t>52270087</t>
        </is>
      </c>
      <c r="AW1175" t="inlineStr">
        <is>
          <t>991003851869702656</t>
        </is>
      </c>
      <c r="AX1175" t="inlineStr">
        <is>
          <t>991003851869702656</t>
        </is>
      </c>
      <c r="AY1175" t="inlineStr">
        <is>
          <t>2258336140002656</t>
        </is>
      </c>
      <c r="AZ1175" t="inlineStr">
        <is>
          <t>BOOK</t>
        </is>
      </c>
      <c r="BC1175" t="inlineStr">
        <is>
          <t>32285004641881</t>
        </is>
      </c>
      <c r="BD1175" t="inlineStr">
        <is>
          <t>893794149</t>
        </is>
      </c>
    </row>
    <row r="1176">
      <c r="A1176" t="inlineStr">
        <is>
          <t>No</t>
        </is>
      </c>
      <c r="B1176" t="inlineStr">
        <is>
          <t>HQ1742 .J36 1996</t>
        </is>
      </c>
      <c r="C1176" t="inlineStr">
        <is>
          <t>0                      HQ 1742000J  36          1996</t>
        </is>
      </c>
      <c r="D1176" t="inlineStr">
        <is>
          <t>Sacrificed wife/sacrificer's wife : women, ritual, and hospitality in ancient India / Stephanie W. Jamison.</t>
        </is>
      </c>
      <c r="F1176" t="inlineStr">
        <is>
          <t>No</t>
        </is>
      </c>
      <c r="G1176" t="inlineStr">
        <is>
          <t>1</t>
        </is>
      </c>
      <c r="H1176" t="inlineStr">
        <is>
          <t>No</t>
        </is>
      </c>
      <c r="I1176" t="inlineStr">
        <is>
          <t>No</t>
        </is>
      </c>
      <c r="J1176" t="inlineStr">
        <is>
          <t>0</t>
        </is>
      </c>
      <c r="K1176" t="inlineStr">
        <is>
          <t>Jamison, Stephanie W.</t>
        </is>
      </c>
      <c r="L1176" t="inlineStr">
        <is>
          <t>New York : Oxford University Press, 1996.</t>
        </is>
      </c>
      <c r="M1176" t="inlineStr">
        <is>
          <t>1996</t>
        </is>
      </c>
      <c r="O1176" t="inlineStr">
        <is>
          <t>eng</t>
        </is>
      </c>
      <c r="P1176" t="inlineStr">
        <is>
          <t>nyu</t>
        </is>
      </c>
      <c r="R1176" t="inlineStr">
        <is>
          <t xml:space="preserve">HQ </t>
        </is>
      </c>
      <c r="S1176" t="n">
        <v>1</v>
      </c>
      <c r="T1176" t="n">
        <v>1</v>
      </c>
      <c r="U1176" t="inlineStr">
        <is>
          <t>2008-03-26</t>
        </is>
      </c>
      <c r="V1176" t="inlineStr">
        <is>
          <t>2008-03-26</t>
        </is>
      </c>
      <c r="W1176" t="inlineStr">
        <is>
          <t>2008-03-26</t>
        </is>
      </c>
      <c r="X1176" t="inlineStr">
        <is>
          <t>2008-03-26</t>
        </is>
      </c>
      <c r="Y1176" t="n">
        <v>371</v>
      </c>
      <c r="Z1176" t="n">
        <v>292</v>
      </c>
      <c r="AA1176" t="n">
        <v>298</v>
      </c>
      <c r="AB1176" t="n">
        <v>2</v>
      </c>
      <c r="AC1176" t="n">
        <v>2</v>
      </c>
      <c r="AD1176" t="n">
        <v>14</v>
      </c>
      <c r="AE1176" t="n">
        <v>14</v>
      </c>
      <c r="AF1176" t="n">
        <v>4</v>
      </c>
      <c r="AG1176" t="n">
        <v>4</v>
      </c>
      <c r="AH1176" t="n">
        <v>5</v>
      </c>
      <c r="AI1176" t="n">
        <v>5</v>
      </c>
      <c r="AJ1176" t="n">
        <v>10</v>
      </c>
      <c r="AK1176" t="n">
        <v>10</v>
      </c>
      <c r="AL1176" t="n">
        <v>1</v>
      </c>
      <c r="AM1176" t="n">
        <v>1</v>
      </c>
      <c r="AN1176" t="n">
        <v>0</v>
      </c>
      <c r="AO1176" t="n">
        <v>0</v>
      </c>
      <c r="AP1176" t="inlineStr">
        <is>
          <t>No</t>
        </is>
      </c>
      <c r="AQ1176" t="inlineStr">
        <is>
          <t>No</t>
        </is>
      </c>
      <c r="AS1176">
        <f>HYPERLINK("https://creighton-primo.hosted.exlibrisgroup.com/primo-explore/search?tab=default_tab&amp;search_scope=EVERYTHING&amp;vid=01CRU&amp;lang=en_US&amp;offset=0&amp;query=any,contains,991005197869702656","Catalog Record")</f>
        <v/>
      </c>
      <c r="AT1176">
        <f>HYPERLINK("http://www.worldcat.org/oclc/31754204","WorldCat Record")</f>
        <v/>
      </c>
      <c r="AU1176" t="inlineStr">
        <is>
          <t>837005496:eng</t>
        </is>
      </c>
      <c r="AV1176" t="inlineStr">
        <is>
          <t>31754204</t>
        </is>
      </c>
      <c r="AW1176" t="inlineStr">
        <is>
          <t>991005197869702656</t>
        </is>
      </c>
      <c r="AX1176" t="inlineStr">
        <is>
          <t>991005197869702656</t>
        </is>
      </c>
      <c r="AY1176" t="inlineStr">
        <is>
          <t>2272425540002656</t>
        </is>
      </c>
      <c r="AZ1176" t="inlineStr">
        <is>
          <t>BOOK</t>
        </is>
      </c>
      <c r="BB1176" t="inlineStr">
        <is>
          <t>9780195096620</t>
        </is>
      </c>
      <c r="BC1176" t="inlineStr">
        <is>
          <t>32285005398945</t>
        </is>
      </c>
      <c r="BD1176" t="inlineStr">
        <is>
          <t>893807976</t>
        </is>
      </c>
    </row>
    <row r="1177">
      <c r="A1177" t="inlineStr">
        <is>
          <t>No</t>
        </is>
      </c>
      <c r="B1177" t="inlineStr">
        <is>
          <t>HQ1743 .D38 1989</t>
        </is>
      </c>
      <c r="C1177" t="inlineStr">
        <is>
          <t>0                      HQ 1743000D  38          1989</t>
        </is>
      </c>
      <c r="D1177" t="inlineStr">
        <is>
          <t>Hindu women and the power of ideology / Vanaja Dhruvarajan.</t>
        </is>
      </c>
      <c r="F1177" t="inlineStr">
        <is>
          <t>No</t>
        </is>
      </c>
      <c r="G1177" t="inlineStr">
        <is>
          <t>1</t>
        </is>
      </c>
      <c r="H1177" t="inlineStr">
        <is>
          <t>No</t>
        </is>
      </c>
      <c r="I1177" t="inlineStr">
        <is>
          <t>No</t>
        </is>
      </c>
      <c r="J1177" t="inlineStr">
        <is>
          <t>0</t>
        </is>
      </c>
      <c r="K1177" t="inlineStr">
        <is>
          <t>Dhruvarajan, Vanaja.</t>
        </is>
      </c>
      <c r="L1177" t="inlineStr">
        <is>
          <t>[Granby], Mass. : Bergin &amp; Garvey, 1989.</t>
        </is>
      </c>
      <c r="M1177" t="inlineStr">
        <is>
          <t>1989</t>
        </is>
      </c>
      <c r="O1177" t="inlineStr">
        <is>
          <t>eng</t>
        </is>
      </c>
      <c r="P1177" t="inlineStr">
        <is>
          <t>mau</t>
        </is>
      </c>
      <c r="R1177" t="inlineStr">
        <is>
          <t xml:space="preserve">HQ </t>
        </is>
      </c>
      <c r="S1177" t="n">
        <v>26</v>
      </c>
      <c r="T1177" t="n">
        <v>26</v>
      </c>
      <c r="U1177" t="inlineStr">
        <is>
          <t>2003-02-22</t>
        </is>
      </c>
      <c r="V1177" t="inlineStr">
        <is>
          <t>2003-02-22</t>
        </is>
      </c>
      <c r="W1177" t="inlineStr">
        <is>
          <t>1990-01-09</t>
        </is>
      </c>
      <c r="X1177" t="inlineStr">
        <is>
          <t>1990-01-09</t>
        </is>
      </c>
      <c r="Y1177" t="n">
        <v>456</v>
      </c>
      <c r="Z1177" t="n">
        <v>385</v>
      </c>
      <c r="AA1177" t="n">
        <v>393</v>
      </c>
      <c r="AB1177" t="n">
        <v>4</v>
      </c>
      <c r="AC1177" t="n">
        <v>4</v>
      </c>
      <c r="AD1177" t="n">
        <v>19</v>
      </c>
      <c r="AE1177" t="n">
        <v>19</v>
      </c>
      <c r="AF1177" t="n">
        <v>5</v>
      </c>
      <c r="AG1177" t="n">
        <v>5</v>
      </c>
      <c r="AH1177" t="n">
        <v>7</v>
      </c>
      <c r="AI1177" t="n">
        <v>7</v>
      </c>
      <c r="AJ1177" t="n">
        <v>10</v>
      </c>
      <c r="AK1177" t="n">
        <v>10</v>
      </c>
      <c r="AL1177" t="n">
        <v>3</v>
      </c>
      <c r="AM1177" t="n">
        <v>3</v>
      </c>
      <c r="AN1177" t="n">
        <v>0</v>
      </c>
      <c r="AO1177" t="n">
        <v>0</v>
      </c>
      <c r="AP1177" t="inlineStr">
        <is>
          <t>No</t>
        </is>
      </c>
      <c r="AQ1177" t="inlineStr">
        <is>
          <t>Yes</t>
        </is>
      </c>
      <c r="AR1177">
        <f>HYPERLINK("http://catalog.hathitrust.org/Record/001091092","HathiTrust Record")</f>
        <v/>
      </c>
      <c r="AS1177">
        <f>HYPERLINK("https://creighton-primo.hosted.exlibrisgroup.com/primo-explore/search?tab=default_tab&amp;search_scope=EVERYTHING&amp;vid=01CRU&amp;lang=en_US&amp;offset=0&amp;query=any,contains,991001358099702656","Catalog Record")</f>
        <v/>
      </c>
      <c r="AT1177">
        <f>HYPERLINK("http://www.worldcat.org/oclc/18497640","WorldCat Record")</f>
        <v/>
      </c>
      <c r="AU1177" t="inlineStr">
        <is>
          <t>2888193:eng</t>
        </is>
      </c>
      <c r="AV1177" t="inlineStr">
        <is>
          <t>18497640</t>
        </is>
      </c>
      <c r="AW1177" t="inlineStr">
        <is>
          <t>991001358099702656</t>
        </is>
      </c>
      <c r="AX1177" t="inlineStr">
        <is>
          <t>991001358099702656</t>
        </is>
      </c>
      <c r="AY1177" t="inlineStr">
        <is>
          <t>2271074290002656</t>
        </is>
      </c>
      <c r="AZ1177" t="inlineStr">
        <is>
          <t>BOOK</t>
        </is>
      </c>
      <c r="BB1177" t="inlineStr">
        <is>
          <t>9780897891455</t>
        </is>
      </c>
      <c r="BC1177" t="inlineStr">
        <is>
          <t>32285000026855</t>
        </is>
      </c>
      <c r="BD1177" t="inlineStr">
        <is>
          <t>893528898</t>
        </is>
      </c>
    </row>
    <row r="1178">
      <c r="A1178" t="inlineStr">
        <is>
          <t>No</t>
        </is>
      </c>
      <c r="B1178" t="inlineStr">
        <is>
          <t>HQ1743 .F47 2002</t>
        </is>
      </c>
      <c r="C1178" t="inlineStr">
        <is>
          <t>0                      HQ 1743000F  47          2002</t>
        </is>
      </c>
      <c r="D1178" t="inlineStr">
        <is>
          <t>Modernisation and women's status in North Eastern India : a comparative study of six tribes / Walter Fernandes, Sanjay Barbora.</t>
        </is>
      </c>
      <c r="F1178" t="inlineStr">
        <is>
          <t>No</t>
        </is>
      </c>
      <c r="G1178" t="inlineStr">
        <is>
          <t>1</t>
        </is>
      </c>
      <c r="H1178" t="inlineStr">
        <is>
          <t>No</t>
        </is>
      </c>
      <c r="I1178" t="inlineStr">
        <is>
          <t>No</t>
        </is>
      </c>
      <c r="J1178" t="inlineStr">
        <is>
          <t>0</t>
        </is>
      </c>
      <c r="K1178" t="inlineStr">
        <is>
          <t>Fernandes, Walter, 1939-</t>
        </is>
      </c>
      <c r="L1178" t="inlineStr">
        <is>
          <t>Guwahati : North Eastern Social Research Centre, 2002.</t>
        </is>
      </c>
      <c r="M1178" t="inlineStr">
        <is>
          <t>2002</t>
        </is>
      </c>
      <c r="O1178" t="inlineStr">
        <is>
          <t>eng</t>
        </is>
      </c>
      <c r="P1178" t="inlineStr">
        <is>
          <t xml:space="preserve">ii </t>
        </is>
      </c>
      <c r="R1178" t="inlineStr">
        <is>
          <t xml:space="preserve">HQ </t>
        </is>
      </c>
      <c r="S1178" t="n">
        <v>3</v>
      </c>
      <c r="T1178" t="n">
        <v>3</v>
      </c>
      <c r="U1178" t="inlineStr">
        <is>
          <t>2004-04-05</t>
        </is>
      </c>
      <c r="V1178" t="inlineStr">
        <is>
          <t>2004-04-05</t>
        </is>
      </c>
      <c r="W1178" t="inlineStr">
        <is>
          <t>2003-07-14</t>
        </is>
      </c>
      <c r="X1178" t="inlineStr">
        <is>
          <t>2003-07-14</t>
        </is>
      </c>
      <c r="Y1178" t="n">
        <v>30</v>
      </c>
      <c r="Z1178" t="n">
        <v>19</v>
      </c>
      <c r="AA1178" t="n">
        <v>21</v>
      </c>
      <c r="AB1178" t="n">
        <v>1</v>
      </c>
      <c r="AC1178" t="n">
        <v>1</v>
      </c>
      <c r="AD1178" t="n">
        <v>2</v>
      </c>
      <c r="AE1178" t="n">
        <v>2</v>
      </c>
      <c r="AF1178" t="n">
        <v>0</v>
      </c>
      <c r="AG1178" t="n">
        <v>0</v>
      </c>
      <c r="AH1178" t="n">
        <v>2</v>
      </c>
      <c r="AI1178" t="n">
        <v>2</v>
      </c>
      <c r="AJ1178" t="n">
        <v>2</v>
      </c>
      <c r="AK1178" t="n">
        <v>2</v>
      </c>
      <c r="AL1178" t="n">
        <v>0</v>
      </c>
      <c r="AM1178" t="n">
        <v>0</v>
      </c>
      <c r="AN1178" t="n">
        <v>0</v>
      </c>
      <c r="AO1178" t="n">
        <v>0</v>
      </c>
      <c r="AP1178" t="inlineStr">
        <is>
          <t>No</t>
        </is>
      </c>
      <c r="AQ1178" t="inlineStr">
        <is>
          <t>Yes</t>
        </is>
      </c>
      <c r="AR1178">
        <f>HYPERLINK("http://catalog.hathitrust.org/Record/003890481","HathiTrust Record")</f>
        <v/>
      </c>
      <c r="AS1178">
        <f>HYPERLINK("https://creighton-primo.hosted.exlibrisgroup.com/primo-explore/search?tab=default_tab&amp;search_scope=EVERYTHING&amp;vid=01CRU&amp;lang=en_US&amp;offset=0&amp;query=any,contains,991003851839702656","Catalog Record")</f>
        <v/>
      </c>
      <c r="AT1178">
        <f>HYPERLINK("http://www.worldcat.org/oclc/52594634","WorldCat Record")</f>
        <v/>
      </c>
      <c r="AU1178" t="inlineStr">
        <is>
          <t>11304645:eng</t>
        </is>
      </c>
      <c r="AV1178" t="inlineStr">
        <is>
          <t>52594634</t>
        </is>
      </c>
      <c r="AW1178" t="inlineStr">
        <is>
          <t>991003851839702656</t>
        </is>
      </c>
      <c r="AX1178" t="inlineStr">
        <is>
          <t>991003851839702656</t>
        </is>
      </c>
      <c r="AY1178" t="inlineStr">
        <is>
          <t>2267153520002656</t>
        </is>
      </c>
      <c r="AZ1178" t="inlineStr">
        <is>
          <t>BOOK</t>
        </is>
      </c>
      <c r="BC1178" t="inlineStr">
        <is>
          <t>32285004641899</t>
        </is>
      </c>
      <c r="BD1178" t="inlineStr">
        <is>
          <t>893416875</t>
        </is>
      </c>
    </row>
    <row r="1179">
      <c r="A1179" t="inlineStr">
        <is>
          <t>No</t>
        </is>
      </c>
      <c r="B1179" t="inlineStr">
        <is>
          <t>HQ1743 .W63</t>
        </is>
      </c>
      <c r="C1179" t="inlineStr">
        <is>
          <t>0                      HQ 1743000W  63</t>
        </is>
      </c>
      <c r="D1179" t="inlineStr">
        <is>
          <t>Women in contemporary India : traditional images and changing roles / edited by Alfred de Souza.</t>
        </is>
      </c>
      <c r="F1179" t="inlineStr">
        <is>
          <t>No</t>
        </is>
      </c>
      <c r="G1179" t="inlineStr">
        <is>
          <t>1</t>
        </is>
      </c>
      <c r="H1179" t="inlineStr">
        <is>
          <t>No</t>
        </is>
      </c>
      <c r="I1179" t="inlineStr">
        <is>
          <t>No</t>
        </is>
      </c>
      <c r="J1179" t="inlineStr">
        <is>
          <t>0</t>
        </is>
      </c>
      <c r="L1179" t="inlineStr">
        <is>
          <t>Delhi : Manohar Book Service, 1975.</t>
        </is>
      </c>
      <c r="M1179" t="inlineStr">
        <is>
          <t>1975</t>
        </is>
      </c>
      <c r="O1179" t="inlineStr">
        <is>
          <t>eng</t>
        </is>
      </c>
      <c r="P1179" t="inlineStr">
        <is>
          <t xml:space="preserve">ii </t>
        </is>
      </c>
      <c r="R1179" t="inlineStr">
        <is>
          <t xml:space="preserve">HQ </t>
        </is>
      </c>
      <c r="S1179" t="n">
        <v>17</v>
      </c>
      <c r="T1179" t="n">
        <v>17</v>
      </c>
      <c r="U1179" t="inlineStr">
        <is>
          <t>2002-10-09</t>
        </is>
      </c>
      <c r="V1179" t="inlineStr">
        <is>
          <t>2002-10-09</t>
        </is>
      </c>
      <c r="W1179" t="inlineStr">
        <is>
          <t>1991-02-28</t>
        </is>
      </c>
      <c r="X1179" t="inlineStr">
        <is>
          <t>1991-02-28</t>
        </is>
      </c>
      <c r="Y1179" t="n">
        <v>345</v>
      </c>
      <c r="Z1179" t="n">
        <v>292</v>
      </c>
      <c r="AA1179" t="n">
        <v>298</v>
      </c>
      <c r="AB1179" t="n">
        <v>3</v>
      </c>
      <c r="AC1179" t="n">
        <v>3</v>
      </c>
      <c r="AD1179" t="n">
        <v>11</v>
      </c>
      <c r="AE1179" t="n">
        <v>11</v>
      </c>
      <c r="AF1179" t="n">
        <v>2</v>
      </c>
      <c r="AG1179" t="n">
        <v>2</v>
      </c>
      <c r="AH1179" t="n">
        <v>4</v>
      </c>
      <c r="AI1179" t="n">
        <v>4</v>
      </c>
      <c r="AJ1179" t="n">
        <v>5</v>
      </c>
      <c r="AK1179" t="n">
        <v>5</v>
      </c>
      <c r="AL1179" t="n">
        <v>2</v>
      </c>
      <c r="AM1179" t="n">
        <v>2</v>
      </c>
      <c r="AN1179" t="n">
        <v>0</v>
      </c>
      <c r="AO1179" t="n">
        <v>0</v>
      </c>
      <c r="AP1179" t="inlineStr">
        <is>
          <t>No</t>
        </is>
      </c>
      <c r="AQ1179" t="inlineStr">
        <is>
          <t>Yes</t>
        </is>
      </c>
      <c r="AR1179">
        <f>HYPERLINK("http://catalog.hathitrust.org/Record/000083250","HathiTrust Record")</f>
        <v/>
      </c>
      <c r="AS1179">
        <f>HYPERLINK("https://creighton-primo.hosted.exlibrisgroup.com/primo-explore/search?tab=default_tab&amp;search_scope=EVERYTHING&amp;vid=01CRU&amp;lang=en_US&amp;offset=0&amp;query=any,contains,991004145659702656","Catalog Record")</f>
        <v/>
      </c>
      <c r="AT1179">
        <f>HYPERLINK("http://www.worldcat.org/oclc/2509119","WorldCat Record")</f>
        <v/>
      </c>
      <c r="AU1179" t="inlineStr">
        <is>
          <t>145584047:eng</t>
        </is>
      </c>
      <c r="AV1179" t="inlineStr">
        <is>
          <t>2509119</t>
        </is>
      </c>
      <c r="AW1179" t="inlineStr">
        <is>
          <t>991004145659702656</t>
        </is>
      </c>
      <c r="AX1179" t="inlineStr">
        <is>
          <t>991004145659702656</t>
        </is>
      </c>
      <c r="AY1179" t="inlineStr">
        <is>
          <t>2262255610002656</t>
        </is>
      </c>
      <c r="AZ1179" t="inlineStr">
        <is>
          <t>BOOK</t>
        </is>
      </c>
      <c r="BC1179" t="inlineStr">
        <is>
          <t>32285000494822</t>
        </is>
      </c>
      <c r="BD1179" t="inlineStr">
        <is>
          <t>893800643</t>
        </is>
      </c>
    </row>
    <row r="1180">
      <c r="A1180" t="inlineStr">
        <is>
          <t>No</t>
        </is>
      </c>
      <c r="B1180" t="inlineStr">
        <is>
          <t>HQ1744.B4 E64 1996</t>
        </is>
      </c>
      <c r="C1180" t="inlineStr">
        <is>
          <t>0                      HQ 1744000B  4                  E  64          1996</t>
        </is>
      </c>
      <c r="D1180" t="inlineStr">
        <is>
          <t>Beyond purdah? : women in Bengal 1890-1939 / Dagmar Engels.</t>
        </is>
      </c>
      <c r="F1180" t="inlineStr">
        <is>
          <t>No</t>
        </is>
      </c>
      <c r="G1180" t="inlineStr">
        <is>
          <t>1</t>
        </is>
      </c>
      <c r="H1180" t="inlineStr">
        <is>
          <t>No</t>
        </is>
      </c>
      <c r="I1180" t="inlineStr">
        <is>
          <t>No</t>
        </is>
      </c>
      <c r="J1180" t="inlineStr">
        <is>
          <t>0</t>
        </is>
      </c>
      <c r="K1180" t="inlineStr">
        <is>
          <t>Engels, Dagmar.</t>
        </is>
      </c>
      <c r="L1180" t="inlineStr">
        <is>
          <t>Delhi : Oxford University Press, 1996.</t>
        </is>
      </c>
      <c r="M1180" t="inlineStr">
        <is>
          <t>1996</t>
        </is>
      </c>
      <c r="O1180" t="inlineStr">
        <is>
          <t>eng</t>
        </is>
      </c>
      <c r="P1180" t="inlineStr">
        <is>
          <t xml:space="preserve">ii </t>
        </is>
      </c>
      <c r="Q1180" t="inlineStr">
        <is>
          <t>SOAS studies on South Asia</t>
        </is>
      </c>
      <c r="R1180" t="inlineStr">
        <is>
          <t xml:space="preserve">HQ </t>
        </is>
      </c>
      <c r="S1180" t="n">
        <v>6</v>
      </c>
      <c r="T1180" t="n">
        <v>6</v>
      </c>
      <c r="U1180" t="inlineStr">
        <is>
          <t>2004-04-19</t>
        </is>
      </c>
      <c r="V1180" t="inlineStr">
        <is>
          <t>2004-04-19</t>
        </is>
      </c>
      <c r="W1180" t="inlineStr">
        <is>
          <t>1997-06-03</t>
        </is>
      </c>
      <c r="X1180" t="inlineStr">
        <is>
          <t>1997-06-03</t>
        </is>
      </c>
      <c r="Y1180" t="n">
        <v>228</v>
      </c>
      <c r="Z1180" t="n">
        <v>162</v>
      </c>
      <c r="AA1180" t="n">
        <v>176</v>
      </c>
      <c r="AB1180" t="n">
        <v>1</v>
      </c>
      <c r="AC1180" t="n">
        <v>1</v>
      </c>
      <c r="AD1180" t="n">
        <v>6</v>
      </c>
      <c r="AE1180" t="n">
        <v>6</v>
      </c>
      <c r="AF1180" t="n">
        <v>1</v>
      </c>
      <c r="AG1180" t="n">
        <v>1</v>
      </c>
      <c r="AH1180" t="n">
        <v>2</v>
      </c>
      <c r="AI1180" t="n">
        <v>2</v>
      </c>
      <c r="AJ1180" t="n">
        <v>4</v>
      </c>
      <c r="AK1180" t="n">
        <v>4</v>
      </c>
      <c r="AL1180" t="n">
        <v>0</v>
      </c>
      <c r="AM1180" t="n">
        <v>0</v>
      </c>
      <c r="AN1180" t="n">
        <v>0</v>
      </c>
      <c r="AO1180" t="n">
        <v>0</v>
      </c>
      <c r="AP1180" t="inlineStr">
        <is>
          <t>No</t>
        </is>
      </c>
      <c r="AQ1180" t="inlineStr">
        <is>
          <t>Yes</t>
        </is>
      </c>
      <c r="AR1180">
        <f>HYPERLINK("http://catalog.hathitrust.org/Record/003131894","HathiTrust Record")</f>
        <v/>
      </c>
      <c r="AS1180">
        <f>HYPERLINK("https://creighton-primo.hosted.exlibrisgroup.com/primo-explore/search?tab=default_tab&amp;search_scope=EVERYTHING&amp;vid=01CRU&amp;lang=en_US&amp;offset=0&amp;query=any,contains,991002697989702656","Catalog Record")</f>
        <v/>
      </c>
      <c r="AT1180">
        <f>HYPERLINK("http://www.worldcat.org/oclc/35223343","WorldCat Record")</f>
        <v/>
      </c>
      <c r="AU1180" t="inlineStr">
        <is>
          <t>40138522:eng</t>
        </is>
      </c>
      <c r="AV1180" t="inlineStr">
        <is>
          <t>35223343</t>
        </is>
      </c>
      <c r="AW1180" t="inlineStr">
        <is>
          <t>991002697989702656</t>
        </is>
      </c>
      <c r="AX1180" t="inlineStr">
        <is>
          <t>991002697989702656</t>
        </is>
      </c>
      <c r="AY1180" t="inlineStr">
        <is>
          <t>2258666100002656</t>
        </is>
      </c>
      <c r="AZ1180" t="inlineStr">
        <is>
          <t>BOOK</t>
        </is>
      </c>
      <c r="BB1180" t="inlineStr">
        <is>
          <t>9780195637205</t>
        </is>
      </c>
      <c r="BC1180" t="inlineStr">
        <is>
          <t>32285002613544</t>
        </is>
      </c>
      <c r="BD1180" t="inlineStr">
        <is>
          <t>893792798</t>
        </is>
      </c>
    </row>
    <row r="1181">
      <c r="A1181" t="inlineStr">
        <is>
          <t>No</t>
        </is>
      </c>
      <c r="B1181" t="inlineStr">
        <is>
          <t>HQ1744.B4 R68</t>
        </is>
      </c>
      <c r="C1181" t="inlineStr">
        <is>
          <t>0                      HQ 1744000B  4                  R  68</t>
        </is>
      </c>
      <c r="D1181" t="inlineStr">
        <is>
          <t>Bengali women / Manisha Roy.</t>
        </is>
      </c>
      <c r="F1181" t="inlineStr">
        <is>
          <t>No</t>
        </is>
      </c>
      <c r="G1181" t="inlineStr">
        <is>
          <t>1</t>
        </is>
      </c>
      <c r="H1181" t="inlineStr">
        <is>
          <t>No</t>
        </is>
      </c>
      <c r="I1181" t="inlineStr">
        <is>
          <t>No</t>
        </is>
      </c>
      <c r="J1181" t="inlineStr">
        <is>
          <t>0</t>
        </is>
      </c>
      <c r="K1181" t="inlineStr">
        <is>
          <t>Roy, Manisha, 1936-</t>
        </is>
      </c>
      <c r="L1181" t="inlineStr">
        <is>
          <t>Chicago : University of Chicago Press, 1975.</t>
        </is>
      </c>
      <c r="M1181" t="inlineStr">
        <is>
          <t>1975</t>
        </is>
      </c>
      <c r="O1181" t="inlineStr">
        <is>
          <t>eng</t>
        </is>
      </c>
      <c r="P1181" t="inlineStr">
        <is>
          <t>ilu</t>
        </is>
      </c>
      <c r="R1181" t="inlineStr">
        <is>
          <t xml:space="preserve">HQ </t>
        </is>
      </c>
      <c r="S1181" t="n">
        <v>18</v>
      </c>
      <c r="T1181" t="n">
        <v>18</v>
      </c>
      <c r="U1181" t="inlineStr">
        <is>
          <t>2004-03-28</t>
        </is>
      </c>
      <c r="V1181" t="inlineStr">
        <is>
          <t>2004-03-28</t>
        </is>
      </c>
      <c r="W1181" t="inlineStr">
        <is>
          <t>1991-02-28</t>
        </is>
      </c>
      <c r="X1181" t="inlineStr">
        <is>
          <t>1991-02-28</t>
        </is>
      </c>
      <c r="Y1181" t="n">
        <v>630</v>
      </c>
      <c r="Z1181" t="n">
        <v>518</v>
      </c>
      <c r="AA1181" t="n">
        <v>1112</v>
      </c>
      <c r="AB1181" t="n">
        <v>4</v>
      </c>
      <c r="AC1181" t="n">
        <v>8</v>
      </c>
      <c r="AD1181" t="n">
        <v>21</v>
      </c>
      <c r="AE1181" t="n">
        <v>38</v>
      </c>
      <c r="AF1181" t="n">
        <v>7</v>
      </c>
      <c r="AG1181" t="n">
        <v>13</v>
      </c>
      <c r="AH1181" t="n">
        <v>6</v>
      </c>
      <c r="AI1181" t="n">
        <v>8</v>
      </c>
      <c r="AJ1181" t="n">
        <v>12</v>
      </c>
      <c r="AK1181" t="n">
        <v>18</v>
      </c>
      <c r="AL1181" t="n">
        <v>3</v>
      </c>
      <c r="AM1181" t="n">
        <v>7</v>
      </c>
      <c r="AN1181" t="n">
        <v>0</v>
      </c>
      <c r="AO1181" t="n">
        <v>1</v>
      </c>
      <c r="AP1181" t="inlineStr">
        <is>
          <t>No</t>
        </is>
      </c>
      <c r="AQ1181" t="inlineStr">
        <is>
          <t>Yes</t>
        </is>
      </c>
      <c r="AR1181">
        <f>HYPERLINK("http://catalog.hathitrust.org/Record/000039505","HathiTrust Record")</f>
        <v/>
      </c>
      <c r="AS1181">
        <f>HYPERLINK("https://creighton-primo.hosted.exlibrisgroup.com/primo-explore/search?tab=default_tab&amp;search_scope=EVERYTHING&amp;vid=01CRU&amp;lang=en_US&amp;offset=0&amp;query=any,contains,991003704109702656","Catalog Record")</f>
        <v/>
      </c>
      <c r="AT1181">
        <f>HYPERLINK("http://www.worldcat.org/oclc/1340590","WorldCat Record")</f>
        <v/>
      </c>
      <c r="AU1181" t="inlineStr">
        <is>
          <t>2231328:eng</t>
        </is>
      </c>
      <c r="AV1181" t="inlineStr">
        <is>
          <t>1340590</t>
        </is>
      </c>
      <c r="AW1181" t="inlineStr">
        <is>
          <t>991003704109702656</t>
        </is>
      </c>
      <c r="AX1181" t="inlineStr">
        <is>
          <t>991003704109702656</t>
        </is>
      </c>
      <c r="AY1181" t="inlineStr">
        <is>
          <t>2261888430002656</t>
        </is>
      </c>
      <c r="AZ1181" t="inlineStr">
        <is>
          <t>BOOK</t>
        </is>
      </c>
      <c r="BB1181" t="inlineStr">
        <is>
          <t>9780226730417</t>
        </is>
      </c>
      <c r="BC1181" t="inlineStr">
        <is>
          <t>32285000494814</t>
        </is>
      </c>
      <c r="BD1181" t="inlineStr">
        <is>
          <t>893592787</t>
        </is>
      </c>
    </row>
    <row r="1182">
      <c r="A1182" t="inlineStr">
        <is>
          <t>No</t>
        </is>
      </c>
      <c r="B1182" t="inlineStr">
        <is>
          <t>HQ1745.5.Z9 L333 2005</t>
        </is>
      </c>
      <c r="C1182" t="inlineStr">
        <is>
          <t>0                      HQ 1745500Z  9                  L  333         2005</t>
        </is>
      </c>
      <c r="D1182" t="inlineStr">
        <is>
          <t>The dancing girls of Lahore : selling love and saving dreams in Pakistan's ancient pleasure district / Louise Brown.</t>
        </is>
      </c>
      <c r="F1182" t="inlineStr">
        <is>
          <t>No</t>
        </is>
      </c>
      <c r="G1182" t="inlineStr">
        <is>
          <t>1</t>
        </is>
      </c>
      <c r="H1182" t="inlineStr">
        <is>
          <t>No</t>
        </is>
      </c>
      <c r="I1182" t="inlineStr">
        <is>
          <t>No</t>
        </is>
      </c>
      <c r="J1182" t="inlineStr">
        <is>
          <t>0</t>
        </is>
      </c>
      <c r="K1182" t="inlineStr">
        <is>
          <t>Brown, T. Louise, 1963-</t>
        </is>
      </c>
      <c r="L1182" t="inlineStr">
        <is>
          <t>New York : Fourth Estate, c2005.</t>
        </is>
      </c>
      <c r="M1182" t="inlineStr">
        <is>
          <t>2005</t>
        </is>
      </c>
      <c r="N1182" t="inlineStr">
        <is>
          <t>1st ed.</t>
        </is>
      </c>
      <c r="O1182" t="inlineStr">
        <is>
          <t>eng</t>
        </is>
      </c>
      <c r="P1182" t="inlineStr">
        <is>
          <t>nyu</t>
        </is>
      </c>
      <c r="R1182" t="inlineStr">
        <is>
          <t xml:space="preserve">HQ </t>
        </is>
      </c>
      <c r="S1182" t="n">
        <v>3</v>
      </c>
      <c r="T1182" t="n">
        <v>3</v>
      </c>
      <c r="U1182" t="inlineStr">
        <is>
          <t>2007-06-20</t>
        </is>
      </c>
      <c r="V1182" t="inlineStr">
        <is>
          <t>2007-06-20</t>
        </is>
      </c>
      <c r="W1182" t="inlineStr">
        <is>
          <t>2005-07-25</t>
        </is>
      </c>
      <c r="X1182" t="inlineStr">
        <is>
          <t>2005-07-25</t>
        </is>
      </c>
      <c r="Y1182" t="n">
        <v>515</v>
      </c>
      <c r="Z1182" t="n">
        <v>488</v>
      </c>
      <c r="AA1182" t="n">
        <v>654</v>
      </c>
      <c r="AB1182" t="n">
        <v>4</v>
      </c>
      <c r="AC1182" t="n">
        <v>5</v>
      </c>
      <c r="AD1182" t="n">
        <v>14</v>
      </c>
      <c r="AE1182" t="n">
        <v>17</v>
      </c>
      <c r="AF1182" t="n">
        <v>4</v>
      </c>
      <c r="AG1182" t="n">
        <v>5</v>
      </c>
      <c r="AH1182" t="n">
        <v>5</v>
      </c>
      <c r="AI1182" t="n">
        <v>6</v>
      </c>
      <c r="AJ1182" t="n">
        <v>7</v>
      </c>
      <c r="AK1182" t="n">
        <v>9</v>
      </c>
      <c r="AL1182" t="n">
        <v>2</v>
      </c>
      <c r="AM1182" t="n">
        <v>3</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HYPERLINK("https://creighton-primo.hosted.exlibrisgroup.com/primo-explore/search?tab=default_tab&amp;search_scope=EVERYTHING&amp;vid=01CRU&amp;lang=en_US&amp;offset=0&amp;query=any,contains,991004585239702656","Catalog Record")</f>
        <v/>
      </c>
      <c r="AT1182">
        <f>HYPERLINK("http://www.worldcat.org/oclc/57069350","WorldCat Record")</f>
        <v/>
      </c>
      <c r="AU1182" t="inlineStr">
        <is>
          <t>426213:eng</t>
        </is>
      </c>
      <c r="AV1182" t="inlineStr">
        <is>
          <t>57069350</t>
        </is>
      </c>
      <c r="AW1182" t="inlineStr">
        <is>
          <t>991004585239702656</t>
        </is>
      </c>
      <c r="AX1182" t="inlineStr">
        <is>
          <t>991004585239702656</t>
        </is>
      </c>
      <c r="AY1182" t="inlineStr">
        <is>
          <t>2267696050002656</t>
        </is>
      </c>
      <c r="AZ1182" t="inlineStr">
        <is>
          <t>BOOK</t>
        </is>
      </c>
      <c r="BB1182" t="inlineStr">
        <is>
          <t>9780060740429</t>
        </is>
      </c>
      <c r="BC1182" t="inlineStr">
        <is>
          <t>32285005097737</t>
        </is>
      </c>
      <c r="BD1182" t="inlineStr">
        <is>
          <t>893776176</t>
        </is>
      </c>
    </row>
    <row r="1183">
      <c r="A1183" t="inlineStr">
        <is>
          <t>No</t>
        </is>
      </c>
      <c r="B1183" t="inlineStr">
        <is>
          <t>HQ1745.M37 B34 1995</t>
        </is>
      </c>
      <c r="C1183" t="inlineStr">
        <is>
          <t>0                      HQ 1745000M  37                 B  34          1995</t>
        </is>
      </c>
      <c r="D1183" t="inlineStr">
        <is>
          <t>Of woman caste : the experience of gender in rural India / Anjali Bagwe.</t>
        </is>
      </c>
      <c r="F1183" t="inlineStr">
        <is>
          <t>No</t>
        </is>
      </c>
      <c r="G1183" t="inlineStr">
        <is>
          <t>1</t>
        </is>
      </c>
      <c r="H1183" t="inlineStr">
        <is>
          <t>No</t>
        </is>
      </c>
      <c r="I1183" t="inlineStr">
        <is>
          <t>No</t>
        </is>
      </c>
      <c r="J1183" t="inlineStr">
        <is>
          <t>0</t>
        </is>
      </c>
      <c r="K1183" t="inlineStr">
        <is>
          <t>Bagwe, Anjali Narottam.</t>
        </is>
      </c>
      <c r="L1183" t="inlineStr">
        <is>
          <t>London ; Atlantic Highlands, N.J., USA : Zed Books, c1995.</t>
        </is>
      </c>
      <c r="M1183" t="inlineStr">
        <is>
          <t>1995</t>
        </is>
      </c>
      <c r="O1183" t="inlineStr">
        <is>
          <t>eng</t>
        </is>
      </c>
      <c r="P1183" t="inlineStr">
        <is>
          <t>enk</t>
        </is>
      </c>
      <c r="R1183" t="inlineStr">
        <is>
          <t xml:space="preserve">HQ </t>
        </is>
      </c>
      <c r="S1183" t="n">
        <v>35</v>
      </c>
      <c r="T1183" t="n">
        <v>35</v>
      </c>
      <c r="U1183" t="inlineStr">
        <is>
          <t>2008-09-19</t>
        </is>
      </c>
      <c r="V1183" t="inlineStr">
        <is>
          <t>2008-09-19</t>
        </is>
      </c>
      <c r="W1183" t="inlineStr">
        <is>
          <t>1996-08-15</t>
        </is>
      </c>
      <c r="X1183" t="inlineStr">
        <is>
          <t>1996-08-15</t>
        </is>
      </c>
      <c r="Y1183" t="n">
        <v>369</v>
      </c>
      <c r="Z1183" t="n">
        <v>273</v>
      </c>
      <c r="AA1183" t="n">
        <v>284</v>
      </c>
      <c r="AB1183" t="n">
        <v>1</v>
      </c>
      <c r="AC1183" t="n">
        <v>1</v>
      </c>
      <c r="AD1183" t="n">
        <v>13</v>
      </c>
      <c r="AE1183" t="n">
        <v>13</v>
      </c>
      <c r="AF1183" t="n">
        <v>6</v>
      </c>
      <c r="AG1183" t="n">
        <v>6</v>
      </c>
      <c r="AH1183" t="n">
        <v>1</v>
      </c>
      <c r="AI1183" t="n">
        <v>1</v>
      </c>
      <c r="AJ1183" t="n">
        <v>9</v>
      </c>
      <c r="AK1183" t="n">
        <v>9</v>
      </c>
      <c r="AL1183" t="n">
        <v>0</v>
      </c>
      <c r="AM1183" t="n">
        <v>0</v>
      </c>
      <c r="AN1183" t="n">
        <v>0</v>
      </c>
      <c r="AO1183" t="n">
        <v>0</v>
      </c>
      <c r="AP1183" t="inlineStr">
        <is>
          <t>No</t>
        </is>
      </c>
      <c r="AQ1183" t="inlineStr">
        <is>
          <t>Yes</t>
        </is>
      </c>
      <c r="AR1183">
        <f>HYPERLINK("http://catalog.hathitrust.org/Record/003018291","HathiTrust Record")</f>
        <v/>
      </c>
      <c r="AS1183">
        <f>HYPERLINK("https://creighton-primo.hosted.exlibrisgroup.com/primo-explore/search?tab=default_tab&amp;search_scope=EVERYTHING&amp;vid=01CRU&amp;lang=en_US&amp;offset=0&amp;query=any,contains,991002535949702656","Catalog Record")</f>
        <v/>
      </c>
      <c r="AT1183">
        <f>HYPERLINK("http://www.worldcat.org/oclc/32968919","WorldCat Record")</f>
        <v/>
      </c>
      <c r="AU1183" t="inlineStr">
        <is>
          <t>28129509:eng</t>
        </is>
      </c>
      <c r="AV1183" t="inlineStr">
        <is>
          <t>32968919</t>
        </is>
      </c>
      <c r="AW1183" t="inlineStr">
        <is>
          <t>991002535949702656</t>
        </is>
      </c>
      <c r="AX1183" t="inlineStr">
        <is>
          <t>991002535949702656</t>
        </is>
      </c>
      <c r="AY1183" t="inlineStr">
        <is>
          <t>2262619910002656</t>
        </is>
      </c>
      <c r="AZ1183" t="inlineStr">
        <is>
          <t>BOOK</t>
        </is>
      </c>
      <c r="BB1183" t="inlineStr">
        <is>
          <t>9781856493215</t>
        </is>
      </c>
      <c r="BC1183" t="inlineStr">
        <is>
          <t>32285002290293</t>
        </is>
      </c>
      <c r="BD1183" t="inlineStr">
        <is>
          <t>893347611</t>
        </is>
      </c>
    </row>
    <row r="1184">
      <c r="A1184" t="inlineStr">
        <is>
          <t>No</t>
        </is>
      </c>
      <c r="B1184" t="inlineStr">
        <is>
          <t>HQ1750.6.Z8 R458 1996</t>
        </is>
      </c>
      <c r="C1184" t="inlineStr">
        <is>
          <t>0                      HQ 1750600Z  8                  R  458         1996</t>
        </is>
      </c>
      <c r="D1184" t="inlineStr">
        <is>
          <t>Matriliny and modernity : sexual politics and social change in rural Malaysia / Maila Stivens.</t>
        </is>
      </c>
      <c r="F1184" t="inlineStr">
        <is>
          <t>No</t>
        </is>
      </c>
      <c r="G1184" t="inlineStr">
        <is>
          <t>1</t>
        </is>
      </c>
      <c r="H1184" t="inlineStr">
        <is>
          <t>No</t>
        </is>
      </c>
      <c r="I1184" t="inlineStr">
        <is>
          <t>No</t>
        </is>
      </c>
      <c r="J1184" t="inlineStr">
        <is>
          <t>0</t>
        </is>
      </c>
      <c r="K1184" t="inlineStr">
        <is>
          <t>Stivens, Maila.</t>
        </is>
      </c>
      <c r="L1184" t="inlineStr">
        <is>
          <t>St. Leonards, NSW : Allen &amp; Unwin, 1996.</t>
        </is>
      </c>
      <c r="M1184" t="inlineStr">
        <is>
          <t>1996</t>
        </is>
      </c>
      <c r="O1184" t="inlineStr">
        <is>
          <t>eng</t>
        </is>
      </c>
      <c r="P1184" t="inlineStr">
        <is>
          <t xml:space="preserve">at </t>
        </is>
      </c>
      <c r="Q1184" t="inlineStr">
        <is>
          <t>Women in Asia publication series</t>
        </is>
      </c>
      <c r="R1184" t="inlineStr">
        <is>
          <t xml:space="preserve">HQ </t>
        </is>
      </c>
      <c r="S1184" t="n">
        <v>7</v>
      </c>
      <c r="T1184" t="n">
        <v>7</v>
      </c>
      <c r="U1184" t="inlineStr">
        <is>
          <t>2000-10-14</t>
        </is>
      </c>
      <c r="V1184" t="inlineStr">
        <is>
          <t>2000-10-14</t>
        </is>
      </c>
      <c r="W1184" t="inlineStr">
        <is>
          <t>1996-10-11</t>
        </is>
      </c>
      <c r="X1184" t="inlineStr">
        <is>
          <t>1996-10-11</t>
        </is>
      </c>
      <c r="Y1184" t="n">
        <v>193</v>
      </c>
      <c r="Z1184" t="n">
        <v>111</v>
      </c>
      <c r="AA1184" t="n">
        <v>111</v>
      </c>
      <c r="AB1184" t="n">
        <v>1</v>
      </c>
      <c r="AC1184" t="n">
        <v>1</v>
      </c>
      <c r="AD1184" t="n">
        <v>6</v>
      </c>
      <c r="AE1184" t="n">
        <v>6</v>
      </c>
      <c r="AF1184" t="n">
        <v>0</v>
      </c>
      <c r="AG1184" t="n">
        <v>0</v>
      </c>
      <c r="AH1184" t="n">
        <v>3</v>
      </c>
      <c r="AI1184" t="n">
        <v>3</v>
      </c>
      <c r="AJ1184" t="n">
        <v>5</v>
      </c>
      <c r="AK1184" t="n">
        <v>5</v>
      </c>
      <c r="AL1184" t="n">
        <v>0</v>
      </c>
      <c r="AM1184" t="n">
        <v>0</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HYPERLINK("https://creighton-primo.hosted.exlibrisgroup.com/primo-explore/search?tab=default_tab&amp;search_scope=EVERYTHING&amp;vid=01CRU&amp;lang=en_US&amp;offset=0&amp;query=any,contains,991002717829702656","Catalog Record")</f>
        <v/>
      </c>
      <c r="AT1184">
        <f>HYPERLINK("http://www.worldcat.org/oclc/35641338","WorldCat Record")</f>
        <v/>
      </c>
      <c r="AU1184" t="inlineStr">
        <is>
          <t>196141509:eng</t>
        </is>
      </c>
      <c r="AV1184" t="inlineStr">
        <is>
          <t>35641338</t>
        </is>
      </c>
      <c r="AW1184" t="inlineStr">
        <is>
          <t>991002717829702656</t>
        </is>
      </c>
      <c r="AX1184" t="inlineStr">
        <is>
          <t>991002717829702656</t>
        </is>
      </c>
      <c r="AY1184" t="inlineStr">
        <is>
          <t>2264239880002656</t>
        </is>
      </c>
      <c r="AZ1184" t="inlineStr">
        <is>
          <t>BOOK</t>
        </is>
      </c>
      <c r="BB1184" t="inlineStr">
        <is>
          <t>9781863738927</t>
        </is>
      </c>
      <c r="BC1184" t="inlineStr">
        <is>
          <t>32285002365749</t>
        </is>
      </c>
      <c r="BD1184" t="inlineStr">
        <is>
          <t>893245548</t>
        </is>
      </c>
    </row>
    <row r="1185">
      <c r="A1185" t="inlineStr">
        <is>
          <t>No</t>
        </is>
      </c>
      <c r="B1185" t="inlineStr">
        <is>
          <t>HQ1752 .R63 2009</t>
        </is>
      </c>
      <c r="C1185" t="inlineStr">
        <is>
          <t>0                      HQ 1752000R  63          2009</t>
        </is>
      </c>
      <c r="D1185" t="inlineStr">
        <is>
          <t>Gender, Islam, and democracy in Indonesia / Kathryn Robinson.</t>
        </is>
      </c>
      <c r="F1185" t="inlineStr">
        <is>
          <t>No</t>
        </is>
      </c>
      <c r="G1185" t="inlineStr">
        <is>
          <t>1</t>
        </is>
      </c>
      <c r="H1185" t="inlineStr">
        <is>
          <t>No</t>
        </is>
      </c>
      <c r="I1185" t="inlineStr">
        <is>
          <t>No</t>
        </is>
      </c>
      <c r="J1185" t="inlineStr">
        <is>
          <t>0</t>
        </is>
      </c>
      <c r="K1185" t="inlineStr">
        <is>
          <t>Robinson, Kathryn May, 1949-</t>
        </is>
      </c>
      <c r="L1185" t="inlineStr">
        <is>
          <t>London ; New York : Routledge, 2009.</t>
        </is>
      </c>
      <c r="M1185" t="inlineStr">
        <is>
          <t>2009</t>
        </is>
      </c>
      <c r="O1185" t="inlineStr">
        <is>
          <t>eng</t>
        </is>
      </c>
      <c r="P1185" t="inlineStr">
        <is>
          <t>enk</t>
        </is>
      </c>
      <c r="Q1185" t="inlineStr">
        <is>
          <t>Asian Studies Association of Australia women in Asia series</t>
        </is>
      </c>
      <c r="R1185" t="inlineStr">
        <is>
          <t xml:space="preserve">HQ </t>
        </is>
      </c>
      <c r="S1185" t="n">
        <v>1</v>
      </c>
      <c r="T1185" t="n">
        <v>1</v>
      </c>
      <c r="U1185" t="inlineStr">
        <is>
          <t>2010-04-15</t>
        </is>
      </c>
      <c r="V1185" t="inlineStr">
        <is>
          <t>2010-04-15</t>
        </is>
      </c>
      <c r="W1185" t="inlineStr">
        <is>
          <t>2010-04-15</t>
        </is>
      </c>
      <c r="X1185" t="inlineStr">
        <is>
          <t>2010-04-15</t>
        </is>
      </c>
      <c r="Y1185" t="n">
        <v>252</v>
      </c>
      <c r="Z1185" t="n">
        <v>172</v>
      </c>
      <c r="AA1185" t="n">
        <v>216</v>
      </c>
      <c r="AB1185" t="n">
        <v>1</v>
      </c>
      <c r="AC1185" t="n">
        <v>1</v>
      </c>
      <c r="AD1185" t="n">
        <v>11</v>
      </c>
      <c r="AE1185" t="n">
        <v>13</v>
      </c>
      <c r="AF1185" t="n">
        <v>4</v>
      </c>
      <c r="AG1185" t="n">
        <v>5</v>
      </c>
      <c r="AH1185" t="n">
        <v>3</v>
      </c>
      <c r="AI1185" t="n">
        <v>4</v>
      </c>
      <c r="AJ1185" t="n">
        <v>7</v>
      </c>
      <c r="AK1185" t="n">
        <v>8</v>
      </c>
      <c r="AL1185" t="n">
        <v>0</v>
      </c>
      <c r="AM1185" t="n">
        <v>0</v>
      </c>
      <c r="AN1185" t="n">
        <v>0</v>
      </c>
      <c r="AO1185" t="n">
        <v>0</v>
      </c>
      <c r="AP1185" t="inlineStr">
        <is>
          <t>No</t>
        </is>
      </c>
      <c r="AQ1185" t="inlineStr">
        <is>
          <t>No</t>
        </is>
      </c>
      <c r="AS1185">
        <f>HYPERLINK("https://creighton-primo.hosted.exlibrisgroup.com/primo-explore/search?tab=default_tab&amp;search_scope=EVERYTHING&amp;vid=01CRU&amp;lang=en_US&amp;offset=0&amp;query=any,contains,991005383539702656","Catalog Record")</f>
        <v/>
      </c>
      <c r="AT1185">
        <f>HYPERLINK("http://www.worldcat.org/oclc/212627284","WorldCat Record")</f>
        <v/>
      </c>
      <c r="AU1185" t="inlineStr">
        <is>
          <t>69775310:eng</t>
        </is>
      </c>
      <c r="AV1185" t="inlineStr">
        <is>
          <t>212627284</t>
        </is>
      </c>
      <c r="AW1185" t="inlineStr">
        <is>
          <t>991005383539702656</t>
        </is>
      </c>
      <c r="AX1185" t="inlineStr">
        <is>
          <t>991005383539702656</t>
        </is>
      </c>
      <c r="AY1185" t="inlineStr">
        <is>
          <t>2268220880002656</t>
        </is>
      </c>
      <c r="AZ1185" t="inlineStr">
        <is>
          <t>BOOK</t>
        </is>
      </c>
      <c r="BB1185" t="inlineStr">
        <is>
          <t>9780415415835</t>
        </is>
      </c>
      <c r="BC1185" t="inlineStr">
        <is>
          <t>32285005564959</t>
        </is>
      </c>
      <c r="BD1185" t="inlineStr">
        <is>
          <t>893808375</t>
        </is>
      </c>
    </row>
    <row r="1186">
      <c r="A1186" t="inlineStr">
        <is>
          <t>No</t>
        </is>
      </c>
      <c r="B1186" t="inlineStr">
        <is>
          <t>HQ1762 .B334 2005</t>
        </is>
      </c>
      <c r="C1186" t="inlineStr">
        <is>
          <t>0                      HQ 1762000B  334         2005</t>
        </is>
      </c>
      <c r="D1186" t="inlineStr">
        <is>
          <t>Bad girls of Japan / edited by Laura Miller and Jan Bardsley.</t>
        </is>
      </c>
      <c r="F1186" t="inlineStr">
        <is>
          <t>No</t>
        </is>
      </c>
      <c r="G1186" t="inlineStr">
        <is>
          <t>1</t>
        </is>
      </c>
      <c r="H1186" t="inlineStr">
        <is>
          <t>No</t>
        </is>
      </c>
      <c r="I1186" t="inlineStr">
        <is>
          <t>No</t>
        </is>
      </c>
      <c r="J1186" t="inlineStr">
        <is>
          <t>0</t>
        </is>
      </c>
      <c r="L1186" t="inlineStr">
        <is>
          <t>Houndmills, Balsingstoke, Hampshire ; New York : Palgrave Macmillan, 2005.</t>
        </is>
      </c>
      <c r="M1186" t="inlineStr">
        <is>
          <t>2005</t>
        </is>
      </c>
      <c r="N1186" t="inlineStr">
        <is>
          <t>1st ed.</t>
        </is>
      </c>
      <c r="O1186" t="inlineStr">
        <is>
          <t>eng</t>
        </is>
      </c>
      <c r="P1186" t="inlineStr">
        <is>
          <t>enk</t>
        </is>
      </c>
      <c r="R1186" t="inlineStr">
        <is>
          <t xml:space="preserve">HQ </t>
        </is>
      </c>
      <c r="S1186" t="n">
        <v>5</v>
      </c>
      <c r="T1186" t="n">
        <v>5</v>
      </c>
      <c r="U1186" t="inlineStr">
        <is>
          <t>2010-04-11</t>
        </is>
      </c>
      <c r="V1186" t="inlineStr">
        <is>
          <t>2010-04-11</t>
        </is>
      </c>
      <c r="W1186" t="inlineStr">
        <is>
          <t>2006-10-25</t>
        </is>
      </c>
      <c r="X1186" t="inlineStr">
        <is>
          <t>2006-10-25</t>
        </is>
      </c>
      <c r="Y1186" t="n">
        <v>333</v>
      </c>
      <c r="Z1186" t="n">
        <v>272</v>
      </c>
      <c r="AA1186" t="n">
        <v>651</v>
      </c>
      <c r="AB1186" t="n">
        <v>2</v>
      </c>
      <c r="AC1186" t="n">
        <v>6</v>
      </c>
      <c r="AD1186" t="n">
        <v>16</v>
      </c>
      <c r="AE1186" t="n">
        <v>31</v>
      </c>
      <c r="AF1186" t="n">
        <v>5</v>
      </c>
      <c r="AG1186" t="n">
        <v>11</v>
      </c>
      <c r="AH1186" t="n">
        <v>6</v>
      </c>
      <c r="AI1186" t="n">
        <v>8</v>
      </c>
      <c r="AJ1186" t="n">
        <v>9</v>
      </c>
      <c r="AK1186" t="n">
        <v>13</v>
      </c>
      <c r="AL1186" t="n">
        <v>1</v>
      </c>
      <c r="AM1186" t="n">
        <v>5</v>
      </c>
      <c r="AN1186" t="n">
        <v>0</v>
      </c>
      <c r="AO1186" t="n">
        <v>1</v>
      </c>
      <c r="AP1186" t="inlineStr">
        <is>
          <t>No</t>
        </is>
      </c>
      <c r="AQ1186" t="inlineStr">
        <is>
          <t>No</t>
        </is>
      </c>
      <c r="AS1186">
        <f>HYPERLINK("https://creighton-primo.hosted.exlibrisgroup.com/primo-explore/search?tab=default_tab&amp;search_scope=EVERYTHING&amp;vid=01CRU&amp;lang=en_US&amp;offset=0&amp;query=any,contains,991004949459702656","Catalog Record")</f>
        <v/>
      </c>
      <c r="AT1186">
        <f>HYPERLINK("http://www.worldcat.org/oclc/58729050","WorldCat Record")</f>
        <v/>
      </c>
      <c r="AU1186" t="inlineStr">
        <is>
          <t>1007835710:eng</t>
        </is>
      </c>
      <c r="AV1186" t="inlineStr">
        <is>
          <t>58729050</t>
        </is>
      </c>
      <c r="AW1186" t="inlineStr">
        <is>
          <t>991004949459702656</t>
        </is>
      </c>
      <c r="AX1186" t="inlineStr">
        <is>
          <t>991004949459702656</t>
        </is>
      </c>
      <c r="AY1186" t="inlineStr">
        <is>
          <t>2272450200002656</t>
        </is>
      </c>
      <c r="AZ1186" t="inlineStr">
        <is>
          <t>BOOK</t>
        </is>
      </c>
      <c r="BB1186" t="inlineStr">
        <is>
          <t>9781403969460</t>
        </is>
      </c>
      <c r="BC1186" t="inlineStr">
        <is>
          <t>32285005232870</t>
        </is>
      </c>
      <c r="BD1186" t="inlineStr">
        <is>
          <t>893688400</t>
        </is>
      </c>
    </row>
    <row r="1187">
      <c r="A1187" t="inlineStr">
        <is>
          <t>No</t>
        </is>
      </c>
      <c r="B1187" t="inlineStr">
        <is>
          <t>HQ1762 .H82 1992</t>
        </is>
      </c>
      <c r="C1187" t="inlineStr">
        <is>
          <t>0                      HQ 1762000H  82          1992</t>
        </is>
      </c>
      <c r="D1187" t="inlineStr">
        <is>
          <t>Women in Japanese society : an annotated bibliography of selected English language materials / Kristina Ruth Huber.</t>
        </is>
      </c>
      <c r="F1187" t="inlineStr">
        <is>
          <t>No</t>
        </is>
      </c>
      <c r="G1187" t="inlineStr">
        <is>
          <t>1</t>
        </is>
      </c>
      <c r="H1187" t="inlineStr">
        <is>
          <t>No</t>
        </is>
      </c>
      <c r="I1187" t="inlineStr">
        <is>
          <t>No</t>
        </is>
      </c>
      <c r="J1187" t="inlineStr">
        <is>
          <t>0</t>
        </is>
      </c>
      <c r="K1187" t="inlineStr">
        <is>
          <t>Huber, Kristina R.</t>
        </is>
      </c>
      <c r="L1187" t="inlineStr">
        <is>
          <t>Westport, Conn. : Greenwood Press, 1992.</t>
        </is>
      </c>
      <c r="M1187" t="inlineStr">
        <is>
          <t>1992</t>
        </is>
      </c>
      <c r="O1187" t="inlineStr">
        <is>
          <t>eng</t>
        </is>
      </c>
      <c r="P1187" t="inlineStr">
        <is>
          <t>ctu</t>
        </is>
      </c>
      <c r="Q1187" t="inlineStr">
        <is>
          <t>Bibliographies and indexes in women's studies, 0742-6941 ; no. 16</t>
        </is>
      </c>
      <c r="R1187" t="inlineStr">
        <is>
          <t xml:space="preserve">HQ </t>
        </is>
      </c>
      <c r="S1187" t="n">
        <v>7</v>
      </c>
      <c r="T1187" t="n">
        <v>7</v>
      </c>
      <c r="U1187" t="inlineStr">
        <is>
          <t>2008-01-28</t>
        </is>
      </c>
      <c r="V1187" t="inlineStr">
        <is>
          <t>2008-01-28</t>
        </is>
      </c>
      <c r="W1187" t="inlineStr">
        <is>
          <t>1999-04-29</t>
        </is>
      </c>
      <c r="X1187" t="inlineStr">
        <is>
          <t>1999-04-29</t>
        </is>
      </c>
      <c r="Y1187" t="n">
        <v>363</v>
      </c>
      <c r="Z1187" t="n">
        <v>264</v>
      </c>
      <c r="AA1187" t="n">
        <v>271</v>
      </c>
      <c r="AB1187" t="n">
        <v>3</v>
      </c>
      <c r="AC1187" t="n">
        <v>3</v>
      </c>
      <c r="AD1187" t="n">
        <v>14</v>
      </c>
      <c r="AE1187" t="n">
        <v>14</v>
      </c>
      <c r="AF1187" t="n">
        <v>2</v>
      </c>
      <c r="AG1187" t="n">
        <v>2</v>
      </c>
      <c r="AH1187" t="n">
        <v>4</v>
      </c>
      <c r="AI1187" t="n">
        <v>4</v>
      </c>
      <c r="AJ1187" t="n">
        <v>9</v>
      </c>
      <c r="AK1187" t="n">
        <v>9</v>
      </c>
      <c r="AL1187" t="n">
        <v>2</v>
      </c>
      <c r="AM1187" t="n">
        <v>2</v>
      </c>
      <c r="AN1187" t="n">
        <v>0</v>
      </c>
      <c r="AO1187" t="n">
        <v>0</v>
      </c>
      <c r="AP1187" t="inlineStr">
        <is>
          <t>No</t>
        </is>
      </c>
      <c r="AQ1187" t="inlineStr">
        <is>
          <t>Yes</t>
        </is>
      </c>
      <c r="AR1187">
        <f>HYPERLINK("http://catalog.hathitrust.org/Record/003444174","HathiTrust Record")</f>
        <v/>
      </c>
      <c r="AS1187">
        <f>HYPERLINK("https://creighton-primo.hosted.exlibrisgroup.com/primo-explore/search?tab=default_tab&amp;search_scope=EVERYTHING&amp;vid=01CRU&amp;lang=en_US&amp;offset=0&amp;query=any,contains,991002027049702656","Catalog Record")</f>
        <v/>
      </c>
      <c r="AT1187">
        <f>HYPERLINK("http://www.worldcat.org/oclc/25788375","WorldCat Record")</f>
        <v/>
      </c>
      <c r="AU1187" t="inlineStr">
        <is>
          <t>365788955:eng</t>
        </is>
      </c>
      <c r="AV1187" t="inlineStr">
        <is>
          <t>25788375</t>
        </is>
      </c>
      <c r="AW1187" t="inlineStr">
        <is>
          <t>991002027049702656</t>
        </is>
      </c>
      <c r="AX1187" t="inlineStr">
        <is>
          <t>991002027049702656</t>
        </is>
      </c>
      <c r="AY1187" t="inlineStr">
        <is>
          <t>2255169720002656</t>
        </is>
      </c>
      <c r="AZ1187" t="inlineStr">
        <is>
          <t>BOOK</t>
        </is>
      </c>
      <c r="BB1187" t="inlineStr">
        <is>
          <t>9780313252969</t>
        </is>
      </c>
      <c r="BC1187" t="inlineStr">
        <is>
          <t>32285003557682</t>
        </is>
      </c>
      <c r="BD1187" t="inlineStr">
        <is>
          <t>893503935</t>
        </is>
      </c>
    </row>
    <row r="1188">
      <c r="A1188" t="inlineStr">
        <is>
          <t>No</t>
        </is>
      </c>
      <c r="B1188" t="inlineStr">
        <is>
          <t>HQ1762 .I925 1993</t>
        </is>
      </c>
      <c r="C1188" t="inlineStr">
        <is>
          <t>0                      HQ 1762000I  925         1993</t>
        </is>
      </c>
      <c r="D1188" t="inlineStr">
        <is>
          <t>The Japanese woman : traditional image and changing reality / Sumiko Iwao.</t>
        </is>
      </c>
      <c r="F1188" t="inlineStr">
        <is>
          <t>No</t>
        </is>
      </c>
      <c r="G1188" t="inlineStr">
        <is>
          <t>1</t>
        </is>
      </c>
      <c r="H1188" t="inlineStr">
        <is>
          <t>No</t>
        </is>
      </c>
      <c r="I1188" t="inlineStr">
        <is>
          <t>No</t>
        </is>
      </c>
      <c r="J1188" t="inlineStr">
        <is>
          <t>0</t>
        </is>
      </c>
      <c r="K1188" t="inlineStr">
        <is>
          <t>Iwao, Sumiko, 1935-2018.</t>
        </is>
      </c>
      <c r="L1188" t="inlineStr">
        <is>
          <t>New York : Free Press ; Toronto : Maxwell Macmillan Canada ; New York : Maxwell Macmillan International, c1993.</t>
        </is>
      </c>
      <c r="M1188" t="inlineStr">
        <is>
          <t>1993</t>
        </is>
      </c>
      <c r="O1188" t="inlineStr">
        <is>
          <t>eng</t>
        </is>
      </c>
      <c r="P1188" t="inlineStr">
        <is>
          <t>nyu</t>
        </is>
      </c>
      <c r="R1188" t="inlineStr">
        <is>
          <t xml:space="preserve">HQ </t>
        </is>
      </c>
      <c r="S1188" t="n">
        <v>25</v>
      </c>
      <c r="T1188" t="n">
        <v>25</v>
      </c>
      <c r="U1188" t="inlineStr">
        <is>
          <t>2008-02-08</t>
        </is>
      </c>
      <c r="V1188" t="inlineStr">
        <is>
          <t>2008-02-08</t>
        </is>
      </c>
      <c r="W1188" t="inlineStr">
        <is>
          <t>1993-10-16</t>
        </is>
      </c>
      <c r="X1188" t="inlineStr">
        <is>
          <t>1993-10-16</t>
        </is>
      </c>
      <c r="Y1188" t="n">
        <v>952</v>
      </c>
      <c r="Z1188" t="n">
        <v>772</v>
      </c>
      <c r="AA1188" t="n">
        <v>867</v>
      </c>
      <c r="AB1188" t="n">
        <v>5</v>
      </c>
      <c r="AC1188" t="n">
        <v>6</v>
      </c>
      <c r="AD1188" t="n">
        <v>30</v>
      </c>
      <c r="AE1188" t="n">
        <v>40</v>
      </c>
      <c r="AF1188" t="n">
        <v>9</v>
      </c>
      <c r="AG1188" t="n">
        <v>18</v>
      </c>
      <c r="AH1188" t="n">
        <v>8</v>
      </c>
      <c r="AI1188" t="n">
        <v>8</v>
      </c>
      <c r="AJ1188" t="n">
        <v>16</v>
      </c>
      <c r="AK1188" t="n">
        <v>20</v>
      </c>
      <c r="AL1188" t="n">
        <v>4</v>
      </c>
      <c r="AM1188" t="n">
        <v>5</v>
      </c>
      <c r="AN1188" t="n">
        <v>0</v>
      </c>
      <c r="AO1188" t="n">
        <v>0</v>
      </c>
      <c r="AP1188" t="inlineStr">
        <is>
          <t>No</t>
        </is>
      </c>
      <c r="AQ1188" t="inlineStr">
        <is>
          <t>Yes</t>
        </is>
      </c>
      <c r="AR1188">
        <f>HYPERLINK("http://catalog.hathitrust.org/Record/002593489","HathiTrust Record")</f>
        <v/>
      </c>
      <c r="AS1188">
        <f>HYPERLINK("https://creighton-primo.hosted.exlibrisgroup.com/primo-explore/search?tab=default_tab&amp;search_scope=EVERYTHING&amp;vid=01CRU&amp;lang=en_US&amp;offset=0&amp;query=any,contains,991002050539702656","Catalog Record")</f>
        <v/>
      </c>
      <c r="AT1188">
        <f>HYPERLINK("http://www.worldcat.org/oclc/26161367","WorldCat Record")</f>
        <v/>
      </c>
      <c r="AU1188" t="inlineStr">
        <is>
          <t>28753323:eng</t>
        </is>
      </c>
      <c r="AV1188" t="inlineStr">
        <is>
          <t>26161367</t>
        </is>
      </c>
      <c r="AW1188" t="inlineStr">
        <is>
          <t>991002050539702656</t>
        </is>
      </c>
      <c r="AX1188" t="inlineStr">
        <is>
          <t>991002050539702656</t>
        </is>
      </c>
      <c r="AY1188" t="inlineStr">
        <is>
          <t>2271768870002656</t>
        </is>
      </c>
      <c r="AZ1188" t="inlineStr">
        <is>
          <t>BOOK</t>
        </is>
      </c>
      <c r="BB1188" t="inlineStr">
        <is>
          <t>9780029323151</t>
        </is>
      </c>
      <c r="BC1188" t="inlineStr">
        <is>
          <t>32285001786564</t>
        </is>
      </c>
      <c r="BD1188" t="inlineStr">
        <is>
          <t>893232510</t>
        </is>
      </c>
    </row>
    <row r="1189">
      <c r="A1189" t="inlineStr">
        <is>
          <t>No</t>
        </is>
      </c>
      <c r="B1189" t="inlineStr">
        <is>
          <t>HQ1762 .J38 1995</t>
        </is>
      </c>
      <c r="C1189" t="inlineStr">
        <is>
          <t>0                      HQ 1762000J  38          1995</t>
        </is>
      </c>
      <c r="D1189" t="inlineStr">
        <is>
          <t>Japanese women : new feminist perspectives on the past, present, and future / edited by Kumiko Fujimura-Fanselow and Atsuko Kameda.</t>
        </is>
      </c>
      <c r="F1189" t="inlineStr">
        <is>
          <t>No</t>
        </is>
      </c>
      <c r="G1189" t="inlineStr">
        <is>
          <t>1</t>
        </is>
      </c>
      <c r="H1189" t="inlineStr">
        <is>
          <t>No</t>
        </is>
      </c>
      <c r="I1189" t="inlineStr">
        <is>
          <t>No</t>
        </is>
      </c>
      <c r="J1189" t="inlineStr">
        <is>
          <t>0</t>
        </is>
      </c>
      <c r="L1189" t="inlineStr">
        <is>
          <t>New York : Feminist Press at the City University of New York, 1995.</t>
        </is>
      </c>
      <c r="M1189" t="inlineStr">
        <is>
          <t>1995</t>
        </is>
      </c>
      <c r="O1189" t="inlineStr">
        <is>
          <t>eng</t>
        </is>
      </c>
      <c r="P1189" t="inlineStr">
        <is>
          <t>nyu</t>
        </is>
      </c>
      <c r="R1189" t="inlineStr">
        <is>
          <t xml:space="preserve">HQ </t>
        </is>
      </c>
      <c r="S1189" t="n">
        <v>24</v>
      </c>
      <c r="T1189" t="n">
        <v>24</v>
      </c>
      <c r="U1189" t="inlineStr">
        <is>
          <t>2010-03-15</t>
        </is>
      </c>
      <c r="V1189" t="inlineStr">
        <is>
          <t>2010-03-15</t>
        </is>
      </c>
      <c r="W1189" t="inlineStr">
        <is>
          <t>1997-05-14</t>
        </is>
      </c>
      <c r="X1189" t="inlineStr">
        <is>
          <t>1997-05-14</t>
        </is>
      </c>
      <c r="Y1189" t="n">
        <v>620</v>
      </c>
      <c r="Z1189" t="n">
        <v>494</v>
      </c>
      <c r="AA1189" t="n">
        <v>502</v>
      </c>
      <c r="AB1189" t="n">
        <v>3</v>
      </c>
      <c r="AC1189" t="n">
        <v>3</v>
      </c>
      <c r="AD1189" t="n">
        <v>30</v>
      </c>
      <c r="AE1189" t="n">
        <v>30</v>
      </c>
      <c r="AF1189" t="n">
        <v>14</v>
      </c>
      <c r="AG1189" t="n">
        <v>14</v>
      </c>
      <c r="AH1189" t="n">
        <v>7</v>
      </c>
      <c r="AI1189" t="n">
        <v>7</v>
      </c>
      <c r="AJ1189" t="n">
        <v>16</v>
      </c>
      <c r="AK1189" t="n">
        <v>16</v>
      </c>
      <c r="AL1189" t="n">
        <v>2</v>
      </c>
      <c r="AM1189" t="n">
        <v>2</v>
      </c>
      <c r="AN1189" t="n">
        <v>0</v>
      </c>
      <c r="AO1189" t="n">
        <v>0</v>
      </c>
      <c r="AP1189" t="inlineStr">
        <is>
          <t>No</t>
        </is>
      </c>
      <c r="AQ1189" t="inlineStr">
        <is>
          <t>Yes</t>
        </is>
      </c>
      <c r="AR1189">
        <f>HYPERLINK("http://catalog.hathitrust.org/Record/002996348","HathiTrust Record")</f>
        <v/>
      </c>
      <c r="AS1189">
        <f>HYPERLINK("https://creighton-primo.hosted.exlibrisgroup.com/primo-explore/search?tab=default_tab&amp;search_scope=EVERYTHING&amp;vid=01CRU&amp;lang=en_US&amp;offset=0&amp;query=any,contains,991002451229702656","Catalog Record")</f>
        <v/>
      </c>
      <c r="AT1189">
        <f>HYPERLINK("http://www.worldcat.org/oclc/31970112","WorldCat Record")</f>
        <v/>
      </c>
      <c r="AU1189" t="inlineStr">
        <is>
          <t>908366384:eng</t>
        </is>
      </c>
      <c r="AV1189" t="inlineStr">
        <is>
          <t>31970112</t>
        </is>
      </c>
      <c r="AW1189" t="inlineStr">
        <is>
          <t>991002451229702656</t>
        </is>
      </c>
      <c r="AX1189" t="inlineStr">
        <is>
          <t>991002451229702656</t>
        </is>
      </c>
      <c r="AY1189" t="inlineStr">
        <is>
          <t>2270065280002656</t>
        </is>
      </c>
      <c r="AZ1189" t="inlineStr">
        <is>
          <t>BOOK</t>
        </is>
      </c>
      <c r="BB1189" t="inlineStr">
        <is>
          <t>9781558610934</t>
        </is>
      </c>
      <c r="BC1189" t="inlineStr">
        <is>
          <t>32285002608312</t>
        </is>
      </c>
      <c r="BD1189" t="inlineStr">
        <is>
          <t>893316826</t>
        </is>
      </c>
    </row>
    <row r="1190">
      <c r="A1190" t="inlineStr">
        <is>
          <t>No</t>
        </is>
      </c>
      <c r="B1190" t="inlineStr">
        <is>
          <t>HQ1762 .M3 1996</t>
        </is>
      </c>
      <c r="C1190" t="inlineStr">
        <is>
          <t>0                      HQ 1762000M  3           1996</t>
        </is>
      </c>
      <c r="D1190" t="inlineStr">
        <is>
          <t>The modern Madame Butterfly : fantasy and reality in Japanese cross-cultural relationships / Karen Ma.</t>
        </is>
      </c>
      <c r="F1190" t="inlineStr">
        <is>
          <t>No</t>
        </is>
      </c>
      <c r="G1190" t="inlineStr">
        <is>
          <t>1</t>
        </is>
      </c>
      <c r="H1190" t="inlineStr">
        <is>
          <t>No</t>
        </is>
      </c>
      <c r="I1190" t="inlineStr">
        <is>
          <t>No</t>
        </is>
      </c>
      <c r="J1190" t="inlineStr">
        <is>
          <t>0</t>
        </is>
      </c>
      <c r="K1190" t="inlineStr">
        <is>
          <t>Ma, Karen.</t>
        </is>
      </c>
      <c r="L1190" t="inlineStr">
        <is>
          <t>Rutland, Vt. : Charles E. Tuttle, 1996.</t>
        </is>
      </c>
      <c r="M1190" t="inlineStr">
        <is>
          <t>1996</t>
        </is>
      </c>
      <c r="N1190" t="inlineStr">
        <is>
          <t>1st ed.</t>
        </is>
      </c>
      <c r="O1190" t="inlineStr">
        <is>
          <t>eng</t>
        </is>
      </c>
      <c r="P1190" t="inlineStr">
        <is>
          <t>vtu</t>
        </is>
      </c>
      <c r="R1190" t="inlineStr">
        <is>
          <t xml:space="preserve">HQ </t>
        </is>
      </c>
      <c r="S1190" t="n">
        <v>3</v>
      </c>
      <c r="T1190" t="n">
        <v>3</v>
      </c>
      <c r="U1190" t="inlineStr">
        <is>
          <t>2003-04-30</t>
        </is>
      </c>
      <c r="V1190" t="inlineStr">
        <is>
          <t>2003-04-30</t>
        </is>
      </c>
      <c r="W1190" t="inlineStr">
        <is>
          <t>1996-08-01</t>
        </is>
      </c>
      <c r="X1190" t="inlineStr">
        <is>
          <t>1996-08-01</t>
        </is>
      </c>
      <c r="Y1190" t="n">
        <v>336</v>
      </c>
      <c r="Z1190" t="n">
        <v>281</v>
      </c>
      <c r="AA1190" t="n">
        <v>289</v>
      </c>
      <c r="AB1190" t="n">
        <v>2</v>
      </c>
      <c r="AC1190" t="n">
        <v>2</v>
      </c>
      <c r="AD1190" t="n">
        <v>14</v>
      </c>
      <c r="AE1190" t="n">
        <v>14</v>
      </c>
      <c r="AF1190" t="n">
        <v>5</v>
      </c>
      <c r="AG1190" t="n">
        <v>5</v>
      </c>
      <c r="AH1190" t="n">
        <v>4</v>
      </c>
      <c r="AI1190" t="n">
        <v>4</v>
      </c>
      <c r="AJ1190" t="n">
        <v>10</v>
      </c>
      <c r="AK1190" t="n">
        <v>10</v>
      </c>
      <c r="AL1190" t="n">
        <v>1</v>
      </c>
      <c r="AM1190" t="n">
        <v>1</v>
      </c>
      <c r="AN1190" t="n">
        <v>0</v>
      </c>
      <c r="AO1190" t="n">
        <v>0</v>
      </c>
      <c r="AP1190" t="inlineStr">
        <is>
          <t>No</t>
        </is>
      </c>
      <c r="AQ1190" t="inlineStr">
        <is>
          <t>Yes</t>
        </is>
      </c>
      <c r="AR1190">
        <f>HYPERLINK("http://catalog.hathitrust.org/Record/003864722","HathiTrust Record")</f>
        <v/>
      </c>
      <c r="AS1190">
        <f>HYPERLINK("https://creighton-primo.hosted.exlibrisgroup.com/primo-explore/search?tab=default_tab&amp;search_scope=EVERYTHING&amp;vid=01CRU&amp;lang=en_US&amp;offset=0&amp;query=any,contains,991002644709702656","Catalog Record")</f>
        <v/>
      </c>
      <c r="AT1190">
        <f>HYPERLINK("http://www.worldcat.org/oclc/34614179","WorldCat Record")</f>
        <v/>
      </c>
      <c r="AU1190" t="inlineStr">
        <is>
          <t>20623468:eng</t>
        </is>
      </c>
      <c r="AV1190" t="inlineStr">
        <is>
          <t>34614179</t>
        </is>
      </c>
      <c r="AW1190" t="inlineStr">
        <is>
          <t>991002644709702656</t>
        </is>
      </c>
      <c r="AX1190" t="inlineStr">
        <is>
          <t>991002644709702656</t>
        </is>
      </c>
      <c r="AY1190" t="inlineStr">
        <is>
          <t>2270146570002656</t>
        </is>
      </c>
      <c r="AZ1190" t="inlineStr">
        <is>
          <t>BOOK</t>
        </is>
      </c>
      <c r="BB1190" t="inlineStr">
        <is>
          <t>9780804820417</t>
        </is>
      </c>
      <c r="BC1190" t="inlineStr">
        <is>
          <t>32285002209020</t>
        </is>
      </c>
      <c r="BD1190" t="inlineStr">
        <is>
          <t>893786368</t>
        </is>
      </c>
    </row>
    <row r="1191">
      <c r="A1191" t="inlineStr">
        <is>
          <t>No</t>
        </is>
      </c>
      <c r="B1191" t="inlineStr">
        <is>
          <t>HQ1762 .M5 1971</t>
        </is>
      </c>
      <c r="C1191" t="inlineStr">
        <is>
          <t>0                      HQ 1762000M  5           1971</t>
        </is>
      </c>
      <c r="D1191" t="inlineStr">
        <is>
          <t>The broader way; a woman's life in the new Japan.</t>
        </is>
      </c>
      <c r="F1191" t="inlineStr">
        <is>
          <t>No</t>
        </is>
      </c>
      <c r="G1191" t="inlineStr">
        <is>
          <t>1</t>
        </is>
      </c>
      <c r="H1191" t="inlineStr">
        <is>
          <t>No</t>
        </is>
      </c>
      <c r="I1191" t="inlineStr">
        <is>
          <t>No</t>
        </is>
      </c>
      <c r="J1191" t="inlineStr">
        <is>
          <t>0</t>
        </is>
      </c>
      <c r="K1191" t="inlineStr">
        <is>
          <t>Mishima, Sumie Seo.</t>
        </is>
      </c>
      <c r="L1191" t="inlineStr">
        <is>
          <t>Westport, Conn., Greenwood Press [1971, c1953]</t>
        </is>
      </c>
      <c r="M1191" t="inlineStr">
        <is>
          <t>1971</t>
        </is>
      </c>
      <c r="O1191" t="inlineStr">
        <is>
          <t>eng</t>
        </is>
      </c>
      <c r="P1191" t="inlineStr">
        <is>
          <t>ctu</t>
        </is>
      </c>
      <c r="R1191" t="inlineStr">
        <is>
          <t xml:space="preserve">HQ </t>
        </is>
      </c>
      <c r="S1191" t="n">
        <v>9</v>
      </c>
      <c r="T1191" t="n">
        <v>9</v>
      </c>
      <c r="U1191" t="inlineStr">
        <is>
          <t>1998-11-21</t>
        </is>
      </c>
      <c r="V1191" t="inlineStr">
        <is>
          <t>1998-11-21</t>
        </is>
      </c>
      <c r="W1191" t="inlineStr">
        <is>
          <t>1992-02-26</t>
        </is>
      </c>
      <c r="X1191" t="inlineStr">
        <is>
          <t>1992-02-26</t>
        </is>
      </c>
      <c r="Y1191" t="n">
        <v>220</v>
      </c>
      <c r="Z1191" t="n">
        <v>193</v>
      </c>
      <c r="AA1191" t="n">
        <v>384</v>
      </c>
      <c r="AB1191" t="n">
        <v>2</v>
      </c>
      <c r="AC1191" t="n">
        <v>3</v>
      </c>
      <c r="AD1191" t="n">
        <v>8</v>
      </c>
      <c r="AE1191" t="n">
        <v>13</v>
      </c>
      <c r="AF1191" t="n">
        <v>4</v>
      </c>
      <c r="AG1191" t="n">
        <v>4</v>
      </c>
      <c r="AH1191" t="n">
        <v>3</v>
      </c>
      <c r="AI1191" t="n">
        <v>3</v>
      </c>
      <c r="AJ1191" t="n">
        <v>3</v>
      </c>
      <c r="AK1191" t="n">
        <v>7</v>
      </c>
      <c r="AL1191" t="n">
        <v>1</v>
      </c>
      <c r="AM1191" t="n">
        <v>2</v>
      </c>
      <c r="AN1191" t="n">
        <v>0</v>
      </c>
      <c r="AO1191" t="n">
        <v>0</v>
      </c>
      <c r="AP1191" t="inlineStr">
        <is>
          <t>No</t>
        </is>
      </c>
      <c r="AQ1191" t="inlineStr">
        <is>
          <t>Yes</t>
        </is>
      </c>
      <c r="AR1191">
        <f>HYPERLINK("http://catalog.hathitrust.org/Record/102069071","HathiTrust Record")</f>
        <v/>
      </c>
      <c r="AS1191">
        <f>HYPERLINK("https://creighton-primo.hosted.exlibrisgroup.com/primo-explore/search?tab=default_tab&amp;search_scope=EVERYTHING&amp;vid=01CRU&amp;lang=en_US&amp;offset=0&amp;query=any,contains,991000740269702656","Catalog Record")</f>
        <v/>
      </c>
      <c r="AT1191">
        <f>HYPERLINK("http://www.worldcat.org/oclc/129170","WorldCat Record")</f>
        <v/>
      </c>
      <c r="AU1191" t="inlineStr">
        <is>
          <t>1260265:eng</t>
        </is>
      </c>
      <c r="AV1191" t="inlineStr">
        <is>
          <t>129170</t>
        </is>
      </c>
      <c r="AW1191" t="inlineStr">
        <is>
          <t>991000740269702656</t>
        </is>
      </c>
      <c r="AX1191" t="inlineStr">
        <is>
          <t>991000740269702656</t>
        </is>
      </c>
      <c r="AY1191" t="inlineStr">
        <is>
          <t>2266465780002656</t>
        </is>
      </c>
      <c r="AZ1191" t="inlineStr">
        <is>
          <t>BOOK</t>
        </is>
      </c>
      <c r="BB1191" t="inlineStr">
        <is>
          <t>9780837157979</t>
        </is>
      </c>
      <c r="BC1191" t="inlineStr">
        <is>
          <t>32285000948934</t>
        </is>
      </c>
      <c r="BD1191" t="inlineStr">
        <is>
          <t>893496513</t>
        </is>
      </c>
    </row>
    <row r="1192">
      <c r="A1192" t="inlineStr">
        <is>
          <t>No</t>
        </is>
      </c>
      <c r="B1192" t="inlineStr">
        <is>
          <t>HQ1762 .P35 1999</t>
        </is>
      </c>
      <c r="C1192" t="inlineStr">
        <is>
          <t>0                      HQ 1762000P  35          1999</t>
        </is>
      </c>
      <c r="D1192" t="inlineStr">
        <is>
          <t>Too late for the festival : an American salary-woman in Japan / Rhiannon Paine.</t>
        </is>
      </c>
      <c r="F1192" t="inlineStr">
        <is>
          <t>No</t>
        </is>
      </c>
      <c r="G1192" t="inlineStr">
        <is>
          <t>1</t>
        </is>
      </c>
      <c r="H1192" t="inlineStr">
        <is>
          <t>No</t>
        </is>
      </c>
      <c r="I1192" t="inlineStr">
        <is>
          <t>No</t>
        </is>
      </c>
      <c r="J1192" t="inlineStr">
        <is>
          <t>0</t>
        </is>
      </c>
      <c r="K1192" t="inlineStr">
        <is>
          <t>Paine, Rhiannon.</t>
        </is>
      </c>
      <c r="L1192" t="inlineStr">
        <is>
          <t>Chicago, Ill. : Academy Chicago, 1999.</t>
        </is>
      </c>
      <c r="M1192" t="inlineStr">
        <is>
          <t>1999</t>
        </is>
      </c>
      <c r="O1192" t="inlineStr">
        <is>
          <t>eng</t>
        </is>
      </c>
      <c r="P1192" t="inlineStr">
        <is>
          <t>ilu</t>
        </is>
      </c>
      <c r="R1192" t="inlineStr">
        <is>
          <t xml:space="preserve">HQ </t>
        </is>
      </c>
      <c r="S1192" t="n">
        <v>3</v>
      </c>
      <c r="T1192" t="n">
        <v>3</v>
      </c>
      <c r="U1192" t="inlineStr">
        <is>
          <t>2000-02-11</t>
        </is>
      </c>
      <c r="V1192" t="inlineStr">
        <is>
          <t>2000-02-11</t>
        </is>
      </c>
      <c r="W1192" t="inlineStr">
        <is>
          <t>2000-01-11</t>
        </is>
      </c>
      <c r="X1192" t="inlineStr">
        <is>
          <t>2000-01-11</t>
        </is>
      </c>
      <c r="Y1192" t="n">
        <v>127</v>
      </c>
      <c r="Z1192" t="n">
        <v>121</v>
      </c>
      <c r="AA1192" t="n">
        <v>208</v>
      </c>
      <c r="AB1192" t="n">
        <v>3</v>
      </c>
      <c r="AC1192" t="n">
        <v>3</v>
      </c>
      <c r="AD1192" t="n">
        <v>5</v>
      </c>
      <c r="AE1192" t="n">
        <v>5</v>
      </c>
      <c r="AF1192" t="n">
        <v>1</v>
      </c>
      <c r="AG1192" t="n">
        <v>1</v>
      </c>
      <c r="AH1192" t="n">
        <v>1</v>
      </c>
      <c r="AI1192" t="n">
        <v>1</v>
      </c>
      <c r="AJ1192" t="n">
        <v>2</v>
      </c>
      <c r="AK1192" t="n">
        <v>2</v>
      </c>
      <c r="AL1192" t="n">
        <v>2</v>
      </c>
      <c r="AM1192" t="n">
        <v>2</v>
      </c>
      <c r="AN1192" t="n">
        <v>0</v>
      </c>
      <c r="AO1192" t="n">
        <v>0</v>
      </c>
      <c r="AP1192" t="inlineStr">
        <is>
          <t>No</t>
        </is>
      </c>
      <c r="AQ1192" t="inlineStr">
        <is>
          <t>No</t>
        </is>
      </c>
      <c r="AS1192">
        <f>HYPERLINK("https://creighton-primo.hosted.exlibrisgroup.com/primo-explore/search?tab=default_tab&amp;search_scope=EVERYTHING&amp;vid=01CRU&amp;lang=en_US&amp;offset=0&amp;query=any,contains,991003000039702656","Catalog Record")</f>
        <v/>
      </c>
      <c r="AT1192">
        <f>HYPERLINK("http://www.worldcat.org/oclc/40631715","WorldCat Record")</f>
        <v/>
      </c>
      <c r="AU1192" t="inlineStr">
        <is>
          <t>2209607566:eng</t>
        </is>
      </c>
      <c r="AV1192" t="inlineStr">
        <is>
          <t>40631715</t>
        </is>
      </c>
      <c r="AW1192" t="inlineStr">
        <is>
          <t>991003000039702656</t>
        </is>
      </c>
      <c r="AX1192" t="inlineStr">
        <is>
          <t>991003000039702656</t>
        </is>
      </c>
      <c r="AY1192" t="inlineStr">
        <is>
          <t>2261884690002656</t>
        </is>
      </c>
      <c r="AZ1192" t="inlineStr">
        <is>
          <t>BOOK</t>
        </is>
      </c>
      <c r="BB1192" t="inlineStr">
        <is>
          <t>9780897334716</t>
        </is>
      </c>
      <c r="BC1192" t="inlineStr">
        <is>
          <t>32285003639803</t>
        </is>
      </c>
      <c r="BD1192" t="inlineStr">
        <is>
          <t>893592065</t>
        </is>
      </c>
    </row>
    <row r="1193">
      <c r="A1193" t="inlineStr">
        <is>
          <t>No</t>
        </is>
      </c>
      <c r="B1193" t="inlineStr">
        <is>
          <t>HQ1762 .R6 1983</t>
        </is>
      </c>
      <c r="C1193" t="inlineStr">
        <is>
          <t>0                      HQ 1762000R  6           1983</t>
        </is>
      </c>
      <c r="D1193" t="inlineStr">
        <is>
          <t>The hidden sun : women of modern Japan / Dorothy Robins-Mowry ; with a foreword by Edwin O. Reischauer.</t>
        </is>
      </c>
      <c r="F1193" t="inlineStr">
        <is>
          <t>No</t>
        </is>
      </c>
      <c r="G1193" t="inlineStr">
        <is>
          <t>1</t>
        </is>
      </c>
      <c r="H1193" t="inlineStr">
        <is>
          <t>No</t>
        </is>
      </c>
      <c r="I1193" t="inlineStr">
        <is>
          <t>No</t>
        </is>
      </c>
      <c r="J1193" t="inlineStr">
        <is>
          <t>0</t>
        </is>
      </c>
      <c r="K1193" t="inlineStr">
        <is>
          <t>Robins-Mowry, Dorothy, 1921-</t>
        </is>
      </c>
      <c r="L1193" t="inlineStr">
        <is>
          <t>Boulder, Colo. : Westview Press, 1983.</t>
        </is>
      </c>
      <c r="M1193" t="inlineStr">
        <is>
          <t>1983</t>
        </is>
      </c>
      <c r="O1193" t="inlineStr">
        <is>
          <t>eng</t>
        </is>
      </c>
      <c r="P1193" t="inlineStr">
        <is>
          <t>cou</t>
        </is>
      </c>
      <c r="R1193" t="inlineStr">
        <is>
          <t xml:space="preserve">HQ </t>
        </is>
      </c>
      <c r="S1193" t="n">
        <v>28</v>
      </c>
      <c r="T1193" t="n">
        <v>28</v>
      </c>
      <c r="U1193" t="inlineStr">
        <is>
          <t>2006-04-03</t>
        </is>
      </c>
      <c r="V1193" t="inlineStr">
        <is>
          <t>2006-04-03</t>
        </is>
      </c>
      <c r="W1193" t="inlineStr">
        <is>
          <t>1993-04-29</t>
        </is>
      </c>
      <c r="X1193" t="inlineStr">
        <is>
          <t>1993-04-29</t>
        </is>
      </c>
      <c r="Y1193" t="n">
        <v>614</v>
      </c>
      <c r="Z1193" t="n">
        <v>508</v>
      </c>
      <c r="AA1193" t="n">
        <v>528</v>
      </c>
      <c r="AB1193" t="n">
        <v>5</v>
      </c>
      <c r="AC1193" t="n">
        <v>5</v>
      </c>
      <c r="AD1193" t="n">
        <v>18</v>
      </c>
      <c r="AE1193" t="n">
        <v>18</v>
      </c>
      <c r="AF1193" t="n">
        <v>5</v>
      </c>
      <c r="AG1193" t="n">
        <v>5</v>
      </c>
      <c r="AH1193" t="n">
        <v>4</v>
      </c>
      <c r="AI1193" t="n">
        <v>4</v>
      </c>
      <c r="AJ1193" t="n">
        <v>9</v>
      </c>
      <c r="AK1193" t="n">
        <v>9</v>
      </c>
      <c r="AL1193" t="n">
        <v>4</v>
      </c>
      <c r="AM1193" t="n">
        <v>4</v>
      </c>
      <c r="AN1193" t="n">
        <v>0</v>
      </c>
      <c r="AO1193" t="n">
        <v>0</v>
      </c>
      <c r="AP1193" t="inlineStr">
        <is>
          <t>No</t>
        </is>
      </c>
      <c r="AQ1193" t="inlineStr">
        <is>
          <t>Yes</t>
        </is>
      </c>
      <c r="AR1193">
        <f>HYPERLINK("http://catalog.hathitrust.org/Record/000275107","HathiTrust Record")</f>
        <v/>
      </c>
      <c r="AS1193">
        <f>HYPERLINK("https://creighton-primo.hosted.exlibrisgroup.com/primo-explore/search?tab=default_tab&amp;search_scope=EVERYTHING&amp;vid=01CRU&amp;lang=en_US&amp;offset=0&amp;query=any,contains,991000095509702656","Catalog Record")</f>
        <v/>
      </c>
      <c r="AT1193">
        <f>HYPERLINK("http://www.worldcat.org/oclc/8928513","WorldCat Record")</f>
        <v/>
      </c>
      <c r="AU1193" t="inlineStr">
        <is>
          <t>512001:eng</t>
        </is>
      </c>
      <c r="AV1193" t="inlineStr">
        <is>
          <t>8928513</t>
        </is>
      </c>
      <c r="AW1193" t="inlineStr">
        <is>
          <t>991000095509702656</t>
        </is>
      </c>
      <c r="AX1193" t="inlineStr">
        <is>
          <t>991000095509702656</t>
        </is>
      </c>
      <c r="AY1193" t="inlineStr">
        <is>
          <t>2264479860002656</t>
        </is>
      </c>
      <c r="AZ1193" t="inlineStr">
        <is>
          <t>BOOK</t>
        </is>
      </c>
      <c r="BB1193" t="inlineStr">
        <is>
          <t>9780865314375</t>
        </is>
      </c>
      <c r="BC1193" t="inlineStr">
        <is>
          <t>32285001631398</t>
        </is>
      </c>
      <c r="BD1193" t="inlineStr">
        <is>
          <t>893333208</t>
        </is>
      </c>
    </row>
    <row r="1194">
      <c r="A1194" t="inlineStr">
        <is>
          <t>No</t>
        </is>
      </c>
      <c r="B1194" t="inlineStr">
        <is>
          <t>HQ1762 .R68 2001</t>
        </is>
      </c>
      <c r="C1194" t="inlineStr">
        <is>
          <t>0                      HQ 1762000R  68          2001</t>
        </is>
      </c>
      <c r="D1194" t="inlineStr">
        <is>
          <t>Gambling with virtue : Japanese women and the search for self in a changing nation / Nancy Rosenberger.</t>
        </is>
      </c>
      <c r="F1194" t="inlineStr">
        <is>
          <t>No</t>
        </is>
      </c>
      <c r="G1194" t="inlineStr">
        <is>
          <t>1</t>
        </is>
      </c>
      <c r="H1194" t="inlineStr">
        <is>
          <t>No</t>
        </is>
      </c>
      <c r="I1194" t="inlineStr">
        <is>
          <t>No</t>
        </is>
      </c>
      <c r="J1194" t="inlineStr">
        <is>
          <t>0</t>
        </is>
      </c>
      <c r="K1194" t="inlineStr">
        <is>
          <t>Rosenberger, Nancy Ross.</t>
        </is>
      </c>
      <c r="L1194" t="inlineStr">
        <is>
          <t>Honolulu : University of Hawai'i Press, c2001.</t>
        </is>
      </c>
      <c r="M1194" t="inlineStr">
        <is>
          <t>2001</t>
        </is>
      </c>
      <c r="O1194" t="inlineStr">
        <is>
          <t>eng</t>
        </is>
      </c>
      <c r="P1194" t="inlineStr">
        <is>
          <t>hiu</t>
        </is>
      </c>
      <c r="R1194" t="inlineStr">
        <is>
          <t xml:space="preserve">HQ </t>
        </is>
      </c>
      <c r="S1194" t="n">
        <v>2</v>
      </c>
      <c r="T1194" t="n">
        <v>2</v>
      </c>
      <c r="U1194" t="inlineStr">
        <is>
          <t>2003-04-15</t>
        </is>
      </c>
      <c r="V1194" t="inlineStr">
        <is>
          <t>2003-04-15</t>
        </is>
      </c>
      <c r="W1194" t="inlineStr">
        <is>
          <t>2002-05-06</t>
        </is>
      </c>
      <c r="X1194" t="inlineStr">
        <is>
          <t>2002-05-06</t>
        </is>
      </c>
      <c r="Y1194" t="n">
        <v>585</v>
      </c>
      <c r="Z1194" t="n">
        <v>482</v>
      </c>
      <c r="AA1194" t="n">
        <v>742</v>
      </c>
      <c r="AB1194" t="n">
        <v>3</v>
      </c>
      <c r="AC1194" t="n">
        <v>4</v>
      </c>
      <c r="AD1194" t="n">
        <v>29</v>
      </c>
      <c r="AE1194" t="n">
        <v>35</v>
      </c>
      <c r="AF1194" t="n">
        <v>13</v>
      </c>
      <c r="AG1194" t="n">
        <v>17</v>
      </c>
      <c r="AH1194" t="n">
        <v>7</v>
      </c>
      <c r="AI1194" t="n">
        <v>8</v>
      </c>
      <c r="AJ1194" t="n">
        <v>13</v>
      </c>
      <c r="AK1194" t="n">
        <v>15</v>
      </c>
      <c r="AL1194" t="n">
        <v>2</v>
      </c>
      <c r="AM1194" t="n">
        <v>3</v>
      </c>
      <c r="AN1194" t="n">
        <v>0</v>
      </c>
      <c r="AO1194" t="n">
        <v>0</v>
      </c>
      <c r="AP1194" t="inlineStr">
        <is>
          <t>No</t>
        </is>
      </c>
      <c r="AQ1194" t="inlineStr">
        <is>
          <t>Yes</t>
        </is>
      </c>
      <c r="AR1194">
        <f>HYPERLINK("http://catalog.hathitrust.org/Record/004146305","HathiTrust Record")</f>
        <v/>
      </c>
      <c r="AS1194">
        <f>HYPERLINK("https://creighton-primo.hosted.exlibrisgroup.com/primo-explore/search?tab=default_tab&amp;search_scope=EVERYTHING&amp;vid=01CRU&amp;lang=en_US&amp;offset=0&amp;query=any,contains,991003787699702656","Catalog Record")</f>
        <v/>
      </c>
      <c r="AT1194">
        <f>HYPERLINK("http://www.worldcat.org/oclc/44425572","WorldCat Record")</f>
        <v/>
      </c>
      <c r="AU1194" t="inlineStr">
        <is>
          <t>793829941:eng</t>
        </is>
      </c>
      <c r="AV1194" t="inlineStr">
        <is>
          <t>44425572</t>
        </is>
      </c>
      <c r="AW1194" t="inlineStr">
        <is>
          <t>991003787699702656</t>
        </is>
      </c>
      <c r="AX1194" t="inlineStr">
        <is>
          <t>991003787699702656</t>
        </is>
      </c>
      <c r="AY1194" t="inlineStr">
        <is>
          <t>2259166330002656</t>
        </is>
      </c>
      <c r="AZ1194" t="inlineStr">
        <is>
          <t>BOOK</t>
        </is>
      </c>
      <c r="BB1194" t="inlineStr">
        <is>
          <t>9780824822620</t>
        </is>
      </c>
      <c r="BC1194" t="inlineStr">
        <is>
          <t>32285004485693</t>
        </is>
      </c>
      <c r="BD1194" t="inlineStr">
        <is>
          <t>893781413</t>
        </is>
      </c>
    </row>
    <row r="1195">
      <c r="A1195" t="inlineStr">
        <is>
          <t>No</t>
        </is>
      </c>
      <c r="B1195" t="inlineStr">
        <is>
          <t>HQ1762 .T339 1995</t>
        </is>
      </c>
      <c r="C1195" t="inlineStr">
        <is>
          <t>0                      HQ 1762000T  339         1995</t>
        </is>
      </c>
      <c r="D1195" t="inlineStr">
        <is>
          <t>Contemporary portraits of Japanese women / Yukiko Tanaka.</t>
        </is>
      </c>
      <c r="F1195" t="inlineStr">
        <is>
          <t>No</t>
        </is>
      </c>
      <c r="G1195" t="inlineStr">
        <is>
          <t>1</t>
        </is>
      </c>
      <c r="H1195" t="inlineStr">
        <is>
          <t>No</t>
        </is>
      </c>
      <c r="I1195" t="inlineStr">
        <is>
          <t>No</t>
        </is>
      </c>
      <c r="J1195" t="inlineStr">
        <is>
          <t>0</t>
        </is>
      </c>
      <c r="K1195" t="inlineStr">
        <is>
          <t>Tanaka, Yukiko, 1940-</t>
        </is>
      </c>
      <c r="L1195" t="inlineStr">
        <is>
          <t>Westport, Conn. : Praeger, 1995.</t>
        </is>
      </c>
      <c r="M1195" t="inlineStr">
        <is>
          <t>1995</t>
        </is>
      </c>
      <c r="O1195" t="inlineStr">
        <is>
          <t>eng</t>
        </is>
      </c>
      <c r="P1195" t="inlineStr">
        <is>
          <t>ctu</t>
        </is>
      </c>
      <c r="R1195" t="inlineStr">
        <is>
          <t xml:space="preserve">HQ </t>
        </is>
      </c>
      <c r="S1195" t="n">
        <v>7</v>
      </c>
      <c r="T1195" t="n">
        <v>7</v>
      </c>
      <c r="U1195" t="inlineStr">
        <is>
          <t>2006-04-03</t>
        </is>
      </c>
      <c r="V1195" t="inlineStr">
        <is>
          <t>2006-04-03</t>
        </is>
      </c>
      <c r="W1195" t="inlineStr">
        <is>
          <t>1999-04-26</t>
        </is>
      </c>
      <c r="X1195" t="inlineStr">
        <is>
          <t>1999-04-26</t>
        </is>
      </c>
      <c r="Y1195" t="n">
        <v>360</v>
      </c>
      <c r="Z1195" t="n">
        <v>287</v>
      </c>
      <c r="AA1195" t="n">
        <v>606</v>
      </c>
      <c r="AB1195" t="n">
        <v>3</v>
      </c>
      <c r="AC1195" t="n">
        <v>5</v>
      </c>
      <c r="AD1195" t="n">
        <v>13</v>
      </c>
      <c r="AE1195" t="n">
        <v>17</v>
      </c>
      <c r="AF1195" t="n">
        <v>4</v>
      </c>
      <c r="AG1195" t="n">
        <v>6</v>
      </c>
      <c r="AH1195" t="n">
        <v>4</v>
      </c>
      <c r="AI1195" t="n">
        <v>4</v>
      </c>
      <c r="AJ1195" t="n">
        <v>9</v>
      </c>
      <c r="AK1195" t="n">
        <v>9</v>
      </c>
      <c r="AL1195" t="n">
        <v>2</v>
      </c>
      <c r="AM1195" t="n">
        <v>4</v>
      </c>
      <c r="AN1195" t="n">
        <v>0</v>
      </c>
      <c r="AO1195" t="n">
        <v>0</v>
      </c>
      <c r="AP1195" t="inlineStr">
        <is>
          <t>No</t>
        </is>
      </c>
      <c r="AQ1195" t="inlineStr">
        <is>
          <t>Yes</t>
        </is>
      </c>
      <c r="AR1195">
        <f>HYPERLINK("http://catalog.hathitrust.org/Record/002976283","HathiTrust Record")</f>
        <v/>
      </c>
      <c r="AS1195">
        <f>HYPERLINK("https://creighton-primo.hosted.exlibrisgroup.com/primo-explore/search?tab=default_tab&amp;search_scope=EVERYTHING&amp;vid=01CRU&amp;lang=en_US&amp;offset=0&amp;query=any,contains,991002427299702656","Catalog Record")</f>
        <v/>
      </c>
      <c r="AT1195">
        <f>HYPERLINK("http://www.worldcat.org/oclc/31610139","WorldCat Record")</f>
        <v/>
      </c>
      <c r="AU1195" t="inlineStr">
        <is>
          <t>141721234:eng</t>
        </is>
      </c>
      <c r="AV1195" t="inlineStr">
        <is>
          <t>31610139</t>
        </is>
      </c>
      <c r="AW1195" t="inlineStr">
        <is>
          <t>991002427299702656</t>
        </is>
      </c>
      <c r="AX1195" t="inlineStr">
        <is>
          <t>991002427299702656</t>
        </is>
      </c>
      <c r="AY1195" t="inlineStr">
        <is>
          <t>2258713430002656</t>
        </is>
      </c>
      <c r="AZ1195" t="inlineStr">
        <is>
          <t>BOOK</t>
        </is>
      </c>
      <c r="BB1195" t="inlineStr">
        <is>
          <t>9780275950675</t>
        </is>
      </c>
      <c r="BC1195" t="inlineStr">
        <is>
          <t>32285003555561</t>
        </is>
      </c>
      <c r="BD1195" t="inlineStr">
        <is>
          <t>893798576</t>
        </is>
      </c>
    </row>
    <row r="1196">
      <c r="A1196" t="inlineStr">
        <is>
          <t>No</t>
        </is>
      </c>
      <c r="B1196" t="inlineStr">
        <is>
          <t>HQ1762 .V65 1996</t>
        </is>
      </c>
      <c r="C1196" t="inlineStr">
        <is>
          <t>0                      HQ 1762000V  65          1996</t>
        </is>
      </c>
      <c r="D1196" t="inlineStr">
        <is>
          <t>Voices from the Japanese women's movement / edited by AMPO, Japan Asia quarterly review ; foreword by Charlotte Bunch.</t>
        </is>
      </c>
      <c r="F1196" t="inlineStr">
        <is>
          <t>No</t>
        </is>
      </c>
      <c r="G1196" t="inlineStr">
        <is>
          <t>1</t>
        </is>
      </c>
      <c r="H1196" t="inlineStr">
        <is>
          <t>No</t>
        </is>
      </c>
      <c r="I1196" t="inlineStr">
        <is>
          <t>No</t>
        </is>
      </c>
      <c r="J1196" t="inlineStr">
        <is>
          <t>0</t>
        </is>
      </c>
      <c r="L1196" t="inlineStr">
        <is>
          <t>Armonk, N.Y. : M.E. Sharpe, c1996.</t>
        </is>
      </c>
      <c r="M1196" t="inlineStr">
        <is>
          <t>1996</t>
        </is>
      </c>
      <c r="O1196" t="inlineStr">
        <is>
          <t>eng</t>
        </is>
      </c>
      <c r="P1196" t="inlineStr">
        <is>
          <t>nyu</t>
        </is>
      </c>
      <c r="R1196" t="inlineStr">
        <is>
          <t xml:space="preserve">HQ </t>
        </is>
      </c>
      <c r="S1196" t="n">
        <v>29</v>
      </c>
      <c r="T1196" t="n">
        <v>29</v>
      </c>
      <c r="U1196" t="inlineStr">
        <is>
          <t>2005-04-04</t>
        </is>
      </c>
      <c r="V1196" t="inlineStr">
        <is>
          <t>2005-04-04</t>
        </is>
      </c>
      <c r="W1196" t="inlineStr">
        <is>
          <t>1996-05-21</t>
        </is>
      </c>
      <c r="X1196" t="inlineStr">
        <is>
          <t>1996-05-21</t>
        </is>
      </c>
      <c r="Y1196" t="n">
        <v>488</v>
      </c>
      <c r="Z1196" t="n">
        <v>388</v>
      </c>
      <c r="AA1196" t="n">
        <v>405</v>
      </c>
      <c r="AB1196" t="n">
        <v>3</v>
      </c>
      <c r="AC1196" t="n">
        <v>3</v>
      </c>
      <c r="AD1196" t="n">
        <v>20</v>
      </c>
      <c r="AE1196" t="n">
        <v>20</v>
      </c>
      <c r="AF1196" t="n">
        <v>6</v>
      </c>
      <c r="AG1196" t="n">
        <v>6</v>
      </c>
      <c r="AH1196" t="n">
        <v>7</v>
      </c>
      <c r="AI1196" t="n">
        <v>7</v>
      </c>
      <c r="AJ1196" t="n">
        <v>12</v>
      </c>
      <c r="AK1196" t="n">
        <v>12</v>
      </c>
      <c r="AL1196" t="n">
        <v>2</v>
      </c>
      <c r="AM1196" t="n">
        <v>2</v>
      </c>
      <c r="AN1196" t="n">
        <v>0</v>
      </c>
      <c r="AO1196" t="n">
        <v>0</v>
      </c>
      <c r="AP1196" t="inlineStr">
        <is>
          <t>No</t>
        </is>
      </c>
      <c r="AQ1196" t="inlineStr">
        <is>
          <t>No</t>
        </is>
      </c>
      <c r="AS1196">
        <f>HYPERLINK("https://creighton-primo.hosted.exlibrisgroup.com/primo-explore/search?tab=default_tab&amp;search_scope=EVERYTHING&amp;vid=01CRU&amp;lang=en_US&amp;offset=0&amp;query=any,contains,991002567459702656","Catalog Record")</f>
        <v/>
      </c>
      <c r="AT1196">
        <f>HYPERLINK("http://www.worldcat.org/oclc/33360197","WorldCat Record")</f>
        <v/>
      </c>
      <c r="AU1196" t="inlineStr">
        <is>
          <t>3769726786:eng</t>
        </is>
      </c>
      <c r="AV1196" t="inlineStr">
        <is>
          <t>33360197</t>
        </is>
      </c>
      <c r="AW1196" t="inlineStr">
        <is>
          <t>991002567459702656</t>
        </is>
      </c>
      <c r="AX1196" t="inlineStr">
        <is>
          <t>991002567459702656</t>
        </is>
      </c>
      <c r="AY1196" t="inlineStr">
        <is>
          <t>2265660990002656</t>
        </is>
      </c>
      <c r="AZ1196" t="inlineStr">
        <is>
          <t>BOOK</t>
        </is>
      </c>
      <c r="BB1196" t="inlineStr">
        <is>
          <t>9781563247255</t>
        </is>
      </c>
      <c r="BC1196" t="inlineStr">
        <is>
          <t>32285002176179</t>
        </is>
      </c>
      <c r="BD1196" t="inlineStr">
        <is>
          <t>893341583</t>
        </is>
      </c>
    </row>
    <row r="1197">
      <c r="A1197" t="inlineStr">
        <is>
          <t>No</t>
        </is>
      </c>
      <c r="B1197" t="inlineStr">
        <is>
          <t>HQ1762 .W65</t>
        </is>
      </c>
      <c r="C1197" t="inlineStr">
        <is>
          <t>0                      HQ 1762000W  65</t>
        </is>
      </c>
      <c r="D1197" t="inlineStr">
        <is>
          <t>Women in changing Japan / edited by Joyce Lebra, Joy Paulson, Elizabeth Powers.</t>
        </is>
      </c>
      <c r="F1197" t="inlineStr">
        <is>
          <t>No</t>
        </is>
      </c>
      <c r="G1197" t="inlineStr">
        <is>
          <t>1</t>
        </is>
      </c>
      <c r="H1197" t="inlineStr">
        <is>
          <t>No</t>
        </is>
      </c>
      <c r="I1197" t="inlineStr">
        <is>
          <t>No</t>
        </is>
      </c>
      <c r="J1197" t="inlineStr">
        <is>
          <t>0</t>
        </is>
      </c>
      <c r="L1197" t="inlineStr">
        <is>
          <t>Boulder, Colo. : Westview Press, 1976.</t>
        </is>
      </c>
      <c r="M1197" t="inlineStr">
        <is>
          <t>1976</t>
        </is>
      </c>
      <c r="O1197" t="inlineStr">
        <is>
          <t>eng</t>
        </is>
      </c>
      <c r="P1197" t="inlineStr">
        <is>
          <t>cou</t>
        </is>
      </c>
      <c r="Q1197" t="inlineStr">
        <is>
          <t>Westview special studies on China and East Asia</t>
        </is>
      </c>
      <c r="R1197" t="inlineStr">
        <is>
          <t xml:space="preserve">HQ </t>
        </is>
      </c>
      <c r="S1197" t="n">
        <v>17</v>
      </c>
      <c r="T1197" t="n">
        <v>17</v>
      </c>
      <c r="U1197" t="inlineStr">
        <is>
          <t>2009-03-30</t>
        </is>
      </c>
      <c r="V1197" t="inlineStr">
        <is>
          <t>2009-03-30</t>
        </is>
      </c>
      <c r="W1197" t="inlineStr">
        <is>
          <t>1994-05-12</t>
        </is>
      </c>
      <c r="X1197" t="inlineStr">
        <is>
          <t>1994-05-12</t>
        </is>
      </c>
      <c r="Y1197" t="n">
        <v>606</v>
      </c>
      <c r="Z1197" t="n">
        <v>495</v>
      </c>
      <c r="AA1197" t="n">
        <v>570</v>
      </c>
      <c r="AB1197" t="n">
        <v>3</v>
      </c>
      <c r="AC1197" t="n">
        <v>3</v>
      </c>
      <c r="AD1197" t="n">
        <v>13</v>
      </c>
      <c r="AE1197" t="n">
        <v>18</v>
      </c>
      <c r="AF1197" t="n">
        <v>4</v>
      </c>
      <c r="AG1197" t="n">
        <v>7</v>
      </c>
      <c r="AH1197" t="n">
        <v>4</v>
      </c>
      <c r="AI1197" t="n">
        <v>6</v>
      </c>
      <c r="AJ1197" t="n">
        <v>7</v>
      </c>
      <c r="AK1197" t="n">
        <v>10</v>
      </c>
      <c r="AL1197" t="n">
        <v>2</v>
      </c>
      <c r="AM1197" t="n">
        <v>2</v>
      </c>
      <c r="AN1197" t="n">
        <v>0</v>
      </c>
      <c r="AO1197" t="n">
        <v>0</v>
      </c>
      <c r="AP1197" t="inlineStr">
        <is>
          <t>No</t>
        </is>
      </c>
      <c r="AQ1197" t="inlineStr">
        <is>
          <t>Yes</t>
        </is>
      </c>
      <c r="AR1197">
        <f>HYPERLINK("http://catalog.hathitrust.org/Record/000703407","HathiTrust Record")</f>
        <v/>
      </c>
      <c r="AS1197">
        <f>HYPERLINK("https://creighton-primo.hosted.exlibrisgroup.com/primo-explore/search?tab=default_tab&amp;search_scope=EVERYTHING&amp;vid=01CRU&amp;lang=en_US&amp;offset=0&amp;query=any,contains,991003899269702656","Catalog Record")</f>
        <v/>
      </c>
      <c r="AT1197">
        <f>HYPERLINK("http://www.worldcat.org/oclc/1818383","WorldCat Record")</f>
        <v/>
      </c>
      <c r="AU1197" t="inlineStr">
        <is>
          <t>350362374:eng</t>
        </is>
      </c>
      <c r="AV1197" t="inlineStr">
        <is>
          <t>1818383</t>
        </is>
      </c>
      <c r="AW1197" t="inlineStr">
        <is>
          <t>991003899269702656</t>
        </is>
      </c>
      <c r="AX1197" t="inlineStr">
        <is>
          <t>991003899269702656</t>
        </is>
      </c>
      <c r="AY1197" t="inlineStr">
        <is>
          <t>2271304210002656</t>
        </is>
      </c>
      <c r="AZ1197" t="inlineStr">
        <is>
          <t>BOOK</t>
        </is>
      </c>
      <c r="BB1197" t="inlineStr">
        <is>
          <t>9780891580195</t>
        </is>
      </c>
      <c r="BC1197" t="inlineStr">
        <is>
          <t>32285001911063</t>
        </is>
      </c>
      <c r="BD1197" t="inlineStr">
        <is>
          <t>893240772</t>
        </is>
      </c>
    </row>
    <row r="1198">
      <c r="A1198" t="inlineStr">
        <is>
          <t>No</t>
        </is>
      </c>
      <c r="B1198" t="inlineStr">
        <is>
          <t>HQ1762 .W67 1994</t>
        </is>
      </c>
      <c r="C1198" t="inlineStr">
        <is>
          <t>0                      HQ 1762000W  67          1994</t>
        </is>
      </c>
      <c r="D1198" t="inlineStr">
        <is>
          <t>Women of Japan and Korea : continuity and change / edited by Joyce Gelb and Marian Lief Palley.</t>
        </is>
      </c>
      <c r="F1198" t="inlineStr">
        <is>
          <t>No</t>
        </is>
      </c>
      <c r="G1198" t="inlineStr">
        <is>
          <t>1</t>
        </is>
      </c>
      <c r="H1198" t="inlineStr">
        <is>
          <t>No</t>
        </is>
      </c>
      <c r="I1198" t="inlineStr">
        <is>
          <t>No</t>
        </is>
      </c>
      <c r="J1198" t="inlineStr">
        <is>
          <t>0</t>
        </is>
      </c>
      <c r="L1198" t="inlineStr">
        <is>
          <t>Philadelphia : Temple University Press, 1994.</t>
        </is>
      </c>
      <c r="M1198" t="inlineStr">
        <is>
          <t>1994</t>
        </is>
      </c>
      <c r="O1198" t="inlineStr">
        <is>
          <t>eng</t>
        </is>
      </c>
      <c r="P1198" t="inlineStr">
        <is>
          <t>pau</t>
        </is>
      </c>
      <c r="Q1198" t="inlineStr">
        <is>
          <t>Women in the political economy</t>
        </is>
      </c>
      <c r="R1198" t="inlineStr">
        <is>
          <t xml:space="preserve">HQ </t>
        </is>
      </c>
      <c r="S1198" t="n">
        <v>15</v>
      </c>
      <c r="T1198" t="n">
        <v>15</v>
      </c>
      <c r="U1198" t="inlineStr">
        <is>
          <t>2006-04-03</t>
        </is>
      </c>
      <c r="V1198" t="inlineStr">
        <is>
          <t>2006-04-03</t>
        </is>
      </c>
      <c r="W1198" t="inlineStr">
        <is>
          <t>1999-10-28</t>
        </is>
      </c>
      <c r="X1198" t="inlineStr">
        <is>
          <t>1999-10-28</t>
        </is>
      </c>
      <c r="Y1198" t="n">
        <v>437</v>
      </c>
      <c r="Z1198" t="n">
        <v>334</v>
      </c>
      <c r="AA1198" t="n">
        <v>626</v>
      </c>
      <c r="AB1198" t="n">
        <v>2</v>
      </c>
      <c r="AC1198" t="n">
        <v>4</v>
      </c>
      <c r="AD1198" t="n">
        <v>18</v>
      </c>
      <c r="AE1198" t="n">
        <v>34</v>
      </c>
      <c r="AF1198" t="n">
        <v>7</v>
      </c>
      <c r="AG1198" t="n">
        <v>14</v>
      </c>
      <c r="AH1198" t="n">
        <v>5</v>
      </c>
      <c r="AI1198" t="n">
        <v>11</v>
      </c>
      <c r="AJ1198" t="n">
        <v>12</v>
      </c>
      <c r="AK1198" t="n">
        <v>17</v>
      </c>
      <c r="AL1198" t="n">
        <v>1</v>
      </c>
      <c r="AM1198" t="n">
        <v>3</v>
      </c>
      <c r="AN1198" t="n">
        <v>0</v>
      </c>
      <c r="AO1198" t="n">
        <v>0</v>
      </c>
      <c r="AP1198" t="inlineStr">
        <is>
          <t>No</t>
        </is>
      </c>
      <c r="AQ1198" t="inlineStr">
        <is>
          <t>No</t>
        </is>
      </c>
      <c r="AS1198">
        <f>HYPERLINK("https://creighton-primo.hosted.exlibrisgroup.com/primo-explore/search?tab=default_tab&amp;search_scope=EVERYTHING&amp;vid=01CRU&amp;lang=en_US&amp;offset=0&amp;query=any,contains,991002286609702656","Catalog Record")</f>
        <v/>
      </c>
      <c r="AT1198">
        <f>HYPERLINK("http://www.worldcat.org/oclc/29638226","WorldCat Record")</f>
        <v/>
      </c>
      <c r="AU1198" t="inlineStr">
        <is>
          <t>800301781:eng</t>
        </is>
      </c>
      <c r="AV1198" t="inlineStr">
        <is>
          <t>29638226</t>
        </is>
      </c>
      <c r="AW1198" t="inlineStr">
        <is>
          <t>991002286609702656</t>
        </is>
      </c>
      <c r="AX1198" t="inlineStr">
        <is>
          <t>991002286609702656</t>
        </is>
      </c>
      <c r="AY1198" t="inlineStr">
        <is>
          <t>2271712520002656</t>
        </is>
      </c>
      <c r="AZ1198" t="inlineStr">
        <is>
          <t>BOOK</t>
        </is>
      </c>
      <c r="BB1198" t="inlineStr">
        <is>
          <t>9781566392235</t>
        </is>
      </c>
      <c r="BC1198" t="inlineStr">
        <is>
          <t>32285003615324</t>
        </is>
      </c>
      <c r="BD1198" t="inlineStr">
        <is>
          <t>893322758</t>
        </is>
      </c>
    </row>
    <row r="1199">
      <c r="A1199" t="inlineStr">
        <is>
          <t>No</t>
        </is>
      </c>
      <c r="B1199" t="inlineStr">
        <is>
          <t>HQ1762 .Y31513 1992</t>
        </is>
      </c>
      <c r="C1199" t="inlineStr">
        <is>
          <t>0                      HQ 1762000Y  31513       1992</t>
        </is>
      </c>
      <c r="D1199" t="inlineStr">
        <is>
          <t>Women of the Mito domain : recollections of samurai family life / Yamakawa Kikue ; translated and with an introduction by Kate Wildman Nakai.</t>
        </is>
      </c>
      <c r="F1199" t="inlineStr">
        <is>
          <t>No</t>
        </is>
      </c>
      <c r="G1199" t="inlineStr">
        <is>
          <t>1</t>
        </is>
      </c>
      <c r="H1199" t="inlineStr">
        <is>
          <t>No</t>
        </is>
      </c>
      <c r="I1199" t="inlineStr">
        <is>
          <t>No</t>
        </is>
      </c>
      <c r="J1199" t="inlineStr">
        <is>
          <t>0</t>
        </is>
      </c>
      <c r="K1199" t="inlineStr">
        <is>
          <t>Yamakawa, Kikue, 1890-1980.</t>
        </is>
      </c>
      <c r="L1199" t="inlineStr">
        <is>
          <t>[Tokyo] : University of Tokyo Press, c1992.</t>
        </is>
      </c>
      <c r="M1199" t="inlineStr">
        <is>
          <t>1992</t>
        </is>
      </c>
      <c r="O1199" t="inlineStr">
        <is>
          <t>eng</t>
        </is>
      </c>
      <c r="P1199" t="inlineStr">
        <is>
          <t xml:space="preserve">ja </t>
        </is>
      </c>
      <c r="R1199" t="inlineStr">
        <is>
          <t xml:space="preserve">HQ </t>
        </is>
      </c>
      <c r="S1199" t="n">
        <v>5</v>
      </c>
      <c r="T1199" t="n">
        <v>5</v>
      </c>
      <c r="U1199" t="inlineStr">
        <is>
          <t>2002-11-13</t>
        </is>
      </c>
      <c r="V1199" t="inlineStr">
        <is>
          <t>2002-11-13</t>
        </is>
      </c>
      <c r="W1199" t="inlineStr">
        <is>
          <t>1999-11-01</t>
        </is>
      </c>
      <c r="X1199" t="inlineStr">
        <is>
          <t>1999-11-01</t>
        </is>
      </c>
      <c r="Y1199" t="n">
        <v>349</v>
      </c>
      <c r="Z1199" t="n">
        <v>271</v>
      </c>
      <c r="AA1199" t="n">
        <v>411</v>
      </c>
      <c r="AB1199" t="n">
        <v>3</v>
      </c>
      <c r="AC1199" t="n">
        <v>4</v>
      </c>
      <c r="AD1199" t="n">
        <v>18</v>
      </c>
      <c r="AE1199" t="n">
        <v>23</v>
      </c>
      <c r="AF1199" t="n">
        <v>6</v>
      </c>
      <c r="AG1199" t="n">
        <v>9</v>
      </c>
      <c r="AH1199" t="n">
        <v>5</v>
      </c>
      <c r="AI1199" t="n">
        <v>5</v>
      </c>
      <c r="AJ1199" t="n">
        <v>10</v>
      </c>
      <c r="AK1199" t="n">
        <v>13</v>
      </c>
      <c r="AL1199" t="n">
        <v>2</v>
      </c>
      <c r="AM1199" t="n">
        <v>3</v>
      </c>
      <c r="AN1199" t="n">
        <v>0</v>
      </c>
      <c r="AO1199" t="n">
        <v>0</v>
      </c>
      <c r="AP1199" t="inlineStr">
        <is>
          <t>No</t>
        </is>
      </c>
      <c r="AQ1199" t="inlineStr">
        <is>
          <t>Yes</t>
        </is>
      </c>
      <c r="AR1199">
        <f>HYPERLINK("http://catalog.hathitrust.org/Record/002560216","HathiTrust Record")</f>
        <v/>
      </c>
      <c r="AS1199">
        <f>HYPERLINK("https://creighton-primo.hosted.exlibrisgroup.com/primo-explore/search?tab=default_tab&amp;search_scope=EVERYTHING&amp;vid=01CRU&amp;lang=en_US&amp;offset=0&amp;query=any,contains,991002035939702656","Catalog Record")</f>
        <v/>
      </c>
      <c r="AT1199">
        <f>HYPERLINK("http://www.worldcat.org/oclc/25960900","WorldCat Record")</f>
        <v/>
      </c>
      <c r="AU1199" t="inlineStr">
        <is>
          <t>613427:eng</t>
        </is>
      </c>
      <c r="AV1199" t="inlineStr">
        <is>
          <t>25960900</t>
        </is>
      </c>
      <c r="AW1199" t="inlineStr">
        <is>
          <t>991002035939702656</t>
        </is>
      </c>
      <c r="AX1199" t="inlineStr">
        <is>
          <t>991002035939702656</t>
        </is>
      </c>
      <c r="AY1199" t="inlineStr">
        <is>
          <t>2263131390002656</t>
        </is>
      </c>
      <c r="AZ1199" t="inlineStr">
        <is>
          <t>BOOK</t>
        </is>
      </c>
      <c r="BB1199" t="inlineStr">
        <is>
          <t>9780860084778</t>
        </is>
      </c>
      <c r="BC1199" t="inlineStr">
        <is>
          <t>32285003616199</t>
        </is>
      </c>
      <c r="BD1199" t="inlineStr">
        <is>
          <t>893779345</t>
        </is>
      </c>
    </row>
    <row r="1200">
      <c r="A1200" t="inlineStr">
        <is>
          <t>No</t>
        </is>
      </c>
      <c r="B1200" t="inlineStr">
        <is>
          <t>HQ1762.5.A3 B57 1999</t>
        </is>
      </c>
      <c r="C1200" t="inlineStr">
        <is>
          <t>0                      HQ 1762500A  3                  B  57          1999</t>
        </is>
      </c>
      <c r="D1200" t="inlineStr">
        <is>
          <t>Modern girls, shining stars, the skies of Tokyo : 5 Japanese women / Phyllis Birnbaum.</t>
        </is>
      </c>
      <c r="F1200" t="inlineStr">
        <is>
          <t>No</t>
        </is>
      </c>
      <c r="G1200" t="inlineStr">
        <is>
          <t>1</t>
        </is>
      </c>
      <c r="H1200" t="inlineStr">
        <is>
          <t>No</t>
        </is>
      </c>
      <c r="I1200" t="inlineStr">
        <is>
          <t>No</t>
        </is>
      </c>
      <c r="J1200" t="inlineStr">
        <is>
          <t>0</t>
        </is>
      </c>
      <c r="K1200" t="inlineStr">
        <is>
          <t>Birnbaum, Phyllis.</t>
        </is>
      </c>
      <c r="L1200" t="inlineStr">
        <is>
          <t>New York : Columbia University Press, c1999.</t>
        </is>
      </c>
      <c r="M1200" t="inlineStr">
        <is>
          <t>1999</t>
        </is>
      </c>
      <c r="O1200" t="inlineStr">
        <is>
          <t>eng</t>
        </is>
      </c>
      <c r="P1200" t="inlineStr">
        <is>
          <t>nyu</t>
        </is>
      </c>
      <c r="R1200" t="inlineStr">
        <is>
          <t xml:space="preserve">HQ </t>
        </is>
      </c>
      <c r="S1200" t="n">
        <v>1</v>
      </c>
      <c r="T1200" t="n">
        <v>1</v>
      </c>
      <c r="U1200" t="inlineStr">
        <is>
          <t>2002-10-14</t>
        </is>
      </c>
      <c r="V1200" t="inlineStr">
        <is>
          <t>2002-10-14</t>
        </is>
      </c>
      <c r="W1200" t="inlineStr">
        <is>
          <t>2002-10-14</t>
        </is>
      </c>
      <c r="X1200" t="inlineStr">
        <is>
          <t>2002-10-14</t>
        </is>
      </c>
      <c r="Y1200" t="n">
        <v>503</v>
      </c>
      <c r="Z1200" t="n">
        <v>420</v>
      </c>
      <c r="AA1200" t="n">
        <v>767</v>
      </c>
      <c r="AB1200" t="n">
        <v>2</v>
      </c>
      <c r="AC1200" t="n">
        <v>3</v>
      </c>
      <c r="AD1200" t="n">
        <v>21</v>
      </c>
      <c r="AE1200" t="n">
        <v>22</v>
      </c>
      <c r="AF1200" t="n">
        <v>7</v>
      </c>
      <c r="AG1200" t="n">
        <v>7</v>
      </c>
      <c r="AH1200" t="n">
        <v>6</v>
      </c>
      <c r="AI1200" t="n">
        <v>6</v>
      </c>
      <c r="AJ1200" t="n">
        <v>14</v>
      </c>
      <c r="AK1200" t="n">
        <v>14</v>
      </c>
      <c r="AL1200" t="n">
        <v>1</v>
      </c>
      <c r="AM1200" t="n">
        <v>2</v>
      </c>
      <c r="AN1200" t="n">
        <v>0</v>
      </c>
      <c r="AO1200" t="n">
        <v>0</v>
      </c>
      <c r="AP1200" t="inlineStr">
        <is>
          <t>No</t>
        </is>
      </c>
      <c r="AQ1200" t="inlineStr">
        <is>
          <t>No</t>
        </is>
      </c>
      <c r="AS1200">
        <f>HYPERLINK("https://creighton-primo.hosted.exlibrisgroup.com/primo-explore/search?tab=default_tab&amp;search_scope=EVERYTHING&amp;vid=01CRU&amp;lang=en_US&amp;offset=0&amp;query=any,contains,991003912879702656","Catalog Record")</f>
        <v/>
      </c>
      <c r="AT1200">
        <f>HYPERLINK("http://www.worldcat.org/oclc/38879231","WorldCat Record")</f>
        <v/>
      </c>
      <c r="AU1200" t="inlineStr">
        <is>
          <t>800267083:eng</t>
        </is>
      </c>
      <c r="AV1200" t="inlineStr">
        <is>
          <t>38879231</t>
        </is>
      </c>
      <c r="AW1200" t="inlineStr">
        <is>
          <t>991003912879702656</t>
        </is>
      </c>
      <c r="AX1200" t="inlineStr">
        <is>
          <t>991003912879702656</t>
        </is>
      </c>
      <c r="AY1200" t="inlineStr">
        <is>
          <t>2255601850002656</t>
        </is>
      </c>
      <c r="AZ1200" t="inlineStr">
        <is>
          <t>BOOK</t>
        </is>
      </c>
      <c r="BB1200" t="inlineStr">
        <is>
          <t>9780231113564</t>
        </is>
      </c>
      <c r="BC1200" t="inlineStr">
        <is>
          <t>32285004654652</t>
        </is>
      </c>
      <c r="BD1200" t="inlineStr">
        <is>
          <t>893441947</t>
        </is>
      </c>
    </row>
    <row r="1201">
      <c r="A1201" t="inlineStr">
        <is>
          <t>No</t>
        </is>
      </c>
      <c r="B1201" t="inlineStr">
        <is>
          <t>HQ1764.E33 B47 1983</t>
        </is>
      </c>
      <c r="C1201" t="inlineStr">
        <is>
          <t>0                      HQ 1764000E  33                 B  47          1983</t>
        </is>
      </c>
      <c r="D1201" t="inlineStr">
        <is>
          <t>Haruko's world : a Japanese farm woman and her community / Gail Lee Bernstein.</t>
        </is>
      </c>
      <c r="F1201" t="inlineStr">
        <is>
          <t>No</t>
        </is>
      </c>
      <c r="G1201" t="inlineStr">
        <is>
          <t>1</t>
        </is>
      </c>
      <c r="H1201" t="inlineStr">
        <is>
          <t>No</t>
        </is>
      </c>
      <c r="I1201" t="inlineStr">
        <is>
          <t>No</t>
        </is>
      </c>
      <c r="J1201" t="inlineStr">
        <is>
          <t>0</t>
        </is>
      </c>
      <c r="K1201" t="inlineStr">
        <is>
          <t>Bernstein, Gail Lee.</t>
        </is>
      </c>
      <c r="L1201" t="inlineStr">
        <is>
          <t>Stanford, Calif. : Stanford University Press, 1983.</t>
        </is>
      </c>
      <c r="M1201" t="inlineStr">
        <is>
          <t>1983</t>
        </is>
      </c>
      <c r="O1201" t="inlineStr">
        <is>
          <t>eng</t>
        </is>
      </c>
      <c r="P1201" t="inlineStr">
        <is>
          <t>cau</t>
        </is>
      </c>
      <c r="R1201" t="inlineStr">
        <is>
          <t xml:space="preserve">HQ </t>
        </is>
      </c>
      <c r="S1201" t="n">
        <v>1</v>
      </c>
      <c r="T1201" t="n">
        <v>1</v>
      </c>
      <c r="U1201" t="inlineStr">
        <is>
          <t>1999-02-16</t>
        </is>
      </c>
      <c r="V1201" t="inlineStr">
        <is>
          <t>1999-02-16</t>
        </is>
      </c>
      <c r="W1201" t="inlineStr">
        <is>
          <t>1993-04-29</t>
        </is>
      </c>
      <c r="X1201" t="inlineStr">
        <is>
          <t>1993-04-29</t>
        </is>
      </c>
      <c r="Y1201" t="n">
        <v>615</v>
      </c>
      <c r="Z1201" t="n">
        <v>488</v>
      </c>
      <c r="AA1201" t="n">
        <v>689</v>
      </c>
      <c r="AB1201" t="n">
        <v>3</v>
      </c>
      <c r="AC1201" t="n">
        <v>4</v>
      </c>
      <c r="AD1201" t="n">
        <v>20</v>
      </c>
      <c r="AE1201" t="n">
        <v>33</v>
      </c>
      <c r="AF1201" t="n">
        <v>7</v>
      </c>
      <c r="AG1201" t="n">
        <v>14</v>
      </c>
      <c r="AH1201" t="n">
        <v>5</v>
      </c>
      <c r="AI1201" t="n">
        <v>7</v>
      </c>
      <c r="AJ1201" t="n">
        <v>10</v>
      </c>
      <c r="AK1201" t="n">
        <v>16</v>
      </c>
      <c r="AL1201" t="n">
        <v>2</v>
      </c>
      <c r="AM1201" t="n">
        <v>3</v>
      </c>
      <c r="AN1201" t="n">
        <v>0</v>
      </c>
      <c r="AO1201" t="n">
        <v>0</v>
      </c>
      <c r="AP1201" t="inlineStr">
        <is>
          <t>No</t>
        </is>
      </c>
      <c r="AQ1201" t="inlineStr">
        <is>
          <t>No</t>
        </is>
      </c>
      <c r="AS1201">
        <f>HYPERLINK("https://creighton-primo.hosted.exlibrisgroup.com/primo-explore/search?tab=default_tab&amp;search_scope=EVERYTHING&amp;vid=01CRU&amp;lang=en_US&amp;offset=0&amp;query=any,contains,991000295849702656","Catalog Record")</f>
        <v/>
      </c>
      <c r="AT1201">
        <f>HYPERLINK("http://www.worldcat.org/oclc/10003253","WorldCat Record")</f>
        <v/>
      </c>
      <c r="AU1201" t="inlineStr">
        <is>
          <t>2783391:eng</t>
        </is>
      </c>
      <c r="AV1201" t="inlineStr">
        <is>
          <t>10003253</t>
        </is>
      </c>
      <c r="AW1201" t="inlineStr">
        <is>
          <t>991000295849702656</t>
        </is>
      </c>
      <c r="AX1201" t="inlineStr">
        <is>
          <t>991000295849702656</t>
        </is>
      </c>
      <c r="AY1201" t="inlineStr">
        <is>
          <t>2268937580002656</t>
        </is>
      </c>
      <c r="AZ1201" t="inlineStr">
        <is>
          <t>BOOK</t>
        </is>
      </c>
      <c r="BB1201" t="inlineStr">
        <is>
          <t>9780804711746</t>
        </is>
      </c>
      <c r="BC1201" t="inlineStr">
        <is>
          <t>32285001631406</t>
        </is>
      </c>
      <c r="BD1201" t="inlineStr">
        <is>
          <t>893695737</t>
        </is>
      </c>
    </row>
    <row r="1202">
      <c r="A1202" t="inlineStr">
        <is>
          <t>No</t>
        </is>
      </c>
      <c r="B1202" t="inlineStr">
        <is>
          <t>HQ1765.5 .H35213 1982</t>
        </is>
      </c>
      <c r="C1202" t="inlineStr">
        <is>
          <t>0                      HQ 1765500H  35213       1982</t>
        </is>
      </c>
      <c r="D1202" t="inlineStr">
        <is>
          <t>Women of Korea : a history from ancient times to 1945 / edited and translated by Yung-Chung Kim.</t>
        </is>
      </c>
      <c r="F1202" t="inlineStr">
        <is>
          <t>No</t>
        </is>
      </c>
      <c r="G1202" t="inlineStr">
        <is>
          <t>1</t>
        </is>
      </c>
      <c r="H1202" t="inlineStr">
        <is>
          <t>No</t>
        </is>
      </c>
      <c r="I1202" t="inlineStr">
        <is>
          <t>No</t>
        </is>
      </c>
      <c r="J1202" t="inlineStr">
        <is>
          <t>0</t>
        </is>
      </c>
      <c r="K1202" t="inlineStr">
        <is>
          <t>Hanʼguk yŏsŏng-sa. English.</t>
        </is>
      </c>
      <c r="L1202" t="inlineStr">
        <is>
          <t>Seoul, Korea : Ewah Womans University Press, c1982.</t>
        </is>
      </c>
      <c r="M1202" t="inlineStr">
        <is>
          <t>1982</t>
        </is>
      </c>
      <c r="O1202" t="inlineStr">
        <is>
          <t>eng</t>
        </is>
      </c>
      <c r="P1202" t="inlineStr">
        <is>
          <t xml:space="preserve">ko </t>
        </is>
      </c>
      <c r="R1202" t="inlineStr">
        <is>
          <t xml:space="preserve">HQ </t>
        </is>
      </c>
      <c r="S1202" t="n">
        <v>4</v>
      </c>
      <c r="T1202" t="n">
        <v>4</v>
      </c>
      <c r="U1202" t="inlineStr">
        <is>
          <t>1997-05-01</t>
        </is>
      </c>
      <c r="V1202" t="inlineStr">
        <is>
          <t>1997-05-01</t>
        </is>
      </c>
      <c r="W1202" t="inlineStr">
        <is>
          <t>1993-04-29</t>
        </is>
      </c>
      <c r="X1202" t="inlineStr">
        <is>
          <t>1993-04-29</t>
        </is>
      </c>
      <c r="Y1202" t="n">
        <v>54</v>
      </c>
      <c r="Z1202" t="n">
        <v>41</v>
      </c>
      <c r="AA1202" t="n">
        <v>280</v>
      </c>
      <c r="AB1202" t="n">
        <v>1</v>
      </c>
      <c r="AC1202" t="n">
        <v>2</v>
      </c>
      <c r="AD1202" t="n">
        <v>4</v>
      </c>
      <c r="AE1202" t="n">
        <v>11</v>
      </c>
      <c r="AF1202" t="n">
        <v>2</v>
      </c>
      <c r="AG1202" t="n">
        <v>4</v>
      </c>
      <c r="AH1202" t="n">
        <v>1</v>
      </c>
      <c r="AI1202" t="n">
        <v>5</v>
      </c>
      <c r="AJ1202" t="n">
        <v>4</v>
      </c>
      <c r="AK1202" t="n">
        <v>7</v>
      </c>
      <c r="AL1202" t="n">
        <v>0</v>
      </c>
      <c r="AM1202" t="n">
        <v>0</v>
      </c>
      <c r="AN1202" t="n">
        <v>0</v>
      </c>
      <c r="AO1202" t="n">
        <v>0</v>
      </c>
      <c r="AP1202" t="inlineStr">
        <is>
          <t>No</t>
        </is>
      </c>
      <c r="AQ1202" t="inlineStr">
        <is>
          <t>No</t>
        </is>
      </c>
      <c r="AS1202">
        <f>HYPERLINK("https://creighton-primo.hosted.exlibrisgroup.com/primo-explore/search?tab=default_tab&amp;search_scope=EVERYTHING&amp;vid=01CRU&amp;lang=en_US&amp;offset=0&amp;query=any,contains,991000314859702656","Catalog Record")</f>
        <v/>
      </c>
      <c r="AT1202">
        <f>HYPERLINK("http://www.worldcat.org/oclc/10110637","WorldCat Record")</f>
        <v/>
      </c>
      <c r="AU1202" t="inlineStr">
        <is>
          <t>54164267:eng</t>
        </is>
      </c>
      <c r="AV1202" t="inlineStr">
        <is>
          <t>10110637</t>
        </is>
      </c>
      <c r="AW1202" t="inlineStr">
        <is>
          <t>991000314859702656</t>
        </is>
      </c>
      <c r="AX1202" t="inlineStr">
        <is>
          <t>991000314859702656</t>
        </is>
      </c>
      <c r="AY1202" t="inlineStr">
        <is>
          <t>2269515630002656</t>
        </is>
      </c>
      <c r="AZ1202" t="inlineStr">
        <is>
          <t>BOOK</t>
        </is>
      </c>
      <c r="BC1202" t="inlineStr">
        <is>
          <t>32285001631422</t>
        </is>
      </c>
      <c r="BD1202" t="inlineStr">
        <is>
          <t>893771539</t>
        </is>
      </c>
    </row>
    <row r="1203">
      <c r="A1203" t="inlineStr">
        <is>
          <t>No</t>
        </is>
      </c>
      <c r="B1203" t="inlineStr">
        <is>
          <t>HQ1765.S93 S63 1982</t>
        </is>
      </c>
      <c r="C1203" t="inlineStr">
        <is>
          <t>0                      HQ 1765000S  93                 S  63          1982</t>
        </is>
      </c>
      <c r="D1203" t="inlineStr">
        <is>
          <t>The women of Suye Mura / Robert J. Smith &amp; Ella Lury Wiswell.</t>
        </is>
      </c>
      <c r="F1203" t="inlineStr">
        <is>
          <t>No</t>
        </is>
      </c>
      <c r="G1203" t="inlineStr">
        <is>
          <t>1</t>
        </is>
      </c>
      <c r="H1203" t="inlineStr">
        <is>
          <t>No</t>
        </is>
      </c>
      <c r="I1203" t="inlineStr">
        <is>
          <t>No</t>
        </is>
      </c>
      <c r="J1203" t="inlineStr">
        <is>
          <t>0</t>
        </is>
      </c>
      <c r="K1203" t="inlineStr">
        <is>
          <t>Smith, Robert J. (Robert John), 1927-2016.</t>
        </is>
      </c>
      <c r="L1203" t="inlineStr">
        <is>
          <t>Chicago : University of Chicago Press, 1982.</t>
        </is>
      </c>
      <c r="M1203" t="inlineStr">
        <is>
          <t>1982</t>
        </is>
      </c>
      <c r="O1203" t="inlineStr">
        <is>
          <t>eng</t>
        </is>
      </c>
      <c r="P1203" t="inlineStr">
        <is>
          <t>ilu</t>
        </is>
      </c>
      <c r="R1203" t="inlineStr">
        <is>
          <t xml:space="preserve">HQ </t>
        </is>
      </c>
      <c r="S1203" t="n">
        <v>3</v>
      </c>
      <c r="T1203" t="n">
        <v>3</v>
      </c>
      <c r="U1203" t="inlineStr">
        <is>
          <t>2006-04-19</t>
        </is>
      </c>
      <c r="V1203" t="inlineStr">
        <is>
          <t>2006-04-19</t>
        </is>
      </c>
      <c r="W1203" t="inlineStr">
        <is>
          <t>2003-04-08</t>
        </is>
      </c>
      <c r="X1203" t="inlineStr">
        <is>
          <t>2003-04-08</t>
        </is>
      </c>
      <c r="Y1203" t="n">
        <v>562</v>
      </c>
      <c r="Z1203" t="n">
        <v>442</v>
      </c>
      <c r="AA1203" t="n">
        <v>446</v>
      </c>
      <c r="AB1203" t="n">
        <v>4</v>
      </c>
      <c r="AC1203" t="n">
        <v>4</v>
      </c>
      <c r="AD1203" t="n">
        <v>19</v>
      </c>
      <c r="AE1203" t="n">
        <v>19</v>
      </c>
      <c r="AF1203" t="n">
        <v>8</v>
      </c>
      <c r="AG1203" t="n">
        <v>8</v>
      </c>
      <c r="AH1203" t="n">
        <v>3</v>
      </c>
      <c r="AI1203" t="n">
        <v>3</v>
      </c>
      <c r="AJ1203" t="n">
        <v>12</v>
      </c>
      <c r="AK1203" t="n">
        <v>12</v>
      </c>
      <c r="AL1203" t="n">
        <v>3</v>
      </c>
      <c r="AM1203" t="n">
        <v>3</v>
      </c>
      <c r="AN1203" t="n">
        <v>0</v>
      </c>
      <c r="AO1203" t="n">
        <v>0</v>
      </c>
      <c r="AP1203" t="inlineStr">
        <is>
          <t>No</t>
        </is>
      </c>
      <c r="AQ1203" t="inlineStr">
        <is>
          <t>No</t>
        </is>
      </c>
      <c r="AS1203">
        <f>HYPERLINK("https://creighton-primo.hosted.exlibrisgroup.com/primo-explore/search?tab=default_tab&amp;search_scope=EVERYTHING&amp;vid=01CRU&amp;lang=en_US&amp;offset=0&amp;query=any,contains,991003997359702656","Catalog Record")</f>
        <v/>
      </c>
      <c r="AT1203">
        <f>HYPERLINK("http://www.worldcat.org/oclc/8282191","WorldCat Record")</f>
        <v/>
      </c>
      <c r="AU1203" t="inlineStr">
        <is>
          <t>419315:eng</t>
        </is>
      </c>
      <c r="AV1203" t="inlineStr">
        <is>
          <t>8282191</t>
        </is>
      </c>
      <c r="AW1203" t="inlineStr">
        <is>
          <t>991003997359702656</t>
        </is>
      </c>
      <c r="AX1203" t="inlineStr">
        <is>
          <t>991003997359702656</t>
        </is>
      </c>
      <c r="AY1203" t="inlineStr">
        <is>
          <t>2266690930002656</t>
        </is>
      </c>
      <c r="AZ1203" t="inlineStr">
        <is>
          <t>BOOK</t>
        </is>
      </c>
      <c r="BB1203" t="inlineStr">
        <is>
          <t>9780226763446</t>
        </is>
      </c>
      <c r="BC1203" t="inlineStr">
        <is>
          <t>32285004740394</t>
        </is>
      </c>
      <c r="BD1203" t="inlineStr">
        <is>
          <t>893599294</t>
        </is>
      </c>
    </row>
    <row r="1204">
      <c r="A1204" t="inlineStr">
        <is>
          <t>No</t>
        </is>
      </c>
      <c r="B1204" t="inlineStr">
        <is>
          <t>HQ1767 .C437 1996</t>
        </is>
      </c>
      <c r="C1204" t="inlineStr">
        <is>
          <t>0                      HQ 1767000C  437         1996</t>
        </is>
      </c>
      <c r="D1204" t="inlineStr">
        <is>
          <t>Little sister : searching for the shadow world of Chinese women : a memoir / Julie Checkoway.</t>
        </is>
      </c>
      <c r="F1204" t="inlineStr">
        <is>
          <t>No</t>
        </is>
      </c>
      <c r="G1204" t="inlineStr">
        <is>
          <t>1</t>
        </is>
      </c>
      <c r="H1204" t="inlineStr">
        <is>
          <t>No</t>
        </is>
      </c>
      <c r="I1204" t="inlineStr">
        <is>
          <t>No</t>
        </is>
      </c>
      <c r="J1204" t="inlineStr">
        <is>
          <t>0</t>
        </is>
      </c>
      <c r="K1204" t="inlineStr">
        <is>
          <t>Checkoway, Julie.</t>
        </is>
      </c>
      <c r="L1204" t="inlineStr">
        <is>
          <t>New York : Viking, 1996.</t>
        </is>
      </c>
      <c r="M1204" t="inlineStr">
        <is>
          <t>1996</t>
        </is>
      </c>
      <c r="O1204" t="inlineStr">
        <is>
          <t>eng</t>
        </is>
      </c>
      <c r="P1204" t="inlineStr">
        <is>
          <t>nyu</t>
        </is>
      </c>
      <c r="R1204" t="inlineStr">
        <is>
          <t xml:space="preserve">HQ </t>
        </is>
      </c>
      <c r="S1204" t="n">
        <v>3</v>
      </c>
      <c r="T1204" t="n">
        <v>3</v>
      </c>
      <c r="U1204" t="inlineStr">
        <is>
          <t>1999-02-15</t>
        </is>
      </c>
      <c r="V1204" t="inlineStr">
        <is>
          <t>1999-02-15</t>
        </is>
      </c>
      <c r="W1204" t="inlineStr">
        <is>
          <t>1996-09-25</t>
        </is>
      </c>
      <c r="X1204" t="inlineStr">
        <is>
          <t>1996-09-25</t>
        </is>
      </c>
      <c r="Y1204" t="n">
        <v>328</v>
      </c>
      <c r="Z1204" t="n">
        <v>297</v>
      </c>
      <c r="AA1204" t="n">
        <v>309</v>
      </c>
      <c r="AB1204" t="n">
        <v>3</v>
      </c>
      <c r="AC1204" t="n">
        <v>3</v>
      </c>
      <c r="AD1204" t="n">
        <v>13</v>
      </c>
      <c r="AE1204" t="n">
        <v>13</v>
      </c>
      <c r="AF1204" t="n">
        <v>3</v>
      </c>
      <c r="AG1204" t="n">
        <v>3</v>
      </c>
      <c r="AH1204" t="n">
        <v>4</v>
      </c>
      <c r="AI1204" t="n">
        <v>4</v>
      </c>
      <c r="AJ1204" t="n">
        <v>7</v>
      </c>
      <c r="AK1204" t="n">
        <v>7</v>
      </c>
      <c r="AL1204" t="n">
        <v>2</v>
      </c>
      <c r="AM1204" t="n">
        <v>2</v>
      </c>
      <c r="AN1204" t="n">
        <v>0</v>
      </c>
      <c r="AO1204" t="n">
        <v>0</v>
      </c>
      <c r="AP1204" t="inlineStr">
        <is>
          <t>No</t>
        </is>
      </c>
      <c r="AQ1204" t="inlineStr">
        <is>
          <t>Yes</t>
        </is>
      </c>
      <c r="AR1204">
        <f>HYPERLINK("http://catalog.hathitrust.org/Record/003094433","HathiTrust Record")</f>
        <v/>
      </c>
      <c r="AS1204">
        <f>HYPERLINK("https://creighton-primo.hosted.exlibrisgroup.com/primo-explore/search?tab=default_tab&amp;search_scope=EVERYTHING&amp;vid=01CRU&amp;lang=en_US&amp;offset=0&amp;query=any,contains,991002603889702656","Catalog Record")</f>
        <v/>
      </c>
      <c r="AT1204">
        <f>HYPERLINK("http://www.worldcat.org/oclc/34114075","WorldCat Record")</f>
        <v/>
      </c>
      <c r="AU1204" t="inlineStr">
        <is>
          <t>39018601:eng</t>
        </is>
      </c>
      <c r="AV1204" t="inlineStr">
        <is>
          <t>34114075</t>
        </is>
      </c>
      <c r="AW1204" t="inlineStr">
        <is>
          <t>991002603889702656</t>
        </is>
      </c>
      <c r="AX1204" t="inlineStr">
        <is>
          <t>991002603889702656</t>
        </is>
      </c>
      <c r="AY1204" t="inlineStr">
        <is>
          <t>2272750210002656</t>
        </is>
      </c>
      <c r="AZ1204" t="inlineStr">
        <is>
          <t>BOOK</t>
        </is>
      </c>
      <c r="BB1204" t="inlineStr">
        <is>
          <t>9780670848782</t>
        </is>
      </c>
      <c r="BC1204" t="inlineStr">
        <is>
          <t>32285002319514</t>
        </is>
      </c>
      <c r="BD1204" t="inlineStr">
        <is>
          <t>893616319</t>
        </is>
      </c>
    </row>
    <row r="1205">
      <c r="A1205" t="inlineStr">
        <is>
          <t>No</t>
        </is>
      </c>
      <c r="B1205" t="inlineStr">
        <is>
          <t>HQ1767 .C4479 2003</t>
        </is>
      </c>
      <c r="C1205" t="inlineStr">
        <is>
          <t>0                      HQ 1767000C  4479        2003</t>
        </is>
      </c>
      <c r="D1205" t="inlineStr">
        <is>
          <t>Chinese women : a thousand pieces of gold ; an anthology / selected and edited by Barbara-Sue White.</t>
        </is>
      </c>
      <c r="F1205" t="inlineStr">
        <is>
          <t>No</t>
        </is>
      </c>
      <c r="G1205" t="inlineStr">
        <is>
          <t>1</t>
        </is>
      </c>
      <c r="H1205" t="inlineStr">
        <is>
          <t>No</t>
        </is>
      </c>
      <c r="I1205" t="inlineStr">
        <is>
          <t>No</t>
        </is>
      </c>
      <c r="J1205" t="inlineStr">
        <is>
          <t>0</t>
        </is>
      </c>
      <c r="L1205" t="inlineStr">
        <is>
          <t>Oxford ; New York : Oxford University Press, 2003.</t>
        </is>
      </c>
      <c r="M1205" t="inlineStr">
        <is>
          <t>2003</t>
        </is>
      </c>
      <c r="O1205" t="inlineStr">
        <is>
          <t>eng</t>
        </is>
      </c>
      <c r="P1205" t="inlineStr">
        <is>
          <t>enk</t>
        </is>
      </c>
      <c r="R1205" t="inlineStr">
        <is>
          <t xml:space="preserve">HQ </t>
        </is>
      </c>
      <c r="S1205" t="n">
        <v>3</v>
      </c>
      <c r="T1205" t="n">
        <v>3</v>
      </c>
      <c r="U1205" t="inlineStr">
        <is>
          <t>2006-02-09</t>
        </is>
      </c>
      <c r="V1205" t="inlineStr">
        <is>
          <t>2006-02-09</t>
        </is>
      </c>
      <c r="W1205" t="inlineStr">
        <is>
          <t>2004-10-28</t>
        </is>
      </c>
      <c r="X1205" t="inlineStr">
        <is>
          <t>2004-10-28</t>
        </is>
      </c>
      <c r="Y1205" t="n">
        <v>269</v>
      </c>
      <c r="Z1205" t="n">
        <v>227</v>
      </c>
      <c r="AA1205" t="n">
        <v>229</v>
      </c>
      <c r="AB1205" t="n">
        <v>1</v>
      </c>
      <c r="AC1205" t="n">
        <v>1</v>
      </c>
      <c r="AD1205" t="n">
        <v>17</v>
      </c>
      <c r="AE1205" t="n">
        <v>17</v>
      </c>
      <c r="AF1205" t="n">
        <v>8</v>
      </c>
      <c r="AG1205" t="n">
        <v>8</v>
      </c>
      <c r="AH1205" t="n">
        <v>5</v>
      </c>
      <c r="AI1205" t="n">
        <v>5</v>
      </c>
      <c r="AJ1205" t="n">
        <v>7</v>
      </c>
      <c r="AK1205" t="n">
        <v>7</v>
      </c>
      <c r="AL1205" t="n">
        <v>0</v>
      </c>
      <c r="AM1205" t="n">
        <v>0</v>
      </c>
      <c r="AN1205" t="n">
        <v>0</v>
      </c>
      <c r="AO1205" t="n">
        <v>0</v>
      </c>
      <c r="AP1205" t="inlineStr">
        <is>
          <t>No</t>
        </is>
      </c>
      <c r="AQ1205" t="inlineStr">
        <is>
          <t>Yes</t>
        </is>
      </c>
      <c r="AR1205">
        <f>HYPERLINK("http://catalog.hathitrust.org/Record/004379175","HathiTrust Record")</f>
        <v/>
      </c>
      <c r="AS1205">
        <f>HYPERLINK("https://creighton-primo.hosted.exlibrisgroup.com/primo-explore/search?tab=default_tab&amp;search_scope=EVERYTHING&amp;vid=01CRU&amp;lang=en_US&amp;offset=0&amp;query=any,contains,991004406179702656","Catalog Record")</f>
        <v/>
      </c>
      <c r="AT1205">
        <f>HYPERLINK("http://www.worldcat.org/oclc/52930045","WorldCat Record")</f>
        <v/>
      </c>
      <c r="AU1205" t="inlineStr">
        <is>
          <t>906842669:eng</t>
        </is>
      </c>
      <c r="AV1205" t="inlineStr">
        <is>
          <t>52930045</t>
        </is>
      </c>
      <c r="AW1205" t="inlineStr">
        <is>
          <t>991004406179702656</t>
        </is>
      </c>
      <c r="AX1205" t="inlineStr">
        <is>
          <t>991004406179702656</t>
        </is>
      </c>
      <c r="AY1205" t="inlineStr">
        <is>
          <t>2269323820002656</t>
        </is>
      </c>
      <c r="AZ1205" t="inlineStr">
        <is>
          <t>BOOK</t>
        </is>
      </c>
      <c r="BB1205" t="inlineStr">
        <is>
          <t>9780195914870</t>
        </is>
      </c>
      <c r="BC1205" t="inlineStr">
        <is>
          <t>32285005007371</t>
        </is>
      </c>
      <c r="BD1205" t="inlineStr">
        <is>
          <t>893325344</t>
        </is>
      </c>
    </row>
    <row r="1206">
      <c r="A1206" t="inlineStr">
        <is>
          <t>No</t>
        </is>
      </c>
      <c r="B1206" t="inlineStr">
        <is>
          <t>HQ1767 .D74 1999</t>
        </is>
      </c>
      <c r="C1206" t="inlineStr">
        <is>
          <t>0                      HQ 1767000D  74          1999</t>
        </is>
      </c>
      <c r="D1206" t="inlineStr">
        <is>
          <t>Dress, sex and text in Chinese Culture = [Chung-kuo yin wen hua, i cho nu hsing yü wen tzu] / edited by Antonia Finnane and Anne McLaren.</t>
        </is>
      </c>
      <c r="F1206" t="inlineStr">
        <is>
          <t>No</t>
        </is>
      </c>
      <c r="G1206" t="inlineStr">
        <is>
          <t>1</t>
        </is>
      </c>
      <c r="H1206" t="inlineStr">
        <is>
          <t>No</t>
        </is>
      </c>
      <c r="I1206" t="inlineStr">
        <is>
          <t>No</t>
        </is>
      </c>
      <c r="J1206" t="inlineStr">
        <is>
          <t>0</t>
        </is>
      </c>
      <c r="L1206" t="inlineStr">
        <is>
          <t>Clayton, Australia: Monash Asia Institute, 1999 .</t>
        </is>
      </c>
      <c r="M1206" t="inlineStr">
        <is>
          <t>1999</t>
        </is>
      </c>
      <c r="O1206" t="inlineStr">
        <is>
          <t>eng</t>
        </is>
      </c>
      <c r="P1206" t="inlineStr">
        <is>
          <t xml:space="preserve">at </t>
        </is>
      </c>
      <c r="R1206" t="inlineStr">
        <is>
          <t xml:space="preserve">HQ </t>
        </is>
      </c>
      <c r="S1206" t="n">
        <v>9</v>
      </c>
      <c r="T1206" t="n">
        <v>9</v>
      </c>
      <c r="U1206" t="inlineStr">
        <is>
          <t>2006-02-09</t>
        </is>
      </c>
      <c r="V1206" t="inlineStr">
        <is>
          <t>2006-02-09</t>
        </is>
      </c>
      <c r="W1206" t="inlineStr">
        <is>
          <t>2001-05-29</t>
        </is>
      </c>
      <c r="X1206" t="inlineStr">
        <is>
          <t>2001-05-29</t>
        </is>
      </c>
      <c r="Y1206" t="n">
        <v>162</v>
      </c>
      <c r="Z1206" t="n">
        <v>93</v>
      </c>
      <c r="AA1206" t="n">
        <v>103</v>
      </c>
      <c r="AB1206" t="n">
        <v>2</v>
      </c>
      <c r="AC1206" t="n">
        <v>2</v>
      </c>
      <c r="AD1206" t="n">
        <v>4</v>
      </c>
      <c r="AE1206" t="n">
        <v>5</v>
      </c>
      <c r="AF1206" t="n">
        <v>1</v>
      </c>
      <c r="AG1206" t="n">
        <v>1</v>
      </c>
      <c r="AH1206" t="n">
        <v>0</v>
      </c>
      <c r="AI1206" t="n">
        <v>1</v>
      </c>
      <c r="AJ1206" t="n">
        <v>3</v>
      </c>
      <c r="AK1206" t="n">
        <v>4</v>
      </c>
      <c r="AL1206" t="n">
        <v>1</v>
      </c>
      <c r="AM1206" t="n">
        <v>1</v>
      </c>
      <c r="AN1206" t="n">
        <v>0</v>
      </c>
      <c r="AO1206" t="n">
        <v>0</v>
      </c>
      <c r="AP1206" t="inlineStr">
        <is>
          <t>No</t>
        </is>
      </c>
      <c r="AQ1206" t="inlineStr">
        <is>
          <t>Yes</t>
        </is>
      </c>
      <c r="AR1206">
        <f>HYPERLINK("http://catalog.hathitrust.org/Record/003978715","HathiTrust Record")</f>
        <v/>
      </c>
      <c r="AS1206">
        <f>HYPERLINK("https://creighton-primo.hosted.exlibrisgroup.com/primo-explore/search?tab=default_tab&amp;search_scope=EVERYTHING&amp;vid=01CRU&amp;lang=en_US&amp;offset=0&amp;query=any,contains,991003506619702656","Catalog Record")</f>
        <v/>
      </c>
      <c r="AT1206">
        <f>HYPERLINK("http://www.worldcat.org/oclc/44934205","WorldCat Record")</f>
        <v/>
      </c>
      <c r="AU1206" t="inlineStr">
        <is>
          <t>475179449:eng</t>
        </is>
      </c>
      <c r="AV1206" t="inlineStr">
        <is>
          <t>44934205</t>
        </is>
      </c>
      <c r="AW1206" t="inlineStr">
        <is>
          <t>991003506619702656</t>
        </is>
      </c>
      <c r="AX1206" t="inlineStr">
        <is>
          <t>991003506619702656</t>
        </is>
      </c>
      <c r="AY1206" t="inlineStr">
        <is>
          <t>2264476460002656</t>
        </is>
      </c>
      <c r="AZ1206" t="inlineStr">
        <is>
          <t>BOOK</t>
        </is>
      </c>
      <c r="BB1206" t="inlineStr">
        <is>
          <t>9780732611743</t>
        </is>
      </c>
      <c r="BC1206" t="inlineStr">
        <is>
          <t>32285004318787</t>
        </is>
      </c>
      <c r="BD1206" t="inlineStr">
        <is>
          <t>893524877</t>
        </is>
      </c>
    </row>
    <row r="1207">
      <c r="A1207" t="inlineStr">
        <is>
          <t>No</t>
        </is>
      </c>
      <c r="B1207" t="inlineStr">
        <is>
          <t>HQ1767 .H65 1988</t>
        </is>
      </c>
      <c r="C1207" t="inlineStr">
        <is>
          <t>0                      HQ 1767000H  65          1988</t>
        </is>
      </c>
      <c r="D1207" t="inlineStr">
        <is>
          <t>Personal voices : Chinese women in the 1980's / Emily Honig &amp; Gail Hershatter.</t>
        </is>
      </c>
      <c r="F1207" t="inlineStr">
        <is>
          <t>No</t>
        </is>
      </c>
      <c r="G1207" t="inlineStr">
        <is>
          <t>1</t>
        </is>
      </c>
      <c r="H1207" t="inlineStr">
        <is>
          <t>No</t>
        </is>
      </c>
      <c r="I1207" t="inlineStr">
        <is>
          <t>No</t>
        </is>
      </c>
      <c r="J1207" t="inlineStr">
        <is>
          <t>0</t>
        </is>
      </c>
      <c r="K1207" t="inlineStr">
        <is>
          <t>Honig, Emily.</t>
        </is>
      </c>
      <c r="L1207" t="inlineStr">
        <is>
          <t>Stanford, Calif. : Stanford University Press, 1988.</t>
        </is>
      </c>
      <c r="M1207" t="inlineStr">
        <is>
          <t>1988</t>
        </is>
      </c>
      <c r="O1207" t="inlineStr">
        <is>
          <t>eng</t>
        </is>
      </c>
      <c r="P1207" t="inlineStr">
        <is>
          <t>cau</t>
        </is>
      </c>
      <c r="R1207" t="inlineStr">
        <is>
          <t xml:space="preserve">HQ </t>
        </is>
      </c>
      <c r="S1207" t="n">
        <v>17</v>
      </c>
      <c r="T1207" t="n">
        <v>17</v>
      </c>
      <c r="U1207" t="inlineStr">
        <is>
          <t>2002-11-16</t>
        </is>
      </c>
      <c r="V1207" t="inlineStr">
        <is>
          <t>2002-11-16</t>
        </is>
      </c>
      <c r="W1207" t="inlineStr">
        <is>
          <t>1993-04-29</t>
        </is>
      </c>
      <c r="X1207" t="inlineStr">
        <is>
          <t>1993-04-29</t>
        </is>
      </c>
      <c r="Y1207" t="n">
        <v>810</v>
      </c>
      <c r="Z1207" t="n">
        <v>647</v>
      </c>
      <c r="AA1207" t="n">
        <v>769</v>
      </c>
      <c r="AB1207" t="n">
        <v>9</v>
      </c>
      <c r="AC1207" t="n">
        <v>10</v>
      </c>
      <c r="AD1207" t="n">
        <v>38</v>
      </c>
      <c r="AE1207" t="n">
        <v>45</v>
      </c>
      <c r="AF1207" t="n">
        <v>14</v>
      </c>
      <c r="AG1207" t="n">
        <v>17</v>
      </c>
      <c r="AH1207" t="n">
        <v>7</v>
      </c>
      <c r="AI1207" t="n">
        <v>9</v>
      </c>
      <c r="AJ1207" t="n">
        <v>18</v>
      </c>
      <c r="AK1207" t="n">
        <v>21</v>
      </c>
      <c r="AL1207" t="n">
        <v>8</v>
      </c>
      <c r="AM1207" t="n">
        <v>9</v>
      </c>
      <c r="AN1207" t="n">
        <v>0</v>
      </c>
      <c r="AO1207" t="n">
        <v>0</v>
      </c>
      <c r="AP1207" t="inlineStr">
        <is>
          <t>No</t>
        </is>
      </c>
      <c r="AQ1207" t="inlineStr">
        <is>
          <t>No</t>
        </is>
      </c>
      <c r="AS1207">
        <f>HYPERLINK("https://creighton-primo.hosted.exlibrisgroup.com/primo-explore/search?tab=default_tab&amp;search_scope=EVERYTHING&amp;vid=01CRU&amp;lang=en_US&amp;offset=0&amp;query=any,contains,991001114369702656","Catalog Record")</f>
        <v/>
      </c>
      <c r="AT1207">
        <f>HYPERLINK("http://www.worldcat.org/oclc/16523927","WorldCat Record")</f>
        <v/>
      </c>
      <c r="AU1207" t="inlineStr">
        <is>
          <t>889911450:eng</t>
        </is>
      </c>
      <c r="AV1207" t="inlineStr">
        <is>
          <t>16523927</t>
        </is>
      </c>
      <c r="AW1207" t="inlineStr">
        <is>
          <t>991001114369702656</t>
        </is>
      </c>
      <c r="AX1207" t="inlineStr">
        <is>
          <t>991001114369702656</t>
        </is>
      </c>
      <c r="AY1207" t="inlineStr">
        <is>
          <t>2272086430002656</t>
        </is>
      </c>
      <c r="AZ1207" t="inlineStr">
        <is>
          <t>BOOK</t>
        </is>
      </c>
      <c r="BB1207" t="inlineStr">
        <is>
          <t>9780804714310</t>
        </is>
      </c>
      <c r="BC1207" t="inlineStr">
        <is>
          <t>32285001631430</t>
        </is>
      </c>
      <c r="BD1207" t="inlineStr">
        <is>
          <t>893256026</t>
        </is>
      </c>
    </row>
    <row r="1208">
      <c r="A1208" t="inlineStr">
        <is>
          <t>No</t>
        </is>
      </c>
      <c r="B1208" t="inlineStr">
        <is>
          <t>HQ1767 .J33 1997</t>
        </is>
      </c>
      <c r="C1208" t="inlineStr">
        <is>
          <t>0                      HQ 1767000J  33          1997</t>
        </is>
      </c>
      <c r="D1208" t="inlineStr">
        <is>
          <t>Women's work in rural China : change and continuity in an era of reform / Tamara Jacka.</t>
        </is>
      </c>
      <c r="F1208" t="inlineStr">
        <is>
          <t>No</t>
        </is>
      </c>
      <c r="G1208" t="inlineStr">
        <is>
          <t>1</t>
        </is>
      </c>
      <c r="H1208" t="inlineStr">
        <is>
          <t>No</t>
        </is>
      </c>
      <c r="I1208" t="inlineStr">
        <is>
          <t>No</t>
        </is>
      </c>
      <c r="J1208" t="inlineStr">
        <is>
          <t>0</t>
        </is>
      </c>
      <c r="K1208" t="inlineStr">
        <is>
          <t>Jacka, Tamara, 1965-</t>
        </is>
      </c>
      <c r="L1208" t="inlineStr">
        <is>
          <t>Cambridge ; New York : Cambridge University Press, 1997.</t>
        </is>
      </c>
      <c r="M1208" t="inlineStr">
        <is>
          <t>1997</t>
        </is>
      </c>
      <c r="O1208" t="inlineStr">
        <is>
          <t>eng</t>
        </is>
      </c>
      <c r="P1208" t="inlineStr">
        <is>
          <t>enk</t>
        </is>
      </c>
      <c r="Q1208" t="inlineStr">
        <is>
          <t>Cambridge modern China series</t>
        </is>
      </c>
      <c r="R1208" t="inlineStr">
        <is>
          <t xml:space="preserve">HQ </t>
        </is>
      </c>
      <c r="S1208" t="n">
        <v>4</v>
      </c>
      <c r="T1208" t="n">
        <v>4</v>
      </c>
      <c r="U1208" t="inlineStr">
        <is>
          <t>2009-12-12</t>
        </is>
      </c>
      <c r="V1208" t="inlineStr">
        <is>
          <t>2009-12-12</t>
        </is>
      </c>
      <c r="W1208" t="inlineStr">
        <is>
          <t>1999-12-07</t>
        </is>
      </c>
      <c r="X1208" t="inlineStr">
        <is>
          <t>1999-12-07</t>
        </is>
      </c>
      <c r="Y1208" t="n">
        <v>497</v>
      </c>
      <c r="Z1208" t="n">
        <v>354</v>
      </c>
      <c r="AA1208" t="n">
        <v>365</v>
      </c>
      <c r="AB1208" t="n">
        <v>3</v>
      </c>
      <c r="AC1208" t="n">
        <v>3</v>
      </c>
      <c r="AD1208" t="n">
        <v>23</v>
      </c>
      <c r="AE1208" t="n">
        <v>23</v>
      </c>
      <c r="AF1208" t="n">
        <v>5</v>
      </c>
      <c r="AG1208" t="n">
        <v>5</v>
      </c>
      <c r="AH1208" t="n">
        <v>7</v>
      </c>
      <c r="AI1208" t="n">
        <v>7</v>
      </c>
      <c r="AJ1208" t="n">
        <v>14</v>
      </c>
      <c r="AK1208" t="n">
        <v>14</v>
      </c>
      <c r="AL1208" t="n">
        <v>2</v>
      </c>
      <c r="AM1208" t="n">
        <v>2</v>
      </c>
      <c r="AN1208" t="n">
        <v>0</v>
      </c>
      <c r="AO1208" t="n">
        <v>0</v>
      </c>
      <c r="AP1208" t="inlineStr">
        <is>
          <t>No</t>
        </is>
      </c>
      <c r="AQ1208" t="inlineStr">
        <is>
          <t>No</t>
        </is>
      </c>
      <c r="AS1208">
        <f>HYPERLINK("https://creighton-primo.hosted.exlibrisgroup.com/primo-explore/search?tab=default_tab&amp;search_scope=EVERYTHING&amp;vid=01CRU&amp;lang=en_US&amp;offset=0&amp;query=any,contains,991002704229702656","Catalog Record")</f>
        <v/>
      </c>
      <c r="AT1208">
        <f>HYPERLINK("http://www.worldcat.org/oclc/35305145","WorldCat Record")</f>
        <v/>
      </c>
      <c r="AU1208" t="inlineStr">
        <is>
          <t>837008557:eng</t>
        </is>
      </c>
      <c r="AV1208" t="inlineStr">
        <is>
          <t>35305145</t>
        </is>
      </c>
      <c r="AW1208" t="inlineStr">
        <is>
          <t>991002704229702656</t>
        </is>
      </c>
      <c r="AX1208" t="inlineStr">
        <is>
          <t>991002704229702656</t>
        </is>
      </c>
      <c r="AY1208" t="inlineStr">
        <is>
          <t>2270549220002656</t>
        </is>
      </c>
      <c r="AZ1208" t="inlineStr">
        <is>
          <t>BOOK</t>
        </is>
      </c>
      <c r="BB1208" t="inlineStr">
        <is>
          <t>9780521562256</t>
        </is>
      </c>
      <c r="BC1208" t="inlineStr">
        <is>
          <t>32285003629226</t>
        </is>
      </c>
      <c r="BD1208" t="inlineStr">
        <is>
          <t>893773940</t>
        </is>
      </c>
    </row>
    <row r="1209">
      <c r="A1209" t="inlineStr">
        <is>
          <t>No</t>
        </is>
      </c>
      <c r="B1209" t="inlineStr">
        <is>
          <t>HQ1767 .J83 2002</t>
        </is>
      </c>
      <c r="C1209" t="inlineStr">
        <is>
          <t>0                      HQ 1767000J  83          2002</t>
        </is>
      </c>
      <c r="D1209" t="inlineStr">
        <is>
          <t>The Chinese women's movement between state and market / Ellen R. Judd.</t>
        </is>
      </c>
      <c r="F1209" t="inlineStr">
        <is>
          <t>No</t>
        </is>
      </c>
      <c r="G1209" t="inlineStr">
        <is>
          <t>1</t>
        </is>
      </c>
      <c r="H1209" t="inlineStr">
        <is>
          <t>No</t>
        </is>
      </c>
      <c r="I1209" t="inlineStr">
        <is>
          <t>No</t>
        </is>
      </c>
      <c r="J1209" t="inlineStr">
        <is>
          <t>0</t>
        </is>
      </c>
      <c r="K1209" t="inlineStr">
        <is>
          <t>Judd, Ellen R., 1950-</t>
        </is>
      </c>
      <c r="L1209" t="inlineStr">
        <is>
          <t>Stanford, Calif. : Stanford University Press, 2002.</t>
        </is>
      </c>
      <c r="M1209" t="inlineStr">
        <is>
          <t>2002</t>
        </is>
      </c>
      <c r="O1209" t="inlineStr">
        <is>
          <t>eng</t>
        </is>
      </c>
      <c r="P1209" t="inlineStr">
        <is>
          <t>cau</t>
        </is>
      </c>
      <c r="R1209" t="inlineStr">
        <is>
          <t xml:space="preserve">HQ </t>
        </is>
      </c>
      <c r="S1209" t="n">
        <v>4</v>
      </c>
      <c r="T1209" t="n">
        <v>4</v>
      </c>
      <c r="U1209" t="inlineStr">
        <is>
          <t>2004-11-14</t>
        </is>
      </c>
      <c r="V1209" t="inlineStr">
        <is>
          <t>2004-11-14</t>
        </is>
      </c>
      <c r="W1209" t="inlineStr">
        <is>
          <t>2002-05-16</t>
        </is>
      </c>
      <c r="X1209" t="inlineStr">
        <is>
          <t>2002-05-16</t>
        </is>
      </c>
      <c r="Y1209" t="n">
        <v>416</v>
      </c>
      <c r="Z1209" t="n">
        <v>330</v>
      </c>
      <c r="AA1209" t="n">
        <v>353</v>
      </c>
      <c r="AB1209" t="n">
        <v>3</v>
      </c>
      <c r="AC1209" t="n">
        <v>5</v>
      </c>
      <c r="AD1209" t="n">
        <v>23</v>
      </c>
      <c r="AE1209" t="n">
        <v>26</v>
      </c>
      <c r="AF1209" t="n">
        <v>6</v>
      </c>
      <c r="AG1209" t="n">
        <v>7</v>
      </c>
      <c r="AH1209" t="n">
        <v>8</v>
      </c>
      <c r="AI1209" t="n">
        <v>8</v>
      </c>
      <c r="AJ1209" t="n">
        <v>13</v>
      </c>
      <c r="AK1209" t="n">
        <v>13</v>
      </c>
      <c r="AL1209" t="n">
        <v>2</v>
      </c>
      <c r="AM1209" t="n">
        <v>4</v>
      </c>
      <c r="AN1209" t="n">
        <v>0</v>
      </c>
      <c r="AO1209" t="n">
        <v>0</v>
      </c>
      <c r="AP1209" t="inlineStr">
        <is>
          <t>No</t>
        </is>
      </c>
      <c r="AQ1209" t="inlineStr">
        <is>
          <t>No</t>
        </is>
      </c>
      <c r="AS1209">
        <f>HYPERLINK("https://creighton-primo.hosted.exlibrisgroup.com/primo-explore/search?tab=default_tab&amp;search_scope=EVERYTHING&amp;vid=01CRU&amp;lang=en_US&amp;offset=0&amp;query=any,contains,991003785019702656","Catalog Record")</f>
        <v/>
      </c>
      <c r="AT1209">
        <f>HYPERLINK("http://www.worldcat.org/oclc/47863276","WorldCat Record")</f>
        <v/>
      </c>
      <c r="AU1209" t="inlineStr">
        <is>
          <t>12628736:eng</t>
        </is>
      </c>
      <c r="AV1209" t="inlineStr">
        <is>
          <t>47863276</t>
        </is>
      </c>
      <c r="AW1209" t="inlineStr">
        <is>
          <t>991003785019702656</t>
        </is>
      </c>
      <c r="AX1209" t="inlineStr">
        <is>
          <t>991003785019702656</t>
        </is>
      </c>
      <c r="AY1209" t="inlineStr">
        <is>
          <t>2268899890002656</t>
        </is>
      </c>
      <c r="AZ1209" t="inlineStr">
        <is>
          <t>BOOK</t>
        </is>
      </c>
      <c r="BB1209" t="inlineStr">
        <is>
          <t>9780804744058</t>
        </is>
      </c>
      <c r="BC1209" t="inlineStr">
        <is>
          <t>32285004489331</t>
        </is>
      </c>
      <c r="BD1209" t="inlineStr">
        <is>
          <t>893336943</t>
        </is>
      </c>
    </row>
    <row r="1210">
      <c r="A1210" t="inlineStr">
        <is>
          <t>No</t>
        </is>
      </c>
      <c r="B1210" t="inlineStr">
        <is>
          <t>HQ1767 .W65 1981b</t>
        </is>
      </c>
      <c r="C1210" t="inlineStr">
        <is>
          <t>0                      HQ 1767000W  65          1981b</t>
        </is>
      </c>
      <c r="D1210" t="inlineStr">
        <is>
          <t>Women in China : current directions in historical scholarship / edited by Richard W. Guisso and Stanley Johannesen.</t>
        </is>
      </c>
      <c r="F1210" t="inlineStr">
        <is>
          <t>No</t>
        </is>
      </c>
      <c r="G1210" t="inlineStr">
        <is>
          <t>1</t>
        </is>
      </c>
      <c r="H1210" t="inlineStr">
        <is>
          <t>No</t>
        </is>
      </c>
      <c r="I1210" t="inlineStr">
        <is>
          <t>No</t>
        </is>
      </c>
      <c r="J1210" t="inlineStr">
        <is>
          <t>0</t>
        </is>
      </c>
      <c r="L1210" t="inlineStr">
        <is>
          <t>Lewiston, N.Y. : Edwin Mellen Press, c1981.</t>
        </is>
      </c>
      <c r="M1210" t="inlineStr">
        <is>
          <t>1981</t>
        </is>
      </c>
      <c r="O1210" t="inlineStr">
        <is>
          <t>eng</t>
        </is>
      </c>
      <c r="P1210" t="inlineStr">
        <is>
          <t>nyu</t>
        </is>
      </c>
      <c r="Q1210" t="inlineStr">
        <is>
          <t>Historical reflections. Directions ; 3</t>
        </is>
      </c>
      <c r="R1210" t="inlineStr">
        <is>
          <t xml:space="preserve">HQ </t>
        </is>
      </c>
      <c r="S1210" t="n">
        <v>23</v>
      </c>
      <c r="T1210" t="n">
        <v>23</v>
      </c>
      <c r="U1210" t="inlineStr">
        <is>
          <t>2009-12-12</t>
        </is>
      </c>
      <c r="V1210" t="inlineStr">
        <is>
          <t>2009-12-12</t>
        </is>
      </c>
      <c r="W1210" t="inlineStr">
        <is>
          <t>1993-11-29</t>
        </is>
      </c>
      <c r="X1210" t="inlineStr">
        <is>
          <t>1993-11-29</t>
        </is>
      </c>
      <c r="Y1210" t="n">
        <v>13</v>
      </c>
      <c r="Z1210" t="n">
        <v>11</v>
      </c>
      <c r="AA1210" t="n">
        <v>293</v>
      </c>
      <c r="AB1210" t="n">
        <v>1</v>
      </c>
      <c r="AC1210" t="n">
        <v>2</v>
      </c>
      <c r="AD1210" t="n">
        <v>1</v>
      </c>
      <c r="AE1210" t="n">
        <v>14</v>
      </c>
      <c r="AF1210" t="n">
        <v>0</v>
      </c>
      <c r="AG1210" t="n">
        <v>6</v>
      </c>
      <c r="AH1210" t="n">
        <v>1</v>
      </c>
      <c r="AI1210" t="n">
        <v>3</v>
      </c>
      <c r="AJ1210" t="n">
        <v>0</v>
      </c>
      <c r="AK1210" t="n">
        <v>10</v>
      </c>
      <c r="AL1210" t="n">
        <v>0</v>
      </c>
      <c r="AM1210" t="n">
        <v>1</v>
      </c>
      <c r="AN1210" t="n">
        <v>0</v>
      </c>
      <c r="AO1210" t="n">
        <v>0</v>
      </c>
      <c r="AP1210" t="inlineStr">
        <is>
          <t>No</t>
        </is>
      </c>
      <c r="AQ1210" t="inlineStr">
        <is>
          <t>Yes</t>
        </is>
      </c>
      <c r="AR1210">
        <f>HYPERLINK("http://catalog.hathitrust.org/Record/101938567","HathiTrust Record")</f>
        <v/>
      </c>
      <c r="AS1210">
        <f>HYPERLINK("https://creighton-primo.hosted.exlibrisgroup.com/primo-explore/search?tab=default_tab&amp;search_scope=EVERYTHING&amp;vid=01CRU&amp;lang=en_US&amp;offset=0&amp;query=any,contains,991001413519702656","Catalog Record")</f>
        <v/>
      </c>
      <c r="AT1210">
        <f>HYPERLINK("http://www.worldcat.org/oclc/18926333","WorldCat Record")</f>
        <v/>
      </c>
      <c r="AU1210" t="inlineStr">
        <is>
          <t>365608062:eng</t>
        </is>
      </c>
      <c r="AV1210" t="inlineStr">
        <is>
          <t>18926333</t>
        </is>
      </c>
      <c r="AW1210" t="inlineStr">
        <is>
          <t>991001413519702656</t>
        </is>
      </c>
      <c r="AX1210" t="inlineStr">
        <is>
          <t>991001413519702656</t>
        </is>
      </c>
      <c r="AY1210" t="inlineStr">
        <is>
          <t>2258625240002656</t>
        </is>
      </c>
      <c r="AZ1210" t="inlineStr">
        <is>
          <t>BOOK</t>
        </is>
      </c>
      <c r="BB1210" t="inlineStr">
        <is>
          <t>9780941650007</t>
        </is>
      </c>
      <c r="BC1210" t="inlineStr">
        <is>
          <t>32285001813475</t>
        </is>
      </c>
      <c r="BD1210" t="inlineStr">
        <is>
          <t>893791436</t>
        </is>
      </c>
    </row>
    <row r="1211">
      <c r="A1211" t="inlineStr">
        <is>
          <t>No</t>
        </is>
      </c>
      <c r="B1211" t="inlineStr">
        <is>
          <t>HQ1768 .A52 1983</t>
        </is>
      </c>
      <c r="C1211" t="inlineStr">
        <is>
          <t>0                      HQ 1768000A  52          1983</t>
        </is>
      </c>
      <c r="D1211" t="inlineStr">
        <is>
          <t>The unfinished liberation of Chinese women, 1949-1980 / Phyllis Andors.</t>
        </is>
      </c>
      <c r="F1211" t="inlineStr">
        <is>
          <t>No</t>
        </is>
      </c>
      <c r="G1211" t="inlineStr">
        <is>
          <t>1</t>
        </is>
      </c>
      <c r="H1211" t="inlineStr">
        <is>
          <t>No</t>
        </is>
      </c>
      <c r="I1211" t="inlineStr">
        <is>
          <t>No</t>
        </is>
      </c>
      <c r="J1211" t="inlineStr">
        <is>
          <t>0</t>
        </is>
      </c>
      <c r="K1211" t="inlineStr">
        <is>
          <t>Andors, Phyllis, 1942-</t>
        </is>
      </c>
      <c r="L1211" t="inlineStr">
        <is>
          <t>Bloomington : Indiana University Press ; Brighton, Sussex : Wheatsheaf Books, 1983.</t>
        </is>
      </c>
      <c r="M1211" t="inlineStr">
        <is>
          <t>1983</t>
        </is>
      </c>
      <c r="O1211" t="inlineStr">
        <is>
          <t>eng</t>
        </is>
      </c>
      <c r="P1211" t="inlineStr">
        <is>
          <t>inu</t>
        </is>
      </c>
      <c r="R1211" t="inlineStr">
        <is>
          <t xml:space="preserve">HQ </t>
        </is>
      </c>
      <c r="S1211" t="n">
        <v>4</v>
      </c>
      <c r="T1211" t="n">
        <v>4</v>
      </c>
      <c r="U1211" t="inlineStr">
        <is>
          <t>1998-09-23</t>
        </is>
      </c>
      <c r="V1211" t="inlineStr">
        <is>
          <t>1998-09-23</t>
        </is>
      </c>
      <c r="W1211" t="inlineStr">
        <is>
          <t>1993-11-11</t>
        </is>
      </c>
      <c r="X1211" t="inlineStr">
        <is>
          <t>1993-11-11</t>
        </is>
      </c>
      <c r="Y1211" t="n">
        <v>569</v>
      </c>
      <c r="Z1211" t="n">
        <v>441</v>
      </c>
      <c r="AA1211" t="n">
        <v>445</v>
      </c>
      <c r="AB1211" t="n">
        <v>3</v>
      </c>
      <c r="AC1211" t="n">
        <v>3</v>
      </c>
      <c r="AD1211" t="n">
        <v>19</v>
      </c>
      <c r="AE1211" t="n">
        <v>19</v>
      </c>
      <c r="AF1211" t="n">
        <v>6</v>
      </c>
      <c r="AG1211" t="n">
        <v>6</v>
      </c>
      <c r="AH1211" t="n">
        <v>6</v>
      </c>
      <c r="AI1211" t="n">
        <v>6</v>
      </c>
      <c r="AJ1211" t="n">
        <v>10</v>
      </c>
      <c r="AK1211" t="n">
        <v>10</v>
      </c>
      <c r="AL1211" t="n">
        <v>2</v>
      </c>
      <c r="AM1211" t="n">
        <v>2</v>
      </c>
      <c r="AN1211" t="n">
        <v>0</v>
      </c>
      <c r="AO1211" t="n">
        <v>0</v>
      </c>
      <c r="AP1211" t="inlineStr">
        <is>
          <t>No</t>
        </is>
      </c>
      <c r="AQ1211" t="inlineStr">
        <is>
          <t>Yes</t>
        </is>
      </c>
      <c r="AR1211">
        <f>HYPERLINK("http://catalog.hathitrust.org/Record/000195059","HathiTrust Record")</f>
        <v/>
      </c>
      <c r="AS1211">
        <f>HYPERLINK("https://creighton-primo.hosted.exlibrisgroup.com/primo-explore/search?tab=default_tab&amp;search_scope=EVERYTHING&amp;vid=01CRU&amp;lang=en_US&amp;offset=0&amp;query=any,contains,991000064639702656","Catalog Record")</f>
        <v/>
      </c>
      <c r="AT1211">
        <f>HYPERLINK("http://www.worldcat.org/oclc/8762782","WorldCat Record")</f>
        <v/>
      </c>
      <c r="AU1211" t="inlineStr">
        <is>
          <t>20917823:eng</t>
        </is>
      </c>
      <c r="AV1211" t="inlineStr">
        <is>
          <t>8762782</t>
        </is>
      </c>
      <c r="AW1211" t="inlineStr">
        <is>
          <t>991000064639702656</t>
        </is>
      </c>
      <c r="AX1211" t="inlineStr">
        <is>
          <t>991000064639702656</t>
        </is>
      </c>
      <c r="AY1211" t="inlineStr">
        <is>
          <t>2266887250002656</t>
        </is>
      </c>
      <c r="AZ1211" t="inlineStr">
        <is>
          <t>BOOK</t>
        </is>
      </c>
      <c r="BB1211" t="inlineStr">
        <is>
          <t>9780253360229</t>
        </is>
      </c>
      <c r="BC1211" t="inlineStr">
        <is>
          <t>32285001810901</t>
        </is>
      </c>
      <c r="BD1211" t="inlineStr">
        <is>
          <t>893884067</t>
        </is>
      </c>
    </row>
    <row r="1212">
      <c r="A1212" t="inlineStr">
        <is>
          <t>No</t>
        </is>
      </c>
      <c r="B1212" t="inlineStr">
        <is>
          <t>HQ1777 .W66 2004</t>
        </is>
      </c>
      <c r="C1212" t="inlineStr">
        <is>
          <t>0                      HQ 1777000W  66          2004</t>
        </is>
      </c>
      <c r="D1212" t="inlineStr">
        <is>
          <t>Women in the new Taiwan : gender roles and gender consciousness in a changing society / Catherine Farris, Anru Lee, Murray Rubinstein, editors.</t>
        </is>
      </c>
      <c r="F1212" t="inlineStr">
        <is>
          <t>No</t>
        </is>
      </c>
      <c r="G1212" t="inlineStr">
        <is>
          <t>1</t>
        </is>
      </c>
      <c r="H1212" t="inlineStr">
        <is>
          <t>No</t>
        </is>
      </c>
      <c r="I1212" t="inlineStr">
        <is>
          <t>No</t>
        </is>
      </c>
      <c r="J1212" t="inlineStr">
        <is>
          <t>0</t>
        </is>
      </c>
      <c r="L1212" t="inlineStr">
        <is>
          <t>Armonk, N.Y. : M.E. Sharpe, c2004.</t>
        </is>
      </c>
      <c r="M1212" t="inlineStr">
        <is>
          <t>2004</t>
        </is>
      </c>
      <c r="O1212" t="inlineStr">
        <is>
          <t>eng</t>
        </is>
      </c>
      <c r="P1212" t="inlineStr">
        <is>
          <t>nyu</t>
        </is>
      </c>
      <c r="Q1212" t="inlineStr">
        <is>
          <t>Taiwan in the modern world</t>
        </is>
      </c>
      <c r="R1212" t="inlineStr">
        <is>
          <t xml:space="preserve">HQ </t>
        </is>
      </c>
      <c r="S1212" t="n">
        <v>3</v>
      </c>
      <c r="T1212" t="n">
        <v>3</v>
      </c>
      <c r="U1212" t="inlineStr">
        <is>
          <t>2005-11-13</t>
        </is>
      </c>
      <c r="V1212" t="inlineStr">
        <is>
          <t>2005-11-13</t>
        </is>
      </c>
      <c r="W1212" t="inlineStr">
        <is>
          <t>2005-10-04</t>
        </is>
      </c>
      <c r="X1212" t="inlineStr">
        <is>
          <t>2005-10-04</t>
        </is>
      </c>
      <c r="Y1212" t="n">
        <v>293</v>
      </c>
      <c r="Z1212" t="n">
        <v>223</v>
      </c>
      <c r="AA1212" t="n">
        <v>244</v>
      </c>
      <c r="AB1212" t="n">
        <v>2</v>
      </c>
      <c r="AC1212" t="n">
        <v>2</v>
      </c>
      <c r="AD1212" t="n">
        <v>17</v>
      </c>
      <c r="AE1212" t="n">
        <v>17</v>
      </c>
      <c r="AF1212" t="n">
        <v>6</v>
      </c>
      <c r="AG1212" t="n">
        <v>6</v>
      </c>
      <c r="AH1212" t="n">
        <v>5</v>
      </c>
      <c r="AI1212" t="n">
        <v>5</v>
      </c>
      <c r="AJ1212" t="n">
        <v>11</v>
      </c>
      <c r="AK1212" t="n">
        <v>11</v>
      </c>
      <c r="AL1212" t="n">
        <v>1</v>
      </c>
      <c r="AM1212" t="n">
        <v>1</v>
      </c>
      <c r="AN1212" t="n">
        <v>0</v>
      </c>
      <c r="AO1212" t="n">
        <v>0</v>
      </c>
      <c r="AP1212" t="inlineStr">
        <is>
          <t>No</t>
        </is>
      </c>
      <c r="AQ1212" t="inlineStr">
        <is>
          <t>No</t>
        </is>
      </c>
      <c r="AS1212">
        <f>HYPERLINK("https://creighton-primo.hosted.exlibrisgroup.com/primo-explore/search?tab=default_tab&amp;search_scope=EVERYTHING&amp;vid=01CRU&amp;lang=en_US&amp;offset=0&amp;query=any,contains,991004644869702656","Catalog Record")</f>
        <v/>
      </c>
      <c r="AT1212">
        <f>HYPERLINK("http://www.worldcat.org/oclc/51553391","WorldCat Record")</f>
        <v/>
      </c>
      <c r="AU1212" t="inlineStr">
        <is>
          <t>763672198:eng</t>
        </is>
      </c>
      <c r="AV1212" t="inlineStr">
        <is>
          <t>51553391</t>
        </is>
      </c>
      <c r="AW1212" t="inlineStr">
        <is>
          <t>991004644869702656</t>
        </is>
      </c>
      <c r="AX1212" t="inlineStr">
        <is>
          <t>991004644869702656</t>
        </is>
      </c>
      <c r="AY1212" t="inlineStr">
        <is>
          <t>2263694040002656</t>
        </is>
      </c>
      <c r="AZ1212" t="inlineStr">
        <is>
          <t>BOOK</t>
        </is>
      </c>
      <c r="BB1212" t="inlineStr">
        <is>
          <t>9780765608147</t>
        </is>
      </c>
      <c r="BC1212" t="inlineStr">
        <is>
          <t>32285005086979</t>
        </is>
      </c>
      <c r="BD1212" t="inlineStr">
        <is>
          <t>893888997</t>
        </is>
      </c>
    </row>
    <row r="1213">
      <c r="A1213" t="inlineStr">
        <is>
          <t>No</t>
        </is>
      </c>
      <c r="B1213" t="inlineStr">
        <is>
          <t>HQ1784 .M4</t>
        </is>
      </c>
      <c r="C1213" t="inlineStr">
        <is>
          <t>0                      HQ 1784000M  4</t>
        </is>
      </c>
      <c r="D1213" t="inlineStr">
        <is>
          <t>The status of the Arab woman : a select bibliography / compiled by Samira Rafidi Meghdessian under the auspices of the Institute for Women's Studies in the Arab World, Beirut University College, Lebanon.</t>
        </is>
      </c>
      <c r="F1213" t="inlineStr">
        <is>
          <t>No</t>
        </is>
      </c>
      <c r="G1213" t="inlineStr">
        <is>
          <t>1</t>
        </is>
      </c>
      <c r="H1213" t="inlineStr">
        <is>
          <t>No</t>
        </is>
      </c>
      <c r="I1213" t="inlineStr">
        <is>
          <t>No</t>
        </is>
      </c>
      <c r="J1213" t="inlineStr">
        <is>
          <t>0</t>
        </is>
      </c>
      <c r="K1213" t="inlineStr">
        <is>
          <t>Meghdessian, Samira Rafidi.</t>
        </is>
      </c>
      <c r="L1213" t="inlineStr">
        <is>
          <t>Westport, Conn. : Greenwood Press, 1980.</t>
        </is>
      </c>
      <c r="M1213" t="inlineStr">
        <is>
          <t>1980</t>
        </is>
      </c>
      <c r="O1213" t="inlineStr">
        <is>
          <t>eng</t>
        </is>
      </c>
      <c r="P1213" t="inlineStr">
        <is>
          <t>ctu</t>
        </is>
      </c>
      <c r="R1213" t="inlineStr">
        <is>
          <t xml:space="preserve">HQ </t>
        </is>
      </c>
      <c r="S1213" t="n">
        <v>10</v>
      </c>
      <c r="T1213" t="n">
        <v>10</v>
      </c>
      <c r="U1213" t="inlineStr">
        <is>
          <t>2008-02-14</t>
        </is>
      </c>
      <c r="V1213" t="inlineStr">
        <is>
          <t>2008-02-14</t>
        </is>
      </c>
      <c r="W1213" t="inlineStr">
        <is>
          <t>1991-12-13</t>
        </is>
      </c>
      <c r="X1213" t="inlineStr">
        <is>
          <t>1991-12-13</t>
        </is>
      </c>
      <c r="Y1213" t="n">
        <v>289</v>
      </c>
      <c r="Z1213" t="n">
        <v>248</v>
      </c>
      <c r="AA1213" t="n">
        <v>275</v>
      </c>
      <c r="AB1213" t="n">
        <v>1</v>
      </c>
      <c r="AC1213" t="n">
        <v>2</v>
      </c>
      <c r="AD1213" t="n">
        <v>10</v>
      </c>
      <c r="AE1213" t="n">
        <v>11</v>
      </c>
      <c r="AF1213" t="n">
        <v>1</v>
      </c>
      <c r="AG1213" t="n">
        <v>1</v>
      </c>
      <c r="AH1213" t="n">
        <v>4</v>
      </c>
      <c r="AI1213" t="n">
        <v>4</v>
      </c>
      <c r="AJ1213" t="n">
        <v>6</v>
      </c>
      <c r="AK1213" t="n">
        <v>6</v>
      </c>
      <c r="AL1213" t="n">
        <v>0</v>
      </c>
      <c r="AM1213" t="n">
        <v>1</v>
      </c>
      <c r="AN1213" t="n">
        <v>1</v>
      </c>
      <c r="AO1213" t="n">
        <v>1</v>
      </c>
      <c r="AP1213" t="inlineStr">
        <is>
          <t>No</t>
        </is>
      </c>
      <c r="AQ1213" t="inlineStr">
        <is>
          <t>No</t>
        </is>
      </c>
      <c r="AS1213">
        <f>HYPERLINK("https://creighton-primo.hosted.exlibrisgroup.com/primo-explore/search?tab=default_tab&amp;search_scope=EVERYTHING&amp;vid=01CRU&amp;lang=en_US&amp;offset=0&amp;query=any,contains,991004956669702656","Catalog Record")</f>
        <v/>
      </c>
      <c r="AT1213">
        <f>HYPERLINK("http://www.worldcat.org/oclc/6280520","WorldCat Record")</f>
        <v/>
      </c>
      <c r="AU1213" t="inlineStr">
        <is>
          <t>446458:eng</t>
        </is>
      </c>
      <c r="AV1213" t="inlineStr">
        <is>
          <t>6280520</t>
        </is>
      </c>
      <c r="AW1213" t="inlineStr">
        <is>
          <t>991004956669702656</t>
        </is>
      </c>
      <c r="AX1213" t="inlineStr">
        <is>
          <t>991004956669702656</t>
        </is>
      </c>
      <c r="AY1213" t="inlineStr">
        <is>
          <t>2255941900002656</t>
        </is>
      </c>
      <c r="AZ1213" t="inlineStr">
        <is>
          <t>BOOK</t>
        </is>
      </c>
      <c r="BB1213" t="inlineStr">
        <is>
          <t>9780313225482</t>
        </is>
      </c>
      <c r="BC1213" t="inlineStr">
        <is>
          <t>32285000890839</t>
        </is>
      </c>
      <c r="BD1213" t="inlineStr">
        <is>
          <t>893325977</t>
        </is>
      </c>
    </row>
    <row r="1214">
      <c r="A1214" t="inlineStr">
        <is>
          <t>No</t>
        </is>
      </c>
      <c r="B1214" t="inlineStr">
        <is>
          <t>HQ1785 .W35 1981</t>
        </is>
      </c>
      <c r="C1214" t="inlineStr">
        <is>
          <t>0                      HQ 1785000W  35          1981</t>
        </is>
      </c>
      <c r="D1214" t="inlineStr">
        <is>
          <t>Woman in Islam / Wiebke Walther.</t>
        </is>
      </c>
      <c r="F1214" t="inlineStr">
        <is>
          <t>No</t>
        </is>
      </c>
      <c r="G1214" t="inlineStr">
        <is>
          <t>1</t>
        </is>
      </c>
      <c r="H1214" t="inlineStr">
        <is>
          <t>No</t>
        </is>
      </c>
      <c r="I1214" t="inlineStr">
        <is>
          <t>No</t>
        </is>
      </c>
      <c r="J1214" t="inlineStr">
        <is>
          <t>0</t>
        </is>
      </c>
      <c r="K1214" t="inlineStr">
        <is>
          <t>Walther, Wiebke.</t>
        </is>
      </c>
      <c r="L1214" t="inlineStr">
        <is>
          <t>Montclair, N.J. : A. Schram, 1981.</t>
        </is>
      </c>
      <c r="M1214" t="inlineStr">
        <is>
          <t>1981</t>
        </is>
      </c>
      <c r="O1214" t="inlineStr">
        <is>
          <t>eng</t>
        </is>
      </c>
      <c r="P1214" t="inlineStr">
        <is>
          <t>nju</t>
        </is>
      </c>
      <c r="R1214" t="inlineStr">
        <is>
          <t xml:space="preserve">HQ </t>
        </is>
      </c>
      <c r="S1214" t="n">
        <v>41</v>
      </c>
      <c r="T1214" t="n">
        <v>41</v>
      </c>
      <c r="U1214" t="inlineStr">
        <is>
          <t>2003-11-04</t>
        </is>
      </c>
      <c r="V1214" t="inlineStr">
        <is>
          <t>2003-11-04</t>
        </is>
      </c>
      <c r="W1214" t="inlineStr">
        <is>
          <t>1991-12-13</t>
        </is>
      </c>
      <c r="X1214" t="inlineStr">
        <is>
          <t>1991-12-13</t>
        </is>
      </c>
      <c r="Y1214" t="n">
        <v>526</v>
      </c>
      <c r="Z1214" t="n">
        <v>456</v>
      </c>
      <c r="AA1214" t="n">
        <v>463</v>
      </c>
      <c r="AB1214" t="n">
        <v>2</v>
      </c>
      <c r="AC1214" t="n">
        <v>2</v>
      </c>
      <c r="AD1214" t="n">
        <v>14</v>
      </c>
      <c r="AE1214" t="n">
        <v>14</v>
      </c>
      <c r="AF1214" t="n">
        <v>7</v>
      </c>
      <c r="AG1214" t="n">
        <v>7</v>
      </c>
      <c r="AH1214" t="n">
        <v>4</v>
      </c>
      <c r="AI1214" t="n">
        <v>4</v>
      </c>
      <c r="AJ1214" t="n">
        <v>7</v>
      </c>
      <c r="AK1214" t="n">
        <v>7</v>
      </c>
      <c r="AL1214" t="n">
        <v>1</v>
      </c>
      <c r="AM1214" t="n">
        <v>1</v>
      </c>
      <c r="AN1214" t="n">
        <v>0</v>
      </c>
      <c r="AO1214" t="n">
        <v>0</v>
      </c>
      <c r="AP1214" t="inlineStr">
        <is>
          <t>No</t>
        </is>
      </c>
      <c r="AQ1214" t="inlineStr">
        <is>
          <t>Yes</t>
        </is>
      </c>
      <c r="AR1214">
        <f>HYPERLINK("http://catalog.hathitrust.org/Record/000764949","HathiTrust Record")</f>
        <v/>
      </c>
      <c r="AS1214">
        <f>HYPERLINK("https://creighton-primo.hosted.exlibrisgroup.com/primo-explore/search?tab=default_tab&amp;search_scope=EVERYTHING&amp;vid=01CRU&amp;lang=en_US&amp;offset=0&amp;query=any,contains,991005221499702656","Catalog Record")</f>
        <v/>
      </c>
      <c r="AT1214">
        <f>HYPERLINK("http://www.worldcat.org/oclc/8225225","WorldCat Record")</f>
        <v/>
      </c>
      <c r="AU1214" t="inlineStr">
        <is>
          <t>4494968594:eng</t>
        </is>
      </c>
      <c r="AV1214" t="inlineStr">
        <is>
          <t>8225225</t>
        </is>
      </c>
      <c r="AW1214" t="inlineStr">
        <is>
          <t>991005221499702656</t>
        </is>
      </c>
      <c r="AX1214" t="inlineStr">
        <is>
          <t>991005221499702656</t>
        </is>
      </c>
      <c r="AY1214" t="inlineStr">
        <is>
          <t>2270697530002656</t>
        </is>
      </c>
      <c r="AZ1214" t="inlineStr">
        <is>
          <t>BOOK</t>
        </is>
      </c>
      <c r="BB1214" t="inlineStr">
        <is>
          <t>9780839002567</t>
        </is>
      </c>
      <c r="BC1214" t="inlineStr">
        <is>
          <t>32285000890847</t>
        </is>
      </c>
      <c r="BD1214" t="inlineStr">
        <is>
          <t>893242395</t>
        </is>
      </c>
    </row>
    <row r="1215">
      <c r="A1215" t="inlineStr">
        <is>
          <t>No</t>
        </is>
      </c>
      <c r="B1215" t="inlineStr">
        <is>
          <t>HQ1787 .O4 1982</t>
        </is>
      </c>
      <c r="C1215" t="inlineStr">
        <is>
          <t>0                      HQ 1787000O  4           1982</t>
        </is>
      </c>
      <c r="D1215" t="inlineStr">
        <is>
          <t>Western women in colonial Africa / Caroline Oliver.</t>
        </is>
      </c>
      <c r="F1215" t="inlineStr">
        <is>
          <t>No</t>
        </is>
      </c>
      <c r="G1215" t="inlineStr">
        <is>
          <t>1</t>
        </is>
      </c>
      <c r="H1215" t="inlineStr">
        <is>
          <t>No</t>
        </is>
      </c>
      <c r="I1215" t="inlineStr">
        <is>
          <t>No</t>
        </is>
      </c>
      <c r="J1215" t="inlineStr">
        <is>
          <t>0</t>
        </is>
      </c>
      <c r="K1215" t="inlineStr">
        <is>
          <t>Oliver, Caroline.</t>
        </is>
      </c>
      <c r="L1215" t="inlineStr">
        <is>
          <t>Westport, Conn. : Greenwood Press, 1982.</t>
        </is>
      </c>
      <c r="M1215" t="inlineStr">
        <is>
          <t>1982</t>
        </is>
      </c>
      <c r="O1215" t="inlineStr">
        <is>
          <t>eng</t>
        </is>
      </c>
      <c r="P1215" t="inlineStr">
        <is>
          <t>ctu</t>
        </is>
      </c>
      <c r="Q1215" t="inlineStr">
        <is>
          <t>Contributions in comparative colonial studies, 0163-3813 ; no. 12</t>
        </is>
      </c>
      <c r="R1215" t="inlineStr">
        <is>
          <t xml:space="preserve">HQ </t>
        </is>
      </c>
      <c r="S1215" t="n">
        <v>5</v>
      </c>
      <c r="T1215" t="n">
        <v>5</v>
      </c>
      <c r="U1215" t="inlineStr">
        <is>
          <t>2000-04-20</t>
        </is>
      </c>
      <c r="V1215" t="inlineStr">
        <is>
          <t>2000-04-20</t>
        </is>
      </c>
      <c r="W1215" t="inlineStr">
        <is>
          <t>1992-03-12</t>
        </is>
      </c>
      <c r="X1215" t="inlineStr">
        <is>
          <t>1992-03-12</t>
        </is>
      </c>
      <c r="Y1215" t="n">
        <v>343</v>
      </c>
      <c r="Z1215" t="n">
        <v>268</v>
      </c>
      <c r="AA1215" t="n">
        <v>275</v>
      </c>
      <c r="AB1215" t="n">
        <v>2</v>
      </c>
      <c r="AC1215" t="n">
        <v>2</v>
      </c>
      <c r="AD1215" t="n">
        <v>10</v>
      </c>
      <c r="AE1215" t="n">
        <v>10</v>
      </c>
      <c r="AF1215" t="n">
        <v>4</v>
      </c>
      <c r="AG1215" t="n">
        <v>4</v>
      </c>
      <c r="AH1215" t="n">
        <v>3</v>
      </c>
      <c r="AI1215" t="n">
        <v>3</v>
      </c>
      <c r="AJ1215" t="n">
        <v>7</v>
      </c>
      <c r="AK1215" t="n">
        <v>7</v>
      </c>
      <c r="AL1215" t="n">
        <v>1</v>
      </c>
      <c r="AM1215" t="n">
        <v>1</v>
      </c>
      <c r="AN1215" t="n">
        <v>0</v>
      </c>
      <c r="AO1215" t="n">
        <v>0</v>
      </c>
      <c r="AP1215" t="inlineStr">
        <is>
          <t>No</t>
        </is>
      </c>
      <c r="AQ1215" t="inlineStr">
        <is>
          <t>Yes</t>
        </is>
      </c>
      <c r="AR1215">
        <f>HYPERLINK("http://catalog.hathitrust.org/Record/007117572","HathiTrust Record")</f>
        <v/>
      </c>
      <c r="AS1215">
        <f>HYPERLINK("https://creighton-primo.hosted.exlibrisgroup.com/primo-explore/search?tab=default_tab&amp;search_scope=EVERYTHING&amp;vid=01CRU&amp;lang=en_US&amp;offset=0&amp;query=any,contains,991005207429702656","Catalog Record")</f>
        <v/>
      </c>
      <c r="AT1215">
        <f>HYPERLINK("http://www.worldcat.org/oclc/8132132","WorldCat Record")</f>
        <v/>
      </c>
      <c r="AU1215" t="inlineStr">
        <is>
          <t>446882:eng</t>
        </is>
      </c>
      <c r="AV1215" t="inlineStr">
        <is>
          <t>8132132</t>
        </is>
      </c>
      <c r="AW1215" t="inlineStr">
        <is>
          <t>991005207429702656</t>
        </is>
      </c>
      <c r="AX1215" t="inlineStr">
        <is>
          <t>991005207429702656</t>
        </is>
      </c>
      <c r="AY1215" t="inlineStr">
        <is>
          <t>2268033060002656</t>
        </is>
      </c>
      <c r="AZ1215" t="inlineStr">
        <is>
          <t>BOOK</t>
        </is>
      </c>
      <c r="BB1215" t="inlineStr">
        <is>
          <t>9780313233883</t>
        </is>
      </c>
      <c r="BC1215" t="inlineStr">
        <is>
          <t>32285000999176</t>
        </is>
      </c>
      <c r="BD1215" t="inlineStr">
        <is>
          <t>893613306</t>
        </is>
      </c>
    </row>
    <row r="1216">
      <c r="A1216" t="inlineStr">
        <is>
          <t>No</t>
        </is>
      </c>
      <c r="B1216" t="inlineStr">
        <is>
          <t>HQ1787 .P29 1988</t>
        </is>
      </c>
      <c r="C1216" t="inlineStr">
        <is>
          <t>0                      HQ 1787000P  29          1988</t>
        </is>
      </c>
      <c r="D1216" t="inlineStr">
        <is>
          <t>Patriarchy and class : African women in the home and the workforce / edited by Sharon B. Stichter and Jane L. Parpart.</t>
        </is>
      </c>
      <c r="F1216" t="inlineStr">
        <is>
          <t>No</t>
        </is>
      </c>
      <c r="G1216" t="inlineStr">
        <is>
          <t>1</t>
        </is>
      </c>
      <c r="H1216" t="inlineStr">
        <is>
          <t>No</t>
        </is>
      </c>
      <c r="I1216" t="inlineStr">
        <is>
          <t>No</t>
        </is>
      </c>
      <c r="J1216" t="inlineStr">
        <is>
          <t>0</t>
        </is>
      </c>
      <c r="L1216" t="inlineStr">
        <is>
          <t>Boulder : Westview Press, 1988.</t>
        </is>
      </c>
      <c r="M1216" t="inlineStr">
        <is>
          <t>1988</t>
        </is>
      </c>
      <c r="O1216" t="inlineStr">
        <is>
          <t>eng</t>
        </is>
      </c>
      <c r="P1216" t="inlineStr">
        <is>
          <t>cou</t>
        </is>
      </c>
      <c r="Q1216" t="inlineStr">
        <is>
          <t>African modernization and development series</t>
        </is>
      </c>
      <c r="R1216" t="inlineStr">
        <is>
          <t xml:space="preserve">HQ </t>
        </is>
      </c>
      <c r="S1216" t="n">
        <v>23</v>
      </c>
      <c r="T1216" t="n">
        <v>23</v>
      </c>
      <c r="U1216" t="inlineStr">
        <is>
          <t>2005-03-15</t>
        </is>
      </c>
      <c r="V1216" t="inlineStr">
        <is>
          <t>2005-03-15</t>
        </is>
      </c>
      <c r="W1216" t="inlineStr">
        <is>
          <t>1990-08-01</t>
        </is>
      </c>
      <c r="X1216" t="inlineStr">
        <is>
          <t>1990-08-01</t>
        </is>
      </c>
      <c r="Y1216" t="n">
        <v>469</v>
      </c>
      <c r="Z1216" t="n">
        <v>353</v>
      </c>
      <c r="AA1216" t="n">
        <v>379</v>
      </c>
      <c r="AB1216" t="n">
        <v>3</v>
      </c>
      <c r="AC1216" t="n">
        <v>3</v>
      </c>
      <c r="AD1216" t="n">
        <v>16</v>
      </c>
      <c r="AE1216" t="n">
        <v>16</v>
      </c>
      <c r="AF1216" t="n">
        <v>6</v>
      </c>
      <c r="AG1216" t="n">
        <v>6</v>
      </c>
      <c r="AH1216" t="n">
        <v>5</v>
      </c>
      <c r="AI1216" t="n">
        <v>5</v>
      </c>
      <c r="AJ1216" t="n">
        <v>9</v>
      </c>
      <c r="AK1216" t="n">
        <v>9</v>
      </c>
      <c r="AL1216" t="n">
        <v>2</v>
      </c>
      <c r="AM1216" t="n">
        <v>2</v>
      </c>
      <c r="AN1216" t="n">
        <v>0</v>
      </c>
      <c r="AO1216" t="n">
        <v>0</v>
      </c>
      <c r="AP1216" t="inlineStr">
        <is>
          <t>No</t>
        </is>
      </c>
      <c r="AQ1216" t="inlineStr">
        <is>
          <t>Yes</t>
        </is>
      </c>
      <c r="AR1216">
        <f>HYPERLINK("http://catalog.hathitrust.org/Record/000920496","HathiTrust Record")</f>
        <v/>
      </c>
      <c r="AS1216">
        <f>HYPERLINK("https://creighton-primo.hosted.exlibrisgroup.com/primo-explore/search?tab=default_tab&amp;search_scope=EVERYTHING&amp;vid=01CRU&amp;lang=en_US&amp;offset=0&amp;query=any,contains,991005409019702656","Catalog Record")</f>
        <v/>
      </c>
      <c r="AT1216">
        <f>HYPERLINK("http://www.worldcat.org/oclc/17551030","WorldCat Record")</f>
        <v/>
      </c>
      <c r="AU1216" t="inlineStr">
        <is>
          <t>836818068:eng</t>
        </is>
      </c>
      <c r="AV1216" t="inlineStr">
        <is>
          <t>17551030</t>
        </is>
      </c>
      <c r="AW1216" t="inlineStr">
        <is>
          <t>991005409019702656</t>
        </is>
      </c>
      <c r="AX1216" t="inlineStr">
        <is>
          <t>991005409019702656</t>
        </is>
      </c>
      <c r="AY1216" t="inlineStr">
        <is>
          <t>2260790500002656</t>
        </is>
      </c>
      <c r="AZ1216" t="inlineStr">
        <is>
          <t>BOOK</t>
        </is>
      </c>
      <c r="BB1216" t="inlineStr">
        <is>
          <t>9780813374161</t>
        </is>
      </c>
      <c r="BC1216" t="inlineStr">
        <is>
          <t>32285000241710</t>
        </is>
      </c>
      <c r="BD1216" t="inlineStr">
        <is>
          <t>893418899</t>
        </is>
      </c>
    </row>
    <row r="1217">
      <c r="A1217" t="inlineStr">
        <is>
          <t>No</t>
        </is>
      </c>
      <c r="B1217" t="inlineStr">
        <is>
          <t>HQ1788 .A57 1984</t>
        </is>
      </c>
      <c r="C1217" t="inlineStr">
        <is>
          <t>0                      HQ 1788000A  57          1984</t>
        </is>
      </c>
      <c r="D1217" t="inlineStr">
        <is>
          <t>African women south of the Sahara / edited by Margaret Jean Hay and Sharon Stichter.</t>
        </is>
      </c>
      <c r="F1217" t="inlineStr">
        <is>
          <t>No</t>
        </is>
      </c>
      <c r="G1217" t="inlineStr">
        <is>
          <t>1</t>
        </is>
      </c>
      <c r="H1217" t="inlineStr">
        <is>
          <t>No</t>
        </is>
      </c>
      <c r="I1217" t="inlineStr">
        <is>
          <t>No</t>
        </is>
      </c>
      <c r="J1217" t="inlineStr">
        <is>
          <t>0</t>
        </is>
      </c>
      <c r="L1217" t="inlineStr">
        <is>
          <t>London ; New York : Longman, 1984.</t>
        </is>
      </c>
      <c r="M1217" t="inlineStr">
        <is>
          <t>1984</t>
        </is>
      </c>
      <c r="O1217" t="inlineStr">
        <is>
          <t>eng</t>
        </is>
      </c>
      <c r="P1217" t="inlineStr">
        <is>
          <t>enk</t>
        </is>
      </c>
      <c r="R1217" t="inlineStr">
        <is>
          <t xml:space="preserve">HQ </t>
        </is>
      </c>
      <c r="S1217" t="n">
        <v>26</v>
      </c>
      <c r="T1217" t="n">
        <v>26</v>
      </c>
      <c r="U1217" t="inlineStr">
        <is>
          <t>2004-04-25</t>
        </is>
      </c>
      <c r="V1217" t="inlineStr">
        <is>
          <t>2004-04-25</t>
        </is>
      </c>
      <c r="W1217" t="inlineStr">
        <is>
          <t>1990-03-26</t>
        </is>
      </c>
      <c r="X1217" t="inlineStr">
        <is>
          <t>1990-03-26</t>
        </is>
      </c>
      <c r="Y1217" t="n">
        <v>614</v>
      </c>
      <c r="Z1217" t="n">
        <v>456</v>
      </c>
      <c r="AA1217" t="n">
        <v>557</v>
      </c>
      <c r="AB1217" t="n">
        <v>4</v>
      </c>
      <c r="AC1217" t="n">
        <v>4</v>
      </c>
      <c r="AD1217" t="n">
        <v>21</v>
      </c>
      <c r="AE1217" t="n">
        <v>25</v>
      </c>
      <c r="AF1217" t="n">
        <v>9</v>
      </c>
      <c r="AG1217" t="n">
        <v>11</v>
      </c>
      <c r="AH1217" t="n">
        <v>7</v>
      </c>
      <c r="AI1217" t="n">
        <v>8</v>
      </c>
      <c r="AJ1217" t="n">
        <v>9</v>
      </c>
      <c r="AK1217" t="n">
        <v>10</v>
      </c>
      <c r="AL1217" t="n">
        <v>3</v>
      </c>
      <c r="AM1217" t="n">
        <v>3</v>
      </c>
      <c r="AN1217" t="n">
        <v>0</v>
      </c>
      <c r="AO1217" t="n">
        <v>0</v>
      </c>
      <c r="AP1217" t="inlineStr">
        <is>
          <t>No</t>
        </is>
      </c>
      <c r="AQ1217" t="inlineStr">
        <is>
          <t>Yes</t>
        </is>
      </c>
      <c r="AR1217">
        <f>HYPERLINK("http://catalog.hathitrust.org/Record/000248850","HathiTrust Record")</f>
        <v/>
      </c>
      <c r="AS1217">
        <f>HYPERLINK("https://creighton-primo.hosted.exlibrisgroup.com/primo-explore/search?tab=default_tab&amp;search_scope=EVERYTHING&amp;vid=01CRU&amp;lang=en_US&amp;offset=0&amp;query=any,contains,991000192859702656","Catalog Record")</f>
        <v/>
      </c>
      <c r="AT1217">
        <f>HYPERLINK("http://www.worldcat.org/oclc/9413598","WorldCat Record")</f>
        <v/>
      </c>
      <c r="AU1217" t="inlineStr">
        <is>
          <t>341661867:eng</t>
        </is>
      </c>
      <c r="AV1217" t="inlineStr">
        <is>
          <t>9413598</t>
        </is>
      </c>
      <c r="AW1217" t="inlineStr">
        <is>
          <t>991000192859702656</t>
        </is>
      </c>
      <c r="AX1217" t="inlineStr">
        <is>
          <t>991000192859702656</t>
        </is>
      </c>
      <c r="AY1217" t="inlineStr">
        <is>
          <t>2264046670002656</t>
        </is>
      </c>
      <c r="AZ1217" t="inlineStr">
        <is>
          <t>BOOK</t>
        </is>
      </c>
      <c r="BB1217" t="inlineStr">
        <is>
          <t>9780582643734</t>
        </is>
      </c>
      <c r="BC1217" t="inlineStr">
        <is>
          <t>32285000096734</t>
        </is>
      </c>
      <c r="BD1217" t="inlineStr">
        <is>
          <t>893496026</t>
        </is>
      </c>
    </row>
    <row r="1218">
      <c r="A1218" t="inlineStr">
        <is>
          <t>No</t>
        </is>
      </c>
      <c r="B1218" t="inlineStr">
        <is>
          <t>HQ1788 .W57 1986</t>
        </is>
      </c>
      <c r="C1218" t="inlineStr">
        <is>
          <t>0                      HQ 1788000W  57          1986</t>
        </is>
      </c>
      <c r="D1218" t="inlineStr">
        <is>
          <t>Women and class in Africa / edited by Claire Robertson and Iris Berger.</t>
        </is>
      </c>
      <c r="F1218" t="inlineStr">
        <is>
          <t>No</t>
        </is>
      </c>
      <c r="G1218" t="inlineStr">
        <is>
          <t>1</t>
        </is>
      </c>
      <c r="H1218" t="inlineStr">
        <is>
          <t>No</t>
        </is>
      </c>
      <c r="I1218" t="inlineStr">
        <is>
          <t>No</t>
        </is>
      </c>
      <c r="J1218" t="inlineStr">
        <is>
          <t>0</t>
        </is>
      </c>
      <c r="L1218" t="inlineStr">
        <is>
          <t>New York : Africana Pub. Co., 1986.</t>
        </is>
      </c>
      <c r="M1218" t="inlineStr">
        <is>
          <t>1986</t>
        </is>
      </c>
      <c r="O1218" t="inlineStr">
        <is>
          <t>eng</t>
        </is>
      </c>
      <c r="P1218" t="inlineStr">
        <is>
          <t>nyu</t>
        </is>
      </c>
      <c r="R1218" t="inlineStr">
        <is>
          <t xml:space="preserve">HQ </t>
        </is>
      </c>
      <c r="S1218" t="n">
        <v>24</v>
      </c>
      <c r="T1218" t="n">
        <v>24</v>
      </c>
      <c r="U1218" t="inlineStr">
        <is>
          <t>2003-12-03</t>
        </is>
      </c>
      <c r="V1218" t="inlineStr">
        <is>
          <t>2003-12-03</t>
        </is>
      </c>
      <c r="W1218" t="inlineStr">
        <is>
          <t>1992-05-05</t>
        </is>
      </c>
      <c r="X1218" t="inlineStr">
        <is>
          <t>1992-05-05</t>
        </is>
      </c>
      <c r="Y1218" t="n">
        <v>567</v>
      </c>
      <c r="Z1218" t="n">
        <v>446</v>
      </c>
      <c r="AA1218" t="n">
        <v>595</v>
      </c>
      <c r="AB1218" t="n">
        <v>3</v>
      </c>
      <c r="AC1218" t="n">
        <v>4</v>
      </c>
      <c r="AD1218" t="n">
        <v>20</v>
      </c>
      <c r="AE1218" t="n">
        <v>27</v>
      </c>
      <c r="AF1218" t="n">
        <v>9</v>
      </c>
      <c r="AG1218" t="n">
        <v>11</v>
      </c>
      <c r="AH1218" t="n">
        <v>7</v>
      </c>
      <c r="AI1218" t="n">
        <v>8</v>
      </c>
      <c r="AJ1218" t="n">
        <v>8</v>
      </c>
      <c r="AK1218" t="n">
        <v>12</v>
      </c>
      <c r="AL1218" t="n">
        <v>2</v>
      </c>
      <c r="AM1218" t="n">
        <v>3</v>
      </c>
      <c r="AN1218" t="n">
        <v>0</v>
      </c>
      <c r="AO1218" t="n">
        <v>0</v>
      </c>
      <c r="AP1218" t="inlineStr">
        <is>
          <t>No</t>
        </is>
      </c>
      <c r="AQ1218" t="inlineStr">
        <is>
          <t>Yes</t>
        </is>
      </c>
      <c r="AR1218">
        <f>HYPERLINK("http://catalog.hathitrust.org/Record/000388718","HathiTrust Record")</f>
        <v/>
      </c>
      <c r="AS1218">
        <f>HYPERLINK("https://creighton-primo.hosted.exlibrisgroup.com/primo-explore/search?tab=default_tab&amp;search_scope=EVERYTHING&amp;vid=01CRU&amp;lang=en_US&amp;offset=0&amp;query=any,contains,991000686799702656","Catalog Record")</f>
        <v/>
      </c>
      <c r="AT1218">
        <f>HYPERLINK("http://www.worldcat.org/oclc/12421298","WorldCat Record")</f>
        <v/>
      </c>
      <c r="AU1218" t="inlineStr">
        <is>
          <t>1117898101:eng</t>
        </is>
      </c>
      <c r="AV1218" t="inlineStr">
        <is>
          <t>12421298</t>
        </is>
      </c>
      <c r="AW1218" t="inlineStr">
        <is>
          <t>991000686799702656</t>
        </is>
      </c>
      <c r="AX1218" t="inlineStr">
        <is>
          <t>991000686799702656</t>
        </is>
      </c>
      <c r="AY1218" t="inlineStr">
        <is>
          <t>2254708270002656</t>
        </is>
      </c>
      <c r="AZ1218" t="inlineStr">
        <is>
          <t>BOOK</t>
        </is>
      </c>
      <c r="BB1218" t="inlineStr">
        <is>
          <t>9780841909793</t>
        </is>
      </c>
      <c r="BC1218" t="inlineStr">
        <is>
          <t>32285001093920</t>
        </is>
      </c>
      <c r="BD1218" t="inlineStr">
        <is>
          <t>893601978</t>
        </is>
      </c>
    </row>
    <row r="1219">
      <c r="A1219" t="inlineStr">
        <is>
          <t>No</t>
        </is>
      </c>
      <c r="B1219" t="inlineStr">
        <is>
          <t>HQ1793 .A67 1987</t>
        </is>
      </c>
      <c r="C1219" t="inlineStr">
        <is>
          <t>0                      HQ 1793000A  67          1987</t>
        </is>
      </c>
      <c r="D1219" t="inlineStr">
        <is>
          <t>Egyptian women in a changing society, 1899-1987 / Soha Abdel Kader.</t>
        </is>
      </c>
      <c r="F1219" t="inlineStr">
        <is>
          <t>No</t>
        </is>
      </c>
      <c r="G1219" t="inlineStr">
        <is>
          <t>1</t>
        </is>
      </c>
      <c r="H1219" t="inlineStr">
        <is>
          <t>No</t>
        </is>
      </c>
      <c r="I1219" t="inlineStr">
        <is>
          <t>No</t>
        </is>
      </c>
      <c r="J1219" t="inlineStr">
        <is>
          <t>0</t>
        </is>
      </c>
      <c r="K1219" t="inlineStr">
        <is>
          <t>Abdel Kader, Soha.</t>
        </is>
      </c>
      <c r="L1219" t="inlineStr">
        <is>
          <t>Boulder : Lynne Rienner Publishers, 1987.</t>
        </is>
      </c>
      <c r="M1219" t="inlineStr">
        <is>
          <t>1987</t>
        </is>
      </c>
      <c r="O1219" t="inlineStr">
        <is>
          <t>eng</t>
        </is>
      </c>
      <c r="P1219" t="inlineStr">
        <is>
          <t>cou</t>
        </is>
      </c>
      <c r="R1219" t="inlineStr">
        <is>
          <t xml:space="preserve">HQ </t>
        </is>
      </c>
      <c r="S1219" t="n">
        <v>20</v>
      </c>
      <c r="T1219" t="n">
        <v>20</v>
      </c>
      <c r="U1219" t="inlineStr">
        <is>
          <t>2006-04-19</t>
        </is>
      </c>
      <c r="V1219" t="inlineStr">
        <is>
          <t>2006-04-19</t>
        </is>
      </c>
      <c r="W1219" t="inlineStr">
        <is>
          <t>1992-04-06</t>
        </is>
      </c>
      <c r="X1219" t="inlineStr">
        <is>
          <t>1992-04-06</t>
        </is>
      </c>
      <c r="Y1219" t="n">
        <v>503</v>
      </c>
      <c r="Z1219" t="n">
        <v>433</v>
      </c>
      <c r="AA1219" t="n">
        <v>438</v>
      </c>
      <c r="AB1219" t="n">
        <v>4</v>
      </c>
      <c r="AC1219" t="n">
        <v>4</v>
      </c>
      <c r="AD1219" t="n">
        <v>17</v>
      </c>
      <c r="AE1219" t="n">
        <v>17</v>
      </c>
      <c r="AF1219" t="n">
        <v>4</v>
      </c>
      <c r="AG1219" t="n">
        <v>4</v>
      </c>
      <c r="AH1219" t="n">
        <v>3</v>
      </c>
      <c r="AI1219" t="n">
        <v>3</v>
      </c>
      <c r="AJ1219" t="n">
        <v>9</v>
      </c>
      <c r="AK1219" t="n">
        <v>9</v>
      </c>
      <c r="AL1219" t="n">
        <v>3</v>
      </c>
      <c r="AM1219" t="n">
        <v>3</v>
      </c>
      <c r="AN1219" t="n">
        <v>0</v>
      </c>
      <c r="AO1219" t="n">
        <v>0</v>
      </c>
      <c r="AP1219" t="inlineStr">
        <is>
          <t>No</t>
        </is>
      </c>
      <c r="AQ1219" t="inlineStr">
        <is>
          <t>No</t>
        </is>
      </c>
      <c r="AS1219">
        <f>HYPERLINK("https://creighton-primo.hosted.exlibrisgroup.com/primo-explore/search?tab=default_tab&amp;search_scope=EVERYTHING&amp;vid=01CRU&amp;lang=en_US&amp;offset=0&amp;query=any,contains,991001065829702656","Catalog Record")</f>
        <v/>
      </c>
      <c r="AT1219">
        <f>HYPERLINK("http://www.worldcat.org/oclc/15793356","WorldCat Record")</f>
        <v/>
      </c>
      <c r="AU1219" t="inlineStr">
        <is>
          <t>11617519:eng</t>
        </is>
      </c>
      <c r="AV1219" t="inlineStr">
        <is>
          <t>15793356</t>
        </is>
      </c>
      <c r="AW1219" t="inlineStr">
        <is>
          <t>991001065829702656</t>
        </is>
      </c>
      <c r="AX1219" t="inlineStr">
        <is>
          <t>991001065829702656</t>
        </is>
      </c>
      <c r="AY1219" t="inlineStr">
        <is>
          <t>2261171600002656</t>
        </is>
      </c>
      <c r="AZ1219" t="inlineStr">
        <is>
          <t>BOOK</t>
        </is>
      </c>
      <c r="BB1219" t="inlineStr">
        <is>
          <t>9780931477478</t>
        </is>
      </c>
      <c r="BC1219" t="inlineStr">
        <is>
          <t>32285001049435</t>
        </is>
      </c>
      <c r="BD1219" t="inlineStr">
        <is>
          <t>893885008</t>
        </is>
      </c>
    </row>
    <row r="1220">
      <c r="A1220" t="inlineStr">
        <is>
          <t>No</t>
        </is>
      </c>
      <c r="B1220" t="inlineStr">
        <is>
          <t>HQ1793 .A87 1982</t>
        </is>
      </c>
      <c r="C1220" t="inlineStr">
        <is>
          <t>0                      HQ 1793000A  87          1982</t>
        </is>
      </c>
      <c r="D1220" t="inlineStr">
        <is>
          <t>Khul-khaal, five Egyptian women tell their stories / Nayra Atiya.</t>
        </is>
      </c>
      <c r="F1220" t="inlineStr">
        <is>
          <t>No</t>
        </is>
      </c>
      <c r="G1220" t="inlineStr">
        <is>
          <t>1</t>
        </is>
      </c>
      <c r="H1220" t="inlineStr">
        <is>
          <t>No</t>
        </is>
      </c>
      <c r="I1220" t="inlineStr">
        <is>
          <t>No</t>
        </is>
      </c>
      <c r="J1220" t="inlineStr">
        <is>
          <t>0</t>
        </is>
      </c>
      <c r="K1220" t="inlineStr">
        <is>
          <t>Atiya, Nayra.</t>
        </is>
      </c>
      <c r="L1220" t="inlineStr">
        <is>
          <t>Syracuse, N.Y. : Syracuse University Press, 1982.</t>
        </is>
      </c>
      <c r="M1220" t="inlineStr">
        <is>
          <t>1982</t>
        </is>
      </c>
      <c r="N1220" t="inlineStr">
        <is>
          <t>1st ed.</t>
        </is>
      </c>
      <c r="O1220" t="inlineStr">
        <is>
          <t>eng</t>
        </is>
      </c>
      <c r="P1220" t="inlineStr">
        <is>
          <t>nyu</t>
        </is>
      </c>
      <c r="Q1220" t="inlineStr">
        <is>
          <t>Contemporary issues in the Middle East</t>
        </is>
      </c>
      <c r="R1220" t="inlineStr">
        <is>
          <t xml:space="preserve">HQ </t>
        </is>
      </c>
      <c r="S1220" t="n">
        <v>4</v>
      </c>
      <c r="T1220" t="n">
        <v>4</v>
      </c>
      <c r="U1220" t="inlineStr">
        <is>
          <t>2008-11-04</t>
        </is>
      </c>
      <c r="V1220" t="inlineStr">
        <is>
          <t>2008-11-04</t>
        </is>
      </c>
      <c r="W1220" t="inlineStr">
        <is>
          <t>1991-12-13</t>
        </is>
      </c>
      <c r="X1220" t="inlineStr">
        <is>
          <t>1991-12-13</t>
        </is>
      </c>
      <c r="Y1220" t="n">
        <v>591</v>
      </c>
      <c r="Z1220" t="n">
        <v>496</v>
      </c>
      <c r="AA1220" t="n">
        <v>541</v>
      </c>
      <c r="AB1220" t="n">
        <v>2</v>
      </c>
      <c r="AC1220" t="n">
        <v>3</v>
      </c>
      <c r="AD1220" t="n">
        <v>18</v>
      </c>
      <c r="AE1220" t="n">
        <v>21</v>
      </c>
      <c r="AF1220" t="n">
        <v>6</v>
      </c>
      <c r="AG1220" t="n">
        <v>7</v>
      </c>
      <c r="AH1220" t="n">
        <v>3</v>
      </c>
      <c r="AI1220" t="n">
        <v>4</v>
      </c>
      <c r="AJ1220" t="n">
        <v>12</v>
      </c>
      <c r="AK1220" t="n">
        <v>12</v>
      </c>
      <c r="AL1220" t="n">
        <v>1</v>
      </c>
      <c r="AM1220" t="n">
        <v>2</v>
      </c>
      <c r="AN1220" t="n">
        <v>0</v>
      </c>
      <c r="AO1220" t="n">
        <v>0</v>
      </c>
      <c r="AP1220" t="inlineStr">
        <is>
          <t>No</t>
        </is>
      </c>
      <c r="AQ1220" t="inlineStr">
        <is>
          <t>Yes</t>
        </is>
      </c>
      <c r="AR1220">
        <f>HYPERLINK("http://catalog.hathitrust.org/Record/000270515","HathiTrust Record")</f>
        <v/>
      </c>
      <c r="AS1220">
        <f>HYPERLINK("https://creighton-primo.hosted.exlibrisgroup.com/primo-explore/search?tab=default_tab&amp;search_scope=EVERYTHING&amp;vid=01CRU&amp;lang=en_US&amp;offset=0&amp;query=any,contains,991005242609702656","Catalog Record")</f>
        <v/>
      </c>
      <c r="AT1220">
        <f>HYPERLINK("http://www.worldcat.org/oclc/8430970","WorldCat Record")</f>
        <v/>
      </c>
      <c r="AU1220" t="inlineStr">
        <is>
          <t>477607:eng</t>
        </is>
      </c>
      <c r="AV1220" t="inlineStr">
        <is>
          <t>8430970</t>
        </is>
      </c>
      <c r="AW1220" t="inlineStr">
        <is>
          <t>991005242609702656</t>
        </is>
      </c>
      <c r="AX1220" t="inlineStr">
        <is>
          <t>991005242609702656</t>
        </is>
      </c>
      <c r="AY1220" t="inlineStr">
        <is>
          <t>2261274450002656</t>
        </is>
      </c>
      <c r="AZ1220" t="inlineStr">
        <is>
          <t>BOOK</t>
        </is>
      </c>
      <c r="BB1220" t="inlineStr">
        <is>
          <t>9780815601777</t>
        </is>
      </c>
      <c r="BC1220" t="inlineStr">
        <is>
          <t>32285000890854</t>
        </is>
      </c>
      <c r="BD1220" t="inlineStr">
        <is>
          <t>893350971</t>
        </is>
      </c>
    </row>
    <row r="1221">
      <c r="A1221" t="inlineStr">
        <is>
          <t>No</t>
        </is>
      </c>
      <c r="B1221" t="inlineStr">
        <is>
          <t>HQ1793 .L47</t>
        </is>
      </c>
      <c r="C1221" t="inlineStr">
        <is>
          <t>0                      HQ 1793000L  47</t>
        </is>
      </c>
      <c r="D1221" t="inlineStr">
        <is>
          <t>The remarkable women of ancient Egypt / by Barbara S. Lesko.</t>
        </is>
      </c>
      <c r="F1221" t="inlineStr">
        <is>
          <t>No</t>
        </is>
      </c>
      <c r="G1221" t="inlineStr">
        <is>
          <t>1</t>
        </is>
      </c>
      <c r="H1221" t="inlineStr">
        <is>
          <t>No</t>
        </is>
      </c>
      <c r="I1221" t="inlineStr">
        <is>
          <t>No</t>
        </is>
      </c>
      <c r="J1221" t="inlineStr">
        <is>
          <t>0</t>
        </is>
      </c>
      <c r="K1221" t="inlineStr">
        <is>
          <t>Lesko, Barbara S.</t>
        </is>
      </c>
      <c r="L1221" t="inlineStr">
        <is>
          <t>Berkeley, Calif. : B.C. Scribe Publications, c1978.</t>
        </is>
      </c>
      <c r="M1221" t="inlineStr">
        <is>
          <t>1978</t>
        </is>
      </c>
      <c r="O1221" t="inlineStr">
        <is>
          <t>eng</t>
        </is>
      </c>
      <c r="P1221" t="inlineStr">
        <is>
          <t>cau</t>
        </is>
      </c>
      <c r="R1221" t="inlineStr">
        <is>
          <t xml:space="preserve">HQ </t>
        </is>
      </c>
      <c r="S1221" t="n">
        <v>8</v>
      </c>
      <c r="T1221" t="n">
        <v>8</v>
      </c>
      <c r="U1221" t="inlineStr">
        <is>
          <t>2009-11-22</t>
        </is>
      </c>
      <c r="V1221" t="inlineStr">
        <is>
          <t>2009-11-22</t>
        </is>
      </c>
      <c r="W1221" t="inlineStr">
        <is>
          <t>1991-12-10</t>
        </is>
      </c>
      <c r="X1221" t="inlineStr">
        <is>
          <t>1991-12-10</t>
        </is>
      </c>
      <c r="Y1221" t="n">
        <v>87</v>
      </c>
      <c r="Z1221" t="n">
        <v>67</v>
      </c>
      <c r="AA1221" t="n">
        <v>131</v>
      </c>
      <c r="AB1221" t="n">
        <v>2</v>
      </c>
      <c r="AC1221" t="n">
        <v>2</v>
      </c>
      <c r="AD1221" t="n">
        <v>3</v>
      </c>
      <c r="AE1221" t="n">
        <v>6</v>
      </c>
      <c r="AF1221" t="n">
        <v>2</v>
      </c>
      <c r="AG1221" t="n">
        <v>4</v>
      </c>
      <c r="AH1221" t="n">
        <v>0</v>
      </c>
      <c r="AI1221" t="n">
        <v>0</v>
      </c>
      <c r="AJ1221" t="n">
        <v>0</v>
      </c>
      <c r="AK1221" t="n">
        <v>1</v>
      </c>
      <c r="AL1221" t="n">
        <v>1</v>
      </c>
      <c r="AM1221" t="n">
        <v>1</v>
      </c>
      <c r="AN1221" t="n">
        <v>0</v>
      </c>
      <c r="AO1221" t="n">
        <v>0</v>
      </c>
      <c r="AP1221" t="inlineStr">
        <is>
          <t>No</t>
        </is>
      </c>
      <c r="AQ1221" t="inlineStr">
        <is>
          <t>Yes</t>
        </is>
      </c>
      <c r="AR1221">
        <f>HYPERLINK("http://catalog.hathitrust.org/Record/101982732","HathiTrust Record")</f>
        <v/>
      </c>
      <c r="AS1221">
        <f>HYPERLINK("https://creighton-primo.hosted.exlibrisgroup.com/primo-explore/search?tab=default_tab&amp;search_scope=EVERYTHING&amp;vid=01CRU&amp;lang=en_US&amp;offset=0&amp;query=any,contains,991004603169702656","Catalog Record")</f>
        <v/>
      </c>
      <c r="AT1221">
        <f>HYPERLINK("http://www.worldcat.org/oclc/4184537","WorldCat Record")</f>
        <v/>
      </c>
      <c r="AU1221" t="inlineStr">
        <is>
          <t>14581178:eng</t>
        </is>
      </c>
      <c r="AV1221" t="inlineStr">
        <is>
          <t>4184537</t>
        </is>
      </c>
      <c r="AW1221" t="inlineStr">
        <is>
          <t>991004603169702656</t>
        </is>
      </c>
      <c r="AX1221" t="inlineStr">
        <is>
          <t>991004603169702656</t>
        </is>
      </c>
      <c r="AY1221" t="inlineStr">
        <is>
          <t>2268399650002656</t>
        </is>
      </c>
      <c r="AZ1221" t="inlineStr">
        <is>
          <t>BOOK</t>
        </is>
      </c>
      <c r="BB1221" t="inlineStr">
        <is>
          <t>9780930548018</t>
        </is>
      </c>
      <c r="BC1221" t="inlineStr">
        <is>
          <t>32285000886209</t>
        </is>
      </c>
      <c r="BD1221" t="inlineStr">
        <is>
          <t>893801132</t>
        </is>
      </c>
    </row>
    <row r="1222">
      <c r="A1222" t="inlineStr">
        <is>
          <t>No</t>
        </is>
      </c>
      <c r="B1222" t="inlineStr">
        <is>
          <t>HQ1793 .T83 1985</t>
        </is>
      </c>
      <c r="C1222" t="inlineStr">
        <is>
          <t>0                      HQ 1793000T  83          1985</t>
        </is>
      </c>
      <c r="D1222" t="inlineStr">
        <is>
          <t>Women in nineteenth-century Egypt / Judith E. Tucker.</t>
        </is>
      </c>
      <c r="F1222" t="inlineStr">
        <is>
          <t>No</t>
        </is>
      </c>
      <c r="G1222" t="inlineStr">
        <is>
          <t>1</t>
        </is>
      </c>
      <c r="H1222" t="inlineStr">
        <is>
          <t>No</t>
        </is>
      </c>
      <c r="I1222" t="inlineStr">
        <is>
          <t>No</t>
        </is>
      </c>
      <c r="J1222" t="inlineStr">
        <is>
          <t>0</t>
        </is>
      </c>
      <c r="K1222" t="inlineStr">
        <is>
          <t>Tucker, Judith E.</t>
        </is>
      </c>
      <c r="L1222" t="inlineStr">
        <is>
          <t>Cambridge [Cambridgeshire] ; New York : Cambridge University Press, 1985.</t>
        </is>
      </c>
      <c r="M1222" t="inlineStr">
        <is>
          <t>1985</t>
        </is>
      </c>
      <c r="O1222" t="inlineStr">
        <is>
          <t>eng</t>
        </is>
      </c>
      <c r="P1222" t="inlineStr">
        <is>
          <t>enk</t>
        </is>
      </c>
      <c r="Q1222" t="inlineStr">
        <is>
          <t>Cambridge Middle East library</t>
        </is>
      </c>
      <c r="R1222" t="inlineStr">
        <is>
          <t xml:space="preserve">HQ </t>
        </is>
      </c>
      <c r="S1222" t="n">
        <v>4</v>
      </c>
      <c r="T1222" t="n">
        <v>4</v>
      </c>
      <c r="U1222" t="inlineStr">
        <is>
          <t>1996-04-14</t>
        </is>
      </c>
      <c r="V1222" t="inlineStr">
        <is>
          <t>1996-04-14</t>
        </is>
      </c>
      <c r="W1222" t="inlineStr">
        <is>
          <t>1991-12-13</t>
        </is>
      </c>
      <c r="X1222" t="inlineStr">
        <is>
          <t>1991-12-13</t>
        </is>
      </c>
      <c r="Y1222" t="n">
        <v>420</v>
      </c>
      <c r="Z1222" t="n">
        <v>308</v>
      </c>
      <c r="AA1222" t="n">
        <v>499</v>
      </c>
      <c r="AB1222" t="n">
        <v>3</v>
      </c>
      <c r="AC1222" t="n">
        <v>5</v>
      </c>
      <c r="AD1222" t="n">
        <v>17</v>
      </c>
      <c r="AE1222" t="n">
        <v>31</v>
      </c>
      <c r="AF1222" t="n">
        <v>3</v>
      </c>
      <c r="AG1222" t="n">
        <v>9</v>
      </c>
      <c r="AH1222" t="n">
        <v>4</v>
      </c>
      <c r="AI1222" t="n">
        <v>9</v>
      </c>
      <c r="AJ1222" t="n">
        <v>11</v>
      </c>
      <c r="AK1222" t="n">
        <v>16</v>
      </c>
      <c r="AL1222" t="n">
        <v>2</v>
      </c>
      <c r="AM1222" t="n">
        <v>4</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HYPERLINK("https://creighton-primo.hosted.exlibrisgroup.com/primo-explore/search?tab=default_tab&amp;search_scope=EVERYTHING&amp;vid=01CRU&amp;lang=en_US&amp;offset=0&amp;query=any,contains,991000595959702656","Catalog Record")</f>
        <v/>
      </c>
      <c r="AT1222">
        <f>HYPERLINK("http://www.worldcat.org/oclc/11812846","WorldCat Record")</f>
        <v/>
      </c>
      <c r="AU1222" t="inlineStr">
        <is>
          <t>1024869:eng</t>
        </is>
      </c>
      <c r="AV1222" t="inlineStr">
        <is>
          <t>11812846</t>
        </is>
      </c>
      <c r="AW1222" t="inlineStr">
        <is>
          <t>991000595959702656</t>
        </is>
      </c>
      <c r="AX1222" t="inlineStr">
        <is>
          <t>991000595959702656</t>
        </is>
      </c>
      <c r="AY1222" t="inlineStr">
        <is>
          <t>2260403360002656</t>
        </is>
      </c>
      <c r="AZ1222" t="inlineStr">
        <is>
          <t>BOOK</t>
        </is>
      </c>
      <c r="BB1222" t="inlineStr">
        <is>
          <t>9780521314206</t>
        </is>
      </c>
      <c r="BC1222" t="inlineStr">
        <is>
          <t>32285000890862</t>
        </is>
      </c>
      <c r="BD1222" t="inlineStr">
        <is>
          <t>893496375</t>
        </is>
      </c>
    </row>
    <row r="1223">
      <c r="A1223" t="inlineStr">
        <is>
          <t>No</t>
        </is>
      </c>
      <c r="B1223" t="inlineStr">
        <is>
          <t>HQ1793.Z75 A55 1999</t>
        </is>
      </c>
      <c r="C1223" t="inlineStr">
        <is>
          <t>0                      HQ 1793000Z  75                 A  55          1999</t>
        </is>
      </c>
      <c r="D1223" t="inlineStr">
        <is>
          <t>A border passage : from Cairo to America--a woman's journey / Leila Ahmed.</t>
        </is>
      </c>
      <c r="F1223" t="inlineStr">
        <is>
          <t>No</t>
        </is>
      </c>
      <c r="G1223" t="inlineStr">
        <is>
          <t>1</t>
        </is>
      </c>
      <c r="H1223" t="inlineStr">
        <is>
          <t>No</t>
        </is>
      </c>
      <c r="I1223" t="inlineStr">
        <is>
          <t>No</t>
        </is>
      </c>
      <c r="J1223" t="inlineStr">
        <is>
          <t>0</t>
        </is>
      </c>
      <c r="K1223" t="inlineStr">
        <is>
          <t>Ahmed, Leila.</t>
        </is>
      </c>
      <c r="L1223" t="inlineStr">
        <is>
          <t>New York : Farrar, Straus and Giroux, 1999.</t>
        </is>
      </c>
      <c r="M1223" t="inlineStr">
        <is>
          <t>1999</t>
        </is>
      </c>
      <c r="N1223" t="inlineStr">
        <is>
          <t>1st ed.</t>
        </is>
      </c>
      <c r="O1223" t="inlineStr">
        <is>
          <t>eng</t>
        </is>
      </c>
      <c r="P1223" t="inlineStr">
        <is>
          <t>nyu</t>
        </is>
      </c>
      <c r="R1223" t="inlineStr">
        <is>
          <t xml:space="preserve">HQ </t>
        </is>
      </c>
      <c r="S1223" t="n">
        <v>15</v>
      </c>
      <c r="T1223" t="n">
        <v>15</v>
      </c>
      <c r="U1223" t="inlineStr">
        <is>
          <t>2005-11-09</t>
        </is>
      </c>
      <c r="V1223" t="inlineStr">
        <is>
          <t>2005-11-09</t>
        </is>
      </c>
      <c r="W1223" t="inlineStr">
        <is>
          <t>2000-07-25</t>
        </is>
      </c>
      <c r="X1223" t="inlineStr">
        <is>
          <t>2000-07-25</t>
        </is>
      </c>
      <c r="Y1223" t="n">
        <v>804</v>
      </c>
      <c r="Z1223" t="n">
        <v>734</v>
      </c>
      <c r="AA1223" t="n">
        <v>964</v>
      </c>
      <c r="AB1223" t="n">
        <v>5</v>
      </c>
      <c r="AC1223" t="n">
        <v>6</v>
      </c>
      <c r="AD1223" t="n">
        <v>26</v>
      </c>
      <c r="AE1223" t="n">
        <v>37</v>
      </c>
      <c r="AF1223" t="n">
        <v>9</v>
      </c>
      <c r="AG1223" t="n">
        <v>15</v>
      </c>
      <c r="AH1223" t="n">
        <v>7</v>
      </c>
      <c r="AI1223" t="n">
        <v>9</v>
      </c>
      <c r="AJ1223" t="n">
        <v>11</v>
      </c>
      <c r="AK1223" t="n">
        <v>17</v>
      </c>
      <c r="AL1223" t="n">
        <v>4</v>
      </c>
      <c r="AM1223" t="n">
        <v>5</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HYPERLINK("https://creighton-primo.hosted.exlibrisgroup.com/primo-explore/search?tab=default_tab&amp;search_scope=EVERYTHING&amp;vid=01CRU&amp;lang=en_US&amp;offset=0&amp;query=any,contains,991003216139702656","Catalog Record")</f>
        <v/>
      </c>
      <c r="AT1223">
        <f>HYPERLINK("http://www.worldcat.org/oclc/39695977","WorldCat Record")</f>
        <v/>
      </c>
      <c r="AU1223" t="inlineStr">
        <is>
          <t>1060388:eng</t>
        </is>
      </c>
      <c r="AV1223" t="inlineStr">
        <is>
          <t>39695977</t>
        </is>
      </c>
      <c r="AW1223" t="inlineStr">
        <is>
          <t>991003216139702656</t>
        </is>
      </c>
      <c r="AX1223" t="inlineStr">
        <is>
          <t>991003216139702656</t>
        </is>
      </c>
      <c r="AY1223" t="inlineStr">
        <is>
          <t>2264741330002656</t>
        </is>
      </c>
      <c r="AZ1223" t="inlineStr">
        <is>
          <t>BOOK</t>
        </is>
      </c>
      <c r="BB1223" t="inlineStr">
        <is>
          <t>9780374115180</t>
        </is>
      </c>
      <c r="BC1223" t="inlineStr">
        <is>
          <t>32285003712899</t>
        </is>
      </c>
      <c r="BD1223" t="inlineStr">
        <is>
          <t>893342335</t>
        </is>
      </c>
    </row>
    <row r="1224">
      <c r="A1224" t="inlineStr">
        <is>
          <t>No</t>
        </is>
      </c>
      <c r="B1224" t="inlineStr">
        <is>
          <t>HQ1793.Z9 C356 1991</t>
        </is>
      </c>
      <c r="C1224" t="inlineStr">
        <is>
          <t>0                      HQ 1793000Z  9                  C  356         1991</t>
        </is>
      </c>
      <c r="D1224" t="inlineStr">
        <is>
          <t>Accommodating protest : working women, the new veiling, and change in Cairo / Arlene Elowe Macleod.</t>
        </is>
      </c>
      <c r="F1224" t="inlineStr">
        <is>
          <t>No</t>
        </is>
      </c>
      <c r="G1224" t="inlineStr">
        <is>
          <t>1</t>
        </is>
      </c>
      <c r="H1224" t="inlineStr">
        <is>
          <t>No</t>
        </is>
      </c>
      <c r="I1224" t="inlineStr">
        <is>
          <t>No</t>
        </is>
      </c>
      <c r="J1224" t="inlineStr">
        <is>
          <t>0</t>
        </is>
      </c>
      <c r="K1224" t="inlineStr">
        <is>
          <t>Macleod, Arlene Elowe.</t>
        </is>
      </c>
      <c r="L1224" t="inlineStr">
        <is>
          <t>New York : Columbia University Press, c1991.</t>
        </is>
      </c>
      <c r="M1224" t="inlineStr">
        <is>
          <t>1991</t>
        </is>
      </c>
      <c r="O1224" t="inlineStr">
        <is>
          <t>eng</t>
        </is>
      </c>
      <c r="P1224" t="inlineStr">
        <is>
          <t>nyu</t>
        </is>
      </c>
      <c r="R1224" t="inlineStr">
        <is>
          <t xml:space="preserve">HQ </t>
        </is>
      </c>
      <c r="S1224" t="n">
        <v>12</v>
      </c>
      <c r="T1224" t="n">
        <v>12</v>
      </c>
      <c r="U1224" t="inlineStr">
        <is>
          <t>2007-04-24</t>
        </is>
      </c>
      <c r="V1224" t="inlineStr">
        <is>
          <t>2007-04-24</t>
        </is>
      </c>
      <c r="W1224" t="inlineStr">
        <is>
          <t>1999-11-03</t>
        </is>
      </c>
      <c r="X1224" t="inlineStr">
        <is>
          <t>1999-11-03</t>
        </is>
      </c>
      <c r="Y1224" t="n">
        <v>549</v>
      </c>
      <c r="Z1224" t="n">
        <v>442</v>
      </c>
      <c r="AA1224" t="n">
        <v>453</v>
      </c>
      <c r="AB1224" t="n">
        <v>5</v>
      </c>
      <c r="AC1224" t="n">
        <v>5</v>
      </c>
      <c r="AD1224" t="n">
        <v>23</v>
      </c>
      <c r="AE1224" t="n">
        <v>23</v>
      </c>
      <c r="AF1224" t="n">
        <v>8</v>
      </c>
      <c r="AG1224" t="n">
        <v>8</v>
      </c>
      <c r="AH1224" t="n">
        <v>5</v>
      </c>
      <c r="AI1224" t="n">
        <v>5</v>
      </c>
      <c r="AJ1224" t="n">
        <v>11</v>
      </c>
      <c r="AK1224" t="n">
        <v>11</v>
      </c>
      <c r="AL1224" t="n">
        <v>4</v>
      </c>
      <c r="AM1224" t="n">
        <v>4</v>
      </c>
      <c r="AN1224" t="n">
        <v>1</v>
      </c>
      <c r="AO1224" t="n">
        <v>1</v>
      </c>
      <c r="AP1224" t="inlineStr">
        <is>
          <t>No</t>
        </is>
      </c>
      <c r="AQ1224" t="inlineStr">
        <is>
          <t>No</t>
        </is>
      </c>
      <c r="AS1224">
        <f>HYPERLINK("https://creighton-primo.hosted.exlibrisgroup.com/primo-explore/search?tab=default_tab&amp;search_scope=EVERYTHING&amp;vid=01CRU&amp;lang=en_US&amp;offset=0&amp;query=any,contains,991001748079702656","Catalog Record")</f>
        <v/>
      </c>
      <c r="AT1224">
        <f>HYPERLINK("http://www.worldcat.org/oclc/22119808","WorldCat Record")</f>
        <v/>
      </c>
      <c r="AU1224" t="inlineStr">
        <is>
          <t>328963:eng</t>
        </is>
      </c>
      <c r="AV1224" t="inlineStr">
        <is>
          <t>22119808</t>
        </is>
      </c>
      <c r="AW1224" t="inlineStr">
        <is>
          <t>991001748079702656</t>
        </is>
      </c>
      <c r="AX1224" t="inlineStr">
        <is>
          <t>991001748079702656</t>
        </is>
      </c>
      <c r="AY1224" t="inlineStr">
        <is>
          <t>2261109090002656</t>
        </is>
      </c>
      <c r="AZ1224" t="inlineStr">
        <is>
          <t>BOOK</t>
        </is>
      </c>
      <c r="BB1224" t="inlineStr">
        <is>
          <t>9780231072809</t>
        </is>
      </c>
      <c r="BC1224" t="inlineStr">
        <is>
          <t>32285003617783</t>
        </is>
      </c>
      <c r="BD1224" t="inlineStr">
        <is>
          <t>893885509</t>
        </is>
      </c>
    </row>
    <row r="1225">
      <c r="A1225" t="inlineStr">
        <is>
          <t>No</t>
        </is>
      </c>
      <c r="B1225" t="inlineStr">
        <is>
          <t>HQ18.32.K56 J65 1997</t>
        </is>
      </c>
      <c r="C1225" t="inlineStr">
        <is>
          <t>0                      HQ 0018320K  56                 J  65          1997</t>
        </is>
      </c>
      <c r="D1225" t="inlineStr">
        <is>
          <t>Alfred C. Kinsey : a public/private life / James H. Jones.</t>
        </is>
      </c>
      <c r="F1225" t="inlineStr">
        <is>
          <t>No</t>
        </is>
      </c>
      <c r="G1225" t="inlineStr">
        <is>
          <t>1</t>
        </is>
      </c>
      <c r="H1225" t="inlineStr">
        <is>
          <t>No</t>
        </is>
      </c>
      <c r="I1225" t="inlineStr">
        <is>
          <t>No</t>
        </is>
      </c>
      <c r="J1225" t="inlineStr">
        <is>
          <t>0</t>
        </is>
      </c>
      <c r="K1225" t="inlineStr">
        <is>
          <t>Jones, James H. (James Howard), 1943-</t>
        </is>
      </c>
      <c r="L1225" t="inlineStr">
        <is>
          <t>New York : W.W. Norton, c1997.</t>
        </is>
      </c>
      <c r="M1225" t="inlineStr">
        <is>
          <t>1997</t>
        </is>
      </c>
      <c r="N1225" t="inlineStr">
        <is>
          <t>1st ed.</t>
        </is>
      </c>
      <c r="O1225" t="inlineStr">
        <is>
          <t>eng</t>
        </is>
      </c>
      <c r="P1225" t="inlineStr">
        <is>
          <t>nyu</t>
        </is>
      </c>
      <c r="R1225" t="inlineStr">
        <is>
          <t xml:space="preserve">HQ </t>
        </is>
      </c>
      <c r="S1225" t="n">
        <v>6</v>
      </c>
      <c r="T1225" t="n">
        <v>6</v>
      </c>
      <c r="U1225" t="inlineStr">
        <is>
          <t>2005-03-29</t>
        </is>
      </c>
      <c r="V1225" t="inlineStr">
        <is>
          <t>2005-03-29</t>
        </is>
      </c>
      <c r="W1225" t="inlineStr">
        <is>
          <t>1997-12-10</t>
        </is>
      </c>
      <c r="X1225" t="inlineStr">
        <is>
          <t>1997-12-10</t>
        </is>
      </c>
      <c r="Y1225" t="n">
        <v>1259</v>
      </c>
      <c r="Z1225" t="n">
        <v>1116</v>
      </c>
      <c r="AA1225" t="n">
        <v>1117</v>
      </c>
      <c r="AB1225" t="n">
        <v>10</v>
      </c>
      <c r="AC1225" t="n">
        <v>10</v>
      </c>
      <c r="AD1225" t="n">
        <v>38</v>
      </c>
      <c r="AE1225" t="n">
        <v>38</v>
      </c>
      <c r="AF1225" t="n">
        <v>14</v>
      </c>
      <c r="AG1225" t="n">
        <v>14</v>
      </c>
      <c r="AH1225" t="n">
        <v>7</v>
      </c>
      <c r="AI1225" t="n">
        <v>7</v>
      </c>
      <c r="AJ1225" t="n">
        <v>18</v>
      </c>
      <c r="AK1225" t="n">
        <v>18</v>
      </c>
      <c r="AL1225" t="n">
        <v>6</v>
      </c>
      <c r="AM1225" t="n">
        <v>6</v>
      </c>
      <c r="AN1225" t="n">
        <v>0</v>
      </c>
      <c r="AO1225" t="n">
        <v>0</v>
      </c>
      <c r="AP1225" t="inlineStr">
        <is>
          <t>No</t>
        </is>
      </c>
      <c r="AQ1225" t="inlineStr">
        <is>
          <t>No</t>
        </is>
      </c>
      <c r="AS1225">
        <f>HYPERLINK("https://creighton-primo.hosted.exlibrisgroup.com/primo-explore/search?tab=default_tab&amp;search_scope=EVERYTHING&amp;vid=01CRU&amp;lang=en_US&amp;offset=0&amp;query=any,contains,991002826979702656","Catalog Record")</f>
        <v/>
      </c>
      <c r="AT1225">
        <f>HYPERLINK("http://www.worldcat.org/oclc/37220982","WorldCat Record")</f>
        <v/>
      </c>
      <c r="AU1225" t="inlineStr">
        <is>
          <t>367704663:eng</t>
        </is>
      </c>
      <c r="AV1225" t="inlineStr">
        <is>
          <t>37220982</t>
        </is>
      </c>
      <c r="AW1225" t="inlineStr">
        <is>
          <t>991002826979702656</t>
        </is>
      </c>
      <c r="AX1225" t="inlineStr">
        <is>
          <t>991002826979702656</t>
        </is>
      </c>
      <c r="AY1225" t="inlineStr">
        <is>
          <t>2259479270002656</t>
        </is>
      </c>
      <c r="AZ1225" t="inlineStr">
        <is>
          <t>BOOK</t>
        </is>
      </c>
      <c r="BB1225" t="inlineStr">
        <is>
          <t>9780393040869</t>
        </is>
      </c>
      <c r="BC1225" t="inlineStr">
        <is>
          <t>32285003282513</t>
        </is>
      </c>
      <c r="BD1225" t="inlineStr">
        <is>
          <t>893434339</t>
        </is>
      </c>
    </row>
    <row r="1226">
      <c r="A1226" t="inlineStr">
        <is>
          <t>No</t>
        </is>
      </c>
      <c r="B1226" t="inlineStr">
        <is>
          <t>HQ18.A65 H66 1999</t>
        </is>
      </c>
      <c r="C1226" t="inlineStr">
        <is>
          <t>0                      HQ 0018000A  65                 H  66          1999</t>
        </is>
      </c>
      <c r="D1226" t="inlineStr">
        <is>
          <t>Sexual encounters in the Middle East : the British, the French and the Arabs / Derek Hopwood.</t>
        </is>
      </c>
      <c r="F1226" t="inlineStr">
        <is>
          <t>No</t>
        </is>
      </c>
      <c r="G1226" t="inlineStr">
        <is>
          <t>1</t>
        </is>
      </c>
      <c r="H1226" t="inlineStr">
        <is>
          <t>No</t>
        </is>
      </c>
      <c r="I1226" t="inlineStr">
        <is>
          <t>No</t>
        </is>
      </c>
      <c r="J1226" t="inlineStr">
        <is>
          <t>0</t>
        </is>
      </c>
      <c r="K1226" t="inlineStr">
        <is>
          <t>Hopwood, Derek.</t>
        </is>
      </c>
      <c r="L1226" t="inlineStr">
        <is>
          <t>Reading, UK : Ithaca Press, 1999.</t>
        </is>
      </c>
      <c r="M1226" t="inlineStr">
        <is>
          <t>1999</t>
        </is>
      </c>
      <c r="N1226" t="inlineStr">
        <is>
          <t>1st ed.</t>
        </is>
      </c>
      <c r="O1226" t="inlineStr">
        <is>
          <t>eng</t>
        </is>
      </c>
      <c r="P1226" t="inlineStr">
        <is>
          <t>enk</t>
        </is>
      </c>
      <c r="R1226" t="inlineStr">
        <is>
          <t xml:space="preserve">HQ </t>
        </is>
      </c>
      <c r="S1226" t="n">
        <v>6</v>
      </c>
      <c r="T1226" t="n">
        <v>6</v>
      </c>
      <c r="U1226" t="inlineStr">
        <is>
          <t>2007-11-13</t>
        </is>
      </c>
      <c r="V1226" t="inlineStr">
        <is>
          <t>2007-11-13</t>
        </is>
      </c>
      <c r="W1226" t="inlineStr">
        <is>
          <t>2001-02-20</t>
        </is>
      </c>
      <c r="X1226" t="inlineStr">
        <is>
          <t>2001-02-20</t>
        </is>
      </c>
      <c r="Y1226" t="n">
        <v>197</v>
      </c>
      <c r="Z1226" t="n">
        <v>137</v>
      </c>
      <c r="AA1226" t="n">
        <v>149</v>
      </c>
      <c r="AB1226" t="n">
        <v>2</v>
      </c>
      <c r="AC1226" t="n">
        <v>2</v>
      </c>
      <c r="AD1226" t="n">
        <v>6</v>
      </c>
      <c r="AE1226" t="n">
        <v>7</v>
      </c>
      <c r="AF1226" t="n">
        <v>0</v>
      </c>
      <c r="AG1226" t="n">
        <v>0</v>
      </c>
      <c r="AH1226" t="n">
        <v>1</v>
      </c>
      <c r="AI1226" t="n">
        <v>2</v>
      </c>
      <c r="AJ1226" t="n">
        <v>4</v>
      </c>
      <c r="AK1226" t="n">
        <v>5</v>
      </c>
      <c r="AL1226" t="n">
        <v>1</v>
      </c>
      <c r="AM1226" t="n">
        <v>1</v>
      </c>
      <c r="AN1226" t="n">
        <v>0</v>
      </c>
      <c r="AO1226" t="n">
        <v>0</v>
      </c>
      <c r="AP1226" t="inlineStr">
        <is>
          <t>No</t>
        </is>
      </c>
      <c r="AQ1226" t="inlineStr">
        <is>
          <t>No</t>
        </is>
      </c>
      <c r="AS1226">
        <f>HYPERLINK("https://creighton-primo.hosted.exlibrisgroup.com/primo-explore/search?tab=default_tab&amp;search_scope=EVERYTHING&amp;vid=01CRU&amp;lang=en_US&amp;offset=0&amp;query=any,contains,991003479799702656","Catalog Record")</f>
        <v/>
      </c>
      <c r="AT1226">
        <f>HYPERLINK("http://www.worldcat.org/oclc/42043272","WorldCat Record")</f>
        <v/>
      </c>
      <c r="AU1226" t="inlineStr">
        <is>
          <t>304260924:eng</t>
        </is>
      </c>
      <c r="AV1226" t="inlineStr">
        <is>
          <t>42043272</t>
        </is>
      </c>
      <c r="AW1226" t="inlineStr">
        <is>
          <t>991003479799702656</t>
        </is>
      </c>
      <c r="AX1226" t="inlineStr">
        <is>
          <t>991003479799702656</t>
        </is>
      </c>
      <c r="AY1226" t="inlineStr">
        <is>
          <t>2261899710002656</t>
        </is>
      </c>
      <c r="AZ1226" t="inlineStr">
        <is>
          <t>BOOK</t>
        </is>
      </c>
      <c r="BB1226" t="inlineStr">
        <is>
          <t>9780863722530</t>
        </is>
      </c>
      <c r="BC1226" t="inlineStr">
        <is>
          <t>32285004295738</t>
        </is>
      </c>
      <c r="BD1226" t="inlineStr">
        <is>
          <t>893499335</t>
        </is>
      </c>
    </row>
    <row r="1227">
      <c r="A1227" t="inlineStr">
        <is>
          <t>No</t>
        </is>
      </c>
      <c r="B1227" t="inlineStr">
        <is>
          <t>HQ18.A65 S49 2006</t>
        </is>
      </c>
      <c r="C1227" t="inlineStr">
        <is>
          <t>0                      HQ 0018000A  65                 S  49          2006</t>
        </is>
      </c>
      <c r="D1227" t="inlineStr">
        <is>
          <t>Sexuality in the Arab world / edited by Samir Khalaf and John Gagnon.</t>
        </is>
      </c>
      <c r="F1227" t="inlineStr">
        <is>
          <t>No</t>
        </is>
      </c>
      <c r="G1227" t="inlineStr">
        <is>
          <t>1</t>
        </is>
      </c>
      <c r="H1227" t="inlineStr">
        <is>
          <t>No</t>
        </is>
      </c>
      <c r="I1227" t="inlineStr">
        <is>
          <t>No</t>
        </is>
      </c>
      <c r="J1227" t="inlineStr">
        <is>
          <t>0</t>
        </is>
      </c>
      <c r="L1227" t="inlineStr">
        <is>
          <t>London : Saqi, 2006.</t>
        </is>
      </c>
      <c r="M1227" t="inlineStr">
        <is>
          <t>2006</t>
        </is>
      </c>
      <c r="O1227" t="inlineStr">
        <is>
          <t>eng</t>
        </is>
      </c>
      <c r="P1227" t="inlineStr">
        <is>
          <t>enk</t>
        </is>
      </c>
      <c r="R1227" t="inlineStr">
        <is>
          <t xml:space="preserve">HQ </t>
        </is>
      </c>
      <c r="S1227" t="n">
        <v>1</v>
      </c>
      <c r="T1227" t="n">
        <v>1</v>
      </c>
      <c r="U1227" t="inlineStr">
        <is>
          <t>2008-05-12</t>
        </is>
      </c>
      <c r="V1227" t="inlineStr">
        <is>
          <t>2008-05-12</t>
        </is>
      </c>
      <c r="W1227" t="inlineStr">
        <is>
          <t>2008-05-12</t>
        </is>
      </c>
      <c r="X1227" t="inlineStr">
        <is>
          <t>2008-05-12</t>
        </is>
      </c>
      <c r="Y1227" t="n">
        <v>509</v>
      </c>
      <c r="Z1227" t="n">
        <v>404</v>
      </c>
      <c r="AA1227" t="n">
        <v>427</v>
      </c>
      <c r="AB1227" t="n">
        <v>6</v>
      </c>
      <c r="AC1227" t="n">
        <v>6</v>
      </c>
      <c r="AD1227" t="n">
        <v>30</v>
      </c>
      <c r="AE1227" t="n">
        <v>31</v>
      </c>
      <c r="AF1227" t="n">
        <v>11</v>
      </c>
      <c r="AG1227" t="n">
        <v>12</v>
      </c>
      <c r="AH1227" t="n">
        <v>7</v>
      </c>
      <c r="AI1227" t="n">
        <v>7</v>
      </c>
      <c r="AJ1227" t="n">
        <v>14</v>
      </c>
      <c r="AK1227" t="n">
        <v>14</v>
      </c>
      <c r="AL1227" t="n">
        <v>5</v>
      </c>
      <c r="AM1227" t="n">
        <v>5</v>
      </c>
      <c r="AN1227" t="n">
        <v>0</v>
      </c>
      <c r="AO1227" t="n">
        <v>0</v>
      </c>
      <c r="AP1227" t="inlineStr">
        <is>
          <t>No</t>
        </is>
      </c>
      <c r="AQ1227" t="inlineStr">
        <is>
          <t>Yes</t>
        </is>
      </c>
      <c r="AR1227">
        <f>HYPERLINK("http://catalog.hathitrust.org/Record/005419371","HathiTrust Record")</f>
        <v/>
      </c>
      <c r="AS1227">
        <f>HYPERLINK("https://creighton-primo.hosted.exlibrisgroup.com/primo-explore/search?tab=default_tab&amp;search_scope=EVERYTHING&amp;vid=01CRU&amp;lang=en_US&amp;offset=0&amp;query=any,contains,991005212289702656","Catalog Record")</f>
        <v/>
      </c>
      <c r="AT1227">
        <f>HYPERLINK("http://www.worldcat.org/oclc/67872362","WorldCat Record")</f>
        <v/>
      </c>
      <c r="AU1227" t="inlineStr">
        <is>
          <t>351835593:eng</t>
        </is>
      </c>
      <c r="AV1227" t="inlineStr">
        <is>
          <t>67872362</t>
        </is>
      </c>
      <c r="AW1227" t="inlineStr">
        <is>
          <t>991005212289702656</t>
        </is>
      </c>
      <c r="AX1227" t="inlineStr">
        <is>
          <t>991005212289702656</t>
        </is>
      </c>
      <c r="AY1227" t="inlineStr">
        <is>
          <t>2267109670002656</t>
        </is>
      </c>
      <c r="AZ1227" t="inlineStr">
        <is>
          <t>BOOK</t>
        </is>
      </c>
      <c r="BB1227" t="inlineStr">
        <is>
          <t>9780863569487</t>
        </is>
      </c>
      <c r="BC1227" t="inlineStr">
        <is>
          <t>32285005406755</t>
        </is>
      </c>
      <c r="BD1227" t="inlineStr">
        <is>
          <t>893344849</t>
        </is>
      </c>
    </row>
    <row r="1228">
      <c r="A1228" t="inlineStr">
        <is>
          <t>No</t>
        </is>
      </c>
      <c r="B1228" t="inlineStr">
        <is>
          <t>HQ18.E852 L48 1989</t>
        </is>
      </c>
      <c r="C1228" t="inlineStr">
        <is>
          <t>0                      HQ 0018000E  852                L  48          1989</t>
        </is>
      </c>
      <c r="D1228" t="inlineStr">
        <is>
          <t>Sex and society in the world of the orthodox Slavs, 900-1700 / Eve Levin.</t>
        </is>
      </c>
      <c r="F1228" t="inlineStr">
        <is>
          <t>No</t>
        </is>
      </c>
      <c r="G1228" t="inlineStr">
        <is>
          <t>1</t>
        </is>
      </c>
      <c r="H1228" t="inlineStr">
        <is>
          <t>No</t>
        </is>
      </c>
      <c r="I1228" t="inlineStr">
        <is>
          <t>No</t>
        </is>
      </c>
      <c r="J1228" t="inlineStr">
        <is>
          <t>0</t>
        </is>
      </c>
      <c r="K1228" t="inlineStr">
        <is>
          <t>Levin, Eve, 1954-</t>
        </is>
      </c>
      <c r="L1228" t="inlineStr">
        <is>
          <t>Ithaca, N.Y. : Cornell University Press, 1989.</t>
        </is>
      </c>
      <c r="M1228" t="inlineStr">
        <is>
          <t>1989</t>
        </is>
      </c>
      <c r="O1228" t="inlineStr">
        <is>
          <t>eng</t>
        </is>
      </c>
      <c r="P1228" t="inlineStr">
        <is>
          <t>nyu</t>
        </is>
      </c>
      <c r="R1228" t="inlineStr">
        <is>
          <t xml:space="preserve">HQ </t>
        </is>
      </c>
      <c r="S1228" t="n">
        <v>5</v>
      </c>
      <c r="T1228" t="n">
        <v>5</v>
      </c>
      <c r="U1228" t="inlineStr">
        <is>
          <t>2005-04-15</t>
        </is>
      </c>
      <c r="V1228" t="inlineStr">
        <is>
          <t>2005-04-15</t>
        </is>
      </c>
      <c r="W1228" t="inlineStr">
        <is>
          <t>1992-01-28</t>
        </is>
      </c>
      <c r="X1228" t="inlineStr">
        <is>
          <t>1992-01-28</t>
        </is>
      </c>
      <c r="Y1228" t="n">
        <v>570</v>
      </c>
      <c r="Z1228" t="n">
        <v>458</v>
      </c>
      <c r="AA1228" t="n">
        <v>715</v>
      </c>
      <c r="AB1228" t="n">
        <v>4</v>
      </c>
      <c r="AC1228" t="n">
        <v>6</v>
      </c>
      <c r="AD1228" t="n">
        <v>29</v>
      </c>
      <c r="AE1228" t="n">
        <v>41</v>
      </c>
      <c r="AF1228" t="n">
        <v>10</v>
      </c>
      <c r="AG1228" t="n">
        <v>16</v>
      </c>
      <c r="AH1228" t="n">
        <v>8</v>
      </c>
      <c r="AI1228" t="n">
        <v>10</v>
      </c>
      <c r="AJ1228" t="n">
        <v>14</v>
      </c>
      <c r="AK1228" t="n">
        <v>19</v>
      </c>
      <c r="AL1228" t="n">
        <v>3</v>
      </c>
      <c r="AM1228" t="n">
        <v>5</v>
      </c>
      <c r="AN1228" t="n">
        <v>0</v>
      </c>
      <c r="AO1228" t="n">
        <v>0</v>
      </c>
      <c r="AP1228" t="inlineStr">
        <is>
          <t>No</t>
        </is>
      </c>
      <c r="AQ1228" t="inlineStr">
        <is>
          <t>Yes</t>
        </is>
      </c>
      <c r="AR1228">
        <f>HYPERLINK("http://catalog.hathitrust.org/Record/001550906","HathiTrust Record")</f>
        <v/>
      </c>
      <c r="AS1228">
        <f>HYPERLINK("https://creighton-primo.hosted.exlibrisgroup.com/primo-explore/search?tab=default_tab&amp;search_scope=EVERYTHING&amp;vid=01CRU&amp;lang=en_US&amp;offset=0&amp;query=any,contains,991001439749702656","Catalog Record")</f>
        <v/>
      </c>
      <c r="AT1228">
        <f>HYPERLINK("http://www.worldcat.org/oclc/19222663","WorldCat Record")</f>
        <v/>
      </c>
      <c r="AU1228" t="inlineStr">
        <is>
          <t>21435147:eng</t>
        </is>
      </c>
      <c r="AV1228" t="inlineStr">
        <is>
          <t>19222663</t>
        </is>
      </c>
      <c r="AW1228" t="inlineStr">
        <is>
          <t>991001439749702656</t>
        </is>
      </c>
      <c r="AX1228" t="inlineStr">
        <is>
          <t>991001439749702656</t>
        </is>
      </c>
      <c r="AY1228" t="inlineStr">
        <is>
          <t>2259404540002656</t>
        </is>
      </c>
      <c r="AZ1228" t="inlineStr">
        <is>
          <t>BOOK</t>
        </is>
      </c>
      <c r="BB1228" t="inlineStr">
        <is>
          <t>9780801422607</t>
        </is>
      </c>
      <c r="BC1228" t="inlineStr">
        <is>
          <t>32285000866599</t>
        </is>
      </c>
      <c r="BD1228" t="inlineStr">
        <is>
          <t>893872533</t>
        </is>
      </c>
    </row>
    <row r="1229">
      <c r="A1229" t="inlineStr">
        <is>
          <t>No</t>
        </is>
      </c>
      <c r="B1229" t="inlineStr">
        <is>
          <t>HQ18.F8 R4313 1992</t>
        </is>
      </c>
      <c r="C1229" t="inlineStr">
        <is>
          <t>0                      HQ 0018000F  8                  R  4313        1992</t>
        </is>
      </c>
      <c r="D1229" t="inlineStr">
        <is>
          <t>Investigating sex : surrealist research, 1928-1932 / edited by José Pierre ; translated by Malcolm Imrie ; with an afterword by Dawn Ades.</t>
        </is>
      </c>
      <c r="F1229" t="inlineStr">
        <is>
          <t>No</t>
        </is>
      </c>
      <c r="G1229" t="inlineStr">
        <is>
          <t>1</t>
        </is>
      </c>
      <c r="H1229" t="inlineStr">
        <is>
          <t>No</t>
        </is>
      </c>
      <c r="I1229" t="inlineStr">
        <is>
          <t>No</t>
        </is>
      </c>
      <c r="J1229" t="inlineStr">
        <is>
          <t>0</t>
        </is>
      </c>
      <c r="K1229" t="inlineStr">
        <is>
          <t>Recherches sur la sexualité. English.</t>
        </is>
      </c>
      <c r="L1229" t="inlineStr">
        <is>
          <t>London ; New York : Verso, 1992.</t>
        </is>
      </c>
      <c r="M1229" t="inlineStr">
        <is>
          <t>1992</t>
        </is>
      </c>
      <c r="O1229" t="inlineStr">
        <is>
          <t>eng</t>
        </is>
      </c>
      <c r="P1229" t="inlineStr">
        <is>
          <t>enk</t>
        </is>
      </c>
      <c r="R1229" t="inlineStr">
        <is>
          <t xml:space="preserve">HQ </t>
        </is>
      </c>
      <c r="S1229" t="n">
        <v>24</v>
      </c>
      <c r="T1229" t="n">
        <v>24</v>
      </c>
      <c r="U1229" t="inlineStr">
        <is>
          <t>2008-02-25</t>
        </is>
      </c>
      <c r="V1229" t="inlineStr">
        <is>
          <t>2008-02-25</t>
        </is>
      </c>
      <c r="W1229" t="inlineStr">
        <is>
          <t>1993-11-29</t>
        </is>
      </c>
      <c r="X1229" t="inlineStr">
        <is>
          <t>1993-11-29</t>
        </is>
      </c>
      <c r="Y1229" t="n">
        <v>275</v>
      </c>
      <c r="Z1229" t="n">
        <v>176</v>
      </c>
      <c r="AA1229" t="n">
        <v>205</v>
      </c>
      <c r="AB1229" t="n">
        <v>1</v>
      </c>
      <c r="AC1229" t="n">
        <v>1</v>
      </c>
      <c r="AD1229" t="n">
        <v>5</v>
      </c>
      <c r="AE1229" t="n">
        <v>5</v>
      </c>
      <c r="AF1229" t="n">
        <v>0</v>
      </c>
      <c r="AG1229" t="n">
        <v>0</v>
      </c>
      <c r="AH1229" t="n">
        <v>3</v>
      </c>
      <c r="AI1229" t="n">
        <v>3</v>
      </c>
      <c r="AJ1229" t="n">
        <v>3</v>
      </c>
      <c r="AK1229" t="n">
        <v>3</v>
      </c>
      <c r="AL1229" t="n">
        <v>0</v>
      </c>
      <c r="AM1229" t="n">
        <v>0</v>
      </c>
      <c r="AN1229" t="n">
        <v>0</v>
      </c>
      <c r="AO1229" t="n">
        <v>0</v>
      </c>
      <c r="AP1229" t="inlineStr">
        <is>
          <t>No</t>
        </is>
      </c>
      <c r="AQ1229" t="inlineStr">
        <is>
          <t>Yes</t>
        </is>
      </c>
      <c r="AR1229">
        <f>HYPERLINK("http://catalog.hathitrust.org/Record/002595633","HathiTrust Record")</f>
        <v/>
      </c>
      <c r="AS1229">
        <f>HYPERLINK("https://creighton-primo.hosted.exlibrisgroup.com/primo-explore/search?tab=default_tab&amp;search_scope=EVERYTHING&amp;vid=01CRU&amp;lang=en_US&amp;offset=0&amp;query=any,contains,991002065909702656","Catalog Record")</f>
        <v/>
      </c>
      <c r="AT1229">
        <f>HYPERLINK("http://www.worldcat.org/oclc/26403753","WorldCat Record")</f>
        <v/>
      </c>
      <c r="AU1229" t="inlineStr">
        <is>
          <t>8908917784:eng</t>
        </is>
      </c>
      <c r="AV1229" t="inlineStr">
        <is>
          <t>26403753</t>
        </is>
      </c>
      <c r="AW1229" t="inlineStr">
        <is>
          <t>991002065909702656</t>
        </is>
      </c>
      <c r="AX1229" t="inlineStr">
        <is>
          <t>991002065909702656</t>
        </is>
      </c>
      <c r="AY1229" t="inlineStr">
        <is>
          <t>2268427920002656</t>
        </is>
      </c>
      <c r="AZ1229" t="inlineStr">
        <is>
          <t>BOOK</t>
        </is>
      </c>
      <c r="BB1229" t="inlineStr">
        <is>
          <t>9780860913788</t>
        </is>
      </c>
      <c r="BC1229" t="inlineStr">
        <is>
          <t>32285001812881</t>
        </is>
      </c>
      <c r="BD1229" t="inlineStr">
        <is>
          <t>893885807</t>
        </is>
      </c>
    </row>
    <row r="1230">
      <c r="A1230" t="inlineStr">
        <is>
          <t>No</t>
        </is>
      </c>
      <c r="B1230" t="inlineStr">
        <is>
          <t>HQ18.G3 H47 2005</t>
        </is>
      </c>
      <c r="C1230" t="inlineStr">
        <is>
          <t>0                      HQ 0018000G  3                  H  47          2005</t>
        </is>
      </c>
      <c r="D1230" t="inlineStr">
        <is>
          <t>Sex after fascism : memory and morality in twentieth-century Germany / Dagmar Herzog.</t>
        </is>
      </c>
      <c r="F1230" t="inlineStr">
        <is>
          <t>No</t>
        </is>
      </c>
      <c r="G1230" t="inlineStr">
        <is>
          <t>1</t>
        </is>
      </c>
      <c r="H1230" t="inlineStr">
        <is>
          <t>No</t>
        </is>
      </c>
      <c r="I1230" t="inlineStr">
        <is>
          <t>No</t>
        </is>
      </c>
      <c r="J1230" t="inlineStr">
        <is>
          <t>0</t>
        </is>
      </c>
      <c r="K1230" t="inlineStr">
        <is>
          <t>Herzog, Dagmar, 1961-</t>
        </is>
      </c>
      <c r="L1230" t="inlineStr">
        <is>
          <t>Princeton, N.J. : Princeton University Press, c2005.</t>
        </is>
      </c>
      <c r="M1230" t="inlineStr">
        <is>
          <t>2005</t>
        </is>
      </c>
      <c r="O1230" t="inlineStr">
        <is>
          <t>eng</t>
        </is>
      </c>
      <c r="P1230" t="inlineStr">
        <is>
          <t>nju</t>
        </is>
      </c>
      <c r="R1230" t="inlineStr">
        <is>
          <t xml:space="preserve">HQ </t>
        </is>
      </c>
      <c r="S1230" t="n">
        <v>2</v>
      </c>
      <c r="T1230" t="n">
        <v>2</v>
      </c>
      <c r="U1230" t="inlineStr">
        <is>
          <t>2010-04-21</t>
        </is>
      </c>
      <c r="V1230" t="inlineStr">
        <is>
          <t>2010-04-21</t>
        </is>
      </c>
      <c r="W1230" t="inlineStr">
        <is>
          <t>2010-04-21</t>
        </is>
      </c>
      <c r="X1230" t="inlineStr">
        <is>
          <t>2010-04-21</t>
        </is>
      </c>
      <c r="Y1230" t="n">
        <v>439</v>
      </c>
      <c r="Z1230" t="n">
        <v>322</v>
      </c>
      <c r="AA1230" t="n">
        <v>646</v>
      </c>
      <c r="AB1230" t="n">
        <v>3</v>
      </c>
      <c r="AC1230" t="n">
        <v>5</v>
      </c>
      <c r="AD1230" t="n">
        <v>20</v>
      </c>
      <c r="AE1230" t="n">
        <v>36</v>
      </c>
      <c r="AF1230" t="n">
        <v>9</v>
      </c>
      <c r="AG1230" t="n">
        <v>15</v>
      </c>
      <c r="AH1230" t="n">
        <v>5</v>
      </c>
      <c r="AI1230" t="n">
        <v>10</v>
      </c>
      <c r="AJ1230" t="n">
        <v>7</v>
      </c>
      <c r="AK1230" t="n">
        <v>13</v>
      </c>
      <c r="AL1230" t="n">
        <v>2</v>
      </c>
      <c r="AM1230" t="n">
        <v>4</v>
      </c>
      <c r="AN1230" t="n">
        <v>0</v>
      </c>
      <c r="AO1230" t="n">
        <v>1</v>
      </c>
      <c r="AP1230" t="inlineStr">
        <is>
          <t>No</t>
        </is>
      </c>
      <c r="AQ1230" t="inlineStr">
        <is>
          <t>No</t>
        </is>
      </c>
      <c r="AS1230">
        <f>HYPERLINK("https://creighton-primo.hosted.exlibrisgroup.com/primo-explore/search?tab=default_tab&amp;search_scope=EVERYTHING&amp;vid=01CRU&amp;lang=en_US&amp;offset=0&amp;query=any,contains,991005382309702656","Catalog Record")</f>
        <v/>
      </c>
      <c r="AT1230">
        <f>HYPERLINK("http://www.worldcat.org/oclc/54989296","WorldCat Record")</f>
        <v/>
      </c>
      <c r="AU1230" t="inlineStr">
        <is>
          <t>891523753:eng</t>
        </is>
      </c>
      <c r="AV1230" t="inlineStr">
        <is>
          <t>54989296</t>
        </is>
      </c>
      <c r="AW1230" t="inlineStr">
        <is>
          <t>991005382309702656</t>
        </is>
      </c>
      <c r="AX1230" t="inlineStr">
        <is>
          <t>991005382309702656</t>
        </is>
      </c>
      <c r="AY1230" t="inlineStr">
        <is>
          <t>2264918210002656</t>
        </is>
      </c>
      <c r="AZ1230" t="inlineStr">
        <is>
          <t>BOOK</t>
        </is>
      </c>
      <c r="BB1230" t="inlineStr">
        <is>
          <t>9780691117027</t>
        </is>
      </c>
      <c r="BC1230" t="inlineStr">
        <is>
          <t>32285005566475</t>
        </is>
      </c>
      <c r="BD1230" t="inlineStr">
        <is>
          <t>893501936</t>
        </is>
      </c>
    </row>
    <row r="1231">
      <c r="A1231" t="inlineStr">
        <is>
          <t>No</t>
        </is>
      </c>
      <c r="B1231" t="inlineStr">
        <is>
          <t>HQ18.G7 Q34 1979b</t>
        </is>
      </c>
      <c r="C1231" t="inlineStr">
        <is>
          <t>0                      HQ 0018000G  7                  Q  34          1979b</t>
        </is>
      </c>
      <c r="D1231" t="inlineStr">
        <is>
          <t>Wanton wenches and wayward wives : peasants and illicit sex in early seventeenth century England / G. R. Quaife.</t>
        </is>
      </c>
      <c r="F1231" t="inlineStr">
        <is>
          <t>No</t>
        </is>
      </c>
      <c r="G1231" t="inlineStr">
        <is>
          <t>1</t>
        </is>
      </c>
      <c r="H1231" t="inlineStr">
        <is>
          <t>No</t>
        </is>
      </c>
      <c r="I1231" t="inlineStr">
        <is>
          <t>No</t>
        </is>
      </c>
      <c r="J1231" t="inlineStr">
        <is>
          <t>0</t>
        </is>
      </c>
      <c r="K1231" t="inlineStr">
        <is>
          <t>Quaife, G. R. (Geoffrey Robert)</t>
        </is>
      </c>
      <c r="L1231" t="inlineStr">
        <is>
          <t>New Brunswick, N.J. : Rutgers University Press, 1979.</t>
        </is>
      </c>
      <c r="M1231" t="inlineStr">
        <is>
          <t>1979</t>
        </is>
      </c>
      <c r="O1231" t="inlineStr">
        <is>
          <t>eng</t>
        </is>
      </c>
      <c r="P1231" t="inlineStr">
        <is>
          <t>nju</t>
        </is>
      </c>
      <c r="R1231" t="inlineStr">
        <is>
          <t xml:space="preserve">HQ </t>
        </is>
      </c>
      <c r="S1231" t="n">
        <v>3</v>
      </c>
      <c r="T1231" t="n">
        <v>3</v>
      </c>
      <c r="U1231" t="inlineStr">
        <is>
          <t>2010-10-25</t>
        </is>
      </c>
      <c r="V1231" t="inlineStr">
        <is>
          <t>2010-10-25</t>
        </is>
      </c>
      <c r="W1231" t="inlineStr">
        <is>
          <t>1992-10-16</t>
        </is>
      </c>
      <c r="X1231" t="inlineStr">
        <is>
          <t>1992-10-16</t>
        </is>
      </c>
      <c r="Y1231" t="n">
        <v>427</v>
      </c>
      <c r="Z1231" t="n">
        <v>385</v>
      </c>
      <c r="AA1231" t="n">
        <v>419</v>
      </c>
      <c r="AB1231" t="n">
        <v>2</v>
      </c>
      <c r="AC1231" t="n">
        <v>3</v>
      </c>
      <c r="AD1231" t="n">
        <v>26</v>
      </c>
      <c r="AE1231" t="n">
        <v>27</v>
      </c>
      <c r="AF1231" t="n">
        <v>10</v>
      </c>
      <c r="AG1231" t="n">
        <v>10</v>
      </c>
      <c r="AH1231" t="n">
        <v>7</v>
      </c>
      <c r="AI1231" t="n">
        <v>7</v>
      </c>
      <c r="AJ1231" t="n">
        <v>12</v>
      </c>
      <c r="AK1231" t="n">
        <v>12</v>
      </c>
      <c r="AL1231" t="n">
        <v>1</v>
      </c>
      <c r="AM1231" t="n">
        <v>2</v>
      </c>
      <c r="AN1231" t="n">
        <v>3</v>
      </c>
      <c r="AO1231" t="n">
        <v>3</v>
      </c>
      <c r="AP1231" t="inlineStr">
        <is>
          <t>No</t>
        </is>
      </c>
      <c r="AQ1231" t="inlineStr">
        <is>
          <t>No</t>
        </is>
      </c>
      <c r="AS1231">
        <f>HYPERLINK("https://creighton-primo.hosted.exlibrisgroup.com/primo-explore/search?tab=default_tab&amp;search_scope=EVERYTHING&amp;vid=01CRU&amp;lang=en_US&amp;offset=0&amp;query=any,contains,991004819549702656","Catalog Record")</f>
        <v/>
      </c>
      <c r="AT1231">
        <f>HYPERLINK("http://www.worldcat.org/oclc/5323385","WorldCat Record")</f>
        <v/>
      </c>
      <c r="AU1231" t="inlineStr">
        <is>
          <t>962593447:eng</t>
        </is>
      </c>
      <c r="AV1231" t="inlineStr">
        <is>
          <t>5323385</t>
        </is>
      </c>
      <c r="AW1231" t="inlineStr">
        <is>
          <t>991004819549702656</t>
        </is>
      </c>
      <c r="AX1231" t="inlineStr">
        <is>
          <t>991004819549702656</t>
        </is>
      </c>
      <c r="AY1231" t="inlineStr">
        <is>
          <t>2266671860002656</t>
        </is>
      </c>
      <c r="AZ1231" t="inlineStr">
        <is>
          <t>BOOK</t>
        </is>
      </c>
      <c r="BB1231" t="inlineStr">
        <is>
          <t>9780813508900</t>
        </is>
      </c>
      <c r="BC1231" t="inlineStr">
        <is>
          <t>32285001358018</t>
        </is>
      </c>
      <c r="BD1231" t="inlineStr">
        <is>
          <t>893235956</t>
        </is>
      </c>
    </row>
    <row r="1232">
      <c r="A1232" t="inlineStr">
        <is>
          <t>No</t>
        </is>
      </c>
      <c r="B1232" t="inlineStr">
        <is>
          <t>HQ18.G7 S45 2004</t>
        </is>
      </c>
      <c r="C1232" t="inlineStr">
        <is>
          <t>0                      HQ 0018000G  7                  S  45          2004</t>
        </is>
      </c>
      <c r="D1232" t="inlineStr">
        <is>
          <t>Sex and sexuality in Anglo-Saxon England : essays in memory of Daniel Gillmore Calder / edited by Carol Braun Pasternack and Lisa M.C. Weston.</t>
        </is>
      </c>
      <c r="F1232" t="inlineStr">
        <is>
          <t>No</t>
        </is>
      </c>
      <c r="G1232" t="inlineStr">
        <is>
          <t>1</t>
        </is>
      </c>
      <c r="H1232" t="inlineStr">
        <is>
          <t>No</t>
        </is>
      </c>
      <c r="I1232" t="inlineStr">
        <is>
          <t>No</t>
        </is>
      </c>
      <c r="J1232" t="inlineStr">
        <is>
          <t>0</t>
        </is>
      </c>
      <c r="L1232" t="inlineStr">
        <is>
          <t>Tempe, Ariz. : Arizona Center for Medieval and Renaissance Studies, 2004.</t>
        </is>
      </c>
      <c r="M1232" t="inlineStr">
        <is>
          <t>2004</t>
        </is>
      </c>
      <c r="O1232" t="inlineStr">
        <is>
          <t>eng</t>
        </is>
      </c>
      <c r="P1232" t="inlineStr">
        <is>
          <t>azu</t>
        </is>
      </c>
      <c r="Q1232" t="inlineStr">
        <is>
          <t>Medieval and Renaissance texts and studies ; v. 277</t>
        </is>
      </c>
      <c r="R1232" t="inlineStr">
        <is>
          <t xml:space="preserve">HQ </t>
        </is>
      </c>
      <c r="S1232" t="n">
        <v>1</v>
      </c>
      <c r="T1232" t="n">
        <v>1</v>
      </c>
      <c r="U1232" t="inlineStr">
        <is>
          <t>2010-05-13</t>
        </is>
      </c>
      <c r="V1232" t="inlineStr">
        <is>
          <t>2010-05-13</t>
        </is>
      </c>
      <c r="W1232" t="inlineStr">
        <is>
          <t>2010-05-13</t>
        </is>
      </c>
      <c r="X1232" t="inlineStr">
        <is>
          <t>2010-05-13</t>
        </is>
      </c>
      <c r="Y1232" t="n">
        <v>174</v>
      </c>
      <c r="Z1232" t="n">
        <v>122</v>
      </c>
      <c r="AA1232" t="n">
        <v>123</v>
      </c>
      <c r="AB1232" t="n">
        <v>1</v>
      </c>
      <c r="AC1232" t="n">
        <v>1</v>
      </c>
      <c r="AD1232" t="n">
        <v>7</v>
      </c>
      <c r="AE1232" t="n">
        <v>7</v>
      </c>
      <c r="AF1232" t="n">
        <v>1</v>
      </c>
      <c r="AG1232" t="n">
        <v>1</v>
      </c>
      <c r="AH1232" t="n">
        <v>3</v>
      </c>
      <c r="AI1232" t="n">
        <v>3</v>
      </c>
      <c r="AJ1232" t="n">
        <v>4</v>
      </c>
      <c r="AK1232" t="n">
        <v>4</v>
      </c>
      <c r="AL1232" t="n">
        <v>0</v>
      </c>
      <c r="AM1232" t="n">
        <v>0</v>
      </c>
      <c r="AN1232" t="n">
        <v>0</v>
      </c>
      <c r="AO1232" t="n">
        <v>0</v>
      </c>
      <c r="AP1232" t="inlineStr">
        <is>
          <t>No</t>
        </is>
      </c>
      <c r="AQ1232" t="inlineStr">
        <is>
          <t>No</t>
        </is>
      </c>
      <c r="AS1232">
        <f>HYPERLINK("https://creighton-primo.hosted.exlibrisgroup.com/primo-explore/search?tab=default_tab&amp;search_scope=EVERYTHING&amp;vid=01CRU&amp;lang=en_US&amp;offset=0&amp;query=any,contains,991005386529702656","Catalog Record")</f>
        <v/>
      </c>
      <c r="AT1232">
        <f>HYPERLINK("http://www.worldcat.org/oclc/56615673","WorldCat Record")</f>
        <v/>
      </c>
      <c r="AU1232" t="inlineStr">
        <is>
          <t>905754766:eng</t>
        </is>
      </c>
      <c r="AV1232" t="inlineStr">
        <is>
          <t>56615673</t>
        </is>
      </c>
      <c r="AW1232" t="inlineStr">
        <is>
          <t>991005386529702656</t>
        </is>
      </c>
      <c r="AX1232" t="inlineStr">
        <is>
          <t>991005386529702656</t>
        </is>
      </c>
      <c r="AY1232" t="inlineStr">
        <is>
          <t>2254842460002656</t>
        </is>
      </c>
      <c r="AZ1232" t="inlineStr">
        <is>
          <t>BOOK</t>
        </is>
      </c>
      <c r="BB1232" t="inlineStr">
        <is>
          <t>9780866983204</t>
        </is>
      </c>
      <c r="BC1232" t="inlineStr">
        <is>
          <t>32285005582530</t>
        </is>
      </c>
      <c r="BD1232" t="inlineStr">
        <is>
          <t>893261072</t>
        </is>
      </c>
    </row>
    <row r="1233">
      <c r="A1233" t="inlineStr">
        <is>
          <t>No</t>
        </is>
      </c>
      <c r="B1233" t="inlineStr">
        <is>
          <t>HQ18.G7 S477 1982</t>
        </is>
      </c>
      <c r="C1233" t="inlineStr">
        <is>
          <t>0                      HQ 0018000G  7                  S  477         1982</t>
        </is>
      </c>
      <c r="D1233" t="inlineStr">
        <is>
          <t>Sexuality in eighteenth-century Britain / Paul-Gabriel Boucé, editor.</t>
        </is>
      </c>
      <c r="F1233" t="inlineStr">
        <is>
          <t>No</t>
        </is>
      </c>
      <c r="G1233" t="inlineStr">
        <is>
          <t>1</t>
        </is>
      </c>
      <c r="H1233" t="inlineStr">
        <is>
          <t>No</t>
        </is>
      </c>
      <c r="I1233" t="inlineStr">
        <is>
          <t>No</t>
        </is>
      </c>
      <c r="J1233" t="inlineStr">
        <is>
          <t>0</t>
        </is>
      </c>
      <c r="L1233" t="inlineStr">
        <is>
          <t>Totowa, N.J. : Manchester University Press : Barnes &amp; Noble Books, 1982.</t>
        </is>
      </c>
      <c r="M1233" t="inlineStr">
        <is>
          <t>1982</t>
        </is>
      </c>
      <c r="O1233" t="inlineStr">
        <is>
          <t>eng</t>
        </is>
      </c>
      <c r="P1233" t="inlineStr">
        <is>
          <t>nju</t>
        </is>
      </c>
      <c r="R1233" t="inlineStr">
        <is>
          <t xml:space="preserve">HQ </t>
        </is>
      </c>
      <c r="S1233" t="n">
        <v>1</v>
      </c>
      <c r="T1233" t="n">
        <v>1</v>
      </c>
      <c r="U1233" t="inlineStr">
        <is>
          <t>2005-05-04</t>
        </is>
      </c>
      <c r="V1233" t="inlineStr">
        <is>
          <t>2005-05-04</t>
        </is>
      </c>
      <c r="W1233" t="inlineStr">
        <is>
          <t>2005-05-04</t>
        </is>
      </c>
      <c r="X1233" t="inlineStr">
        <is>
          <t>2005-05-04</t>
        </is>
      </c>
      <c r="Y1233" t="n">
        <v>409</v>
      </c>
      <c r="Z1233" t="n">
        <v>325</v>
      </c>
      <c r="AA1233" t="n">
        <v>345</v>
      </c>
      <c r="AB1233" t="n">
        <v>3</v>
      </c>
      <c r="AC1233" t="n">
        <v>4</v>
      </c>
      <c r="AD1233" t="n">
        <v>13</v>
      </c>
      <c r="AE1233" t="n">
        <v>14</v>
      </c>
      <c r="AF1233" t="n">
        <v>5</v>
      </c>
      <c r="AG1233" t="n">
        <v>5</v>
      </c>
      <c r="AH1233" t="n">
        <v>4</v>
      </c>
      <c r="AI1233" t="n">
        <v>4</v>
      </c>
      <c r="AJ1233" t="n">
        <v>6</v>
      </c>
      <c r="AK1233" t="n">
        <v>6</v>
      </c>
      <c r="AL1233" t="n">
        <v>2</v>
      </c>
      <c r="AM1233" t="n">
        <v>3</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HYPERLINK("https://creighton-primo.hosted.exlibrisgroup.com/primo-explore/search?tab=default_tab&amp;search_scope=EVERYTHING&amp;vid=01CRU&amp;lang=en_US&amp;offset=0&amp;query=any,contains,991004549769702656","Catalog Record")</f>
        <v/>
      </c>
      <c r="AT1233">
        <f>HYPERLINK("http://www.worldcat.org/oclc/8476458","WorldCat Record")</f>
        <v/>
      </c>
      <c r="AU1233" t="inlineStr">
        <is>
          <t>54501779:eng</t>
        </is>
      </c>
      <c r="AV1233" t="inlineStr">
        <is>
          <t>8476458</t>
        </is>
      </c>
      <c r="AW1233" t="inlineStr">
        <is>
          <t>991004549769702656</t>
        </is>
      </c>
      <c r="AX1233" t="inlineStr">
        <is>
          <t>991004549769702656</t>
        </is>
      </c>
      <c r="AY1233" t="inlineStr">
        <is>
          <t>2257600880002656</t>
        </is>
      </c>
      <c r="AZ1233" t="inlineStr">
        <is>
          <t>BOOK</t>
        </is>
      </c>
      <c r="BB1233" t="inlineStr">
        <is>
          <t>9780389203131</t>
        </is>
      </c>
      <c r="BC1233" t="inlineStr">
        <is>
          <t>32285005035620</t>
        </is>
      </c>
      <c r="BD1233" t="inlineStr">
        <is>
          <t>893506981</t>
        </is>
      </c>
    </row>
    <row r="1234">
      <c r="A1234" t="inlineStr">
        <is>
          <t>No</t>
        </is>
      </c>
      <c r="B1234" t="inlineStr">
        <is>
          <t>HQ18.G7 W43</t>
        </is>
      </c>
      <c r="C1234" t="inlineStr">
        <is>
          <t>0                      HQ 0018000G  7                  W  43</t>
        </is>
      </c>
      <c r="D1234" t="inlineStr">
        <is>
          <t>Sex, politics, and society : the regulation of sexuality since 1800 / Jeffrey Weeks.</t>
        </is>
      </c>
      <c r="F1234" t="inlineStr">
        <is>
          <t>No</t>
        </is>
      </c>
      <c r="G1234" t="inlineStr">
        <is>
          <t>1</t>
        </is>
      </c>
      <c r="H1234" t="inlineStr">
        <is>
          <t>No</t>
        </is>
      </c>
      <c r="I1234" t="inlineStr">
        <is>
          <t>No</t>
        </is>
      </c>
      <c r="J1234" t="inlineStr">
        <is>
          <t>0</t>
        </is>
      </c>
      <c r="K1234" t="inlineStr">
        <is>
          <t>Weeks, Jeffrey, 1945-</t>
        </is>
      </c>
      <c r="L1234" t="inlineStr">
        <is>
          <t>London ; New York : Longman, 1981.</t>
        </is>
      </c>
      <c r="M1234" t="inlineStr">
        <is>
          <t>1981</t>
        </is>
      </c>
      <c r="O1234" t="inlineStr">
        <is>
          <t>eng</t>
        </is>
      </c>
      <c r="P1234" t="inlineStr">
        <is>
          <t>enk</t>
        </is>
      </c>
      <c r="Q1234" t="inlineStr">
        <is>
          <t>Themes in British social history</t>
        </is>
      </c>
      <c r="R1234" t="inlineStr">
        <is>
          <t xml:space="preserve">HQ </t>
        </is>
      </c>
      <c r="S1234" t="n">
        <v>14</v>
      </c>
      <c r="T1234" t="n">
        <v>14</v>
      </c>
      <c r="U1234" t="inlineStr">
        <is>
          <t>2007-11-12</t>
        </is>
      </c>
      <c r="V1234" t="inlineStr">
        <is>
          <t>2007-11-12</t>
        </is>
      </c>
      <c r="W1234" t="inlineStr">
        <is>
          <t>1990-07-24</t>
        </is>
      </c>
      <c r="X1234" t="inlineStr">
        <is>
          <t>1990-07-24</t>
        </is>
      </c>
      <c r="Y1234" t="n">
        <v>610</v>
      </c>
      <c r="Z1234" t="n">
        <v>409</v>
      </c>
      <c r="AA1234" t="n">
        <v>656</v>
      </c>
      <c r="AB1234" t="n">
        <v>6</v>
      </c>
      <c r="AC1234" t="n">
        <v>6</v>
      </c>
      <c r="AD1234" t="n">
        <v>21</v>
      </c>
      <c r="AE1234" t="n">
        <v>32</v>
      </c>
      <c r="AF1234" t="n">
        <v>6</v>
      </c>
      <c r="AG1234" t="n">
        <v>12</v>
      </c>
      <c r="AH1234" t="n">
        <v>6</v>
      </c>
      <c r="AI1234" t="n">
        <v>7</v>
      </c>
      <c r="AJ1234" t="n">
        <v>9</v>
      </c>
      <c r="AK1234" t="n">
        <v>16</v>
      </c>
      <c r="AL1234" t="n">
        <v>5</v>
      </c>
      <c r="AM1234" t="n">
        <v>5</v>
      </c>
      <c r="AN1234" t="n">
        <v>0</v>
      </c>
      <c r="AO1234" t="n">
        <v>0</v>
      </c>
      <c r="AP1234" t="inlineStr">
        <is>
          <t>No</t>
        </is>
      </c>
      <c r="AQ1234" t="inlineStr">
        <is>
          <t>Yes</t>
        </is>
      </c>
      <c r="AR1234">
        <f>HYPERLINK("http://catalog.hathitrust.org/Record/000142466","HathiTrust Record")</f>
        <v/>
      </c>
      <c r="AS1234">
        <f>HYPERLINK("https://creighton-primo.hosted.exlibrisgroup.com/primo-explore/search?tab=default_tab&amp;search_scope=EVERYTHING&amp;vid=01CRU&amp;lang=en_US&amp;offset=0&amp;query=any,contains,991005043489702656","Catalog Record")</f>
        <v/>
      </c>
      <c r="AT1234">
        <f>HYPERLINK("http://www.worldcat.org/oclc/6813677","WorldCat Record")</f>
        <v/>
      </c>
      <c r="AU1234" t="inlineStr">
        <is>
          <t>795229733:eng</t>
        </is>
      </c>
      <c r="AV1234" t="inlineStr">
        <is>
          <t>6813677</t>
        </is>
      </c>
      <c r="AW1234" t="inlineStr">
        <is>
          <t>991005043489702656</t>
        </is>
      </c>
      <c r="AX1234" t="inlineStr">
        <is>
          <t>991005043489702656</t>
        </is>
      </c>
      <c r="AY1234" t="inlineStr">
        <is>
          <t>2268448870002656</t>
        </is>
      </c>
      <c r="AZ1234" t="inlineStr">
        <is>
          <t>BOOK</t>
        </is>
      </c>
      <c r="BB1234" t="inlineStr">
        <is>
          <t>9780582483330</t>
        </is>
      </c>
      <c r="BC1234" t="inlineStr">
        <is>
          <t>32285000247972</t>
        </is>
      </c>
      <c r="BD1234" t="inlineStr">
        <is>
          <t>893507525</t>
        </is>
      </c>
    </row>
    <row r="1235">
      <c r="A1235" t="inlineStr">
        <is>
          <t>No</t>
        </is>
      </c>
      <c r="B1235" t="inlineStr">
        <is>
          <t>HQ18.G8 G37 2000</t>
        </is>
      </c>
      <c r="C1235" t="inlineStr">
        <is>
          <t>0                      HQ 0018000G  8                  G  37          2000</t>
        </is>
      </c>
      <c r="D1235" t="inlineStr">
        <is>
          <t>Sexual culture in ancient Greece / Daniel H. Garrison.</t>
        </is>
      </c>
      <c r="F1235" t="inlineStr">
        <is>
          <t>No</t>
        </is>
      </c>
      <c r="G1235" t="inlineStr">
        <is>
          <t>1</t>
        </is>
      </c>
      <c r="H1235" t="inlineStr">
        <is>
          <t>No</t>
        </is>
      </c>
      <c r="I1235" t="inlineStr">
        <is>
          <t>No</t>
        </is>
      </c>
      <c r="J1235" t="inlineStr">
        <is>
          <t>0</t>
        </is>
      </c>
      <c r="K1235" t="inlineStr">
        <is>
          <t>Garrison, Daniel H.</t>
        </is>
      </c>
      <c r="L1235" t="inlineStr">
        <is>
          <t>Norman : University of Oklahoma Press, c2000.</t>
        </is>
      </c>
      <c r="M1235" t="inlineStr">
        <is>
          <t>2000</t>
        </is>
      </c>
      <c r="O1235" t="inlineStr">
        <is>
          <t>eng</t>
        </is>
      </c>
      <c r="P1235" t="inlineStr">
        <is>
          <t>oku</t>
        </is>
      </c>
      <c r="Q1235" t="inlineStr">
        <is>
          <t>Oklahoma series in classical culture ; v. 24</t>
        </is>
      </c>
      <c r="R1235" t="inlineStr">
        <is>
          <t xml:space="preserve">HQ </t>
        </is>
      </c>
      <c r="S1235" t="n">
        <v>7</v>
      </c>
      <c r="T1235" t="n">
        <v>7</v>
      </c>
      <c r="U1235" t="inlineStr">
        <is>
          <t>2003-04-18</t>
        </is>
      </c>
      <c r="V1235" t="inlineStr">
        <is>
          <t>2003-04-18</t>
        </is>
      </c>
      <c r="W1235" t="inlineStr">
        <is>
          <t>2001-02-07</t>
        </is>
      </c>
      <c r="X1235" t="inlineStr">
        <is>
          <t>2001-02-07</t>
        </is>
      </c>
      <c r="Y1235" t="n">
        <v>406</v>
      </c>
      <c r="Z1235" t="n">
        <v>335</v>
      </c>
      <c r="AA1235" t="n">
        <v>335</v>
      </c>
      <c r="AB1235" t="n">
        <v>4</v>
      </c>
      <c r="AC1235" t="n">
        <v>4</v>
      </c>
      <c r="AD1235" t="n">
        <v>21</v>
      </c>
      <c r="AE1235" t="n">
        <v>21</v>
      </c>
      <c r="AF1235" t="n">
        <v>7</v>
      </c>
      <c r="AG1235" t="n">
        <v>7</v>
      </c>
      <c r="AH1235" t="n">
        <v>7</v>
      </c>
      <c r="AI1235" t="n">
        <v>7</v>
      </c>
      <c r="AJ1235" t="n">
        <v>9</v>
      </c>
      <c r="AK1235" t="n">
        <v>9</v>
      </c>
      <c r="AL1235" t="n">
        <v>3</v>
      </c>
      <c r="AM1235" t="n">
        <v>3</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HYPERLINK("https://creighton-primo.hosted.exlibrisgroup.com/primo-explore/search?tab=default_tab&amp;search_scope=EVERYTHING&amp;vid=01CRU&amp;lang=en_US&amp;offset=0&amp;query=any,contains,991003485459702656","Catalog Record")</f>
        <v/>
      </c>
      <c r="AT1235">
        <f>HYPERLINK("http://www.worldcat.org/oclc/42592829","WorldCat Record")</f>
        <v/>
      </c>
      <c r="AU1235" t="inlineStr">
        <is>
          <t>44372552:eng</t>
        </is>
      </c>
      <c r="AV1235" t="inlineStr">
        <is>
          <t>42592829</t>
        </is>
      </c>
      <c r="AW1235" t="inlineStr">
        <is>
          <t>991003485459702656</t>
        </is>
      </c>
      <c r="AX1235" t="inlineStr">
        <is>
          <t>991003485459702656</t>
        </is>
      </c>
      <c r="AY1235" t="inlineStr">
        <is>
          <t>2256079940002656</t>
        </is>
      </c>
      <c r="AZ1235" t="inlineStr">
        <is>
          <t>BOOK</t>
        </is>
      </c>
      <c r="BB1235" t="inlineStr">
        <is>
          <t>9780806132372</t>
        </is>
      </c>
      <c r="BC1235" t="inlineStr">
        <is>
          <t>32285004294251</t>
        </is>
      </c>
      <c r="BD1235" t="inlineStr">
        <is>
          <t>893505628</t>
        </is>
      </c>
    </row>
    <row r="1236">
      <c r="A1236" t="inlineStr">
        <is>
          <t>No</t>
        </is>
      </c>
      <c r="B1236" t="inlineStr">
        <is>
          <t>HQ18.N6 S49 1999</t>
        </is>
      </c>
      <c r="C1236" t="inlineStr">
        <is>
          <t>0                      HQ 0018000N  6                  S  49          1999</t>
        </is>
      </c>
      <c r="D1236" t="inlineStr">
        <is>
          <t>Sex, love, race : crossing boundaries in North American history / edited by Martha Hodes.</t>
        </is>
      </c>
      <c r="F1236" t="inlineStr">
        <is>
          <t>No</t>
        </is>
      </c>
      <c r="G1236" t="inlineStr">
        <is>
          <t>1</t>
        </is>
      </c>
      <c r="H1236" t="inlineStr">
        <is>
          <t>No</t>
        </is>
      </c>
      <c r="I1236" t="inlineStr">
        <is>
          <t>No</t>
        </is>
      </c>
      <c r="J1236" t="inlineStr">
        <is>
          <t>0</t>
        </is>
      </c>
      <c r="L1236" t="inlineStr">
        <is>
          <t>New York : New York University Press, c1999.</t>
        </is>
      </c>
      <c r="M1236" t="inlineStr">
        <is>
          <t>1999</t>
        </is>
      </c>
      <c r="O1236" t="inlineStr">
        <is>
          <t>eng</t>
        </is>
      </c>
      <c r="P1236" t="inlineStr">
        <is>
          <t>nyu</t>
        </is>
      </c>
      <c r="R1236" t="inlineStr">
        <is>
          <t xml:space="preserve">HQ </t>
        </is>
      </c>
      <c r="S1236" t="n">
        <v>12</v>
      </c>
      <c r="T1236" t="n">
        <v>12</v>
      </c>
      <c r="U1236" t="inlineStr">
        <is>
          <t>2007-02-28</t>
        </is>
      </c>
      <c r="V1236" t="inlineStr">
        <is>
          <t>2007-02-28</t>
        </is>
      </c>
      <c r="W1236" t="inlineStr">
        <is>
          <t>1999-11-09</t>
        </is>
      </c>
      <c r="X1236" t="inlineStr">
        <is>
          <t>1999-11-09</t>
        </is>
      </c>
      <c r="Y1236" t="n">
        <v>576</v>
      </c>
      <c r="Z1236" t="n">
        <v>483</v>
      </c>
      <c r="AA1236" t="n">
        <v>488</v>
      </c>
      <c r="AB1236" t="n">
        <v>4</v>
      </c>
      <c r="AC1236" t="n">
        <v>4</v>
      </c>
      <c r="AD1236" t="n">
        <v>21</v>
      </c>
      <c r="AE1236" t="n">
        <v>21</v>
      </c>
      <c r="AF1236" t="n">
        <v>5</v>
      </c>
      <c r="AG1236" t="n">
        <v>5</v>
      </c>
      <c r="AH1236" t="n">
        <v>8</v>
      </c>
      <c r="AI1236" t="n">
        <v>8</v>
      </c>
      <c r="AJ1236" t="n">
        <v>11</v>
      </c>
      <c r="AK1236" t="n">
        <v>11</v>
      </c>
      <c r="AL1236" t="n">
        <v>3</v>
      </c>
      <c r="AM1236" t="n">
        <v>3</v>
      </c>
      <c r="AN1236" t="n">
        <v>0</v>
      </c>
      <c r="AO1236" t="n">
        <v>0</v>
      </c>
      <c r="AP1236" t="inlineStr">
        <is>
          <t>No</t>
        </is>
      </c>
      <c r="AQ1236" t="inlineStr">
        <is>
          <t>No</t>
        </is>
      </c>
      <c r="AS1236">
        <f>HYPERLINK("https://creighton-primo.hosted.exlibrisgroup.com/primo-explore/search?tab=default_tab&amp;search_scope=EVERYTHING&amp;vid=01CRU&amp;lang=en_US&amp;offset=0&amp;query=any,contains,991002967499702656","Catalog Record")</f>
        <v/>
      </c>
      <c r="AT1236">
        <f>HYPERLINK("http://www.worldcat.org/oclc/39714836","WorldCat Record")</f>
        <v/>
      </c>
      <c r="AU1236" t="inlineStr">
        <is>
          <t>836984642:eng</t>
        </is>
      </c>
      <c r="AV1236" t="inlineStr">
        <is>
          <t>39714836</t>
        </is>
      </c>
      <c r="AW1236" t="inlineStr">
        <is>
          <t>991002967499702656</t>
        </is>
      </c>
      <c r="AX1236" t="inlineStr">
        <is>
          <t>991002967499702656</t>
        </is>
      </c>
      <c r="AY1236" t="inlineStr">
        <is>
          <t>2259774460002656</t>
        </is>
      </c>
      <c r="AZ1236" t="inlineStr">
        <is>
          <t>BOOK</t>
        </is>
      </c>
      <c r="BB1236" t="inlineStr">
        <is>
          <t>9780814735565</t>
        </is>
      </c>
      <c r="BC1236" t="inlineStr">
        <is>
          <t>32285003619631</t>
        </is>
      </c>
      <c r="BD1236" t="inlineStr">
        <is>
          <t>893317488</t>
        </is>
      </c>
    </row>
    <row r="1237">
      <c r="A1237" t="inlineStr">
        <is>
          <t>No</t>
        </is>
      </c>
      <c r="B1237" t="inlineStr">
        <is>
          <t>HQ18.S7 T74 1995</t>
        </is>
      </c>
      <c r="C1237" t="inlineStr">
        <is>
          <t>0                      HQ 0018000S  7                  T  74          1995</t>
        </is>
      </c>
      <c r="D1237" t="inlineStr">
        <is>
          <t>Sex and conquest : gendered violence, political order, and the European conquest of the Americas / Richard C. Trexler.</t>
        </is>
      </c>
      <c r="F1237" t="inlineStr">
        <is>
          <t>No</t>
        </is>
      </c>
      <c r="G1237" t="inlineStr">
        <is>
          <t>1</t>
        </is>
      </c>
      <c r="H1237" t="inlineStr">
        <is>
          <t>No</t>
        </is>
      </c>
      <c r="I1237" t="inlineStr">
        <is>
          <t>No</t>
        </is>
      </c>
      <c r="J1237" t="inlineStr">
        <is>
          <t>0</t>
        </is>
      </c>
      <c r="K1237" t="inlineStr">
        <is>
          <t>Trexler, Richard C., 1932-2007.</t>
        </is>
      </c>
      <c r="L1237" t="inlineStr">
        <is>
          <t>Ithaca, N.Y. : Cornell University Press, c1995.</t>
        </is>
      </c>
      <c r="M1237" t="inlineStr">
        <is>
          <t>1995</t>
        </is>
      </c>
      <c r="O1237" t="inlineStr">
        <is>
          <t>eng</t>
        </is>
      </c>
      <c r="P1237" t="inlineStr">
        <is>
          <t>nyu</t>
        </is>
      </c>
      <c r="R1237" t="inlineStr">
        <is>
          <t xml:space="preserve">HQ </t>
        </is>
      </c>
      <c r="S1237" t="n">
        <v>6</v>
      </c>
      <c r="T1237" t="n">
        <v>6</v>
      </c>
      <c r="U1237" t="inlineStr">
        <is>
          <t>1996-12-04</t>
        </is>
      </c>
      <c r="V1237" t="inlineStr">
        <is>
          <t>1996-12-04</t>
        </is>
      </c>
      <c r="W1237" t="inlineStr">
        <is>
          <t>1996-07-08</t>
        </is>
      </c>
      <c r="X1237" t="inlineStr">
        <is>
          <t>1996-07-08</t>
        </is>
      </c>
      <c r="Y1237" t="n">
        <v>668</v>
      </c>
      <c r="Z1237" t="n">
        <v>564</v>
      </c>
      <c r="AA1237" t="n">
        <v>590</v>
      </c>
      <c r="AB1237" t="n">
        <v>5</v>
      </c>
      <c r="AC1237" t="n">
        <v>5</v>
      </c>
      <c r="AD1237" t="n">
        <v>29</v>
      </c>
      <c r="AE1237" t="n">
        <v>29</v>
      </c>
      <c r="AF1237" t="n">
        <v>10</v>
      </c>
      <c r="AG1237" t="n">
        <v>10</v>
      </c>
      <c r="AH1237" t="n">
        <v>10</v>
      </c>
      <c r="AI1237" t="n">
        <v>10</v>
      </c>
      <c r="AJ1237" t="n">
        <v>15</v>
      </c>
      <c r="AK1237" t="n">
        <v>15</v>
      </c>
      <c r="AL1237" t="n">
        <v>4</v>
      </c>
      <c r="AM1237" t="n">
        <v>4</v>
      </c>
      <c r="AN1237" t="n">
        <v>0</v>
      </c>
      <c r="AO1237" t="n">
        <v>0</v>
      </c>
      <c r="AP1237" t="inlineStr">
        <is>
          <t>No</t>
        </is>
      </c>
      <c r="AQ1237" t="inlineStr">
        <is>
          <t>Yes</t>
        </is>
      </c>
      <c r="AR1237">
        <f>HYPERLINK("http://catalog.hathitrust.org/Record/003016684","HathiTrust Record")</f>
        <v/>
      </c>
      <c r="AS1237">
        <f>HYPERLINK("https://creighton-primo.hosted.exlibrisgroup.com/primo-explore/search?tab=default_tab&amp;search_scope=EVERYTHING&amp;vid=01CRU&amp;lang=en_US&amp;offset=0&amp;query=any,contains,991002513069702656","Catalog Record")</f>
        <v/>
      </c>
      <c r="AT1237">
        <f>HYPERLINK("http://www.worldcat.org/oclc/32666659","WorldCat Record")</f>
        <v/>
      </c>
      <c r="AU1237" t="inlineStr">
        <is>
          <t>837026683:eng</t>
        </is>
      </c>
      <c r="AV1237" t="inlineStr">
        <is>
          <t>32666659</t>
        </is>
      </c>
      <c r="AW1237" t="inlineStr">
        <is>
          <t>991002513069702656</t>
        </is>
      </c>
      <c r="AX1237" t="inlineStr">
        <is>
          <t>991002513069702656</t>
        </is>
      </c>
      <c r="AY1237" t="inlineStr">
        <is>
          <t>2265127380002656</t>
        </is>
      </c>
      <c r="AZ1237" t="inlineStr">
        <is>
          <t>BOOK</t>
        </is>
      </c>
      <c r="BB1237" t="inlineStr">
        <is>
          <t>9780801432248</t>
        </is>
      </c>
      <c r="BC1237" t="inlineStr">
        <is>
          <t>32285002207115</t>
        </is>
      </c>
      <c r="BD1237" t="inlineStr">
        <is>
          <t>893239148</t>
        </is>
      </c>
    </row>
    <row r="1238">
      <c r="A1238" t="inlineStr">
        <is>
          <t>No</t>
        </is>
      </c>
      <c r="B1238" t="inlineStr">
        <is>
          <t>HQ18.U5 A46 1993</t>
        </is>
      </c>
      <c r="C1238" t="inlineStr">
        <is>
          <t>0                      HQ 0018000U  5                  A  46          1993</t>
        </is>
      </c>
      <c r="D1238" t="inlineStr">
        <is>
          <t>American sexual politics : sex, gender, and race since the Civil War / edited by John C. Fout and Maura Shaw Tantillo.</t>
        </is>
      </c>
      <c r="F1238" t="inlineStr">
        <is>
          <t>No</t>
        </is>
      </c>
      <c r="G1238" t="inlineStr">
        <is>
          <t>1</t>
        </is>
      </c>
      <c r="H1238" t="inlineStr">
        <is>
          <t>No</t>
        </is>
      </c>
      <c r="I1238" t="inlineStr">
        <is>
          <t>No</t>
        </is>
      </c>
      <c r="J1238" t="inlineStr">
        <is>
          <t>0</t>
        </is>
      </c>
      <c r="L1238" t="inlineStr">
        <is>
          <t>Chicago : University of Chicago Press, 1993.</t>
        </is>
      </c>
      <c r="M1238" t="inlineStr">
        <is>
          <t>1993</t>
        </is>
      </c>
      <c r="O1238" t="inlineStr">
        <is>
          <t>eng</t>
        </is>
      </c>
      <c r="P1238" t="inlineStr">
        <is>
          <t>ilu</t>
        </is>
      </c>
      <c r="R1238" t="inlineStr">
        <is>
          <t xml:space="preserve">HQ </t>
        </is>
      </c>
      <c r="S1238" t="n">
        <v>22</v>
      </c>
      <c r="T1238" t="n">
        <v>22</v>
      </c>
      <c r="U1238" t="inlineStr">
        <is>
          <t>1998-10-14</t>
        </is>
      </c>
      <c r="V1238" t="inlineStr">
        <is>
          <t>1998-10-14</t>
        </is>
      </c>
      <c r="W1238" t="inlineStr">
        <is>
          <t>1994-02-11</t>
        </is>
      </c>
      <c r="X1238" t="inlineStr">
        <is>
          <t>1994-02-11</t>
        </is>
      </c>
      <c r="Y1238" t="n">
        <v>516</v>
      </c>
      <c r="Z1238" t="n">
        <v>436</v>
      </c>
      <c r="AA1238" t="n">
        <v>436</v>
      </c>
      <c r="AB1238" t="n">
        <v>2</v>
      </c>
      <c r="AC1238" t="n">
        <v>2</v>
      </c>
      <c r="AD1238" t="n">
        <v>27</v>
      </c>
      <c r="AE1238" t="n">
        <v>27</v>
      </c>
      <c r="AF1238" t="n">
        <v>12</v>
      </c>
      <c r="AG1238" t="n">
        <v>12</v>
      </c>
      <c r="AH1238" t="n">
        <v>6</v>
      </c>
      <c r="AI1238" t="n">
        <v>6</v>
      </c>
      <c r="AJ1238" t="n">
        <v>13</v>
      </c>
      <c r="AK1238" t="n">
        <v>13</v>
      </c>
      <c r="AL1238" t="n">
        <v>1</v>
      </c>
      <c r="AM1238" t="n">
        <v>1</v>
      </c>
      <c r="AN1238" t="n">
        <v>1</v>
      </c>
      <c r="AO1238" t="n">
        <v>1</v>
      </c>
      <c r="AP1238" t="inlineStr">
        <is>
          <t>No</t>
        </is>
      </c>
      <c r="AQ1238" t="inlineStr">
        <is>
          <t>No</t>
        </is>
      </c>
      <c r="AS1238">
        <f>HYPERLINK("https://creighton-primo.hosted.exlibrisgroup.com/primo-explore/search?tab=default_tab&amp;search_scope=EVERYTHING&amp;vid=01CRU&amp;lang=en_US&amp;offset=0&amp;query=any,contains,991002128329702656","Catalog Record")</f>
        <v/>
      </c>
      <c r="AT1238">
        <f>HYPERLINK("http://www.worldcat.org/oclc/27265688","WorldCat Record")</f>
        <v/>
      </c>
      <c r="AU1238" t="inlineStr">
        <is>
          <t>836904527:eng</t>
        </is>
      </c>
      <c r="AV1238" t="inlineStr">
        <is>
          <t>27265688</t>
        </is>
      </c>
      <c r="AW1238" t="inlineStr">
        <is>
          <t>991002128329702656</t>
        </is>
      </c>
      <c r="AX1238" t="inlineStr">
        <is>
          <t>991002128329702656</t>
        </is>
      </c>
      <c r="AY1238" t="inlineStr">
        <is>
          <t>2269745800002656</t>
        </is>
      </c>
      <c r="AZ1238" t="inlineStr">
        <is>
          <t>BOOK</t>
        </is>
      </c>
      <c r="BB1238" t="inlineStr">
        <is>
          <t>9780226257846</t>
        </is>
      </c>
      <c r="BC1238" t="inlineStr">
        <is>
          <t>32285001841575</t>
        </is>
      </c>
      <c r="BD1238" t="inlineStr">
        <is>
          <t>893603223</t>
        </is>
      </c>
    </row>
    <row r="1239">
      <c r="A1239" t="inlineStr">
        <is>
          <t>No</t>
        </is>
      </c>
      <c r="B1239" t="inlineStr">
        <is>
          <t>HQ18.U5 D38</t>
        </is>
      </c>
      <c r="C1239" t="inlineStr">
        <is>
          <t>0                      HQ 0018000U  5                  D  38</t>
        </is>
      </c>
      <c r="D1239" t="inlineStr">
        <is>
          <t>Intimate life styles : marriage and its alternatives / edited by Joann S. DeLora and Jack R. DeLora.</t>
        </is>
      </c>
      <c r="F1239" t="inlineStr">
        <is>
          <t>No</t>
        </is>
      </c>
      <c r="G1239" t="inlineStr">
        <is>
          <t>1</t>
        </is>
      </c>
      <c r="H1239" t="inlineStr">
        <is>
          <t>No</t>
        </is>
      </c>
      <c r="I1239" t="inlineStr">
        <is>
          <t>No</t>
        </is>
      </c>
      <c r="J1239" t="inlineStr">
        <is>
          <t>0</t>
        </is>
      </c>
      <c r="K1239" t="inlineStr">
        <is>
          <t>DeLora, Joann S. compiler.</t>
        </is>
      </c>
      <c r="L1239" t="inlineStr">
        <is>
          <t>Pacific Palisades, Calif. : Goodyear Pub. Co., [1972]</t>
        </is>
      </c>
      <c r="M1239" t="inlineStr">
        <is>
          <t>1972</t>
        </is>
      </c>
      <c r="O1239" t="inlineStr">
        <is>
          <t>eng</t>
        </is>
      </c>
      <c r="P1239" t="inlineStr">
        <is>
          <t>cau</t>
        </is>
      </c>
      <c r="R1239" t="inlineStr">
        <is>
          <t xml:space="preserve">HQ </t>
        </is>
      </c>
      <c r="S1239" t="n">
        <v>21</v>
      </c>
      <c r="T1239" t="n">
        <v>21</v>
      </c>
      <c r="U1239" t="inlineStr">
        <is>
          <t>1996-04-28</t>
        </is>
      </c>
      <c r="V1239" t="inlineStr">
        <is>
          <t>1996-04-28</t>
        </is>
      </c>
      <c r="W1239" t="inlineStr">
        <is>
          <t>1992-02-03</t>
        </is>
      </c>
      <c r="X1239" t="inlineStr">
        <is>
          <t>1992-02-03</t>
        </is>
      </c>
      <c r="Y1239" t="n">
        <v>335</v>
      </c>
      <c r="Z1239" t="n">
        <v>289</v>
      </c>
      <c r="AA1239" t="n">
        <v>476</v>
      </c>
      <c r="AB1239" t="n">
        <v>2</v>
      </c>
      <c r="AC1239" t="n">
        <v>2</v>
      </c>
      <c r="AD1239" t="n">
        <v>14</v>
      </c>
      <c r="AE1239" t="n">
        <v>24</v>
      </c>
      <c r="AF1239" t="n">
        <v>6</v>
      </c>
      <c r="AG1239" t="n">
        <v>12</v>
      </c>
      <c r="AH1239" t="n">
        <v>2</v>
      </c>
      <c r="AI1239" t="n">
        <v>5</v>
      </c>
      <c r="AJ1239" t="n">
        <v>7</v>
      </c>
      <c r="AK1239" t="n">
        <v>12</v>
      </c>
      <c r="AL1239" t="n">
        <v>1</v>
      </c>
      <c r="AM1239" t="n">
        <v>1</v>
      </c>
      <c r="AN1239" t="n">
        <v>0</v>
      </c>
      <c r="AO1239" t="n">
        <v>0</v>
      </c>
      <c r="AP1239" t="inlineStr">
        <is>
          <t>No</t>
        </is>
      </c>
      <c r="AQ1239" t="inlineStr">
        <is>
          <t>Yes</t>
        </is>
      </c>
      <c r="AR1239">
        <f>HYPERLINK("http://catalog.hathitrust.org/Record/003530506","HathiTrust Record")</f>
        <v/>
      </c>
      <c r="AS1239">
        <f>HYPERLINK("https://creighton-primo.hosted.exlibrisgroup.com/primo-explore/search?tab=default_tab&amp;search_scope=EVERYTHING&amp;vid=01CRU&amp;lang=en_US&amp;offset=0&amp;query=any,contains,991002843929702656","Catalog Record")</f>
        <v/>
      </c>
      <c r="AT1239">
        <f>HYPERLINK("http://www.worldcat.org/oclc/483744","WorldCat Record")</f>
        <v/>
      </c>
      <c r="AU1239" t="inlineStr">
        <is>
          <t>1566200:eng</t>
        </is>
      </c>
      <c r="AV1239" t="inlineStr">
        <is>
          <t>483744</t>
        </is>
      </c>
      <c r="AW1239" t="inlineStr">
        <is>
          <t>991002843929702656</t>
        </is>
      </c>
      <c r="AX1239" t="inlineStr">
        <is>
          <t>991002843929702656</t>
        </is>
      </c>
      <c r="AY1239" t="inlineStr">
        <is>
          <t>2256368240002656</t>
        </is>
      </c>
      <c r="AZ1239" t="inlineStr">
        <is>
          <t>BOOK</t>
        </is>
      </c>
      <c r="BB1239" t="inlineStr">
        <is>
          <t>9780876204474</t>
        </is>
      </c>
      <c r="BC1239" t="inlineStr">
        <is>
          <t>32285000869676</t>
        </is>
      </c>
      <c r="BD1239" t="inlineStr">
        <is>
          <t>893530553</t>
        </is>
      </c>
    </row>
    <row r="1240">
      <c r="A1240" t="inlineStr">
        <is>
          <t>No</t>
        </is>
      </c>
      <c r="B1240" t="inlineStr">
        <is>
          <t>HQ18.U5 G55 1992</t>
        </is>
      </c>
      <c r="C1240" t="inlineStr">
        <is>
          <t>0                      HQ 0018000U  5                  G  55          1992</t>
        </is>
      </c>
      <c r="D1240" t="inlineStr">
        <is>
          <t>Men and marriage / George Gilder.</t>
        </is>
      </c>
      <c r="F1240" t="inlineStr">
        <is>
          <t>No</t>
        </is>
      </c>
      <c r="G1240" t="inlineStr">
        <is>
          <t>1</t>
        </is>
      </c>
      <c r="H1240" t="inlineStr">
        <is>
          <t>No</t>
        </is>
      </c>
      <c r="I1240" t="inlineStr">
        <is>
          <t>No</t>
        </is>
      </c>
      <c r="J1240" t="inlineStr">
        <is>
          <t>0</t>
        </is>
      </c>
      <c r="K1240" t="inlineStr">
        <is>
          <t>Gilder, George F., 1939-</t>
        </is>
      </c>
      <c r="L1240" t="inlineStr">
        <is>
          <t>Gretna, La. : Pelican Pub. Co., 1992.</t>
        </is>
      </c>
      <c r="M1240" t="inlineStr">
        <is>
          <t>1992</t>
        </is>
      </c>
      <c r="O1240" t="inlineStr">
        <is>
          <t>eng</t>
        </is>
      </c>
      <c r="P1240" t="inlineStr">
        <is>
          <t>lau</t>
        </is>
      </c>
      <c r="R1240" t="inlineStr">
        <is>
          <t xml:space="preserve">HQ </t>
        </is>
      </c>
      <c r="S1240" t="n">
        <v>15</v>
      </c>
      <c r="T1240" t="n">
        <v>15</v>
      </c>
      <c r="U1240" t="inlineStr">
        <is>
          <t>2009-11-06</t>
        </is>
      </c>
      <c r="V1240" t="inlineStr">
        <is>
          <t>2009-11-06</t>
        </is>
      </c>
      <c r="W1240" t="inlineStr">
        <is>
          <t>1996-09-05</t>
        </is>
      </c>
      <c r="X1240" t="inlineStr">
        <is>
          <t>1996-09-05</t>
        </is>
      </c>
      <c r="Y1240" t="n">
        <v>133</v>
      </c>
      <c r="Z1240" t="n">
        <v>118</v>
      </c>
      <c r="AA1240" t="n">
        <v>644</v>
      </c>
      <c r="AB1240" t="n">
        <v>1</v>
      </c>
      <c r="AC1240" t="n">
        <v>8</v>
      </c>
      <c r="AD1240" t="n">
        <v>8</v>
      </c>
      <c r="AE1240" t="n">
        <v>19</v>
      </c>
      <c r="AF1240" t="n">
        <v>5</v>
      </c>
      <c r="AG1240" t="n">
        <v>7</v>
      </c>
      <c r="AH1240" t="n">
        <v>4</v>
      </c>
      <c r="AI1240" t="n">
        <v>4</v>
      </c>
      <c r="AJ1240" t="n">
        <v>2</v>
      </c>
      <c r="AK1240" t="n">
        <v>7</v>
      </c>
      <c r="AL1240" t="n">
        <v>0</v>
      </c>
      <c r="AM1240" t="n">
        <v>3</v>
      </c>
      <c r="AN1240" t="n">
        <v>0</v>
      </c>
      <c r="AO1240" t="n">
        <v>1</v>
      </c>
      <c r="AP1240" t="inlineStr">
        <is>
          <t>No</t>
        </is>
      </c>
      <c r="AQ1240" t="inlineStr">
        <is>
          <t>No</t>
        </is>
      </c>
      <c r="AS1240">
        <f>HYPERLINK("https://creighton-primo.hosted.exlibrisgroup.com/primo-explore/search?tab=default_tab&amp;search_scope=EVERYTHING&amp;vid=01CRU&amp;lang=en_US&amp;offset=0&amp;query=any,contains,991002018969702656","Catalog Record")</f>
        <v/>
      </c>
      <c r="AT1240">
        <f>HYPERLINK("http://www.worldcat.org/oclc/25676003","WorldCat Record")</f>
        <v/>
      </c>
      <c r="AU1240" t="inlineStr">
        <is>
          <t>599874:eng</t>
        </is>
      </c>
      <c r="AV1240" t="inlineStr">
        <is>
          <t>25676003</t>
        </is>
      </c>
      <c r="AW1240" t="inlineStr">
        <is>
          <t>991002018969702656</t>
        </is>
      </c>
      <c r="AX1240" t="inlineStr">
        <is>
          <t>991002018969702656</t>
        </is>
      </c>
      <c r="AY1240" t="inlineStr">
        <is>
          <t>2269540940002656</t>
        </is>
      </c>
      <c r="AZ1240" t="inlineStr">
        <is>
          <t>BOOK</t>
        </is>
      </c>
      <c r="BB1240" t="inlineStr">
        <is>
          <t>9780882894447</t>
        </is>
      </c>
      <c r="BC1240" t="inlineStr">
        <is>
          <t>32285002294618</t>
        </is>
      </c>
      <c r="BD1240" t="inlineStr">
        <is>
          <t>893898291</t>
        </is>
      </c>
    </row>
    <row r="1241">
      <c r="A1241" t="inlineStr">
        <is>
          <t>No</t>
        </is>
      </c>
      <c r="B1241" t="inlineStr">
        <is>
          <t>HQ18.U5 H43 1997</t>
        </is>
      </c>
      <c r="C1241" t="inlineStr">
        <is>
          <t>0                      HQ 0018000U  5                  H  43          1997</t>
        </is>
      </c>
      <c r="D1241" t="inlineStr">
        <is>
          <t>What wild ecstasy : the rise and fall of the sexual revolution / John Heidenry.</t>
        </is>
      </c>
      <c r="F1241" t="inlineStr">
        <is>
          <t>No</t>
        </is>
      </c>
      <c r="G1241" t="inlineStr">
        <is>
          <t>1</t>
        </is>
      </c>
      <c r="H1241" t="inlineStr">
        <is>
          <t>No</t>
        </is>
      </c>
      <c r="I1241" t="inlineStr">
        <is>
          <t>No</t>
        </is>
      </c>
      <c r="J1241" t="inlineStr">
        <is>
          <t>0</t>
        </is>
      </c>
      <c r="K1241" t="inlineStr">
        <is>
          <t>Heidenry, John.</t>
        </is>
      </c>
      <c r="L1241" t="inlineStr">
        <is>
          <t>New York : Simon &amp; Schuster, c1997.</t>
        </is>
      </c>
      <c r="M1241" t="inlineStr">
        <is>
          <t>1997</t>
        </is>
      </c>
      <c r="O1241" t="inlineStr">
        <is>
          <t>eng</t>
        </is>
      </c>
      <c r="P1241" t="inlineStr">
        <is>
          <t>nyu</t>
        </is>
      </c>
      <c r="R1241" t="inlineStr">
        <is>
          <t xml:space="preserve">HQ </t>
        </is>
      </c>
      <c r="S1241" t="n">
        <v>6</v>
      </c>
      <c r="T1241" t="n">
        <v>6</v>
      </c>
      <c r="U1241" t="inlineStr">
        <is>
          <t>1999-11-13</t>
        </is>
      </c>
      <c r="V1241" t="inlineStr">
        <is>
          <t>1999-11-13</t>
        </is>
      </c>
      <c r="W1241" t="inlineStr">
        <is>
          <t>1997-07-01</t>
        </is>
      </c>
      <c r="X1241" t="inlineStr">
        <is>
          <t>1997-07-01</t>
        </is>
      </c>
      <c r="Y1241" t="n">
        <v>651</v>
      </c>
      <c r="Z1241" t="n">
        <v>576</v>
      </c>
      <c r="AA1241" t="n">
        <v>582</v>
      </c>
      <c r="AB1241" t="n">
        <v>6</v>
      </c>
      <c r="AC1241" t="n">
        <v>6</v>
      </c>
      <c r="AD1241" t="n">
        <v>20</v>
      </c>
      <c r="AE1241" t="n">
        <v>20</v>
      </c>
      <c r="AF1241" t="n">
        <v>5</v>
      </c>
      <c r="AG1241" t="n">
        <v>5</v>
      </c>
      <c r="AH1241" t="n">
        <v>5</v>
      </c>
      <c r="AI1241" t="n">
        <v>5</v>
      </c>
      <c r="AJ1241" t="n">
        <v>11</v>
      </c>
      <c r="AK1241" t="n">
        <v>11</v>
      </c>
      <c r="AL1241" t="n">
        <v>4</v>
      </c>
      <c r="AM1241" t="n">
        <v>4</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HYPERLINK("https://creighton-primo.hosted.exlibrisgroup.com/primo-explore/search?tab=default_tab&amp;search_scope=EVERYTHING&amp;vid=01CRU&amp;lang=en_US&amp;offset=0&amp;query=any,contains,991002753999702656","Catalog Record")</f>
        <v/>
      </c>
      <c r="AT1241">
        <f>HYPERLINK("http://www.worldcat.org/oclc/36130704","WorldCat Record")</f>
        <v/>
      </c>
      <c r="AU1241" t="inlineStr">
        <is>
          <t>837055202:eng</t>
        </is>
      </c>
      <c r="AV1241" t="inlineStr">
        <is>
          <t>36130704</t>
        </is>
      </c>
      <c r="AW1241" t="inlineStr">
        <is>
          <t>991002753999702656</t>
        </is>
      </c>
      <c r="AX1241" t="inlineStr">
        <is>
          <t>991002753999702656</t>
        </is>
      </c>
      <c r="AY1241" t="inlineStr">
        <is>
          <t>2254904630002656</t>
        </is>
      </c>
      <c r="AZ1241" t="inlineStr">
        <is>
          <t>BOOK</t>
        </is>
      </c>
      <c r="BB1241" t="inlineStr">
        <is>
          <t>9780684810379</t>
        </is>
      </c>
      <c r="BC1241" t="inlineStr">
        <is>
          <t>32285002754934</t>
        </is>
      </c>
      <c r="BD1241" t="inlineStr">
        <is>
          <t>893603977</t>
        </is>
      </c>
    </row>
    <row r="1242">
      <c r="A1242" t="inlineStr">
        <is>
          <t>No</t>
        </is>
      </c>
      <c r="B1242" t="inlineStr">
        <is>
          <t>HQ18.U5 H46 1982</t>
        </is>
      </c>
      <c r="C1242" t="inlineStr">
        <is>
          <t>0                      HQ 0018000U  5                  H  46          1982</t>
        </is>
      </c>
      <c r="D1242" t="inlineStr">
        <is>
          <t>Your sexual freedom : letters to students / Richard Hettlinger.</t>
        </is>
      </c>
      <c r="F1242" t="inlineStr">
        <is>
          <t>No</t>
        </is>
      </c>
      <c r="G1242" t="inlineStr">
        <is>
          <t>1</t>
        </is>
      </c>
      <c r="H1242" t="inlineStr">
        <is>
          <t>No</t>
        </is>
      </c>
      <c r="I1242" t="inlineStr">
        <is>
          <t>No</t>
        </is>
      </c>
      <c r="J1242" t="inlineStr">
        <is>
          <t>0</t>
        </is>
      </c>
      <c r="K1242" t="inlineStr">
        <is>
          <t>Hettlinger, Richard F. (Richard Frederick)</t>
        </is>
      </c>
      <c r="L1242" t="inlineStr">
        <is>
          <t>New York : Continuum, 1982, c1981.</t>
        </is>
      </c>
      <c r="M1242" t="inlineStr">
        <is>
          <t>1982</t>
        </is>
      </c>
      <c r="O1242" t="inlineStr">
        <is>
          <t>eng</t>
        </is>
      </c>
      <c r="P1242" t="inlineStr">
        <is>
          <t>nyu</t>
        </is>
      </c>
      <c r="R1242" t="inlineStr">
        <is>
          <t xml:space="preserve">HQ </t>
        </is>
      </c>
      <c r="S1242" t="n">
        <v>16</v>
      </c>
      <c r="T1242" t="n">
        <v>16</v>
      </c>
      <c r="U1242" t="inlineStr">
        <is>
          <t>2009-11-06</t>
        </is>
      </c>
      <c r="V1242" t="inlineStr">
        <is>
          <t>2009-11-06</t>
        </is>
      </c>
      <c r="W1242" t="inlineStr">
        <is>
          <t>1992-08-14</t>
        </is>
      </c>
      <c r="X1242" t="inlineStr">
        <is>
          <t>1992-08-14</t>
        </is>
      </c>
      <c r="Y1242" t="n">
        <v>181</v>
      </c>
      <c r="Z1242" t="n">
        <v>169</v>
      </c>
      <c r="AA1242" t="n">
        <v>170</v>
      </c>
      <c r="AB1242" t="n">
        <v>1</v>
      </c>
      <c r="AC1242" t="n">
        <v>1</v>
      </c>
      <c r="AD1242" t="n">
        <v>4</v>
      </c>
      <c r="AE1242" t="n">
        <v>4</v>
      </c>
      <c r="AF1242" t="n">
        <v>0</v>
      </c>
      <c r="AG1242" t="n">
        <v>0</v>
      </c>
      <c r="AH1242" t="n">
        <v>1</v>
      </c>
      <c r="AI1242" t="n">
        <v>1</v>
      </c>
      <c r="AJ1242" t="n">
        <v>3</v>
      </c>
      <c r="AK1242" t="n">
        <v>3</v>
      </c>
      <c r="AL1242" t="n">
        <v>0</v>
      </c>
      <c r="AM1242" t="n">
        <v>0</v>
      </c>
      <c r="AN1242" t="n">
        <v>0</v>
      </c>
      <c r="AO1242" t="n">
        <v>0</v>
      </c>
      <c r="AP1242" t="inlineStr">
        <is>
          <t>No</t>
        </is>
      </c>
      <c r="AQ1242" t="inlineStr">
        <is>
          <t>Yes</t>
        </is>
      </c>
      <c r="AR1242">
        <f>HYPERLINK("http://catalog.hathitrust.org/Record/101929414","HathiTrust Record")</f>
        <v/>
      </c>
      <c r="AS1242">
        <f>HYPERLINK("https://creighton-primo.hosted.exlibrisgroup.com/primo-explore/search?tab=default_tab&amp;search_scope=EVERYTHING&amp;vid=01CRU&amp;lang=en_US&amp;offset=0&amp;query=any,contains,991005182889702656","Catalog Record")</f>
        <v/>
      </c>
      <c r="AT1242">
        <f>HYPERLINK("http://www.worldcat.org/oclc/7947460","WorldCat Record")</f>
        <v/>
      </c>
      <c r="AU1242" t="inlineStr">
        <is>
          <t>36461680:eng</t>
        </is>
      </c>
      <c r="AV1242" t="inlineStr">
        <is>
          <t>7947460</t>
        </is>
      </c>
      <c r="AW1242" t="inlineStr">
        <is>
          <t>991005182889702656</t>
        </is>
      </c>
      <c r="AX1242" t="inlineStr">
        <is>
          <t>991005182889702656</t>
        </is>
      </c>
      <c r="AY1242" t="inlineStr">
        <is>
          <t>2270192690002656</t>
        </is>
      </c>
      <c r="AZ1242" t="inlineStr">
        <is>
          <t>BOOK</t>
        </is>
      </c>
      <c r="BB1242" t="inlineStr">
        <is>
          <t>9780826401847</t>
        </is>
      </c>
      <c r="BC1242" t="inlineStr">
        <is>
          <t>32285001258986</t>
        </is>
      </c>
      <c r="BD1242" t="inlineStr">
        <is>
          <t>893514195</t>
        </is>
      </c>
    </row>
    <row r="1243">
      <c r="A1243" t="inlineStr">
        <is>
          <t>No</t>
        </is>
      </c>
      <c r="B1243" t="inlineStr">
        <is>
          <t>HQ18.U5 H673 2002</t>
        </is>
      </c>
      <c r="C1243" t="inlineStr">
        <is>
          <t>0                      HQ 0018000U  5                  H  673         2002</t>
        </is>
      </c>
      <c r="D1243" t="inlineStr">
        <is>
          <t>Rereading sex : battles over sexual knowledge and suppression in nineteenth-century America / Helen Lefkowitz Horowitz.</t>
        </is>
      </c>
      <c r="F1243" t="inlineStr">
        <is>
          <t>No</t>
        </is>
      </c>
      <c r="G1243" t="inlineStr">
        <is>
          <t>1</t>
        </is>
      </c>
      <c r="H1243" t="inlineStr">
        <is>
          <t>No</t>
        </is>
      </c>
      <c r="I1243" t="inlineStr">
        <is>
          <t>No</t>
        </is>
      </c>
      <c r="J1243" t="inlineStr">
        <is>
          <t>0</t>
        </is>
      </c>
      <c r="K1243" t="inlineStr">
        <is>
          <t>Horowitz, Helen Lefkowitz.</t>
        </is>
      </c>
      <c r="L1243" t="inlineStr">
        <is>
          <t>New York : Alfred A. Knopf : Distributed by Random House, 2002.</t>
        </is>
      </c>
      <c r="M1243" t="inlineStr">
        <is>
          <t>2002</t>
        </is>
      </c>
      <c r="N1243" t="inlineStr">
        <is>
          <t>1st ed.</t>
        </is>
      </c>
      <c r="O1243" t="inlineStr">
        <is>
          <t>eng</t>
        </is>
      </c>
      <c r="P1243" t="inlineStr">
        <is>
          <t>nyu</t>
        </is>
      </c>
      <c r="R1243" t="inlineStr">
        <is>
          <t xml:space="preserve">HQ </t>
        </is>
      </c>
      <c r="S1243" t="n">
        <v>4</v>
      </c>
      <c r="T1243" t="n">
        <v>4</v>
      </c>
      <c r="U1243" t="inlineStr">
        <is>
          <t>2007-03-13</t>
        </is>
      </c>
      <c r="V1243" t="inlineStr">
        <is>
          <t>2007-03-13</t>
        </is>
      </c>
      <c r="W1243" t="inlineStr">
        <is>
          <t>2002-09-30</t>
        </is>
      </c>
      <c r="X1243" t="inlineStr">
        <is>
          <t>2002-09-30</t>
        </is>
      </c>
      <c r="Y1243" t="n">
        <v>792</v>
      </c>
      <c r="Z1243" t="n">
        <v>729</v>
      </c>
      <c r="AA1243" t="n">
        <v>835</v>
      </c>
      <c r="AB1243" t="n">
        <v>4</v>
      </c>
      <c r="AC1243" t="n">
        <v>6</v>
      </c>
      <c r="AD1243" t="n">
        <v>31</v>
      </c>
      <c r="AE1243" t="n">
        <v>37</v>
      </c>
      <c r="AF1243" t="n">
        <v>15</v>
      </c>
      <c r="AG1243" t="n">
        <v>18</v>
      </c>
      <c r="AH1243" t="n">
        <v>7</v>
      </c>
      <c r="AI1243" t="n">
        <v>7</v>
      </c>
      <c r="AJ1243" t="n">
        <v>13</v>
      </c>
      <c r="AK1243" t="n">
        <v>14</v>
      </c>
      <c r="AL1243" t="n">
        <v>3</v>
      </c>
      <c r="AM1243" t="n">
        <v>5</v>
      </c>
      <c r="AN1243" t="n">
        <v>1</v>
      </c>
      <c r="AO1243" t="n">
        <v>1</v>
      </c>
      <c r="AP1243" t="inlineStr">
        <is>
          <t>No</t>
        </is>
      </c>
      <c r="AQ1243" t="inlineStr">
        <is>
          <t>Yes</t>
        </is>
      </c>
      <c r="AR1243">
        <f>HYPERLINK("http://catalog.hathitrust.org/Record/004298143","HathiTrust Record")</f>
        <v/>
      </c>
      <c r="AS1243">
        <f>HYPERLINK("https://creighton-primo.hosted.exlibrisgroup.com/primo-explore/search?tab=default_tab&amp;search_scope=EVERYTHING&amp;vid=01CRU&amp;lang=en_US&amp;offset=0&amp;query=any,contains,991003900829702656","Catalog Record")</f>
        <v/>
      </c>
      <c r="AT1243">
        <f>HYPERLINK("http://www.worldcat.org/oclc/48965008","WorldCat Record")</f>
        <v/>
      </c>
      <c r="AU1243" t="inlineStr">
        <is>
          <t>687434:eng</t>
        </is>
      </c>
      <c r="AV1243" t="inlineStr">
        <is>
          <t>48965008</t>
        </is>
      </c>
      <c r="AW1243" t="inlineStr">
        <is>
          <t>991003900829702656</t>
        </is>
      </c>
      <c r="AX1243" t="inlineStr">
        <is>
          <t>991003900829702656</t>
        </is>
      </c>
      <c r="AY1243" t="inlineStr">
        <is>
          <t>2267200530002656</t>
        </is>
      </c>
      <c r="AZ1243" t="inlineStr">
        <is>
          <t>BOOK</t>
        </is>
      </c>
      <c r="BB1243" t="inlineStr">
        <is>
          <t>9780375401923</t>
        </is>
      </c>
      <c r="BC1243" t="inlineStr">
        <is>
          <t>32285004653902</t>
        </is>
      </c>
      <c r="BD1243" t="inlineStr">
        <is>
          <t>893519020</t>
        </is>
      </c>
    </row>
    <row r="1244">
      <c r="A1244" t="inlineStr">
        <is>
          <t>No</t>
        </is>
      </c>
      <c r="B1244" t="inlineStr">
        <is>
          <t>HQ18.U5 R39 1990</t>
        </is>
      </c>
      <c r="C1244" t="inlineStr">
        <is>
          <t>0                      HQ 0018000U  5                  R  39          1990</t>
        </is>
      </c>
      <c r="D1244" t="inlineStr">
        <is>
          <t>An end to shame : shaping our next sexual revolution / Ira L. Reiss with Harriet M. Reiss.</t>
        </is>
      </c>
      <c r="F1244" t="inlineStr">
        <is>
          <t>No</t>
        </is>
      </c>
      <c r="G1244" t="inlineStr">
        <is>
          <t>1</t>
        </is>
      </c>
      <c r="H1244" t="inlineStr">
        <is>
          <t>No</t>
        </is>
      </c>
      <c r="I1244" t="inlineStr">
        <is>
          <t>No</t>
        </is>
      </c>
      <c r="J1244" t="inlineStr">
        <is>
          <t>0</t>
        </is>
      </c>
      <c r="K1244" t="inlineStr">
        <is>
          <t>Reiss, Ira L.</t>
        </is>
      </c>
      <c r="L1244" t="inlineStr">
        <is>
          <t>Buffalo, N.Y. : Prometheus Books, c1990.</t>
        </is>
      </c>
      <c r="M1244" t="inlineStr">
        <is>
          <t>1990</t>
        </is>
      </c>
      <c r="O1244" t="inlineStr">
        <is>
          <t>eng</t>
        </is>
      </c>
      <c r="P1244" t="inlineStr">
        <is>
          <t>nyu</t>
        </is>
      </c>
      <c r="R1244" t="inlineStr">
        <is>
          <t xml:space="preserve">HQ </t>
        </is>
      </c>
      <c r="S1244" t="n">
        <v>4</v>
      </c>
      <c r="T1244" t="n">
        <v>4</v>
      </c>
      <c r="U1244" t="inlineStr">
        <is>
          <t>2005-03-22</t>
        </is>
      </c>
      <c r="V1244" t="inlineStr">
        <is>
          <t>2005-03-22</t>
        </is>
      </c>
      <c r="W1244" t="inlineStr">
        <is>
          <t>1994-11-29</t>
        </is>
      </c>
      <c r="X1244" t="inlineStr">
        <is>
          <t>1994-11-29</t>
        </is>
      </c>
      <c r="Y1244" t="n">
        <v>574</v>
      </c>
      <c r="Z1244" t="n">
        <v>520</v>
      </c>
      <c r="AA1244" t="n">
        <v>534</v>
      </c>
      <c r="AB1244" t="n">
        <v>4</v>
      </c>
      <c r="AC1244" t="n">
        <v>4</v>
      </c>
      <c r="AD1244" t="n">
        <v>23</v>
      </c>
      <c r="AE1244" t="n">
        <v>24</v>
      </c>
      <c r="AF1244" t="n">
        <v>7</v>
      </c>
      <c r="AG1244" t="n">
        <v>7</v>
      </c>
      <c r="AH1244" t="n">
        <v>7</v>
      </c>
      <c r="AI1244" t="n">
        <v>8</v>
      </c>
      <c r="AJ1244" t="n">
        <v>13</v>
      </c>
      <c r="AK1244" t="n">
        <v>13</v>
      </c>
      <c r="AL1244" t="n">
        <v>3</v>
      </c>
      <c r="AM1244" t="n">
        <v>3</v>
      </c>
      <c r="AN1244" t="n">
        <v>0</v>
      </c>
      <c r="AO1244" t="n">
        <v>0</v>
      </c>
      <c r="AP1244" t="inlineStr">
        <is>
          <t>No</t>
        </is>
      </c>
      <c r="AQ1244" t="inlineStr">
        <is>
          <t>No</t>
        </is>
      </c>
      <c r="AS1244">
        <f>HYPERLINK("https://creighton-primo.hosted.exlibrisgroup.com/primo-explore/search?tab=default_tab&amp;search_scope=EVERYTHING&amp;vid=01CRU&amp;lang=en_US&amp;offset=0&amp;query=any,contains,991001750179702656","Catalog Record")</f>
        <v/>
      </c>
      <c r="AT1244">
        <f>HYPERLINK("http://www.worldcat.org/oclc/22178820","WorldCat Record")</f>
        <v/>
      </c>
      <c r="AU1244" t="inlineStr">
        <is>
          <t>203530195:eng</t>
        </is>
      </c>
      <c r="AV1244" t="inlineStr">
        <is>
          <t>22178820</t>
        </is>
      </c>
      <c r="AW1244" t="inlineStr">
        <is>
          <t>991001750179702656</t>
        </is>
      </c>
      <c r="AX1244" t="inlineStr">
        <is>
          <t>991001750179702656</t>
        </is>
      </c>
      <c r="AY1244" t="inlineStr">
        <is>
          <t>2260698130002656</t>
        </is>
      </c>
      <c r="AZ1244" t="inlineStr">
        <is>
          <t>BOOK</t>
        </is>
      </c>
      <c r="BB1244" t="inlineStr">
        <is>
          <t>9780879756352</t>
        </is>
      </c>
      <c r="BC1244" t="inlineStr">
        <is>
          <t>32285001975068</t>
        </is>
      </c>
      <c r="BD1244" t="inlineStr">
        <is>
          <t>893809175</t>
        </is>
      </c>
    </row>
    <row r="1245">
      <c r="A1245" t="inlineStr">
        <is>
          <t>No</t>
        </is>
      </c>
      <c r="B1245" t="inlineStr">
        <is>
          <t>HQ18.U5 R433 1997</t>
        </is>
      </c>
      <c r="C1245" t="inlineStr">
        <is>
          <t>0                      HQ 0018000U  5                  R  433         1997</t>
        </is>
      </c>
      <c r="D1245" t="inlineStr">
        <is>
          <t>Solving America's sexual crises / Ira L. Reiss with Harriet M. Reiss.</t>
        </is>
      </c>
      <c r="F1245" t="inlineStr">
        <is>
          <t>No</t>
        </is>
      </c>
      <c r="G1245" t="inlineStr">
        <is>
          <t>1</t>
        </is>
      </c>
      <c r="H1245" t="inlineStr">
        <is>
          <t>No</t>
        </is>
      </c>
      <c r="I1245" t="inlineStr">
        <is>
          <t>No</t>
        </is>
      </c>
      <c r="J1245" t="inlineStr">
        <is>
          <t>0</t>
        </is>
      </c>
      <c r="K1245" t="inlineStr">
        <is>
          <t>Reiss, Ira L.</t>
        </is>
      </c>
      <c r="L1245" t="inlineStr">
        <is>
          <t>Amherst, N.Y. : Prometheus Books, 1997.</t>
        </is>
      </c>
      <c r="M1245" t="inlineStr">
        <is>
          <t>1997</t>
        </is>
      </c>
      <c r="O1245" t="inlineStr">
        <is>
          <t>eng</t>
        </is>
      </c>
      <c r="P1245" t="inlineStr">
        <is>
          <t>nyu</t>
        </is>
      </c>
      <c r="R1245" t="inlineStr">
        <is>
          <t xml:space="preserve">HQ </t>
        </is>
      </c>
      <c r="S1245" t="n">
        <v>22</v>
      </c>
      <c r="T1245" t="n">
        <v>22</v>
      </c>
      <c r="U1245" t="inlineStr">
        <is>
          <t>2005-04-21</t>
        </is>
      </c>
      <c r="V1245" t="inlineStr">
        <is>
          <t>2005-04-21</t>
        </is>
      </c>
      <c r="W1245" t="inlineStr">
        <is>
          <t>1998-02-04</t>
        </is>
      </c>
      <c r="X1245" t="inlineStr">
        <is>
          <t>1998-02-04</t>
        </is>
      </c>
      <c r="Y1245" t="n">
        <v>197</v>
      </c>
      <c r="Z1245" t="n">
        <v>185</v>
      </c>
      <c r="AA1245" t="n">
        <v>186</v>
      </c>
      <c r="AB1245" t="n">
        <v>2</v>
      </c>
      <c r="AC1245" t="n">
        <v>2</v>
      </c>
      <c r="AD1245" t="n">
        <v>9</v>
      </c>
      <c r="AE1245" t="n">
        <v>9</v>
      </c>
      <c r="AF1245" t="n">
        <v>3</v>
      </c>
      <c r="AG1245" t="n">
        <v>3</v>
      </c>
      <c r="AH1245" t="n">
        <v>3</v>
      </c>
      <c r="AI1245" t="n">
        <v>3</v>
      </c>
      <c r="AJ1245" t="n">
        <v>4</v>
      </c>
      <c r="AK1245" t="n">
        <v>4</v>
      </c>
      <c r="AL1245" t="n">
        <v>1</v>
      </c>
      <c r="AM1245" t="n">
        <v>1</v>
      </c>
      <c r="AN1245" t="n">
        <v>0</v>
      </c>
      <c r="AO1245" t="n">
        <v>0</v>
      </c>
      <c r="AP1245" t="inlineStr">
        <is>
          <t>No</t>
        </is>
      </c>
      <c r="AQ1245" t="inlineStr">
        <is>
          <t>Yes</t>
        </is>
      </c>
      <c r="AR1245">
        <f>HYPERLINK("http://catalog.hathitrust.org/Record/003965817","HathiTrust Record")</f>
        <v/>
      </c>
      <c r="AS1245">
        <f>HYPERLINK("https://creighton-primo.hosted.exlibrisgroup.com/primo-explore/search?tab=default_tab&amp;search_scope=EVERYTHING&amp;vid=01CRU&amp;lang=en_US&amp;offset=0&amp;query=any,contains,991002845699702656","Catalog Record")</f>
        <v/>
      </c>
      <c r="AT1245">
        <f>HYPERLINK("http://www.worldcat.org/oclc/37493528","WorldCat Record")</f>
        <v/>
      </c>
      <c r="AU1245" t="inlineStr">
        <is>
          <t>686381:eng</t>
        </is>
      </c>
      <c r="AV1245" t="inlineStr">
        <is>
          <t>37493528</t>
        </is>
      </c>
      <c r="AW1245" t="inlineStr">
        <is>
          <t>991002845699702656</t>
        </is>
      </c>
      <c r="AX1245" t="inlineStr">
        <is>
          <t>991002845699702656</t>
        </is>
      </c>
      <c r="AY1245" t="inlineStr">
        <is>
          <t>2268775030002656</t>
        </is>
      </c>
      <c r="AZ1245" t="inlineStr">
        <is>
          <t>BOOK</t>
        </is>
      </c>
      <c r="BB1245" t="inlineStr">
        <is>
          <t>9781573921725</t>
        </is>
      </c>
      <c r="BC1245" t="inlineStr">
        <is>
          <t>32285003312252</t>
        </is>
      </c>
      <c r="BD1245" t="inlineStr">
        <is>
          <t>893710749</t>
        </is>
      </c>
    </row>
    <row r="1246">
      <c r="A1246" t="inlineStr">
        <is>
          <t>No</t>
        </is>
      </c>
      <c r="B1246" t="inlineStr">
        <is>
          <t>HQ18.U5 R53</t>
        </is>
      </c>
      <c r="C1246" t="inlineStr">
        <is>
          <t>0                      HQ 0018000U  5                  R  53</t>
        </is>
      </c>
      <c r="D1246" t="inlineStr">
        <is>
          <t>Nun, witch, playmate : the Americanization of sex / [by] Herbert W. Richardson.</t>
        </is>
      </c>
      <c r="F1246" t="inlineStr">
        <is>
          <t>No</t>
        </is>
      </c>
      <c r="G1246" t="inlineStr">
        <is>
          <t>1</t>
        </is>
      </c>
      <c r="H1246" t="inlineStr">
        <is>
          <t>No</t>
        </is>
      </c>
      <c r="I1246" t="inlineStr">
        <is>
          <t>No</t>
        </is>
      </c>
      <c r="J1246" t="inlineStr">
        <is>
          <t>0</t>
        </is>
      </c>
      <c r="K1246" t="inlineStr">
        <is>
          <t>Richardson, Herbert, 1932-</t>
        </is>
      </c>
      <c r="L1246" t="inlineStr">
        <is>
          <t>New York : Harper &amp; Row, [1971]</t>
        </is>
      </c>
      <c r="M1246" t="inlineStr">
        <is>
          <t>1971</t>
        </is>
      </c>
      <c r="N1246" t="inlineStr">
        <is>
          <t>[1st ed.]</t>
        </is>
      </c>
      <c r="O1246" t="inlineStr">
        <is>
          <t>eng</t>
        </is>
      </c>
      <c r="P1246" t="inlineStr">
        <is>
          <t>nyu</t>
        </is>
      </c>
      <c r="R1246" t="inlineStr">
        <is>
          <t xml:space="preserve">HQ </t>
        </is>
      </c>
      <c r="S1246" t="n">
        <v>24</v>
      </c>
      <c r="T1246" t="n">
        <v>24</v>
      </c>
      <c r="U1246" t="inlineStr">
        <is>
          <t>1994-10-06</t>
        </is>
      </c>
      <c r="V1246" t="inlineStr">
        <is>
          <t>1994-10-06</t>
        </is>
      </c>
      <c r="W1246" t="inlineStr">
        <is>
          <t>1992-04-15</t>
        </is>
      </c>
      <c r="X1246" t="inlineStr">
        <is>
          <t>1992-04-15</t>
        </is>
      </c>
      <c r="Y1246" t="n">
        <v>472</v>
      </c>
      <c r="Z1246" t="n">
        <v>433</v>
      </c>
      <c r="AA1246" t="n">
        <v>519</v>
      </c>
      <c r="AB1246" t="n">
        <v>3</v>
      </c>
      <c r="AC1246" t="n">
        <v>4</v>
      </c>
      <c r="AD1246" t="n">
        <v>27</v>
      </c>
      <c r="AE1246" t="n">
        <v>31</v>
      </c>
      <c r="AF1246" t="n">
        <v>8</v>
      </c>
      <c r="AG1246" t="n">
        <v>11</v>
      </c>
      <c r="AH1246" t="n">
        <v>9</v>
      </c>
      <c r="AI1246" t="n">
        <v>9</v>
      </c>
      <c r="AJ1246" t="n">
        <v>17</v>
      </c>
      <c r="AK1246" t="n">
        <v>18</v>
      </c>
      <c r="AL1246" t="n">
        <v>1</v>
      </c>
      <c r="AM1246" t="n">
        <v>2</v>
      </c>
      <c r="AN1246" t="n">
        <v>0</v>
      </c>
      <c r="AO1246" t="n">
        <v>0</v>
      </c>
      <c r="AP1246" t="inlineStr">
        <is>
          <t>No</t>
        </is>
      </c>
      <c r="AQ1246" t="inlineStr">
        <is>
          <t>Yes</t>
        </is>
      </c>
      <c r="AR1246">
        <f>HYPERLINK("http://catalog.hathitrust.org/Record/000976807","HathiTrust Record")</f>
        <v/>
      </c>
      <c r="AS1246">
        <f>HYPERLINK("https://creighton-primo.hosted.exlibrisgroup.com/primo-explore/search?tab=default_tab&amp;search_scope=EVERYTHING&amp;vid=01CRU&amp;lang=en_US&amp;offset=0&amp;query=any,contains,991001217939702656","Catalog Record")</f>
        <v/>
      </c>
      <c r="AT1246">
        <f>HYPERLINK("http://www.worldcat.org/oclc/195232","WorldCat Record")</f>
        <v/>
      </c>
      <c r="AU1246" t="inlineStr">
        <is>
          <t>1363159:eng</t>
        </is>
      </c>
      <c r="AV1246" t="inlineStr">
        <is>
          <t>195232</t>
        </is>
      </c>
      <c r="AW1246" t="inlineStr">
        <is>
          <t>991001217939702656</t>
        </is>
      </c>
      <c r="AX1246" t="inlineStr">
        <is>
          <t>991001217939702656</t>
        </is>
      </c>
      <c r="AY1246" t="inlineStr">
        <is>
          <t>2267132330002656</t>
        </is>
      </c>
      <c r="AZ1246" t="inlineStr">
        <is>
          <t>BOOK</t>
        </is>
      </c>
      <c r="BB1246" t="inlineStr">
        <is>
          <t>9780060668525</t>
        </is>
      </c>
      <c r="BC1246" t="inlineStr">
        <is>
          <t>32285001061075</t>
        </is>
      </c>
      <c r="BD1246" t="inlineStr">
        <is>
          <t>893696579</t>
        </is>
      </c>
    </row>
    <row r="1247">
      <c r="A1247" t="inlineStr">
        <is>
          <t>No</t>
        </is>
      </c>
      <c r="B1247" t="inlineStr">
        <is>
          <t>HQ18.U5 R65 1997</t>
        </is>
      </c>
      <c r="C1247" t="inlineStr">
        <is>
          <t>0                      HQ 0018000U  5                  R  65          1997</t>
        </is>
      </c>
      <c r="D1247" t="inlineStr">
        <is>
          <t>Last night in paradise : sex and morals at the century's end / Katie Roiphe.</t>
        </is>
      </c>
      <c r="F1247" t="inlineStr">
        <is>
          <t>No</t>
        </is>
      </c>
      <c r="G1247" t="inlineStr">
        <is>
          <t>1</t>
        </is>
      </c>
      <c r="H1247" t="inlineStr">
        <is>
          <t>No</t>
        </is>
      </c>
      <c r="I1247" t="inlineStr">
        <is>
          <t>No</t>
        </is>
      </c>
      <c r="J1247" t="inlineStr">
        <is>
          <t>0</t>
        </is>
      </c>
      <c r="K1247" t="inlineStr">
        <is>
          <t>Roiphe, Katie.</t>
        </is>
      </c>
      <c r="L1247" t="inlineStr">
        <is>
          <t>Boston : Little, Brown, c1997.</t>
        </is>
      </c>
      <c r="M1247" t="inlineStr">
        <is>
          <t>1997</t>
        </is>
      </c>
      <c r="N1247" t="inlineStr">
        <is>
          <t>1st ed.</t>
        </is>
      </c>
      <c r="O1247" t="inlineStr">
        <is>
          <t>eng</t>
        </is>
      </c>
      <c r="P1247" t="inlineStr">
        <is>
          <t>mau</t>
        </is>
      </c>
      <c r="R1247" t="inlineStr">
        <is>
          <t xml:space="preserve">HQ </t>
        </is>
      </c>
      <c r="S1247" t="n">
        <v>5</v>
      </c>
      <c r="T1247" t="n">
        <v>5</v>
      </c>
      <c r="U1247" t="inlineStr">
        <is>
          <t>1998-04-02</t>
        </is>
      </c>
      <c r="V1247" t="inlineStr">
        <is>
          <t>1998-04-02</t>
        </is>
      </c>
      <c r="W1247" t="inlineStr">
        <is>
          <t>1997-05-06</t>
        </is>
      </c>
      <c r="X1247" t="inlineStr">
        <is>
          <t>1997-05-06</t>
        </is>
      </c>
      <c r="Y1247" t="n">
        <v>506</v>
      </c>
      <c r="Z1247" t="n">
        <v>456</v>
      </c>
      <c r="AA1247" t="n">
        <v>493</v>
      </c>
      <c r="AB1247" t="n">
        <v>6</v>
      </c>
      <c r="AC1247" t="n">
        <v>6</v>
      </c>
      <c r="AD1247" t="n">
        <v>17</v>
      </c>
      <c r="AE1247" t="n">
        <v>18</v>
      </c>
      <c r="AF1247" t="n">
        <v>5</v>
      </c>
      <c r="AG1247" t="n">
        <v>5</v>
      </c>
      <c r="AH1247" t="n">
        <v>3</v>
      </c>
      <c r="AI1247" t="n">
        <v>4</v>
      </c>
      <c r="AJ1247" t="n">
        <v>11</v>
      </c>
      <c r="AK1247" t="n">
        <v>11</v>
      </c>
      <c r="AL1247" t="n">
        <v>3</v>
      </c>
      <c r="AM1247" t="n">
        <v>3</v>
      </c>
      <c r="AN1247" t="n">
        <v>0</v>
      </c>
      <c r="AO1247" t="n">
        <v>0</v>
      </c>
      <c r="AP1247" t="inlineStr">
        <is>
          <t>No</t>
        </is>
      </c>
      <c r="AQ1247" t="inlineStr">
        <is>
          <t>No</t>
        </is>
      </c>
      <c r="AS1247">
        <f>HYPERLINK("https://creighton-primo.hosted.exlibrisgroup.com/primo-explore/search?tab=default_tab&amp;search_scope=EVERYTHING&amp;vid=01CRU&amp;lang=en_US&amp;offset=0&amp;query=any,contains,991002734699702656","Catalog Record")</f>
        <v/>
      </c>
      <c r="AT1247">
        <f>HYPERLINK("http://www.worldcat.org/oclc/35885055","WorldCat Record")</f>
        <v/>
      </c>
      <c r="AU1247" t="inlineStr">
        <is>
          <t>533595:eng</t>
        </is>
      </c>
      <c r="AV1247" t="inlineStr">
        <is>
          <t>35885055</t>
        </is>
      </c>
      <c r="AW1247" t="inlineStr">
        <is>
          <t>991002734699702656</t>
        </is>
      </c>
      <c r="AX1247" t="inlineStr">
        <is>
          <t>991002734699702656</t>
        </is>
      </c>
      <c r="AY1247" t="inlineStr">
        <is>
          <t>2262249120002656</t>
        </is>
      </c>
      <c r="AZ1247" t="inlineStr">
        <is>
          <t>BOOK</t>
        </is>
      </c>
      <c r="BB1247" t="inlineStr">
        <is>
          <t>9780316754392</t>
        </is>
      </c>
      <c r="BC1247" t="inlineStr">
        <is>
          <t>32285002544889</t>
        </is>
      </c>
      <c r="BD1247" t="inlineStr">
        <is>
          <t>893899142</t>
        </is>
      </c>
    </row>
    <row r="1248">
      <c r="A1248" t="inlineStr">
        <is>
          <t>No</t>
        </is>
      </c>
      <c r="B1248" t="inlineStr">
        <is>
          <t>HQ18.U5 S34 1988</t>
        </is>
      </c>
      <c r="C1248" t="inlineStr">
        <is>
          <t>0                      HQ 0018000U  5                  S  34          1988</t>
        </is>
      </c>
      <c r="D1248" t="inlineStr">
        <is>
          <t>The Americanization of sex / Edwin M. Schur.</t>
        </is>
      </c>
      <c r="F1248" t="inlineStr">
        <is>
          <t>No</t>
        </is>
      </c>
      <c r="G1248" t="inlineStr">
        <is>
          <t>1</t>
        </is>
      </c>
      <c r="H1248" t="inlineStr">
        <is>
          <t>No</t>
        </is>
      </c>
      <c r="I1248" t="inlineStr">
        <is>
          <t>No</t>
        </is>
      </c>
      <c r="J1248" t="inlineStr">
        <is>
          <t>0</t>
        </is>
      </c>
      <c r="K1248" t="inlineStr">
        <is>
          <t>Schur, Edwin M.</t>
        </is>
      </c>
      <c r="L1248" t="inlineStr">
        <is>
          <t>Philadelphia : Temple University Press, 1988.</t>
        </is>
      </c>
      <c r="M1248" t="inlineStr">
        <is>
          <t>1988</t>
        </is>
      </c>
      <c r="O1248" t="inlineStr">
        <is>
          <t>eng</t>
        </is>
      </c>
      <c r="P1248" t="inlineStr">
        <is>
          <t>pau</t>
        </is>
      </c>
      <c r="R1248" t="inlineStr">
        <is>
          <t xml:space="preserve">HQ </t>
        </is>
      </c>
      <c r="S1248" t="n">
        <v>5</v>
      </c>
      <c r="T1248" t="n">
        <v>5</v>
      </c>
      <c r="U1248" t="inlineStr">
        <is>
          <t>2002-10-06</t>
        </is>
      </c>
      <c r="V1248" t="inlineStr">
        <is>
          <t>2002-10-06</t>
        </is>
      </c>
      <c r="W1248" t="inlineStr">
        <is>
          <t>1990-07-24</t>
        </is>
      </c>
      <c r="X1248" t="inlineStr">
        <is>
          <t>1990-07-24</t>
        </is>
      </c>
      <c r="Y1248" t="n">
        <v>540</v>
      </c>
      <c r="Z1248" t="n">
        <v>474</v>
      </c>
      <c r="AA1248" t="n">
        <v>479</v>
      </c>
      <c r="AB1248" t="n">
        <v>3</v>
      </c>
      <c r="AC1248" t="n">
        <v>3</v>
      </c>
      <c r="AD1248" t="n">
        <v>24</v>
      </c>
      <c r="AE1248" t="n">
        <v>24</v>
      </c>
      <c r="AF1248" t="n">
        <v>7</v>
      </c>
      <c r="AG1248" t="n">
        <v>7</v>
      </c>
      <c r="AH1248" t="n">
        <v>7</v>
      </c>
      <c r="AI1248" t="n">
        <v>7</v>
      </c>
      <c r="AJ1248" t="n">
        <v>14</v>
      </c>
      <c r="AK1248" t="n">
        <v>14</v>
      </c>
      <c r="AL1248" t="n">
        <v>2</v>
      </c>
      <c r="AM1248" t="n">
        <v>2</v>
      </c>
      <c r="AN1248" t="n">
        <v>0</v>
      </c>
      <c r="AO1248" t="n">
        <v>0</v>
      </c>
      <c r="AP1248" t="inlineStr">
        <is>
          <t>No</t>
        </is>
      </c>
      <c r="AQ1248" t="inlineStr">
        <is>
          <t>No</t>
        </is>
      </c>
      <c r="AS1248">
        <f>HYPERLINK("https://creighton-primo.hosted.exlibrisgroup.com/primo-explore/search?tab=default_tab&amp;search_scope=EVERYTHING&amp;vid=01CRU&amp;lang=en_US&amp;offset=0&amp;query=any,contains,991001112559702656","Catalog Record")</f>
        <v/>
      </c>
      <c r="AT1248">
        <f>HYPERLINK("http://www.worldcat.org/oclc/16472234","WorldCat Record")</f>
        <v/>
      </c>
      <c r="AU1248" t="inlineStr">
        <is>
          <t>12325813:eng</t>
        </is>
      </c>
      <c r="AV1248" t="inlineStr">
        <is>
          <t>16472234</t>
        </is>
      </c>
      <c r="AW1248" t="inlineStr">
        <is>
          <t>991001112559702656</t>
        </is>
      </c>
      <c r="AX1248" t="inlineStr">
        <is>
          <t>991001112559702656</t>
        </is>
      </c>
      <c r="AY1248" t="inlineStr">
        <is>
          <t>2262518650002656</t>
        </is>
      </c>
      <c r="AZ1248" t="inlineStr">
        <is>
          <t>BOOK</t>
        </is>
      </c>
      <c r="BB1248" t="inlineStr">
        <is>
          <t>9780877225218</t>
        </is>
      </c>
      <c r="BC1248" t="inlineStr">
        <is>
          <t>32285000248004</t>
        </is>
      </c>
      <c r="BD1248" t="inlineStr">
        <is>
          <t>893225615</t>
        </is>
      </c>
    </row>
    <row r="1249">
      <c r="A1249" t="inlineStr">
        <is>
          <t>No</t>
        </is>
      </c>
      <c r="B1249" t="inlineStr">
        <is>
          <t>HQ18.U5 S54</t>
        </is>
      </c>
      <c r="C1249" t="inlineStr">
        <is>
          <t>0                      HQ 0018000U  5                  S  54</t>
        </is>
      </c>
      <c r="D1249" t="inlineStr">
        <is>
          <t>Studies in human sexual behavior: the American scene. With prefatory remarks by Paul H. Gebhard.</t>
        </is>
      </c>
      <c r="F1249" t="inlineStr">
        <is>
          <t>No</t>
        </is>
      </c>
      <c r="G1249" t="inlineStr">
        <is>
          <t>1</t>
        </is>
      </c>
      <c r="H1249" t="inlineStr">
        <is>
          <t>No</t>
        </is>
      </c>
      <c r="I1249" t="inlineStr">
        <is>
          <t>No</t>
        </is>
      </c>
      <c r="J1249" t="inlineStr">
        <is>
          <t>0</t>
        </is>
      </c>
      <c r="K1249" t="inlineStr">
        <is>
          <t>Shiloh, Ailon, compiler.</t>
        </is>
      </c>
      <c r="L1249" t="inlineStr">
        <is>
          <t>Springfield, Ill., Thomas [1970]</t>
        </is>
      </c>
      <c r="M1249" t="inlineStr">
        <is>
          <t>1970</t>
        </is>
      </c>
      <c r="O1249" t="inlineStr">
        <is>
          <t>eng</t>
        </is>
      </c>
      <c r="P1249" t="inlineStr">
        <is>
          <t>ilu</t>
        </is>
      </c>
      <c r="R1249" t="inlineStr">
        <is>
          <t xml:space="preserve">HQ </t>
        </is>
      </c>
      <c r="S1249" t="n">
        <v>7</v>
      </c>
      <c r="T1249" t="n">
        <v>7</v>
      </c>
      <c r="U1249" t="inlineStr">
        <is>
          <t>2005-03-26</t>
        </is>
      </c>
      <c r="V1249" t="inlineStr">
        <is>
          <t>2005-03-26</t>
        </is>
      </c>
      <c r="W1249" t="inlineStr">
        <is>
          <t>1992-02-26</t>
        </is>
      </c>
      <c r="X1249" t="inlineStr">
        <is>
          <t>1992-02-26</t>
        </is>
      </c>
      <c r="Y1249" t="n">
        <v>373</v>
      </c>
      <c r="Z1249" t="n">
        <v>326</v>
      </c>
      <c r="AA1249" t="n">
        <v>328</v>
      </c>
      <c r="AB1249" t="n">
        <v>3</v>
      </c>
      <c r="AC1249" t="n">
        <v>3</v>
      </c>
      <c r="AD1249" t="n">
        <v>13</v>
      </c>
      <c r="AE1249" t="n">
        <v>13</v>
      </c>
      <c r="AF1249" t="n">
        <v>4</v>
      </c>
      <c r="AG1249" t="n">
        <v>4</v>
      </c>
      <c r="AH1249" t="n">
        <v>4</v>
      </c>
      <c r="AI1249" t="n">
        <v>4</v>
      </c>
      <c r="AJ1249" t="n">
        <v>8</v>
      </c>
      <c r="AK1249" t="n">
        <v>8</v>
      </c>
      <c r="AL1249" t="n">
        <v>2</v>
      </c>
      <c r="AM1249" t="n">
        <v>2</v>
      </c>
      <c r="AN1249" t="n">
        <v>0</v>
      </c>
      <c r="AO1249" t="n">
        <v>0</v>
      </c>
      <c r="AP1249" t="inlineStr">
        <is>
          <t>No</t>
        </is>
      </c>
      <c r="AQ1249" t="inlineStr">
        <is>
          <t>Yes</t>
        </is>
      </c>
      <c r="AR1249">
        <f>HYPERLINK("http://catalog.hathitrust.org/Record/000001501","HathiTrust Record")</f>
        <v/>
      </c>
      <c r="AS1249">
        <f>HYPERLINK("https://creighton-primo.hosted.exlibrisgroup.com/primo-explore/search?tab=default_tab&amp;search_scope=EVERYTHING&amp;vid=01CRU&amp;lang=en_US&amp;offset=0&amp;query=any,contains,991000635469702656","Catalog Record")</f>
        <v/>
      </c>
      <c r="AT1249">
        <f>HYPERLINK("http://www.worldcat.org/oclc/107531","WorldCat Record")</f>
        <v/>
      </c>
      <c r="AU1249" t="inlineStr">
        <is>
          <t>1193581:eng</t>
        </is>
      </c>
      <c r="AV1249" t="inlineStr">
        <is>
          <t>107531</t>
        </is>
      </c>
      <c r="AW1249" t="inlineStr">
        <is>
          <t>991000635469702656</t>
        </is>
      </c>
      <c r="AX1249" t="inlineStr">
        <is>
          <t>991000635469702656</t>
        </is>
      </c>
      <c r="AY1249" t="inlineStr">
        <is>
          <t>2261840970002656</t>
        </is>
      </c>
      <c r="AZ1249" t="inlineStr">
        <is>
          <t>BOOK</t>
        </is>
      </c>
      <c r="BC1249" t="inlineStr">
        <is>
          <t>32285000948942</t>
        </is>
      </c>
      <c r="BD1249" t="inlineStr">
        <is>
          <t>893508964</t>
        </is>
      </c>
    </row>
    <row r="1250">
      <c r="A1250" t="inlineStr">
        <is>
          <t>No</t>
        </is>
      </c>
      <c r="B1250" t="inlineStr">
        <is>
          <t>HQ18.U5 S77</t>
        </is>
      </c>
      <c r="C1250" t="inlineStr">
        <is>
          <t>0                      HQ 0018000U  5                  S  77</t>
        </is>
      </c>
      <c r="D1250" t="inlineStr">
        <is>
          <t>Studies in the sociology of sex. Edited by James M. Henslin.</t>
        </is>
      </c>
      <c r="F1250" t="inlineStr">
        <is>
          <t>No</t>
        </is>
      </c>
      <c r="G1250" t="inlineStr">
        <is>
          <t>1</t>
        </is>
      </c>
      <c r="H1250" t="inlineStr">
        <is>
          <t>No</t>
        </is>
      </c>
      <c r="I1250" t="inlineStr">
        <is>
          <t>No</t>
        </is>
      </c>
      <c r="J1250" t="inlineStr">
        <is>
          <t>0</t>
        </is>
      </c>
      <c r="L1250" t="inlineStr">
        <is>
          <t>New York, Appleton-Century-Crofts [1971]</t>
        </is>
      </c>
      <c r="M1250" t="inlineStr">
        <is>
          <t>1971</t>
        </is>
      </c>
      <c r="O1250" t="inlineStr">
        <is>
          <t>eng</t>
        </is>
      </c>
      <c r="P1250" t="inlineStr">
        <is>
          <t>nyu</t>
        </is>
      </c>
      <c r="R1250" t="inlineStr">
        <is>
          <t xml:space="preserve">HQ </t>
        </is>
      </c>
      <c r="S1250" t="n">
        <v>10</v>
      </c>
      <c r="T1250" t="n">
        <v>10</v>
      </c>
      <c r="U1250" t="inlineStr">
        <is>
          <t>2005-10-11</t>
        </is>
      </c>
      <c r="V1250" t="inlineStr">
        <is>
          <t>2005-10-11</t>
        </is>
      </c>
      <c r="W1250" t="inlineStr">
        <is>
          <t>1992-04-07</t>
        </is>
      </c>
      <c r="X1250" t="inlineStr">
        <is>
          <t>1992-04-07</t>
        </is>
      </c>
      <c r="Y1250" t="n">
        <v>457</v>
      </c>
      <c r="Z1250" t="n">
        <v>382</v>
      </c>
      <c r="AA1250" t="n">
        <v>390</v>
      </c>
      <c r="AB1250" t="n">
        <v>3</v>
      </c>
      <c r="AC1250" t="n">
        <v>3</v>
      </c>
      <c r="AD1250" t="n">
        <v>17</v>
      </c>
      <c r="AE1250" t="n">
        <v>17</v>
      </c>
      <c r="AF1250" t="n">
        <v>7</v>
      </c>
      <c r="AG1250" t="n">
        <v>7</v>
      </c>
      <c r="AH1250" t="n">
        <v>4</v>
      </c>
      <c r="AI1250" t="n">
        <v>4</v>
      </c>
      <c r="AJ1250" t="n">
        <v>8</v>
      </c>
      <c r="AK1250" t="n">
        <v>8</v>
      </c>
      <c r="AL1250" t="n">
        <v>2</v>
      </c>
      <c r="AM1250" t="n">
        <v>2</v>
      </c>
      <c r="AN1250" t="n">
        <v>0</v>
      </c>
      <c r="AO1250" t="n">
        <v>0</v>
      </c>
      <c r="AP1250" t="inlineStr">
        <is>
          <t>No</t>
        </is>
      </c>
      <c r="AQ1250" t="inlineStr">
        <is>
          <t>Yes</t>
        </is>
      </c>
      <c r="AR1250">
        <f>HYPERLINK("http://catalog.hathitrust.org/Record/001109816","HathiTrust Record")</f>
        <v/>
      </c>
      <c r="AS1250">
        <f>HYPERLINK("https://creighton-primo.hosted.exlibrisgroup.com/primo-explore/search?tab=default_tab&amp;search_scope=EVERYTHING&amp;vid=01CRU&amp;lang=en_US&amp;offset=0&amp;query=any,contains,991000936639702656","Catalog Record")</f>
        <v/>
      </c>
      <c r="AT1250">
        <f>HYPERLINK("http://www.worldcat.org/oclc/165140","WorldCat Record")</f>
        <v/>
      </c>
      <c r="AU1250" t="inlineStr">
        <is>
          <t>3855702730:eng</t>
        </is>
      </c>
      <c r="AV1250" t="inlineStr">
        <is>
          <t>165140</t>
        </is>
      </c>
      <c r="AW1250" t="inlineStr">
        <is>
          <t>991000936639702656</t>
        </is>
      </c>
      <c r="AX1250" t="inlineStr">
        <is>
          <t>991000936639702656</t>
        </is>
      </c>
      <c r="AY1250" t="inlineStr">
        <is>
          <t>2269758400002656</t>
        </is>
      </c>
      <c r="AZ1250" t="inlineStr">
        <is>
          <t>BOOK</t>
        </is>
      </c>
      <c r="BB1250" t="inlineStr">
        <is>
          <t>9780390434951</t>
        </is>
      </c>
      <c r="BC1250" t="inlineStr">
        <is>
          <t>32285001051662</t>
        </is>
      </c>
      <c r="BD1250" t="inlineStr">
        <is>
          <t>893690167</t>
        </is>
      </c>
    </row>
    <row r="1251">
      <c r="A1251" t="inlineStr">
        <is>
          <t>No</t>
        </is>
      </c>
      <c r="B1251" t="inlineStr">
        <is>
          <t>HQ18.U5 W3</t>
        </is>
      </c>
      <c r="C1251" t="inlineStr">
        <is>
          <t>0                      HQ 0018000U  5                  W  3</t>
        </is>
      </c>
      <c r="D1251" t="inlineStr">
        <is>
          <t>Primers for prudery : sexual advice to Victorian America / by Ronald G. Walters.</t>
        </is>
      </c>
      <c r="F1251" t="inlineStr">
        <is>
          <t>No</t>
        </is>
      </c>
      <c r="G1251" t="inlineStr">
        <is>
          <t>1</t>
        </is>
      </c>
      <c r="H1251" t="inlineStr">
        <is>
          <t>No</t>
        </is>
      </c>
      <c r="I1251" t="inlineStr">
        <is>
          <t>No</t>
        </is>
      </c>
      <c r="J1251" t="inlineStr">
        <is>
          <t>0</t>
        </is>
      </c>
      <c r="K1251" t="inlineStr">
        <is>
          <t>Walters, Ronald G.</t>
        </is>
      </c>
      <c r="L1251" t="inlineStr">
        <is>
          <t>Englewood Cliffs, N.J. : Prentice-Hall, [1973, c1974]</t>
        </is>
      </c>
      <c r="M1251" t="inlineStr">
        <is>
          <t>1973</t>
        </is>
      </c>
      <c r="O1251" t="inlineStr">
        <is>
          <t>eng</t>
        </is>
      </c>
      <c r="P1251" t="inlineStr">
        <is>
          <t>nju</t>
        </is>
      </c>
      <c r="Q1251" t="inlineStr">
        <is>
          <t>A Spectrum book</t>
        </is>
      </c>
      <c r="R1251" t="inlineStr">
        <is>
          <t xml:space="preserve">HQ </t>
        </is>
      </c>
      <c r="S1251" t="n">
        <v>3</v>
      </c>
      <c r="T1251" t="n">
        <v>3</v>
      </c>
      <c r="U1251" t="inlineStr">
        <is>
          <t>1997-02-12</t>
        </is>
      </c>
      <c r="V1251" t="inlineStr">
        <is>
          <t>1997-02-12</t>
        </is>
      </c>
      <c r="W1251" t="inlineStr">
        <is>
          <t>1992-11-05</t>
        </is>
      </c>
      <c r="X1251" t="inlineStr">
        <is>
          <t>1992-11-05</t>
        </is>
      </c>
      <c r="Y1251" t="n">
        <v>397</v>
      </c>
      <c r="Z1251" t="n">
        <v>358</v>
      </c>
      <c r="AA1251" t="n">
        <v>501</v>
      </c>
      <c r="AB1251" t="n">
        <v>4</v>
      </c>
      <c r="AC1251" t="n">
        <v>5</v>
      </c>
      <c r="AD1251" t="n">
        <v>9</v>
      </c>
      <c r="AE1251" t="n">
        <v>22</v>
      </c>
      <c r="AF1251" t="n">
        <v>2</v>
      </c>
      <c r="AG1251" t="n">
        <v>6</v>
      </c>
      <c r="AH1251" t="n">
        <v>3</v>
      </c>
      <c r="AI1251" t="n">
        <v>6</v>
      </c>
      <c r="AJ1251" t="n">
        <v>4</v>
      </c>
      <c r="AK1251" t="n">
        <v>13</v>
      </c>
      <c r="AL1251" t="n">
        <v>2</v>
      </c>
      <c r="AM1251" t="n">
        <v>3</v>
      </c>
      <c r="AN1251" t="n">
        <v>0</v>
      </c>
      <c r="AO1251" t="n">
        <v>0</v>
      </c>
      <c r="AP1251" t="inlineStr">
        <is>
          <t>No</t>
        </is>
      </c>
      <c r="AQ1251" t="inlineStr">
        <is>
          <t>No</t>
        </is>
      </c>
      <c r="AS1251">
        <f>HYPERLINK("https://creighton-primo.hosted.exlibrisgroup.com/primo-explore/search?tab=default_tab&amp;search_scope=EVERYTHING&amp;vid=01CRU&amp;lang=en_US&amp;offset=0&amp;query=any,contains,991003225069702656","Catalog Record")</f>
        <v/>
      </c>
      <c r="AT1251">
        <f>HYPERLINK("http://www.worldcat.org/oclc/749842","WorldCat Record")</f>
        <v/>
      </c>
      <c r="AU1251" t="inlineStr">
        <is>
          <t>9179964574:eng</t>
        </is>
      </c>
      <c r="AV1251" t="inlineStr">
        <is>
          <t>749842</t>
        </is>
      </c>
      <c r="AW1251" t="inlineStr">
        <is>
          <t>991003225069702656</t>
        </is>
      </c>
      <c r="AX1251" t="inlineStr">
        <is>
          <t>991003225069702656</t>
        </is>
      </c>
      <c r="AY1251" t="inlineStr">
        <is>
          <t>2255321250002656</t>
        </is>
      </c>
      <c r="AZ1251" t="inlineStr">
        <is>
          <t>BOOK</t>
        </is>
      </c>
      <c r="BB1251" t="inlineStr">
        <is>
          <t>9780137009220</t>
        </is>
      </c>
      <c r="BC1251" t="inlineStr">
        <is>
          <t>32285001382232</t>
        </is>
      </c>
      <c r="BD1251" t="inlineStr">
        <is>
          <t>893530963</t>
        </is>
      </c>
    </row>
    <row r="1252">
      <c r="A1252" t="inlineStr">
        <is>
          <t>No</t>
        </is>
      </c>
      <c r="B1252" t="inlineStr">
        <is>
          <t>HQ18.U5 W5 2000</t>
        </is>
      </c>
      <c r="C1252" t="inlineStr">
        <is>
          <t>0                      HQ 0018000U  5                  W  5           2000</t>
        </is>
      </c>
      <c r="D1252" t="inlineStr">
        <is>
          <t>Sexual liberation or sexual license? : the American revolt against Victorianism / Kevin White.</t>
        </is>
      </c>
      <c r="F1252" t="inlineStr">
        <is>
          <t>No</t>
        </is>
      </c>
      <c r="G1252" t="inlineStr">
        <is>
          <t>1</t>
        </is>
      </c>
      <c r="H1252" t="inlineStr">
        <is>
          <t>No</t>
        </is>
      </c>
      <c r="I1252" t="inlineStr">
        <is>
          <t>No</t>
        </is>
      </c>
      <c r="J1252" t="inlineStr">
        <is>
          <t>0</t>
        </is>
      </c>
      <c r="K1252" t="inlineStr">
        <is>
          <t>White, Kevin, 1959-</t>
        </is>
      </c>
      <c r="L1252" t="inlineStr">
        <is>
          <t>Chicago : Ivan R. Dee, c2000.</t>
        </is>
      </c>
      <c r="M1252" t="inlineStr">
        <is>
          <t>2000</t>
        </is>
      </c>
      <c r="O1252" t="inlineStr">
        <is>
          <t>eng</t>
        </is>
      </c>
      <c r="P1252" t="inlineStr">
        <is>
          <t>ilu</t>
        </is>
      </c>
      <c r="Q1252" t="inlineStr">
        <is>
          <t>The American ways series</t>
        </is>
      </c>
      <c r="R1252" t="inlineStr">
        <is>
          <t xml:space="preserve">HQ </t>
        </is>
      </c>
      <c r="S1252" t="n">
        <v>2</v>
      </c>
      <c r="T1252" t="n">
        <v>2</v>
      </c>
      <c r="U1252" t="inlineStr">
        <is>
          <t>2001-05-16</t>
        </is>
      </c>
      <c r="V1252" t="inlineStr">
        <is>
          <t>2001-05-16</t>
        </is>
      </c>
      <c r="W1252" t="inlineStr">
        <is>
          <t>2001-03-26</t>
        </is>
      </c>
      <c r="X1252" t="inlineStr">
        <is>
          <t>2001-03-26</t>
        </is>
      </c>
      <c r="Y1252" t="n">
        <v>476</v>
      </c>
      <c r="Z1252" t="n">
        <v>433</v>
      </c>
      <c r="AA1252" t="n">
        <v>434</v>
      </c>
      <c r="AB1252" t="n">
        <v>5</v>
      </c>
      <c r="AC1252" t="n">
        <v>5</v>
      </c>
      <c r="AD1252" t="n">
        <v>21</v>
      </c>
      <c r="AE1252" t="n">
        <v>21</v>
      </c>
      <c r="AF1252" t="n">
        <v>7</v>
      </c>
      <c r="AG1252" t="n">
        <v>7</v>
      </c>
      <c r="AH1252" t="n">
        <v>6</v>
      </c>
      <c r="AI1252" t="n">
        <v>6</v>
      </c>
      <c r="AJ1252" t="n">
        <v>13</v>
      </c>
      <c r="AK1252" t="n">
        <v>13</v>
      </c>
      <c r="AL1252" t="n">
        <v>3</v>
      </c>
      <c r="AM1252" t="n">
        <v>3</v>
      </c>
      <c r="AN1252" t="n">
        <v>0</v>
      </c>
      <c r="AO1252" t="n">
        <v>0</v>
      </c>
      <c r="AP1252" t="inlineStr">
        <is>
          <t>No</t>
        </is>
      </c>
      <c r="AQ1252" t="inlineStr">
        <is>
          <t>No</t>
        </is>
      </c>
      <c r="AS1252">
        <f>HYPERLINK("https://creighton-primo.hosted.exlibrisgroup.com/primo-explore/search?tab=default_tab&amp;search_scope=EVERYTHING&amp;vid=01CRU&amp;lang=en_US&amp;offset=0&amp;query=any,contains,991003498579702656","Catalog Record")</f>
        <v/>
      </c>
      <c r="AT1252">
        <f>HYPERLINK("http://www.worldcat.org/oclc/43481772","WorldCat Record")</f>
        <v/>
      </c>
      <c r="AU1252" t="inlineStr">
        <is>
          <t>837998624:eng</t>
        </is>
      </c>
      <c r="AV1252" t="inlineStr">
        <is>
          <t>43481772</t>
        </is>
      </c>
      <c r="AW1252" t="inlineStr">
        <is>
          <t>991003498579702656</t>
        </is>
      </c>
      <c r="AX1252" t="inlineStr">
        <is>
          <t>991003498579702656</t>
        </is>
      </c>
      <c r="AY1252" t="inlineStr">
        <is>
          <t>2268435160002656</t>
        </is>
      </c>
      <c r="AZ1252" t="inlineStr">
        <is>
          <t>BOOK</t>
        </is>
      </c>
      <c r="BB1252" t="inlineStr">
        <is>
          <t>9781566633055</t>
        </is>
      </c>
      <c r="BC1252" t="inlineStr">
        <is>
          <t>32285004306899</t>
        </is>
      </c>
      <c r="BD1252" t="inlineStr">
        <is>
          <t>893810008</t>
        </is>
      </c>
    </row>
    <row r="1253">
      <c r="A1253" t="inlineStr">
        <is>
          <t>No</t>
        </is>
      </c>
      <c r="B1253" t="inlineStr">
        <is>
          <t>HQ18.U6 R62 2007</t>
        </is>
      </c>
      <c r="C1253" t="inlineStr">
        <is>
          <t>0                      HQ 0018000U  6                  R  62          2007</t>
        </is>
      </c>
      <c r="D1253" t="inlineStr">
        <is>
          <t>Stripping, sex, and popular culture / Catherine M. Roach.</t>
        </is>
      </c>
      <c r="F1253" t="inlineStr">
        <is>
          <t>No</t>
        </is>
      </c>
      <c r="G1253" t="inlineStr">
        <is>
          <t>1</t>
        </is>
      </c>
      <c r="H1253" t="inlineStr">
        <is>
          <t>No</t>
        </is>
      </c>
      <c r="I1253" t="inlineStr">
        <is>
          <t>No</t>
        </is>
      </c>
      <c r="J1253" t="inlineStr">
        <is>
          <t>0</t>
        </is>
      </c>
      <c r="K1253" t="inlineStr">
        <is>
          <t>Roach, Catherine M., 1965-</t>
        </is>
      </c>
      <c r="L1253" t="inlineStr">
        <is>
          <t>Oxford ; New York : Berg, 2007.</t>
        </is>
      </c>
      <c r="M1253" t="inlineStr">
        <is>
          <t>2007</t>
        </is>
      </c>
      <c r="O1253" t="inlineStr">
        <is>
          <t>eng</t>
        </is>
      </c>
      <c r="P1253" t="inlineStr">
        <is>
          <t>enk</t>
        </is>
      </c>
      <c r="R1253" t="inlineStr">
        <is>
          <t xml:space="preserve">HQ </t>
        </is>
      </c>
      <c r="S1253" t="n">
        <v>1</v>
      </c>
      <c r="T1253" t="n">
        <v>1</v>
      </c>
      <c r="U1253" t="inlineStr">
        <is>
          <t>2009-01-28</t>
        </is>
      </c>
      <c r="V1253" t="inlineStr">
        <is>
          <t>2009-01-28</t>
        </is>
      </c>
      <c r="W1253" t="inlineStr">
        <is>
          <t>2009-01-28</t>
        </is>
      </c>
      <c r="X1253" t="inlineStr">
        <is>
          <t>2009-01-28</t>
        </is>
      </c>
      <c r="Y1253" t="n">
        <v>345</v>
      </c>
      <c r="Z1253" t="n">
        <v>266</v>
      </c>
      <c r="AA1253" t="n">
        <v>614</v>
      </c>
      <c r="AB1253" t="n">
        <v>3</v>
      </c>
      <c r="AC1253" t="n">
        <v>5</v>
      </c>
      <c r="AD1253" t="n">
        <v>11</v>
      </c>
      <c r="AE1253" t="n">
        <v>19</v>
      </c>
      <c r="AF1253" t="n">
        <v>4</v>
      </c>
      <c r="AG1253" t="n">
        <v>8</v>
      </c>
      <c r="AH1253" t="n">
        <v>1</v>
      </c>
      <c r="AI1253" t="n">
        <v>4</v>
      </c>
      <c r="AJ1253" t="n">
        <v>7</v>
      </c>
      <c r="AK1253" t="n">
        <v>9</v>
      </c>
      <c r="AL1253" t="n">
        <v>2</v>
      </c>
      <c r="AM1253" t="n">
        <v>4</v>
      </c>
      <c r="AN1253" t="n">
        <v>0</v>
      </c>
      <c r="AO1253" t="n">
        <v>0</v>
      </c>
      <c r="AP1253" t="inlineStr">
        <is>
          <t>No</t>
        </is>
      </c>
      <c r="AQ1253" t="inlineStr">
        <is>
          <t>Yes</t>
        </is>
      </c>
      <c r="AR1253">
        <f>HYPERLINK("http://catalog.hathitrust.org/Record/005644129","HathiTrust Record")</f>
        <v/>
      </c>
      <c r="AS1253">
        <f>HYPERLINK("https://creighton-primo.hosted.exlibrisgroup.com/primo-explore/search?tab=default_tab&amp;search_scope=EVERYTHING&amp;vid=01CRU&amp;lang=en_US&amp;offset=0&amp;query=any,contains,991005288879702656","Catalog Record")</f>
        <v/>
      </c>
      <c r="AT1253">
        <f>HYPERLINK("http://www.worldcat.org/oclc/141381609","WorldCat Record")</f>
        <v/>
      </c>
      <c r="AU1253" t="inlineStr">
        <is>
          <t>110217097:eng</t>
        </is>
      </c>
      <c r="AV1253" t="inlineStr">
        <is>
          <t>141381609</t>
        </is>
      </c>
      <c r="AW1253" t="inlineStr">
        <is>
          <t>991005288879702656</t>
        </is>
      </c>
      <c r="AX1253" t="inlineStr">
        <is>
          <t>991005288879702656</t>
        </is>
      </c>
      <c r="AY1253" t="inlineStr">
        <is>
          <t>2259484650002656</t>
        </is>
      </c>
      <c r="AZ1253" t="inlineStr">
        <is>
          <t>BOOK</t>
        </is>
      </c>
      <c r="BB1253" t="inlineStr">
        <is>
          <t>9781845201289</t>
        </is>
      </c>
      <c r="BC1253" t="inlineStr">
        <is>
          <t>32285005501100</t>
        </is>
      </c>
      <c r="BD1253" t="inlineStr">
        <is>
          <t>893625779</t>
        </is>
      </c>
    </row>
    <row r="1254">
      <c r="A1254" t="inlineStr">
        <is>
          <t>No</t>
        </is>
      </c>
      <c r="B1254" t="inlineStr">
        <is>
          <t>HQ1800.5 .G66 1984</t>
        </is>
      </c>
      <c r="C1254" t="inlineStr">
        <is>
          <t>0                      HQ 1800500G  66          1984</t>
        </is>
      </c>
      <c r="D1254" t="inlineStr">
        <is>
          <t>Cry amandla! : South African women and the question of power / June Goodwin.</t>
        </is>
      </c>
      <c r="F1254" t="inlineStr">
        <is>
          <t>No</t>
        </is>
      </c>
      <c r="G1254" t="inlineStr">
        <is>
          <t>1</t>
        </is>
      </c>
      <c r="H1254" t="inlineStr">
        <is>
          <t>No</t>
        </is>
      </c>
      <c r="I1254" t="inlineStr">
        <is>
          <t>No</t>
        </is>
      </c>
      <c r="J1254" t="inlineStr">
        <is>
          <t>0</t>
        </is>
      </c>
      <c r="K1254" t="inlineStr">
        <is>
          <t>Goodwin, June.</t>
        </is>
      </c>
      <c r="L1254" t="inlineStr">
        <is>
          <t>New York : Africana Pub. Co., 1984.</t>
        </is>
      </c>
      <c r="M1254" t="inlineStr">
        <is>
          <t>1984</t>
        </is>
      </c>
      <c r="O1254" t="inlineStr">
        <is>
          <t>eng</t>
        </is>
      </c>
      <c r="P1254" t="inlineStr">
        <is>
          <t>nyu</t>
        </is>
      </c>
      <c r="R1254" t="inlineStr">
        <is>
          <t xml:space="preserve">HQ </t>
        </is>
      </c>
      <c r="S1254" t="n">
        <v>7</v>
      </c>
      <c r="T1254" t="n">
        <v>7</v>
      </c>
      <c r="U1254" t="inlineStr">
        <is>
          <t>1995-03-26</t>
        </is>
      </c>
      <c r="V1254" t="inlineStr">
        <is>
          <t>1995-03-26</t>
        </is>
      </c>
      <c r="W1254" t="inlineStr">
        <is>
          <t>1990-03-19</t>
        </is>
      </c>
      <c r="X1254" t="inlineStr">
        <is>
          <t>1990-03-19</t>
        </is>
      </c>
      <c r="Y1254" t="n">
        <v>592</v>
      </c>
      <c r="Z1254" t="n">
        <v>506</v>
      </c>
      <c r="AA1254" t="n">
        <v>508</v>
      </c>
      <c r="AB1254" t="n">
        <v>4</v>
      </c>
      <c r="AC1254" t="n">
        <v>4</v>
      </c>
      <c r="AD1254" t="n">
        <v>17</v>
      </c>
      <c r="AE1254" t="n">
        <v>17</v>
      </c>
      <c r="AF1254" t="n">
        <v>5</v>
      </c>
      <c r="AG1254" t="n">
        <v>5</v>
      </c>
      <c r="AH1254" t="n">
        <v>5</v>
      </c>
      <c r="AI1254" t="n">
        <v>5</v>
      </c>
      <c r="AJ1254" t="n">
        <v>7</v>
      </c>
      <c r="AK1254" t="n">
        <v>7</v>
      </c>
      <c r="AL1254" t="n">
        <v>3</v>
      </c>
      <c r="AM1254" t="n">
        <v>3</v>
      </c>
      <c r="AN1254" t="n">
        <v>1</v>
      </c>
      <c r="AO1254" t="n">
        <v>1</v>
      </c>
      <c r="AP1254" t="inlineStr">
        <is>
          <t>No</t>
        </is>
      </c>
      <c r="AQ1254" t="inlineStr">
        <is>
          <t>Yes</t>
        </is>
      </c>
      <c r="AR1254">
        <f>HYPERLINK("http://catalog.hathitrust.org/Record/000121080","HathiTrust Record")</f>
        <v/>
      </c>
      <c r="AS1254">
        <f>HYPERLINK("https://creighton-primo.hosted.exlibrisgroup.com/primo-explore/search?tab=default_tab&amp;search_scope=EVERYTHING&amp;vid=01CRU&amp;lang=en_US&amp;offset=0&amp;query=any,contains,991000274709702656","Catalog Record")</f>
        <v/>
      </c>
      <c r="AT1254">
        <f>HYPERLINK("http://www.worldcat.org/oclc/9894238","WorldCat Record")</f>
        <v/>
      </c>
      <c r="AU1254" t="inlineStr">
        <is>
          <t>864900082:eng</t>
        </is>
      </c>
      <c r="AV1254" t="inlineStr">
        <is>
          <t>9894238</t>
        </is>
      </c>
      <c r="AW1254" t="inlineStr">
        <is>
          <t>991000274709702656</t>
        </is>
      </c>
      <c r="AX1254" t="inlineStr">
        <is>
          <t>991000274709702656</t>
        </is>
      </c>
      <c r="AY1254" t="inlineStr">
        <is>
          <t>2262682020002656</t>
        </is>
      </c>
      <c r="AZ1254" t="inlineStr">
        <is>
          <t>BOOK</t>
        </is>
      </c>
      <c r="BB1254" t="inlineStr">
        <is>
          <t>9780841909113</t>
        </is>
      </c>
      <c r="BC1254" t="inlineStr">
        <is>
          <t>32285000086214</t>
        </is>
      </c>
      <c r="BD1254" t="inlineStr">
        <is>
          <t>893708260</t>
        </is>
      </c>
    </row>
    <row r="1255">
      <c r="A1255" t="inlineStr">
        <is>
          <t>No</t>
        </is>
      </c>
      <c r="B1255" t="inlineStr">
        <is>
          <t>HQ1800.5 .L38 1986</t>
        </is>
      </c>
      <c r="C1255" t="inlineStr">
        <is>
          <t>0                      HQ 1800500L  38          1986</t>
        </is>
      </c>
      <c r="D1255" t="inlineStr">
        <is>
          <t>Working women in South Africa / Lesley Lawson for the Sached Trust.</t>
        </is>
      </c>
      <c r="F1255" t="inlineStr">
        <is>
          <t>No</t>
        </is>
      </c>
      <c r="G1255" t="inlineStr">
        <is>
          <t>1</t>
        </is>
      </c>
      <c r="H1255" t="inlineStr">
        <is>
          <t>No</t>
        </is>
      </c>
      <c r="I1255" t="inlineStr">
        <is>
          <t>No</t>
        </is>
      </c>
      <c r="J1255" t="inlineStr">
        <is>
          <t>0</t>
        </is>
      </c>
      <c r="K1255" t="inlineStr">
        <is>
          <t>Lawson, Lesley.</t>
        </is>
      </c>
      <c r="L1255" t="inlineStr">
        <is>
          <t>London : Pluto, 1986.</t>
        </is>
      </c>
      <c r="M1255" t="inlineStr">
        <is>
          <t>1986</t>
        </is>
      </c>
      <c r="O1255" t="inlineStr">
        <is>
          <t>eng</t>
        </is>
      </c>
      <c r="P1255" t="inlineStr">
        <is>
          <t>enk</t>
        </is>
      </c>
      <c r="R1255" t="inlineStr">
        <is>
          <t xml:space="preserve">HQ </t>
        </is>
      </c>
      <c r="S1255" t="n">
        <v>6</v>
      </c>
      <c r="T1255" t="n">
        <v>6</v>
      </c>
      <c r="U1255" t="inlineStr">
        <is>
          <t>2000-10-25</t>
        </is>
      </c>
      <c r="V1255" t="inlineStr">
        <is>
          <t>2000-10-25</t>
        </is>
      </c>
      <c r="W1255" t="inlineStr">
        <is>
          <t>1992-01-14</t>
        </is>
      </c>
      <c r="X1255" t="inlineStr">
        <is>
          <t>1992-01-14</t>
        </is>
      </c>
      <c r="Y1255" t="n">
        <v>133</v>
      </c>
      <c r="Z1255" t="n">
        <v>64</v>
      </c>
      <c r="AA1255" t="n">
        <v>65</v>
      </c>
      <c r="AB1255" t="n">
        <v>1</v>
      </c>
      <c r="AC1255" t="n">
        <v>1</v>
      </c>
      <c r="AD1255" t="n">
        <v>0</v>
      </c>
      <c r="AE1255" t="n">
        <v>0</v>
      </c>
      <c r="AF1255" t="n">
        <v>0</v>
      </c>
      <c r="AG1255" t="n">
        <v>0</v>
      </c>
      <c r="AH1255" t="n">
        <v>0</v>
      </c>
      <c r="AI1255" t="n">
        <v>0</v>
      </c>
      <c r="AJ1255" t="n">
        <v>0</v>
      </c>
      <c r="AK1255" t="n">
        <v>0</v>
      </c>
      <c r="AL1255" t="n">
        <v>0</v>
      </c>
      <c r="AM1255" t="n">
        <v>0</v>
      </c>
      <c r="AN1255" t="n">
        <v>0</v>
      </c>
      <c r="AO1255" t="n">
        <v>0</v>
      </c>
      <c r="AP1255" t="inlineStr">
        <is>
          <t>No</t>
        </is>
      </c>
      <c r="AQ1255" t="inlineStr">
        <is>
          <t>Yes</t>
        </is>
      </c>
      <c r="AR1255">
        <f>HYPERLINK("http://catalog.hathitrust.org/Record/000840656","HathiTrust Record")</f>
        <v/>
      </c>
      <c r="AS1255">
        <f>HYPERLINK("https://creighton-primo.hosted.exlibrisgroup.com/primo-explore/search?tab=default_tab&amp;search_scope=EVERYTHING&amp;vid=01CRU&amp;lang=en_US&amp;offset=0&amp;query=any,contains,991000875219702656","Catalog Record")</f>
        <v/>
      </c>
      <c r="AT1255">
        <f>HYPERLINK("http://www.worldcat.org/oclc/13796236","WorldCat Record")</f>
        <v/>
      </c>
      <c r="AU1255" t="inlineStr">
        <is>
          <t>3768542541:eng</t>
        </is>
      </c>
      <c r="AV1255" t="inlineStr">
        <is>
          <t>13796236</t>
        </is>
      </c>
      <c r="AW1255" t="inlineStr">
        <is>
          <t>991000875219702656</t>
        </is>
      </c>
      <c r="AX1255" t="inlineStr">
        <is>
          <t>991000875219702656</t>
        </is>
      </c>
      <c r="AY1255" t="inlineStr">
        <is>
          <t>2270835960002656</t>
        </is>
      </c>
      <c r="AZ1255" t="inlineStr">
        <is>
          <t>BOOK</t>
        </is>
      </c>
      <c r="BB1255" t="inlineStr">
        <is>
          <t>9780745302065</t>
        </is>
      </c>
      <c r="BC1255" t="inlineStr">
        <is>
          <t>32285000914118</t>
        </is>
      </c>
      <c r="BD1255" t="inlineStr">
        <is>
          <t>893778321</t>
        </is>
      </c>
    </row>
    <row r="1256">
      <c r="A1256" t="inlineStr">
        <is>
          <t>No</t>
        </is>
      </c>
      <c r="B1256" t="inlineStr">
        <is>
          <t>HQ1800.5 .S69 1985</t>
        </is>
      </c>
      <c r="C1256" t="inlineStr">
        <is>
          <t>0                      HQ 1800500S  69          1985</t>
        </is>
      </c>
      <c r="D1256" t="inlineStr">
        <is>
          <t>South African women on the move / Jane Barrett ... [et al.].</t>
        </is>
      </c>
      <c r="F1256" t="inlineStr">
        <is>
          <t>No</t>
        </is>
      </c>
      <c r="G1256" t="inlineStr">
        <is>
          <t>1</t>
        </is>
      </c>
      <c r="H1256" t="inlineStr">
        <is>
          <t>No</t>
        </is>
      </c>
      <c r="I1256" t="inlineStr">
        <is>
          <t>No</t>
        </is>
      </c>
      <c r="J1256" t="inlineStr">
        <is>
          <t>0</t>
        </is>
      </c>
      <c r="L1256" t="inlineStr">
        <is>
          <t>Toronto, Ont. : Between the Lines, c1985.</t>
        </is>
      </c>
      <c r="M1256" t="inlineStr">
        <is>
          <t>1985</t>
        </is>
      </c>
      <c r="O1256" t="inlineStr">
        <is>
          <t>eng</t>
        </is>
      </c>
      <c r="P1256" t="inlineStr">
        <is>
          <t>onc</t>
        </is>
      </c>
      <c r="R1256" t="inlineStr">
        <is>
          <t xml:space="preserve">HQ </t>
        </is>
      </c>
      <c r="S1256" t="n">
        <v>8</v>
      </c>
      <c r="T1256" t="n">
        <v>8</v>
      </c>
      <c r="U1256" t="inlineStr">
        <is>
          <t>2002-03-23</t>
        </is>
      </c>
      <c r="V1256" t="inlineStr">
        <is>
          <t>2002-03-23</t>
        </is>
      </c>
      <c r="W1256" t="inlineStr">
        <is>
          <t>1990-03-26</t>
        </is>
      </c>
      <c r="X1256" t="inlineStr">
        <is>
          <t>1990-03-26</t>
        </is>
      </c>
      <c r="Y1256" t="n">
        <v>174</v>
      </c>
      <c r="Z1256" t="n">
        <v>141</v>
      </c>
      <c r="AA1256" t="n">
        <v>265</v>
      </c>
      <c r="AB1256" t="n">
        <v>3</v>
      </c>
      <c r="AC1256" t="n">
        <v>4</v>
      </c>
      <c r="AD1256" t="n">
        <v>7</v>
      </c>
      <c r="AE1256" t="n">
        <v>9</v>
      </c>
      <c r="AF1256" t="n">
        <v>0</v>
      </c>
      <c r="AG1256" t="n">
        <v>0</v>
      </c>
      <c r="AH1256" t="n">
        <v>3</v>
      </c>
      <c r="AI1256" t="n">
        <v>3</v>
      </c>
      <c r="AJ1256" t="n">
        <v>4</v>
      </c>
      <c r="AK1256" t="n">
        <v>5</v>
      </c>
      <c r="AL1256" t="n">
        <v>2</v>
      </c>
      <c r="AM1256" t="n">
        <v>3</v>
      </c>
      <c r="AN1256" t="n">
        <v>0</v>
      </c>
      <c r="AO1256" t="n">
        <v>0</v>
      </c>
      <c r="AP1256" t="inlineStr">
        <is>
          <t>No</t>
        </is>
      </c>
      <c r="AQ1256" t="inlineStr">
        <is>
          <t>No</t>
        </is>
      </c>
      <c r="AS1256">
        <f>HYPERLINK("https://creighton-primo.hosted.exlibrisgroup.com/primo-explore/search?tab=default_tab&amp;search_scope=EVERYTHING&amp;vid=01CRU&amp;lang=en_US&amp;offset=0&amp;query=any,contains,991000924719702656","Catalog Record")</f>
        <v/>
      </c>
      <c r="AT1256">
        <f>HYPERLINK("http://www.worldcat.org/oclc/14234147","WorldCat Record")</f>
        <v/>
      </c>
      <c r="AU1256" t="inlineStr">
        <is>
          <t>143964632:eng</t>
        </is>
      </c>
      <c r="AV1256" t="inlineStr">
        <is>
          <t>14234147</t>
        </is>
      </c>
      <c r="AW1256" t="inlineStr">
        <is>
          <t>991000924719702656</t>
        </is>
      </c>
      <c r="AX1256" t="inlineStr">
        <is>
          <t>991000924719702656</t>
        </is>
      </c>
      <c r="AY1256" t="inlineStr">
        <is>
          <t>2272298390002656</t>
        </is>
      </c>
      <c r="AZ1256" t="inlineStr">
        <is>
          <t>BOOK</t>
        </is>
      </c>
      <c r="BB1256" t="inlineStr">
        <is>
          <t>9780919946651</t>
        </is>
      </c>
      <c r="BC1256" t="inlineStr">
        <is>
          <t>32285000096742</t>
        </is>
      </c>
      <c r="BD1256" t="inlineStr">
        <is>
          <t>893797116</t>
        </is>
      </c>
    </row>
    <row r="1257">
      <c r="A1257" t="inlineStr">
        <is>
          <t>No</t>
        </is>
      </c>
      <c r="B1257" t="inlineStr">
        <is>
          <t>HQ1816 .O38 1999</t>
        </is>
      </c>
      <c r="C1257" t="inlineStr">
        <is>
          <t>0                      HQ 1816000O  38          1999</t>
        </is>
      </c>
      <c r="D1257" t="inlineStr">
        <is>
          <t>Female autonomy, family decision making, and demographic behavior in Africa / Yaw Oheneba-Sakyi ; with contributions from Kofi Awusabo-Asare.</t>
        </is>
      </c>
      <c r="F1257" t="inlineStr">
        <is>
          <t>No</t>
        </is>
      </c>
      <c r="G1257" t="inlineStr">
        <is>
          <t>1</t>
        </is>
      </c>
      <c r="H1257" t="inlineStr">
        <is>
          <t>No</t>
        </is>
      </c>
      <c r="I1257" t="inlineStr">
        <is>
          <t>No</t>
        </is>
      </c>
      <c r="J1257" t="inlineStr">
        <is>
          <t>0</t>
        </is>
      </c>
      <c r="K1257" t="inlineStr">
        <is>
          <t>Oheneba-Sakyi, Yaw.</t>
        </is>
      </c>
      <c r="L1257" t="inlineStr">
        <is>
          <t>Lewiston, N.Y. : Edwin Mellen Press, c1999.</t>
        </is>
      </c>
      <c r="M1257" t="inlineStr">
        <is>
          <t>1999</t>
        </is>
      </c>
      <c r="O1257" t="inlineStr">
        <is>
          <t>eng</t>
        </is>
      </c>
      <c r="P1257" t="inlineStr">
        <is>
          <t>nyu</t>
        </is>
      </c>
      <c r="Q1257" t="inlineStr">
        <is>
          <t>Studies in African economic and social development ; v. 12</t>
        </is>
      </c>
      <c r="R1257" t="inlineStr">
        <is>
          <t xml:space="preserve">HQ </t>
        </is>
      </c>
      <c r="S1257" t="n">
        <v>1</v>
      </c>
      <c r="T1257" t="n">
        <v>1</v>
      </c>
      <c r="U1257" t="inlineStr">
        <is>
          <t>2000-09-26</t>
        </is>
      </c>
      <c r="V1257" t="inlineStr">
        <is>
          <t>2000-09-26</t>
        </is>
      </c>
      <c r="W1257" t="inlineStr">
        <is>
          <t>2000-09-26</t>
        </is>
      </c>
      <c r="X1257" t="inlineStr">
        <is>
          <t>2000-09-26</t>
        </is>
      </c>
      <c r="Y1257" t="n">
        <v>138</v>
      </c>
      <c r="Z1257" t="n">
        <v>115</v>
      </c>
      <c r="AA1257" t="n">
        <v>116</v>
      </c>
      <c r="AB1257" t="n">
        <v>1</v>
      </c>
      <c r="AC1257" t="n">
        <v>1</v>
      </c>
      <c r="AD1257" t="n">
        <v>6</v>
      </c>
      <c r="AE1257" t="n">
        <v>6</v>
      </c>
      <c r="AF1257" t="n">
        <v>2</v>
      </c>
      <c r="AG1257" t="n">
        <v>2</v>
      </c>
      <c r="AH1257" t="n">
        <v>2</v>
      </c>
      <c r="AI1257" t="n">
        <v>2</v>
      </c>
      <c r="AJ1257" t="n">
        <v>4</v>
      </c>
      <c r="AK1257" t="n">
        <v>4</v>
      </c>
      <c r="AL1257" t="n">
        <v>0</v>
      </c>
      <c r="AM1257" t="n">
        <v>0</v>
      </c>
      <c r="AN1257" t="n">
        <v>0</v>
      </c>
      <c r="AO1257" t="n">
        <v>0</v>
      </c>
      <c r="AP1257" t="inlineStr">
        <is>
          <t>No</t>
        </is>
      </c>
      <c r="AQ1257" t="inlineStr">
        <is>
          <t>No</t>
        </is>
      </c>
      <c r="AS1257">
        <f>HYPERLINK("https://creighton-primo.hosted.exlibrisgroup.com/primo-explore/search?tab=default_tab&amp;search_scope=EVERYTHING&amp;vid=01CRU&amp;lang=en_US&amp;offset=0&amp;query=any,contains,991003240329702656","Catalog Record")</f>
        <v/>
      </c>
      <c r="AT1257">
        <f>HYPERLINK("http://www.worldcat.org/oclc/41412098","WorldCat Record")</f>
        <v/>
      </c>
      <c r="AU1257" t="inlineStr">
        <is>
          <t>26734005:eng</t>
        </is>
      </c>
      <c r="AV1257" t="inlineStr">
        <is>
          <t>41412098</t>
        </is>
      </c>
      <c r="AW1257" t="inlineStr">
        <is>
          <t>991003240329702656</t>
        </is>
      </c>
      <c r="AX1257" t="inlineStr">
        <is>
          <t>991003240329702656</t>
        </is>
      </c>
      <c r="AY1257" t="inlineStr">
        <is>
          <t>2257870740002656</t>
        </is>
      </c>
      <c r="AZ1257" t="inlineStr">
        <is>
          <t>BOOK</t>
        </is>
      </c>
      <c r="BB1257" t="inlineStr">
        <is>
          <t>9780773479814</t>
        </is>
      </c>
      <c r="BC1257" t="inlineStr">
        <is>
          <t>32285003764635</t>
        </is>
      </c>
      <c r="BD1257" t="inlineStr">
        <is>
          <t>893348467</t>
        </is>
      </c>
    </row>
    <row r="1258">
      <c r="A1258" t="inlineStr">
        <is>
          <t>No</t>
        </is>
      </c>
      <c r="B1258" t="inlineStr">
        <is>
          <t>HQ1816.M62 M3</t>
        </is>
      </c>
      <c r="C1258" t="inlineStr">
        <is>
          <t>0                      HQ 1816000M  62                 M  3</t>
        </is>
      </c>
      <c r="D1258" t="inlineStr">
        <is>
          <t>Women and property in Morocco : their changing relation to the process of social stratification in the Middle Atlas / Vanessa Maher.</t>
        </is>
      </c>
      <c r="F1258" t="inlineStr">
        <is>
          <t>No</t>
        </is>
      </c>
      <c r="G1258" t="inlineStr">
        <is>
          <t>1</t>
        </is>
      </c>
      <c r="H1258" t="inlineStr">
        <is>
          <t>No</t>
        </is>
      </c>
      <c r="I1258" t="inlineStr">
        <is>
          <t>No</t>
        </is>
      </c>
      <c r="J1258" t="inlineStr">
        <is>
          <t>0</t>
        </is>
      </c>
      <c r="K1258" t="inlineStr">
        <is>
          <t>Maher, Vanessa.</t>
        </is>
      </c>
      <c r="L1258" t="inlineStr">
        <is>
          <t>London ; New York : Cambridge University Press, 1974.</t>
        </is>
      </c>
      <c r="M1258" t="inlineStr">
        <is>
          <t>1974</t>
        </is>
      </c>
      <c r="O1258" t="inlineStr">
        <is>
          <t>eng</t>
        </is>
      </c>
      <c r="P1258" t="inlineStr">
        <is>
          <t>enk</t>
        </is>
      </c>
      <c r="Q1258" t="inlineStr">
        <is>
          <t>Cambridge studies in social anthropology ; 10</t>
        </is>
      </c>
      <c r="R1258" t="inlineStr">
        <is>
          <t xml:space="preserve">HQ </t>
        </is>
      </c>
      <c r="S1258" t="n">
        <v>2</v>
      </c>
      <c r="T1258" t="n">
        <v>2</v>
      </c>
      <c r="U1258" t="inlineStr">
        <is>
          <t>1994-09-12</t>
        </is>
      </c>
      <c r="V1258" t="inlineStr">
        <is>
          <t>1994-09-12</t>
        </is>
      </c>
      <c r="W1258" t="inlineStr">
        <is>
          <t>1992-04-08</t>
        </is>
      </c>
      <c r="X1258" t="inlineStr">
        <is>
          <t>1992-04-08</t>
        </is>
      </c>
      <c r="Y1258" t="n">
        <v>548</v>
      </c>
      <c r="Z1258" t="n">
        <v>392</v>
      </c>
      <c r="AA1258" t="n">
        <v>404</v>
      </c>
      <c r="AB1258" t="n">
        <v>2</v>
      </c>
      <c r="AC1258" t="n">
        <v>2</v>
      </c>
      <c r="AD1258" t="n">
        <v>17</v>
      </c>
      <c r="AE1258" t="n">
        <v>17</v>
      </c>
      <c r="AF1258" t="n">
        <v>3</v>
      </c>
      <c r="AG1258" t="n">
        <v>3</v>
      </c>
      <c r="AH1258" t="n">
        <v>5</v>
      </c>
      <c r="AI1258" t="n">
        <v>5</v>
      </c>
      <c r="AJ1258" t="n">
        <v>11</v>
      </c>
      <c r="AK1258" t="n">
        <v>11</v>
      </c>
      <c r="AL1258" t="n">
        <v>1</v>
      </c>
      <c r="AM1258" t="n">
        <v>1</v>
      </c>
      <c r="AN1258" t="n">
        <v>0</v>
      </c>
      <c r="AO1258" t="n">
        <v>0</v>
      </c>
      <c r="AP1258" t="inlineStr">
        <is>
          <t>No</t>
        </is>
      </c>
      <c r="AQ1258" t="inlineStr">
        <is>
          <t>No</t>
        </is>
      </c>
      <c r="AS1258">
        <f>HYPERLINK("https://creighton-primo.hosted.exlibrisgroup.com/primo-explore/search?tab=default_tab&amp;search_scope=EVERYTHING&amp;vid=01CRU&amp;lang=en_US&amp;offset=0&amp;query=any,contains,991003610079702656","Catalog Record")</f>
        <v/>
      </c>
      <c r="AT1258">
        <f>HYPERLINK("http://www.worldcat.org/oclc/1192638","WorldCat Record")</f>
        <v/>
      </c>
      <c r="AU1258" t="inlineStr">
        <is>
          <t>807077373:eng</t>
        </is>
      </c>
      <c r="AV1258" t="inlineStr">
        <is>
          <t>1192638</t>
        </is>
      </c>
      <c r="AW1258" t="inlineStr">
        <is>
          <t>991003610079702656</t>
        </is>
      </c>
      <c r="AX1258" t="inlineStr">
        <is>
          <t>991003610079702656</t>
        </is>
      </c>
      <c r="AY1258" t="inlineStr">
        <is>
          <t>2261516340002656</t>
        </is>
      </c>
      <c r="AZ1258" t="inlineStr">
        <is>
          <t>BOOK</t>
        </is>
      </c>
      <c r="BB1258" t="inlineStr">
        <is>
          <t>9780521205481</t>
        </is>
      </c>
      <c r="BC1258" t="inlineStr">
        <is>
          <t>32285001051613</t>
        </is>
      </c>
      <c r="BD1258" t="inlineStr">
        <is>
          <t>893228225</t>
        </is>
      </c>
    </row>
    <row r="1259">
      <c r="A1259" t="inlineStr">
        <is>
          <t>No</t>
        </is>
      </c>
      <c r="B1259" t="inlineStr">
        <is>
          <t>HQ1870.9 .C47 1984</t>
        </is>
      </c>
      <c r="C1259" t="inlineStr">
        <is>
          <t>0                      HQ 1870900C  47          1984</t>
        </is>
      </c>
      <c r="D1259" t="inlineStr">
        <is>
          <t>Women in Third World development / Sue Ellen M. Charlton.</t>
        </is>
      </c>
      <c r="F1259" t="inlineStr">
        <is>
          <t>No</t>
        </is>
      </c>
      <c r="G1259" t="inlineStr">
        <is>
          <t>1</t>
        </is>
      </c>
      <c r="H1259" t="inlineStr">
        <is>
          <t>No</t>
        </is>
      </c>
      <c r="I1259" t="inlineStr">
        <is>
          <t>No</t>
        </is>
      </c>
      <c r="J1259" t="inlineStr">
        <is>
          <t>0</t>
        </is>
      </c>
      <c r="K1259" t="inlineStr">
        <is>
          <t>Charlton, Sue Ellen M.</t>
        </is>
      </c>
      <c r="L1259" t="inlineStr">
        <is>
          <t>Boulder, Colo. : Westview Press, 1984.</t>
        </is>
      </c>
      <c r="M1259" t="inlineStr">
        <is>
          <t>1984</t>
        </is>
      </c>
      <c r="O1259" t="inlineStr">
        <is>
          <t>eng</t>
        </is>
      </c>
      <c r="P1259" t="inlineStr">
        <is>
          <t>cou</t>
        </is>
      </c>
      <c r="R1259" t="inlineStr">
        <is>
          <t xml:space="preserve">HQ </t>
        </is>
      </c>
      <c r="S1259" t="n">
        <v>20</v>
      </c>
      <c r="T1259" t="n">
        <v>20</v>
      </c>
      <c r="U1259" t="inlineStr">
        <is>
          <t>2008-11-09</t>
        </is>
      </c>
      <c r="V1259" t="inlineStr">
        <is>
          <t>2008-11-09</t>
        </is>
      </c>
      <c r="W1259" t="inlineStr">
        <is>
          <t>1990-04-25</t>
        </is>
      </c>
      <c r="X1259" t="inlineStr">
        <is>
          <t>1990-04-25</t>
        </is>
      </c>
      <c r="Y1259" t="n">
        <v>754</v>
      </c>
      <c r="Z1259" t="n">
        <v>613</v>
      </c>
      <c r="AA1259" t="n">
        <v>619</v>
      </c>
      <c r="AB1259" t="n">
        <v>6</v>
      </c>
      <c r="AC1259" t="n">
        <v>6</v>
      </c>
      <c r="AD1259" t="n">
        <v>33</v>
      </c>
      <c r="AE1259" t="n">
        <v>33</v>
      </c>
      <c r="AF1259" t="n">
        <v>13</v>
      </c>
      <c r="AG1259" t="n">
        <v>13</v>
      </c>
      <c r="AH1259" t="n">
        <v>9</v>
      </c>
      <c r="AI1259" t="n">
        <v>9</v>
      </c>
      <c r="AJ1259" t="n">
        <v>15</v>
      </c>
      <c r="AK1259" t="n">
        <v>15</v>
      </c>
      <c r="AL1259" t="n">
        <v>5</v>
      </c>
      <c r="AM1259" t="n">
        <v>5</v>
      </c>
      <c r="AN1259" t="n">
        <v>1</v>
      </c>
      <c r="AO1259" t="n">
        <v>1</v>
      </c>
      <c r="AP1259" t="inlineStr">
        <is>
          <t>No</t>
        </is>
      </c>
      <c r="AQ1259" t="inlineStr">
        <is>
          <t>Yes</t>
        </is>
      </c>
      <c r="AR1259">
        <f>HYPERLINK("http://catalog.hathitrust.org/Record/000121084","HathiTrust Record")</f>
        <v/>
      </c>
      <c r="AS1259">
        <f>HYPERLINK("https://creighton-primo.hosted.exlibrisgroup.com/primo-explore/search?tab=default_tab&amp;search_scope=EVERYTHING&amp;vid=01CRU&amp;lang=en_US&amp;offset=0&amp;query=any,contains,991000371059702656","Catalog Record")</f>
        <v/>
      </c>
      <c r="AT1259">
        <f>HYPERLINK("http://www.worldcat.org/oclc/10430480","WorldCat Record")</f>
        <v/>
      </c>
      <c r="AU1259" t="inlineStr">
        <is>
          <t>3349716:eng</t>
        </is>
      </c>
      <c r="AV1259" t="inlineStr">
        <is>
          <t>10430480</t>
        </is>
      </c>
      <c r="AW1259" t="inlineStr">
        <is>
          <t>991000371059702656</t>
        </is>
      </c>
      <c r="AX1259" t="inlineStr">
        <is>
          <t>991000371059702656</t>
        </is>
      </c>
      <c r="AY1259" t="inlineStr">
        <is>
          <t>2264318140002656</t>
        </is>
      </c>
      <c r="AZ1259" t="inlineStr">
        <is>
          <t>BOOK</t>
        </is>
      </c>
      <c r="BB1259" t="inlineStr">
        <is>
          <t>9780865317352</t>
        </is>
      </c>
      <c r="BC1259" t="inlineStr">
        <is>
          <t>32285000133107</t>
        </is>
      </c>
      <c r="BD1259" t="inlineStr">
        <is>
          <t>893407119</t>
        </is>
      </c>
    </row>
    <row r="1260">
      <c r="A1260" t="inlineStr">
        <is>
          <t>No</t>
        </is>
      </c>
      <c r="B1260" t="inlineStr">
        <is>
          <t>HQ1870.9 .F45 1997</t>
        </is>
      </c>
      <c r="C1260" t="inlineStr">
        <is>
          <t>0                      HQ 1870900F  45          1997</t>
        </is>
      </c>
      <c r="D1260" t="inlineStr">
        <is>
          <t>Feminist genealogies, colonial legacies, democratic futures / edited by M. Jacqui Alexander and Chandra Talpade Mohanty.</t>
        </is>
      </c>
      <c r="F1260" t="inlineStr">
        <is>
          <t>No</t>
        </is>
      </c>
      <c r="G1260" t="inlineStr">
        <is>
          <t>1</t>
        </is>
      </c>
      <c r="H1260" t="inlineStr">
        <is>
          <t>No</t>
        </is>
      </c>
      <c r="I1260" t="inlineStr">
        <is>
          <t>No</t>
        </is>
      </c>
      <c r="J1260" t="inlineStr">
        <is>
          <t>0</t>
        </is>
      </c>
      <c r="L1260" t="inlineStr">
        <is>
          <t>New York : Routledge, 1997.</t>
        </is>
      </c>
      <c r="M1260" t="inlineStr">
        <is>
          <t>1995</t>
        </is>
      </c>
      <c r="O1260" t="inlineStr">
        <is>
          <t>eng</t>
        </is>
      </c>
      <c r="P1260" t="inlineStr">
        <is>
          <t>nyu</t>
        </is>
      </c>
      <c r="R1260" t="inlineStr">
        <is>
          <t xml:space="preserve">HQ </t>
        </is>
      </c>
      <c r="S1260" t="n">
        <v>3</v>
      </c>
      <c r="T1260" t="n">
        <v>3</v>
      </c>
      <c r="U1260" t="inlineStr">
        <is>
          <t>2002-04-14</t>
        </is>
      </c>
      <c r="V1260" t="inlineStr">
        <is>
          <t>2002-04-14</t>
        </is>
      </c>
      <c r="W1260" t="inlineStr">
        <is>
          <t>1999-11-08</t>
        </is>
      </c>
      <c r="X1260" t="inlineStr">
        <is>
          <t>1999-11-08</t>
        </is>
      </c>
      <c r="Y1260" t="n">
        <v>563</v>
      </c>
      <c r="Z1260" t="n">
        <v>376</v>
      </c>
      <c r="AA1260" t="n">
        <v>414</v>
      </c>
      <c r="AB1260" t="n">
        <v>4</v>
      </c>
      <c r="AC1260" t="n">
        <v>4</v>
      </c>
      <c r="AD1260" t="n">
        <v>19</v>
      </c>
      <c r="AE1260" t="n">
        <v>22</v>
      </c>
      <c r="AF1260" t="n">
        <v>4</v>
      </c>
      <c r="AG1260" t="n">
        <v>5</v>
      </c>
      <c r="AH1260" t="n">
        <v>3</v>
      </c>
      <c r="AI1260" t="n">
        <v>5</v>
      </c>
      <c r="AJ1260" t="n">
        <v>11</v>
      </c>
      <c r="AK1260" t="n">
        <v>13</v>
      </c>
      <c r="AL1260" t="n">
        <v>3</v>
      </c>
      <c r="AM1260" t="n">
        <v>3</v>
      </c>
      <c r="AN1260" t="n">
        <v>1</v>
      </c>
      <c r="AO1260" t="n">
        <v>1</v>
      </c>
      <c r="AP1260" t="inlineStr">
        <is>
          <t>No</t>
        </is>
      </c>
      <c r="AQ1260" t="inlineStr">
        <is>
          <t>No</t>
        </is>
      </c>
      <c r="AS1260">
        <f>HYPERLINK("https://creighton-primo.hosted.exlibrisgroup.com/primo-explore/search?tab=default_tab&amp;search_scope=EVERYTHING&amp;vid=01CRU&amp;lang=en_US&amp;offset=0&amp;query=any,contains,991002552769702656","Catalog Record")</f>
        <v/>
      </c>
      <c r="AT1260">
        <f>HYPERLINK("http://www.worldcat.org/oclc/33165799","WorldCat Record")</f>
        <v/>
      </c>
      <c r="AU1260" t="inlineStr">
        <is>
          <t>354629159:eng</t>
        </is>
      </c>
      <c r="AV1260" t="inlineStr">
        <is>
          <t>33165799</t>
        </is>
      </c>
      <c r="AW1260" t="inlineStr">
        <is>
          <t>991002552769702656</t>
        </is>
      </c>
      <c r="AX1260" t="inlineStr">
        <is>
          <t>991002552769702656</t>
        </is>
      </c>
      <c r="AY1260" t="inlineStr">
        <is>
          <t>2257151120002656</t>
        </is>
      </c>
      <c r="AZ1260" t="inlineStr">
        <is>
          <t>BOOK</t>
        </is>
      </c>
      <c r="BB1260" t="inlineStr">
        <is>
          <t>9780415912112</t>
        </is>
      </c>
      <c r="BC1260" t="inlineStr">
        <is>
          <t>32285003619367</t>
        </is>
      </c>
      <c r="BD1260" t="inlineStr">
        <is>
          <t>893335437</t>
        </is>
      </c>
    </row>
    <row r="1261">
      <c r="A1261" t="inlineStr">
        <is>
          <t>No</t>
        </is>
      </c>
      <c r="B1261" t="inlineStr">
        <is>
          <t>HQ1870.9 .G46 1991</t>
        </is>
      </c>
      <c r="C1261" t="inlineStr">
        <is>
          <t>0                      HQ 1870900G  46          1991</t>
        </is>
      </c>
      <c r="D1261" t="inlineStr">
        <is>
          <t>Gender and change in developing countries / edited by Kristi Anne Stølen and Mariken Vaa.</t>
        </is>
      </c>
      <c r="F1261" t="inlineStr">
        <is>
          <t>No</t>
        </is>
      </c>
      <c r="G1261" t="inlineStr">
        <is>
          <t>1</t>
        </is>
      </c>
      <c r="H1261" t="inlineStr">
        <is>
          <t>No</t>
        </is>
      </c>
      <c r="I1261" t="inlineStr">
        <is>
          <t>No</t>
        </is>
      </c>
      <c r="J1261" t="inlineStr">
        <is>
          <t>0</t>
        </is>
      </c>
      <c r="L1261" t="inlineStr">
        <is>
          <t>Oslo : Norwegian University Press, 1991.</t>
        </is>
      </c>
      <c r="M1261" t="inlineStr">
        <is>
          <t>1991</t>
        </is>
      </c>
      <c r="O1261" t="inlineStr">
        <is>
          <t>eng</t>
        </is>
      </c>
      <c r="P1261" t="inlineStr">
        <is>
          <t>enk</t>
        </is>
      </c>
      <c r="R1261" t="inlineStr">
        <is>
          <t xml:space="preserve">HQ </t>
        </is>
      </c>
      <c r="S1261" t="n">
        <v>6</v>
      </c>
      <c r="T1261" t="n">
        <v>6</v>
      </c>
      <c r="U1261" t="inlineStr">
        <is>
          <t>1998-05-01</t>
        </is>
      </c>
      <c r="V1261" t="inlineStr">
        <is>
          <t>1998-05-01</t>
        </is>
      </c>
      <c r="W1261" t="inlineStr">
        <is>
          <t>1992-06-18</t>
        </is>
      </c>
      <c r="X1261" t="inlineStr">
        <is>
          <t>1992-06-18</t>
        </is>
      </c>
      <c r="Y1261" t="n">
        <v>222</v>
      </c>
      <c r="Z1261" t="n">
        <v>133</v>
      </c>
      <c r="AA1261" t="n">
        <v>135</v>
      </c>
      <c r="AB1261" t="n">
        <v>3</v>
      </c>
      <c r="AC1261" t="n">
        <v>3</v>
      </c>
      <c r="AD1261" t="n">
        <v>8</v>
      </c>
      <c r="AE1261" t="n">
        <v>8</v>
      </c>
      <c r="AF1261" t="n">
        <v>1</v>
      </c>
      <c r="AG1261" t="n">
        <v>1</v>
      </c>
      <c r="AH1261" t="n">
        <v>3</v>
      </c>
      <c r="AI1261" t="n">
        <v>3</v>
      </c>
      <c r="AJ1261" t="n">
        <v>5</v>
      </c>
      <c r="AK1261" t="n">
        <v>5</v>
      </c>
      <c r="AL1261" t="n">
        <v>2</v>
      </c>
      <c r="AM1261" t="n">
        <v>2</v>
      </c>
      <c r="AN1261" t="n">
        <v>0</v>
      </c>
      <c r="AO1261" t="n">
        <v>0</v>
      </c>
      <c r="AP1261" t="inlineStr">
        <is>
          <t>No</t>
        </is>
      </c>
      <c r="AQ1261" t="inlineStr">
        <is>
          <t>Yes</t>
        </is>
      </c>
      <c r="AR1261">
        <f>HYPERLINK("http://catalog.hathitrust.org/Record/002554514","HathiTrust Record")</f>
        <v/>
      </c>
      <c r="AS1261">
        <f>HYPERLINK("https://creighton-primo.hosted.exlibrisgroup.com/primo-explore/search?tab=default_tab&amp;search_scope=EVERYTHING&amp;vid=01CRU&amp;lang=en_US&amp;offset=0&amp;query=any,contains,991001955519702656","Catalog Record")</f>
        <v/>
      </c>
      <c r="AT1261">
        <f>HYPERLINK("http://www.worldcat.org/oclc/28343184","WorldCat Record")</f>
        <v/>
      </c>
      <c r="AU1261" t="inlineStr">
        <is>
          <t>351391014:eng</t>
        </is>
      </c>
      <c r="AV1261" t="inlineStr">
        <is>
          <t>28343184</t>
        </is>
      </c>
      <c r="AW1261" t="inlineStr">
        <is>
          <t>991001955519702656</t>
        </is>
      </c>
      <c r="AX1261" t="inlineStr">
        <is>
          <t>991001955519702656</t>
        </is>
      </c>
      <c r="AY1261" t="inlineStr">
        <is>
          <t>2256781570002656</t>
        </is>
      </c>
      <c r="AZ1261" t="inlineStr">
        <is>
          <t>BOOK</t>
        </is>
      </c>
      <c r="BB1261" t="inlineStr">
        <is>
          <t>9788200213871</t>
        </is>
      </c>
      <c r="BC1261" t="inlineStr">
        <is>
          <t>32285001129468</t>
        </is>
      </c>
      <c r="BD1261" t="inlineStr">
        <is>
          <t>893503857</t>
        </is>
      </c>
    </row>
    <row r="1262">
      <c r="A1262" t="inlineStr">
        <is>
          <t>No</t>
        </is>
      </c>
      <c r="B1262" t="inlineStr">
        <is>
          <t>HQ1870.9 .H65 1988</t>
        </is>
      </c>
      <c r="C1262" t="inlineStr">
        <is>
          <t>0                      HQ 1870900H  65          1988</t>
        </is>
      </c>
      <c r="D1262" t="inlineStr">
        <is>
          <t>A Home divided : women and income in the Third World / Daisy Dwyer and Judith Bruce, editors ; contributors, Mead Cain ... [et al.].</t>
        </is>
      </c>
      <c r="F1262" t="inlineStr">
        <is>
          <t>No</t>
        </is>
      </c>
      <c r="G1262" t="inlineStr">
        <is>
          <t>1</t>
        </is>
      </c>
      <c r="H1262" t="inlineStr">
        <is>
          <t>No</t>
        </is>
      </c>
      <c r="I1262" t="inlineStr">
        <is>
          <t>No</t>
        </is>
      </c>
      <c r="J1262" t="inlineStr">
        <is>
          <t>0</t>
        </is>
      </c>
      <c r="L1262" t="inlineStr">
        <is>
          <t>Stanford, Calif. : Stanford University Press, 1988.</t>
        </is>
      </c>
      <c r="M1262" t="inlineStr">
        <is>
          <t>1988</t>
        </is>
      </c>
      <c r="O1262" t="inlineStr">
        <is>
          <t>eng</t>
        </is>
      </c>
      <c r="P1262" t="inlineStr">
        <is>
          <t>cau</t>
        </is>
      </c>
      <c r="R1262" t="inlineStr">
        <is>
          <t xml:space="preserve">HQ </t>
        </is>
      </c>
      <c r="S1262" t="n">
        <v>1</v>
      </c>
      <c r="T1262" t="n">
        <v>1</v>
      </c>
      <c r="U1262" t="inlineStr">
        <is>
          <t>2000-10-23</t>
        </is>
      </c>
      <c r="V1262" t="inlineStr">
        <is>
          <t>2000-10-23</t>
        </is>
      </c>
      <c r="W1262" t="inlineStr">
        <is>
          <t>2000-10-23</t>
        </is>
      </c>
      <c r="X1262" t="inlineStr">
        <is>
          <t>2000-10-23</t>
        </is>
      </c>
      <c r="Y1262" t="n">
        <v>582</v>
      </c>
      <c r="Z1262" t="n">
        <v>424</v>
      </c>
      <c r="AA1262" t="n">
        <v>424</v>
      </c>
      <c r="AB1262" t="n">
        <v>4</v>
      </c>
      <c r="AC1262" t="n">
        <v>4</v>
      </c>
      <c r="AD1262" t="n">
        <v>21</v>
      </c>
      <c r="AE1262" t="n">
        <v>21</v>
      </c>
      <c r="AF1262" t="n">
        <v>5</v>
      </c>
      <c r="AG1262" t="n">
        <v>5</v>
      </c>
      <c r="AH1262" t="n">
        <v>7</v>
      </c>
      <c r="AI1262" t="n">
        <v>7</v>
      </c>
      <c r="AJ1262" t="n">
        <v>11</v>
      </c>
      <c r="AK1262" t="n">
        <v>11</v>
      </c>
      <c r="AL1262" t="n">
        <v>3</v>
      </c>
      <c r="AM1262" t="n">
        <v>3</v>
      </c>
      <c r="AN1262" t="n">
        <v>0</v>
      </c>
      <c r="AO1262" t="n">
        <v>0</v>
      </c>
      <c r="AP1262" t="inlineStr">
        <is>
          <t>No</t>
        </is>
      </c>
      <c r="AQ1262" t="inlineStr">
        <is>
          <t>No</t>
        </is>
      </c>
      <c r="AS1262">
        <f>HYPERLINK("https://creighton-primo.hosted.exlibrisgroup.com/primo-explore/search?tab=default_tab&amp;search_scope=EVERYTHING&amp;vid=01CRU&amp;lang=en_US&amp;offset=0&amp;query=any,contains,991003259779702656","Catalog Record")</f>
        <v/>
      </c>
      <c r="AT1262">
        <f>HYPERLINK("http://www.worldcat.org/oclc/17774508","WorldCat Record")</f>
        <v/>
      </c>
      <c r="AU1262" t="inlineStr">
        <is>
          <t>889996378:eng</t>
        </is>
      </c>
      <c r="AV1262" t="inlineStr">
        <is>
          <t>17774508</t>
        </is>
      </c>
      <c r="AW1262" t="inlineStr">
        <is>
          <t>991003259779702656</t>
        </is>
      </c>
      <c r="AX1262" t="inlineStr">
        <is>
          <t>991003259779702656</t>
        </is>
      </c>
      <c r="AY1262" t="inlineStr">
        <is>
          <t>2272628760002656</t>
        </is>
      </c>
      <c r="AZ1262" t="inlineStr">
        <is>
          <t>BOOK</t>
        </is>
      </c>
      <c r="BB1262" t="inlineStr">
        <is>
          <t>9780804714853</t>
        </is>
      </c>
      <c r="BC1262" t="inlineStr">
        <is>
          <t>32285003769253</t>
        </is>
      </c>
      <c r="BD1262" t="inlineStr">
        <is>
          <t>893868240</t>
        </is>
      </c>
    </row>
    <row r="1263">
      <c r="A1263" t="inlineStr">
        <is>
          <t>No</t>
        </is>
      </c>
      <c r="B1263" t="inlineStr">
        <is>
          <t>HQ1870.9 .K58 1997</t>
        </is>
      </c>
      <c r="C1263" t="inlineStr">
        <is>
          <t>0                      HQ 1870900K  58          1997</t>
        </is>
      </c>
      <c r="D1263" t="inlineStr">
        <is>
          <t>Women in the Third World : a reference handbook / Karen L. Kinnear.</t>
        </is>
      </c>
      <c r="F1263" t="inlineStr">
        <is>
          <t>No</t>
        </is>
      </c>
      <c r="G1263" t="inlineStr">
        <is>
          <t>1</t>
        </is>
      </c>
      <c r="H1263" t="inlineStr">
        <is>
          <t>No</t>
        </is>
      </c>
      <c r="I1263" t="inlineStr">
        <is>
          <t>No</t>
        </is>
      </c>
      <c r="J1263" t="inlineStr">
        <is>
          <t>0</t>
        </is>
      </c>
      <c r="K1263" t="inlineStr">
        <is>
          <t>Kinnear, Karen L.</t>
        </is>
      </c>
      <c r="L1263" t="inlineStr">
        <is>
          <t>Santa Barbara, Calif. : ABC-CLIO, c1997.</t>
        </is>
      </c>
      <c r="M1263" t="inlineStr">
        <is>
          <t>1997</t>
        </is>
      </c>
      <c r="O1263" t="inlineStr">
        <is>
          <t>eng</t>
        </is>
      </c>
      <c r="P1263" t="inlineStr">
        <is>
          <t>cau</t>
        </is>
      </c>
      <c r="Q1263" t="inlineStr">
        <is>
          <t>Contemporary world issues</t>
        </is>
      </c>
      <c r="R1263" t="inlineStr">
        <is>
          <t xml:space="preserve">HQ </t>
        </is>
      </c>
      <c r="S1263" t="n">
        <v>3</v>
      </c>
      <c r="T1263" t="n">
        <v>3</v>
      </c>
      <c r="U1263" t="inlineStr">
        <is>
          <t>2008-11-09</t>
        </is>
      </c>
      <c r="V1263" t="inlineStr">
        <is>
          <t>2008-11-09</t>
        </is>
      </c>
      <c r="W1263" t="inlineStr">
        <is>
          <t>1997-11-06</t>
        </is>
      </c>
      <c r="X1263" t="inlineStr">
        <is>
          <t>1997-11-06</t>
        </is>
      </c>
      <c r="Y1263" t="n">
        <v>630</v>
      </c>
      <c r="Z1263" t="n">
        <v>563</v>
      </c>
      <c r="AA1263" t="n">
        <v>1285</v>
      </c>
      <c r="AB1263" t="n">
        <v>7</v>
      </c>
      <c r="AC1263" t="n">
        <v>10</v>
      </c>
      <c r="AD1263" t="n">
        <v>21</v>
      </c>
      <c r="AE1263" t="n">
        <v>34</v>
      </c>
      <c r="AF1263" t="n">
        <v>5</v>
      </c>
      <c r="AG1263" t="n">
        <v>12</v>
      </c>
      <c r="AH1263" t="n">
        <v>4</v>
      </c>
      <c r="AI1263" t="n">
        <v>6</v>
      </c>
      <c r="AJ1263" t="n">
        <v>7</v>
      </c>
      <c r="AK1263" t="n">
        <v>14</v>
      </c>
      <c r="AL1263" t="n">
        <v>6</v>
      </c>
      <c r="AM1263" t="n">
        <v>8</v>
      </c>
      <c r="AN1263" t="n">
        <v>0</v>
      </c>
      <c r="AO1263" t="n">
        <v>0</v>
      </c>
      <c r="AP1263" t="inlineStr">
        <is>
          <t>No</t>
        </is>
      </c>
      <c r="AQ1263" t="inlineStr">
        <is>
          <t>Yes</t>
        </is>
      </c>
      <c r="AR1263">
        <f>HYPERLINK("http://catalog.hathitrust.org/Record/003956984","HathiTrust Record")</f>
        <v/>
      </c>
      <c r="AS1263">
        <f>HYPERLINK("https://creighton-primo.hosted.exlibrisgroup.com/primo-explore/search?tab=default_tab&amp;search_scope=EVERYTHING&amp;vid=01CRU&amp;lang=en_US&amp;offset=0&amp;query=any,contains,991002883749702656","Catalog Record")</f>
        <v/>
      </c>
      <c r="AT1263">
        <f>HYPERLINK("http://www.worldcat.org/oclc/36922972","WorldCat Record")</f>
        <v/>
      </c>
      <c r="AU1263" t="inlineStr">
        <is>
          <t>1033302:eng</t>
        </is>
      </c>
      <c r="AV1263" t="inlineStr">
        <is>
          <t>36922972</t>
        </is>
      </c>
      <c r="AW1263" t="inlineStr">
        <is>
          <t>991002883749702656</t>
        </is>
      </c>
      <c r="AX1263" t="inlineStr">
        <is>
          <t>991002883749702656</t>
        </is>
      </c>
      <c r="AY1263" t="inlineStr">
        <is>
          <t>2271504440002656</t>
        </is>
      </c>
      <c r="AZ1263" t="inlineStr">
        <is>
          <t>BOOK</t>
        </is>
      </c>
      <c r="BB1263" t="inlineStr">
        <is>
          <t>9780874369229</t>
        </is>
      </c>
      <c r="BC1263" t="inlineStr">
        <is>
          <t>32285003277281</t>
        </is>
      </c>
      <c r="BD1263" t="inlineStr">
        <is>
          <t>893245769</t>
        </is>
      </c>
    </row>
    <row r="1264">
      <c r="A1264" t="inlineStr">
        <is>
          <t>No</t>
        </is>
      </c>
      <c r="B1264" t="inlineStr">
        <is>
          <t>HQ1870.9 .T48 v...</t>
        </is>
      </c>
      <c r="C1264" t="inlineStr">
        <is>
          <t>0                      HQ 1870900T  48                                                      v...</t>
        </is>
      </c>
      <c r="D1264" t="inlineStr">
        <is>
          <t>Third world, second sex : women's struggles and national liberation : third world women speak out / compiled by Miranda Davies.</t>
        </is>
      </c>
      <c r="E1264" t="inlineStr">
        <is>
          <t>V.2</t>
        </is>
      </c>
      <c r="F1264" t="inlineStr">
        <is>
          <t>No</t>
        </is>
      </c>
      <c r="G1264" t="inlineStr">
        <is>
          <t>1</t>
        </is>
      </c>
      <c r="H1264" t="inlineStr">
        <is>
          <t>No</t>
        </is>
      </c>
      <c r="I1264" t="inlineStr">
        <is>
          <t>No</t>
        </is>
      </c>
      <c r="J1264" t="inlineStr">
        <is>
          <t>0</t>
        </is>
      </c>
      <c r="L1264" t="inlineStr">
        <is>
          <t>London : Zed Press ; Westport, Conn. : L. Hill, U.S. distributor, 1983-</t>
        </is>
      </c>
      <c r="M1264" t="inlineStr">
        <is>
          <t>1983</t>
        </is>
      </c>
      <c r="O1264" t="inlineStr">
        <is>
          <t>eng</t>
        </is>
      </c>
      <c r="P1264" t="inlineStr">
        <is>
          <t>enk</t>
        </is>
      </c>
      <c r="R1264" t="inlineStr">
        <is>
          <t xml:space="preserve">HQ </t>
        </is>
      </c>
      <c r="S1264" t="n">
        <v>15</v>
      </c>
      <c r="T1264" t="n">
        <v>15</v>
      </c>
      <c r="U1264" t="inlineStr">
        <is>
          <t>2005-04-17</t>
        </is>
      </c>
      <c r="V1264" t="inlineStr">
        <is>
          <t>2005-04-17</t>
        </is>
      </c>
      <c r="W1264" t="inlineStr">
        <is>
          <t>1990-03-26</t>
        </is>
      </c>
      <c r="X1264" t="inlineStr">
        <is>
          <t>1990-03-26</t>
        </is>
      </c>
      <c r="Y1264" t="n">
        <v>355</v>
      </c>
      <c r="Z1264" t="n">
        <v>240</v>
      </c>
      <c r="AA1264" t="n">
        <v>252</v>
      </c>
      <c r="AB1264" t="n">
        <v>2</v>
      </c>
      <c r="AC1264" t="n">
        <v>2</v>
      </c>
      <c r="AD1264" t="n">
        <v>7</v>
      </c>
      <c r="AE1264" t="n">
        <v>8</v>
      </c>
      <c r="AF1264" t="n">
        <v>1</v>
      </c>
      <c r="AG1264" t="n">
        <v>1</v>
      </c>
      <c r="AH1264" t="n">
        <v>3</v>
      </c>
      <c r="AI1264" t="n">
        <v>4</v>
      </c>
      <c r="AJ1264" t="n">
        <v>3</v>
      </c>
      <c r="AK1264" t="n">
        <v>4</v>
      </c>
      <c r="AL1264" t="n">
        <v>1</v>
      </c>
      <c r="AM1264" t="n">
        <v>1</v>
      </c>
      <c r="AN1264" t="n">
        <v>0</v>
      </c>
      <c r="AO1264" t="n">
        <v>0</v>
      </c>
      <c r="AP1264" t="inlineStr">
        <is>
          <t>No</t>
        </is>
      </c>
      <c r="AQ1264" t="inlineStr">
        <is>
          <t>Yes</t>
        </is>
      </c>
      <c r="AR1264">
        <f>HYPERLINK("http://catalog.hathitrust.org/Record/102078348","HathiTrust Record")</f>
        <v/>
      </c>
      <c r="AS1264">
        <f>HYPERLINK("https://creighton-primo.hosted.exlibrisgroup.com/primo-explore/search?tab=default_tab&amp;search_scope=EVERYTHING&amp;vid=01CRU&amp;lang=en_US&amp;offset=0&amp;query=any,contains,991001267769702656","Catalog Record")</f>
        <v/>
      </c>
      <c r="AT1264">
        <f>HYPERLINK("http://www.worldcat.org/oclc/9531433","WorldCat Record")</f>
        <v/>
      </c>
      <c r="AU1264" t="inlineStr">
        <is>
          <t>890572786:eng</t>
        </is>
      </c>
      <c r="AV1264" t="inlineStr">
        <is>
          <t>9531433</t>
        </is>
      </c>
      <c r="AW1264" t="inlineStr">
        <is>
          <t>991001267769702656</t>
        </is>
      </c>
      <c r="AX1264" t="inlineStr">
        <is>
          <t>991001267769702656</t>
        </is>
      </c>
      <c r="AY1264" t="inlineStr">
        <is>
          <t>2260416860002656</t>
        </is>
      </c>
      <c r="AZ1264" t="inlineStr">
        <is>
          <t>BOOK</t>
        </is>
      </c>
      <c r="BC1264" t="inlineStr">
        <is>
          <t>32285000096759</t>
        </is>
      </c>
      <c r="BD1264" t="inlineStr">
        <is>
          <t>893702895</t>
        </is>
      </c>
    </row>
    <row r="1265">
      <c r="A1265" t="inlineStr">
        <is>
          <t>No</t>
        </is>
      </c>
      <c r="B1265" t="inlineStr">
        <is>
          <t>HQ1870.9 .W64 1983</t>
        </is>
      </c>
      <c r="C1265" t="inlineStr">
        <is>
          <t>0                      HQ 1870900W  64          1983</t>
        </is>
      </c>
      <c r="D1265" t="inlineStr">
        <is>
          <t>Women and poverty in the Third World / edited by Mayra Buvinić, Margaret A. Lycette, and William Paul McGreevey.</t>
        </is>
      </c>
      <c r="F1265" t="inlineStr">
        <is>
          <t>No</t>
        </is>
      </c>
      <c r="G1265" t="inlineStr">
        <is>
          <t>1</t>
        </is>
      </c>
      <c r="H1265" t="inlineStr">
        <is>
          <t>No</t>
        </is>
      </c>
      <c r="I1265" t="inlineStr">
        <is>
          <t>No</t>
        </is>
      </c>
      <c r="J1265" t="inlineStr">
        <is>
          <t>0</t>
        </is>
      </c>
      <c r="L1265" t="inlineStr">
        <is>
          <t>Baltimore : Johns Hopkins University Press, c1983.</t>
        </is>
      </c>
      <c r="M1265" t="inlineStr">
        <is>
          <t>1983</t>
        </is>
      </c>
      <c r="O1265" t="inlineStr">
        <is>
          <t>eng</t>
        </is>
      </c>
      <c r="P1265" t="inlineStr">
        <is>
          <t>mdu</t>
        </is>
      </c>
      <c r="Q1265" t="inlineStr">
        <is>
          <t>The Johns Hopkins studies in development</t>
        </is>
      </c>
      <c r="R1265" t="inlineStr">
        <is>
          <t xml:space="preserve">HQ </t>
        </is>
      </c>
      <c r="S1265" t="n">
        <v>10</v>
      </c>
      <c r="T1265" t="n">
        <v>10</v>
      </c>
      <c r="U1265" t="inlineStr">
        <is>
          <t>2008-11-09</t>
        </is>
      </c>
      <c r="V1265" t="inlineStr">
        <is>
          <t>2008-11-09</t>
        </is>
      </c>
      <c r="W1265" t="inlineStr">
        <is>
          <t>1992-03-12</t>
        </is>
      </c>
      <c r="X1265" t="inlineStr">
        <is>
          <t>1992-03-12</t>
        </is>
      </c>
      <c r="Y1265" t="n">
        <v>599</v>
      </c>
      <c r="Z1265" t="n">
        <v>461</v>
      </c>
      <c r="AA1265" t="n">
        <v>471</v>
      </c>
      <c r="AB1265" t="n">
        <v>4</v>
      </c>
      <c r="AC1265" t="n">
        <v>4</v>
      </c>
      <c r="AD1265" t="n">
        <v>21</v>
      </c>
      <c r="AE1265" t="n">
        <v>21</v>
      </c>
      <c r="AF1265" t="n">
        <v>7</v>
      </c>
      <c r="AG1265" t="n">
        <v>7</v>
      </c>
      <c r="AH1265" t="n">
        <v>6</v>
      </c>
      <c r="AI1265" t="n">
        <v>6</v>
      </c>
      <c r="AJ1265" t="n">
        <v>12</v>
      </c>
      <c r="AK1265" t="n">
        <v>12</v>
      </c>
      <c r="AL1265" t="n">
        <v>3</v>
      </c>
      <c r="AM1265" t="n">
        <v>3</v>
      </c>
      <c r="AN1265" t="n">
        <v>0</v>
      </c>
      <c r="AO1265" t="n">
        <v>0</v>
      </c>
      <c r="AP1265" t="inlineStr">
        <is>
          <t>No</t>
        </is>
      </c>
      <c r="AQ1265" t="inlineStr">
        <is>
          <t>Yes</t>
        </is>
      </c>
      <c r="AR1265">
        <f>HYPERLINK("http://catalog.hathitrust.org/Record/000770083","HathiTrust Record")</f>
        <v/>
      </c>
      <c r="AS1265">
        <f>HYPERLINK("https://creighton-primo.hosted.exlibrisgroup.com/primo-explore/search?tab=default_tab&amp;search_scope=EVERYTHING&amp;vid=01CRU&amp;lang=en_US&amp;offset=0&amp;query=any,contains,991005246739702656","Catalog Record")</f>
        <v/>
      </c>
      <c r="AT1265">
        <f>HYPERLINK("http://www.worldcat.org/oclc/8473538","WorldCat Record")</f>
        <v/>
      </c>
      <c r="AU1265" t="inlineStr">
        <is>
          <t>906765136:eng</t>
        </is>
      </c>
      <c r="AV1265" t="inlineStr">
        <is>
          <t>8473538</t>
        </is>
      </c>
      <c r="AW1265" t="inlineStr">
        <is>
          <t>991005246739702656</t>
        </is>
      </c>
      <c r="AX1265" t="inlineStr">
        <is>
          <t>991005246739702656</t>
        </is>
      </c>
      <c r="AY1265" t="inlineStr">
        <is>
          <t>2259415100002656</t>
        </is>
      </c>
      <c r="AZ1265" t="inlineStr">
        <is>
          <t>BOOK</t>
        </is>
      </c>
      <c r="BB1265" t="inlineStr">
        <is>
          <t>9780801826818</t>
        </is>
      </c>
      <c r="BC1265" t="inlineStr">
        <is>
          <t>32285000998582</t>
        </is>
      </c>
      <c r="BD1265" t="inlineStr">
        <is>
          <t>893418607</t>
        </is>
      </c>
    </row>
    <row r="1266">
      <c r="A1266" t="inlineStr">
        <is>
          <t>No</t>
        </is>
      </c>
      <c r="B1266" t="inlineStr">
        <is>
          <t>HQ1870.9 .W65 1981</t>
        </is>
      </c>
      <c r="C1266" t="inlineStr">
        <is>
          <t>0                      HQ 1870900W  65          1981</t>
        </is>
      </c>
      <c r="D1266" t="inlineStr">
        <is>
          <t>Women and technological change in developing countries / edited by Roslyn Dauber and Melinda L. Cain.</t>
        </is>
      </c>
      <c r="F1266" t="inlineStr">
        <is>
          <t>No</t>
        </is>
      </c>
      <c r="G1266" t="inlineStr">
        <is>
          <t>1</t>
        </is>
      </c>
      <c r="H1266" t="inlineStr">
        <is>
          <t>No</t>
        </is>
      </c>
      <c r="I1266" t="inlineStr">
        <is>
          <t>No</t>
        </is>
      </c>
      <c r="J1266" t="inlineStr">
        <is>
          <t>0</t>
        </is>
      </c>
      <c r="L1266" t="inlineStr">
        <is>
          <t>Boulder, Colo. : Westview Press for American Association for the Advancement of Science, 1981.</t>
        </is>
      </c>
      <c r="M1266" t="inlineStr">
        <is>
          <t>1981</t>
        </is>
      </c>
      <c r="O1266" t="inlineStr">
        <is>
          <t>eng</t>
        </is>
      </c>
      <c r="P1266" t="inlineStr">
        <is>
          <t>cou</t>
        </is>
      </c>
      <c r="Q1266" t="inlineStr">
        <is>
          <t>AAAS selected symposium ; 53</t>
        </is>
      </c>
      <c r="R1266" t="inlineStr">
        <is>
          <t xml:space="preserve">HQ </t>
        </is>
      </c>
      <c r="S1266" t="n">
        <v>7</v>
      </c>
      <c r="T1266" t="n">
        <v>7</v>
      </c>
      <c r="U1266" t="inlineStr">
        <is>
          <t>2008-11-09</t>
        </is>
      </c>
      <c r="V1266" t="inlineStr">
        <is>
          <t>2008-11-09</t>
        </is>
      </c>
      <c r="W1266" t="inlineStr">
        <is>
          <t>1992-02-11</t>
        </is>
      </c>
      <c r="X1266" t="inlineStr">
        <is>
          <t>1992-02-11</t>
        </is>
      </c>
      <c r="Y1266" t="n">
        <v>436</v>
      </c>
      <c r="Z1266" t="n">
        <v>344</v>
      </c>
      <c r="AA1266" t="n">
        <v>350</v>
      </c>
      <c r="AB1266" t="n">
        <v>5</v>
      </c>
      <c r="AC1266" t="n">
        <v>5</v>
      </c>
      <c r="AD1266" t="n">
        <v>13</v>
      </c>
      <c r="AE1266" t="n">
        <v>13</v>
      </c>
      <c r="AF1266" t="n">
        <v>3</v>
      </c>
      <c r="AG1266" t="n">
        <v>3</v>
      </c>
      <c r="AH1266" t="n">
        <v>4</v>
      </c>
      <c r="AI1266" t="n">
        <v>4</v>
      </c>
      <c r="AJ1266" t="n">
        <v>5</v>
      </c>
      <c r="AK1266" t="n">
        <v>5</v>
      </c>
      <c r="AL1266" t="n">
        <v>4</v>
      </c>
      <c r="AM1266" t="n">
        <v>4</v>
      </c>
      <c r="AN1266" t="n">
        <v>0</v>
      </c>
      <c r="AO1266" t="n">
        <v>0</v>
      </c>
      <c r="AP1266" t="inlineStr">
        <is>
          <t>No</t>
        </is>
      </c>
      <c r="AQ1266" t="inlineStr">
        <is>
          <t>Yes</t>
        </is>
      </c>
      <c r="AR1266">
        <f>HYPERLINK("http://catalog.hathitrust.org/Record/000738722","HathiTrust Record")</f>
        <v/>
      </c>
      <c r="AS1266">
        <f>HYPERLINK("https://creighton-primo.hosted.exlibrisgroup.com/primo-explore/search?tab=default_tab&amp;search_scope=EVERYTHING&amp;vid=01CRU&amp;lang=en_US&amp;offset=0&amp;query=any,contains,991005027959702656","Catalog Record")</f>
        <v/>
      </c>
      <c r="AT1266">
        <f>HYPERLINK("http://www.worldcat.org/oclc/6707905","WorldCat Record")</f>
        <v/>
      </c>
      <c r="AU1266" t="inlineStr">
        <is>
          <t>353400968:eng</t>
        </is>
      </c>
      <c r="AV1266" t="inlineStr">
        <is>
          <t>6707905</t>
        </is>
      </c>
      <c r="AW1266" t="inlineStr">
        <is>
          <t>991005027959702656</t>
        </is>
      </c>
      <c r="AX1266" t="inlineStr">
        <is>
          <t>991005027959702656</t>
        </is>
      </c>
      <c r="AY1266" t="inlineStr">
        <is>
          <t>2257601850002656</t>
        </is>
      </c>
      <c r="AZ1266" t="inlineStr">
        <is>
          <t>BOOK</t>
        </is>
      </c>
      <c r="BB1266" t="inlineStr">
        <is>
          <t>9780891587910</t>
        </is>
      </c>
      <c r="BC1266" t="inlineStr">
        <is>
          <t>32285000946425</t>
        </is>
      </c>
      <c r="BD1266" t="inlineStr">
        <is>
          <t>893332295</t>
        </is>
      </c>
    </row>
    <row r="1267">
      <c r="A1267" t="inlineStr">
        <is>
          <t>No</t>
        </is>
      </c>
      <c r="B1267" t="inlineStr">
        <is>
          <t>HQ1905.W6 S74 1994</t>
        </is>
      </c>
      <c r="C1267" t="inlineStr">
        <is>
          <t>0                      HQ 1905000W  6                  S  74          1994</t>
        </is>
      </c>
      <c r="D1267" t="inlineStr">
        <is>
          <t>An improved woman : the Wisconsin Federation of Women's Clubs, 1895-1920 / Janice C. Steinschneider.</t>
        </is>
      </c>
      <c r="F1267" t="inlineStr">
        <is>
          <t>No</t>
        </is>
      </c>
      <c r="G1267" t="inlineStr">
        <is>
          <t>1</t>
        </is>
      </c>
      <c r="H1267" t="inlineStr">
        <is>
          <t>No</t>
        </is>
      </c>
      <c r="I1267" t="inlineStr">
        <is>
          <t>No</t>
        </is>
      </c>
      <c r="J1267" t="inlineStr">
        <is>
          <t>0</t>
        </is>
      </c>
      <c r="K1267" t="inlineStr">
        <is>
          <t>Steinschneider, Janice, 1960-</t>
        </is>
      </c>
      <c r="L1267" t="inlineStr">
        <is>
          <t>Brooklyn, N.Y. : Carlson Pub., 1994.</t>
        </is>
      </c>
      <c r="M1267" t="inlineStr">
        <is>
          <t>1994</t>
        </is>
      </c>
      <c r="O1267" t="inlineStr">
        <is>
          <t>eng</t>
        </is>
      </c>
      <c r="P1267" t="inlineStr">
        <is>
          <t>nyu</t>
        </is>
      </c>
      <c r="Q1267" t="inlineStr">
        <is>
          <t>Scholarship in women's history ; v. 10</t>
        </is>
      </c>
      <c r="R1267" t="inlineStr">
        <is>
          <t xml:space="preserve">HQ </t>
        </is>
      </c>
      <c r="S1267" t="n">
        <v>2</v>
      </c>
      <c r="T1267" t="n">
        <v>2</v>
      </c>
      <c r="U1267" t="inlineStr">
        <is>
          <t>1999-10-01</t>
        </is>
      </c>
      <c r="V1267" t="inlineStr">
        <is>
          <t>1999-10-01</t>
        </is>
      </c>
      <c r="W1267" t="inlineStr">
        <is>
          <t>1996-09-04</t>
        </is>
      </c>
      <c r="X1267" t="inlineStr">
        <is>
          <t>1996-09-04</t>
        </is>
      </c>
      <c r="Y1267" t="n">
        <v>314</v>
      </c>
      <c r="Z1267" t="n">
        <v>302</v>
      </c>
      <c r="AA1267" t="n">
        <v>309</v>
      </c>
      <c r="AB1267" t="n">
        <v>2</v>
      </c>
      <c r="AC1267" t="n">
        <v>2</v>
      </c>
      <c r="AD1267" t="n">
        <v>18</v>
      </c>
      <c r="AE1267" t="n">
        <v>18</v>
      </c>
      <c r="AF1267" t="n">
        <v>8</v>
      </c>
      <c r="AG1267" t="n">
        <v>8</v>
      </c>
      <c r="AH1267" t="n">
        <v>4</v>
      </c>
      <c r="AI1267" t="n">
        <v>4</v>
      </c>
      <c r="AJ1267" t="n">
        <v>12</v>
      </c>
      <c r="AK1267" t="n">
        <v>12</v>
      </c>
      <c r="AL1267" t="n">
        <v>1</v>
      </c>
      <c r="AM1267" t="n">
        <v>1</v>
      </c>
      <c r="AN1267" t="n">
        <v>0</v>
      </c>
      <c r="AO1267" t="n">
        <v>0</v>
      </c>
      <c r="AP1267" t="inlineStr">
        <is>
          <t>No</t>
        </is>
      </c>
      <c r="AQ1267" t="inlineStr">
        <is>
          <t>Yes</t>
        </is>
      </c>
      <c r="AR1267">
        <f>HYPERLINK("http://catalog.hathitrust.org/Record/002971092","HathiTrust Record")</f>
        <v/>
      </c>
      <c r="AS1267">
        <f>HYPERLINK("https://creighton-primo.hosted.exlibrisgroup.com/primo-explore/search?tab=default_tab&amp;search_scope=EVERYTHING&amp;vid=01CRU&amp;lang=en_US&amp;offset=0&amp;query=any,contains,991002342199702656","Catalog Record")</f>
        <v/>
      </c>
      <c r="AT1267">
        <f>HYPERLINK("http://www.worldcat.org/oclc/30508187","WorldCat Record")</f>
        <v/>
      </c>
      <c r="AU1267" t="inlineStr">
        <is>
          <t>8928987459:eng</t>
        </is>
      </c>
      <c r="AV1267" t="inlineStr">
        <is>
          <t>30508187</t>
        </is>
      </c>
      <c r="AW1267" t="inlineStr">
        <is>
          <t>991002342199702656</t>
        </is>
      </c>
      <c r="AX1267" t="inlineStr">
        <is>
          <t>991002342199702656</t>
        </is>
      </c>
      <c r="AY1267" t="inlineStr">
        <is>
          <t>2272657460002656</t>
        </is>
      </c>
      <c r="AZ1267" t="inlineStr">
        <is>
          <t>BOOK</t>
        </is>
      </c>
      <c r="BB1267" t="inlineStr">
        <is>
          <t>9780926019713</t>
        </is>
      </c>
      <c r="BC1267" t="inlineStr">
        <is>
          <t>32285002294212</t>
        </is>
      </c>
      <c r="BD1267" t="inlineStr">
        <is>
          <t>893603471</t>
        </is>
      </c>
    </row>
    <row r="1268">
      <c r="A1268" t="inlineStr">
        <is>
          <t>No</t>
        </is>
      </c>
      <c r="B1268" t="inlineStr">
        <is>
          <t>HQ196.P3 P46 2004</t>
        </is>
      </c>
      <c r="C1268" t="inlineStr">
        <is>
          <t>0                      HQ 0196000P  3                  P  46          2004</t>
        </is>
      </c>
      <c r="D1268" t="inlineStr">
        <is>
          <t>Pederasts and others : urban culture and sexual identity in nineteenth-century Paris / William A. Peniston.</t>
        </is>
      </c>
      <c r="F1268" t="inlineStr">
        <is>
          <t>No</t>
        </is>
      </c>
      <c r="G1268" t="inlineStr">
        <is>
          <t>1</t>
        </is>
      </c>
      <c r="H1268" t="inlineStr">
        <is>
          <t>No</t>
        </is>
      </c>
      <c r="I1268" t="inlineStr">
        <is>
          <t>No</t>
        </is>
      </c>
      <c r="J1268" t="inlineStr">
        <is>
          <t>0</t>
        </is>
      </c>
      <c r="K1268" t="inlineStr">
        <is>
          <t>Peniston, William A., 1959-</t>
        </is>
      </c>
      <c r="L1268" t="inlineStr">
        <is>
          <t>New York : Harrington Park Press, c2004.</t>
        </is>
      </c>
      <c r="M1268" t="inlineStr">
        <is>
          <t>2004</t>
        </is>
      </c>
      <c r="O1268" t="inlineStr">
        <is>
          <t>eng</t>
        </is>
      </c>
      <c r="P1268" t="inlineStr">
        <is>
          <t>nyu</t>
        </is>
      </c>
      <c r="Q1268" t="inlineStr">
        <is>
          <t>Haworth gay &amp; lesbian studies</t>
        </is>
      </c>
      <c r="R1268" t="inlineStr">
        <is>
          <t xml:space="preserve">HQ </t>
        </is>
      </c>
      <c r="S1268" t="n">
        <v>1</v>
      </c>
      <c r="T1268" t="n">
        <v>1</v>
      </c>
      <c r="U1268" t="inlineStr">
        <is>
          <t>2006-07-24</t>
        </is>
      </c>
      <c r="V1268" t="inlineStr">
        <is>
          <t>2006-07-24</t>
        </is>
      </c>
      <c r="W1268" t="inlineStr">
        <is>
          <t>2006-07-24</t>
        </is>
      </c>
      <c r="X1268" t="inlineStr">
        <is>
          <t>2006-07-24</t>
        </is>
      </c>
      <c r="Y1268" t="n">
        <v>296</v>
      </c>
      <c r="Z1268" t="n">
        <v>235</v>
      </c>
      <c r="AA1268" t="n">
        <v>255</v>
      </c>
      <c r="AB1268" t="n">
        <v>4</v>
      </c>
      <c r="AC1268" t="n">
        <v>4</v>
      </c>
      <c r="AD1268" t="n">
        <v>13</v>
      </c>
      <c r="AE1268" t="n">
        <v>13</v>
      </c>
      <c r="AF1268" t="n">
        <v>4</v>
      </c>
      <c r="AG1268" t="n">
        <v>4</v>
      </c>
      <c r="AH1268" t="n">
        <v>3</v>
      </c>
      <c r="AI1268" t="n">
        <v>3</v>
      </c>
      <c r="AJ1268" t="n">
        <v>6</v>
      </c>
      <c r="AK1268" t="n">
        <v>6</v>
      </c>
      <c r="AL1268" t="n">
        <v>3</v>
      </c>
      <c r="AM1268" t="n">
        <v>3</v>
      </c>
      <c r="AN1268" t="n">
        <v>0</v>
      </c>
      <c r="AO1268" t="n">
        <v>0</v>
      </c>
      <c r="AP1268" t="inlineStr">
        <is>
          <t>No</t>
        </is>
      </c>
      <c r="AQ1268" t="inlineStr">
        <is>
          <t>Yes</t>
        </is>
      </c>
      <c r="AR1268">
        <f>HYPERLINK("http://catalog.hathitrust.org/Record/004932630","HathiTrust Record")</f>
        <v/>
      </c>
      <c r="AS1268">
        <f>HYPERLINK("https://creighton-primo.hosted.exlibrisgroup.com/primo-explore/search?tab=default_tab&amp;search_scope=EVERYTHING&amp;vid=01CRU&amp;lang=en_US&amp;offset=0&amp;query=any,contains,991004853649702656","Catalog Record")</f>
        <v/>
      </c>
      <c r="AT1268">
        <f>HYPERLINK("http://www.worldcat.org/oclc/53162862","WorldCat Record")</f>
        <v/>
      </c>
      <c r="AU1268" t="inlineStr">
        <is>
          <t>287294787:eng</t>
        </is>
      </c>
      <c r="AV1268" t="inlineStr">
        <is>
          <t>53162862</t>
        </is>
      </c>
      <c r="AW1268" t="inlineStr">
        <is>
          <t>991004853649702656</t>
        </is>
      </c>
      <c r="AX1268" t="inlineStr">
        <is>
          <t>991004853649702656</t>
        </is>
      </c>
      <c r="AY1268" t="inlineStr">
        <is>
          <t>2263853290002656</t>
        </is>
      </c>
      <c r="AZ1268" t="inlineStr">
        <is>
          <t>BOOK</t>
        </is>
      </c>
      <c r="BB1268" t="inlineStr">
        <is>
          <t>9781560234852</t>
        </is>
      </c>
      <c r="BC1268" t="inlineStr">
        <is>
          <t>32285005197362</t>
        </is>
      </c>
      <c r="BD1268" t="inlineStr">
        <is>
          <t>893332120</t>
        </is>
      </c>
    </row>
    <row r="1269">
      <c r="A1269" t="inlineStr">
        <is>
          <t>No</t>
        </is>
      </c>
      <c r="B1269" t="inlineStr">
        <is>
          <t>HQ203 .G53 1986</t>
        </is>
      </c>
      <c r="C1269" t="inlineStr">
        <is>
          <t>0                      HQ 0203000G  53          1986</t>
        </is>
      </c>
      <c r="D1269" t="inlineStr">
        <is>
          <t>Prostitution and the state in Italy, 1860-1915 / Mary Gibson.</t>
        </is>
      </c>
      <c r="F1269" t="inlineStr">
        <is>
          <t>No</t>
        </is>
      </c>
      <c r="G1269" t="inlineStr">
        <is>
          <t>1</t>
        </is>
      </c>
      <c r="H1269" t="inlineStr">
        <is>
          <t>No</t>
        </is>
      </c>
      <c r="I1269" t="inlineStr">
        <is>
          <t>No</t>
        </is>
      </c>
      <c r="J1269" t="inlineStr">
        <is>
          <t>0</t>
        </is>
      </c>
      <c r="K1269" t="inlineStr">
        <is>
          <t>Gibson, Mary, 1950-</t>
        </is>
      </c>
      <c r="L1269" t="inlineStr">
        <is>
          <t>New Brunswick : Rutgers University Press, c1986.</t>
        </is>
      </c>
      <c r="M1269" t="inlineStr">
        <is>
          <t>1986</t>
        </is>
      </c>
      <c r="O1269" t="inlineStr">
        <is>
          <t>eng</t>
        </is>
      </c>
      <c r="P1269" t="inlineStr">
        <is>
          <t>nju</t>
        </is>
      </c>
      <c r="Q1269" t="inlineStr">
        <is>
          <t>Crime, law, and deviance series</t>
        </is>
      </c>
      <c r="R1269" t="inlineStr">
        <is>
          <t xml:space="preserve">HQ </t>
        </is>
      </c>
      <c r="S1269" t="n">
        <v>2</v>
      </c>
      <c r="T1269" t="n">
        <v>2</v>
      </c>
      <c r="U1269" t="inlineStr">
        <is>
          <t>2009-04-07</t>
        </is>
      </c>
      <c r="V1269" t="inlineStr">
        <is>
          <t>2009-04-07</t>
        </is>
      </c>
      <c r="W1269" t="inlineStr">
        <is>
          <t>1992-10-26</t>
        </is>
      </c>
      <c r="X1269" t="inlineStr">
        <is>
          <t>1992-10-26</t>
        </is>
      </c>
      <c r="Y1269" t="n">
        <v>361</v>
      </c>
      <c r="Z1269" t="n">
        <v>293</v>
      </c>
      <c r="AA1269" t="n">
        <v>333</v>
      </c>
      <c r="AB1269" t="n">
        <v>2</v>
      </c>
      <c r="AC1269" t="n">
        <v>2</v>
      </c>
      <c r="AD1269" t="n">
        <v>12</v>
      </c>
      <c r="AE1269" t="n">
        <v>14</v>
      </c>
      <c r="AF1269" t="n">
        <v>2</v>
      </c>
      <c r="AG1269" t="n">
        <v>2</v>
      </c>
      <c r="AH1269" t="n">
        <v>4</v>
      </c>
      <c r="AI1269" t="n">
        <v>5</v>
      </c>
      <c r="AJ1269" t="n">
        <v>10</v>
      </c>
      <c r="AK1269" t="n">
        <v>10</v>
      </c>
      <c r="AL1269" t="n">
        <v>1</v>
      </c>
      <c r="AM1269" t="n">
        <v>1</v>
      </c>
      <c r="AN1269" t="n">
        <v>0</v>
      </c>
      <c r="AO1269" t="n">
        <v>1</v>
      </c>
      <c r="AP1269" t="inlineStr">
        <is>
          <t>No</t>
        </is>
      </c>
      <c r="AQ1269" t="inlineStr">
        <is>
          <t>Yes</t>
        </is>
      </c>
      <c r="AR1269">
        <f>HYPERLINK("http://catalog.hathitrust.org/Record/000597376","HathiTrust Record")</f>
        <v/>
      </c>
      <c r="AS1269">
        <f>HYPERLINK("https://creighton-primo.hosted.exlibrisgroup.com/primo-explore/search?tab=default_tab&amp;search_scope=EVERYTHING&amp;vid=01CRU&amp;lang=en_US&amp;offset=0&amp;query=any,contains,991000765789702656","Catalog Record")</f>
        <v/>
      </c>
      <c r="AT1269">
        <f>HYPERLINK("http://www.worldcat.org/oclc/13002758","WorldCat Record")</f>
        <v/>
      </c>
      <c r="AU1269" t="inlineStr">
        <is>
          <t>5386758:eng</t>
        </is>
      </c>
      <c r="AV1269" t="inlineStr">
        <is>
          <t>13002758</t>
        </is>
      </c>
      <c r="AW1269" t="inlineStr">
        <is>
          <t>991000765789702656</t>
        </is>
      </c>
      <c r="AX1269" t="inlineStr">
        <is>
          <t>991000765789702656</t>
        </is>
      </c>
      <c r="AY1269" t="inlineStr">
        <is>
          <t>2265729470002656</t>
        </is>
      </c>
      <c r="AZ1269" t="inlineStr">
        <is>
          <t>BOOK</t>
        </is>
      </c>
      <c r="BB1269" t="inlineStr">
        <is>
          <t>9780813511726</t>
        </is>
      </c>
      <c r="BC1269" t="inlineStr">
        <is>
          <t>32285001358372</t>
        </is>
      </c>
      <c r="BD1269" t="inlineStr">
        <is>
          <t>893315211</t>
        </is>
      </c>
    </row>
    <row r="1270">
      <c r="A1270" t="inlineStr">
        <is>
          <t>No</t>
        </is>
      </c>
      <c r="B1270" t="inlineStr">
        <is>
          <t>HQ2039.N7 B73 1990</t>
        </is>
      </c>
      <c r="C1270" t="inlineStr">
        <is>
          <t>0                      HQ 2039000N  7                  B  73          1990</t>
        </is>
      </c>
      <c r="D1270" t="inlineStr">
        <is>
          <t>A thinker's guide to living well / Dennis E. Bradford.</t>
        </is>
      </c>
      <c r="F1270" t="inlineStr">
        <is>
          <t>No</t>
        </is>
      </c>
      <c r="G1270" t="inlineStr">
        <is>
          <t>1</t>
        </is>
      </c>
      <c r="H1270" t="inlineStr">
        <is>
          <t>No</t>
        </is>
      </c>
      <c r="I1270" t="inlineStr">
        <is>
          <t>No</t>
        </is>
      </c>
      <c r="J1270" t="inlineStr">
        <is>
          <t>0</t>
        </is>
      </c>
      <c r="K1270" t="inlineStr">
        <is>
          <t>Bradford, Dennis E.</t>
        </is>
      </c>
      <c r="L1270" t="inlineStr">
        <is>
          <t>La Salle, Ill. : Open Court, c1990.</t>
        </is>
      </c>
      <c r="M1270" t="inlineStr">
        <is>
          <t>1990</t>
        </is>
      </c>
      <c r="O1270" t="inlineStr">
        <is>
          <t>eng</t>
        </is>
      </c>
      <c r="P1270" t="inlineStr">
        <is>
          <t>ilu</t>
        </is>
      </c>
      <c r="R1270" t="inlineStr">
        <is>
          <t xml:space="preserve">HQ </t>
        </is>
      </c>
      <c r="S1270" t="n">
        <v>2</v>
      </c>
      <c r="T1270" t="n">
        <v>2</v>
      </c>
      <c r="U1270" t="inlineStr">
        <is>
          <t>1992-04-10</t>
        </is>
      </c>
      <c r="V1270" t="inlineStr">
        <is>
          <t>1992-04-10</t>
        </is>
      </c>
      <c r="W1270" t="inlineStr">
        <is>
          <t>1991-05-01</t>
        </is>
      </c>
      <c r="X1270" t="inlineStr">
        <is>
          <t>1991-05-01</t>
        </is>
      </c>
      <c r="Y1270" t="n">
        <v>72</v>
      </c>
      <c r="Z1270" t="n">
        <v>69</v>
      </c>
      <c r="AA1270" t="n">
        <v>69</v>
      </c>
      <c r="AB1270" t="n">
        <v>1</v>
      </c>
      <c r="AC1270" t="n">
        <v>1</v>
      </c>
      <c r="AD1270" t="n">
        <v>3</v>
      </c>
      <c r="AE1270" t="n">
        <v>3</v>
      </c>
      <c r="AF1270" t="n">
        <v>0</v>
      </c>
      <c r="AG1270" t="n">
        <v>0</v>
      </c>
      <c r="AH1270" t="n">
        <v>1</v>
      </c>
      <c r="AI1270" t="n">
        <v>1</v>
      </c>
      <c r="AJ1270" t="n">
        <v>2</v>
      </c>
      <c r="AK1270" t="n">
        <v>2</v>
      </c>
      <c r="AL1270" t="n">
        <v>0</v>
      </c>
      <c r="AM1270" t="n">
        <v>0</v>
      </c>
      <c r="AN1270" t="n">
        <v>0</v>
      </c>
      <c r="AO1270" t="n">
        <v>0</v>
      </c>
      <c r="AP1270" t="inlineStr">
        <is>
          <t>No</t>
        </is>
      </c>
      <c r="AQ1270" t="inlineStr">
        <is>
          <t>No</t>
        </is>
      </c>
      <c r="AS1270">
        <f>HYPERLINK("https://creighton-primo.hosted.exlibrisgroup.com/primo-explore/search?tab=default_tab&amp;search_scope=EVERYTHING&amp;vid=01CRU&amp;lang=en_US&amp;offset=0&amp;query=any,contains,991001732679702656","Catalog Record")</f>
        <v/>
      </c>
      <c r="AT1270">
        <f>HYPERLINK("http://www.worldcat.org/oclc/21949060","WorldCat Record")</f>
        <v/>
      </c>
      <c r="AU1270" t="inlineStr">
        <is>
          <t>23942442:eng</t>
        </is>
      </c>
      <c r="AV1270" t="inlineStr">
        <is>
          <t>21949060</t>
        </is>
      </c>
      <c r="AW1270" t="inlineStr">
        <is>
          <t>991001732679702656</t>
        </is>
      </c>
      <c r="AX1270" t="inlineStr">
        <is>
          <t>991001732679702656</t>
        </is>
      </c>
      <c r="AY1270" t="inlineStr">
        <is>
          <t>2258541610002656</t>
        </is>
      </c>
      <c r="AZ1270" t="inlineStr">
        <is>
          <t>BOOK</t>
        </is>
      </c>
      <c r="BB1270" t="inlineStr">
        <is>
          <t>9780812691399</t>
        </is>
      </c>
      <c r="BC1270" t="inlineStr">
        <is>
          <t>32285000570688</t>
        </is>
      </c>
      <c r="BD1270" t="inlineStr">
        <is>
          <t>893885496</t>
        </is>
      </c>
    </row>
    <row r="1271">
      <c r="A1271" t="inlineStr">
        <is>
          <t>No</t>
        </is>
      </c>
      <c r="B1271" t="inlineStr">
        <is>
          <t>HQ2042 .B88 1989</t>
        </is>
      </c>
      <c r="C1271" t="inlineStr">
        <is>
          <t>0                      HQ 2042000B  88          1989</t>
        </is>
      </c>
      <c r="D1271" t="inlineStr">
        <is>
          <t>Variant lifestyles and relationships / Bram P. Buunk and Barry van Driel.</t>
        </is>
      </c>
      <c r="F1271" t="inlineStr">
        <is>
          <t>No</t>
        </is>
      </c>
      <c r="G1271" t="inlineStr">
        <is>
          <t>1</t>
        </is>
      </c>
      <c r="H1271" t="inlineStr">
        <is>
          <t>No</t>
        </is>
      </c>
      <c r="I1271" t="inlineStr">
        <is>
          <t>No</t>
        </is>
      </c>
      <c r="J1271" t="inlineStr">
        <is>
          <t>0</t>
        </is>
      </c>
      <c r="K1271" t="inlineStr">
        <is>
          <t>Buunk, Bram.</t>
        </is>
      </c>
      <c r="L1271" t="inlineStr">
        <is>
          <t>Newbury Park, Calif. : Sage Publications, c1989.</t>
        </is>
      </c>
      <c r="M1271" t="inlineStr">
        <is>
          <t>1989</t>
        </is>
      </c>
      <c r="O1271" t="inlineStr">
        <is>
          <t>eng</t>
        </is>
      </c>
      <c r="P1271" t="inlineStr">
        <is>
          <t>cau</t>
        </is>
      </c>
      <c r="Q1271" t="inlineStr">
        <is>
          <t>Family studies text series ; v. 11</t>
        </is>
      </c>
      <c r="R1271" t="inlineStr">
        <is>
          <t xml:space="preserve">HQ </t>
        </is>
      </c>
      <c r="S1271" t="n">
        <v>10</v>
      </c>
      <c r="T1271" t="n">
        <v>10</v>
      </c>
      <c r="U1271" t="inlineStr">
        <is>
          <t>2009-01-14</t>
        </is>
      </c>
      <c r="V1271" t="inlineStr">
        <is>
          <t>2009-01-14</t>
        </is>
      </c>
      <c r="W1271" t="inlineStr">
        <is>
          <t>1992-04-20</t>
        </is>
      </c>
      <c r="X1271" t="inlineStr">
        <is>
          <t>1992-04-20</t>
        </is>
      </c>
      <c r="Y1271" t="n">
        <v>360</v>
      </c>
      <c r="Z1271" t="n">
        <v>277</v>
      </c>
      <c r="AA1271" t="n">
        <v>282</v>
      </c>
      <c r="AB1271" t="n">
        <v>2</v>
      </c>
      <c r="AC1271" t="n">
        <v>2</v>
      </c>
      <c r="AD1271" t="n">
        <v>12</v>
      </c>
      <c r="AE1271" t="n">
        <v>12</v>
      </c>
      <c r="AF1271" t="n">
        <v>3</v>
      </c>
      <c r="AG1271" t="n">
        <v>3</v>
      </c>
      <c r="AH1271" t="n">
        <v>4</v>
      </c>
      <c r="AI1271" t="n">
        <v>4</v>
      </c>
      <c r="AJ1271" t="n">
        <v>6</v>
      </c>
      <c r="AK1271" t="n">
        <v>6</v>
      </c>
      <c r="AL1271" t="n">
        <v>1</v>
      </c>
      <c r="AM1271" t="n">
        <v>1</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HYPERLINK("https://creighton-primo.hosted.exlibrisgroup.com/primo-explore/search?tab=default_tab&amp;search_scope=EVERYTHING&amp;vid=01CRU&amp;lang=en_US&amp;offset=0&amp;query=any,contains,991001441759702656","Catalog Record")</f>
        <v/>
      </c>
      <c r="AT1271">
        <f>HYPERLINK("http://www.worldcat.org/oclc/19262854","WorldCat Record")</f>
        <v/>
      </c>
      <c r="AU1271" t="inlineStr">
        <is>
          <t>9965026689:eng</t>
        </is>
      </c>
      <c r="AV1271" t="inlineStr">
        <is>
          <t>19262854</t>
        </is>
      </c>
      <c r="AW1271" t="inlineStr">
        <is>
          <t>991001441759702656</t>
        </is>
      </c>
      <c r="AX1271" t="inlineStr">
        <is>
          <t>991001441759702656</t>
        </is>
      </c>
      <c r="AY1271" t="inlineStr">
        <is>
          <t>2272784890002656</t>
        </is>
      </c>
      <c r="AZ1271" t="inlineStr">
        <is>
          <t>BOOK</t>
        </is>
      </c>
      <c r="BB1271" t="inlineStr">
        <is>
          <t>9780803930605</t>
        </is>
      </c>
      <c r="BC1271" t="inlineStr">
        <is>
          <t>32285001035970</t>
        </is>
      </c>
      <c r="BD1271" t="inlineStr">
        <is>
          <t>893709273</t>
        </is>
      </c>
    </row>
    <row r="1272">
      <c r="A1272" t="inlineStr">
        <is>
          <t>No</t>
        </is>
      </c>
      <c r="B1272" t="inlineStr">
        <is>
          <t>HQ2042 .S88 2002</t>
        </is>
      </c>
      <c r="C1272" t="inlineStr">
        <is>
          <t>0                      HQ 2042000S  88          2002</t>
        </is>
      </c>
      <c r="D1272" t="inlineStr">
        <is>
          <t>Sustainable planet : solutions for the twenty-first century / edited by Juliet B. Schor and Betsy Taylor.</t>
        </is>
      </c>
      <c r="F1272" t="inlineStr">
        <is>
          <t>No</t>
        </is>
      </c>
      <c r="G1272" t="inlineStr">
        <is>
          <t>1</t>
        </is>
      </c>
      <c r="H1272" t="inlineStr">
        <is>
          <t>No</t>
        </is>
      </c>
      <c r="I1272" t="inlineStr">
        <is>
          <t>No</t>
        </is>
      </c>
      <c r="J1272" t="inlineStr">
        <is>
          <t>0</t>
        </is>
      </c>
      <c r="L1272" t="inlineStr">
        <is>
          <t>Boston : Beacon Press, c2002.</t>
        </is>
      </c>
      <c r="M1272" t="inlineStr">
        <is>
          <t>2002</t>
        </is>
      </c>
      <c r="O1272" t="inlineStr">
        <is>
          <t>eng</t>
        </is>
      </c>
      <c r="P1272" t="inlineStr">
        <is>
          <t>ilu</t>
        </is>
      </c>
      <c r="R1272" t="inlineStr">
        <is>
          <t xml:space="preserve">HQ </t>
        </is>
      </c>
      <c r="S1272" t="n">
        <v>2</v>
      </c>
      <c r="T1272" t="n">
        <v>2</v>
      </c>
      <c r="U1272" t="inlineStr">
        <is>
          <t>2003-02-19</t>
        </is>
      </c>
      <c r="V1272" t="inlineStr">
        <is>
          <t>2003-02-19</t>
        </is>
      </c>
      <c r="W1272" t="inlineStr">
        <is>
          <t>2003-02-19</t>
        </is>
      </c>
      <c r="X1272" t="inlineStr">
        <is>
          <t>2003-02-19</t>
        </is>
      </c>
      <c r="Y1272" t="n">
        <v>609</v>
      </c>
      <c r="Z1272" t="n">
        <v>558</v>
      </c>
      <c r="AA1272" t="n">
        <v>562</v>
      </c>
      <c r="AB1272" t="n">
        <v>3</v>
      </c>
      <c r="AC1272" t="n">
        <v>3</v>
      </c>
      <c r="AD1272" t="n">
        <v>26</v>
      </c>
      <c r="AE1272" t="n">
        <v>26</v>
      </c>
      <c r="AF1272" t="n">
        <v>12</v>
      </c>
      <c r="AG1272" t="n">
        <v>12</v>
      </c>
      <c r="AH1272" t="n">
        <v>6</v>
      </c>
      <c r="AI1272" t="n">
        <v>6</v>
      </c>
      <c r="AJ1272" t="n">
        <v>9</v>
      </c>
      <c r="AK1272" t="n">
        <v>9</v>
      </c>
      <c r="AL1272" t="n">
        <v>2</v>
      </c>
      <c r="AM1272" t="n">
        <v>2</v>
      </c>
      <c r="AN1272" t="n">
        <v>2</v>
      </c>
      <c r="AO1272" t="n">
        <v>2</v>
      </c>
      <c r="AP1272" t="inlineStr">
        <is>
          <t>No</t>
        </is>
      </c>
      <c r="AQ1272" t="inlineStr">
        <is>
          <t>No</t>
        </is>
      </c>
      <c r="AS1272">
        <f>HYPERLINK("https://creighton-primo.hosted.exlibrisgroup.com/primo-explore/search?tab=default_tab&amp;search_scope=EVERYTHING&amp;vid=01CRU&amp;lang=en_US&amp;offset=0&amp;query=any,contains,991003977919702656","Catalog Record")</f>
        <v/>
      </c>
      <c r="AT1272">
        <f>HYPERLINK("http://www.worldcat.org/oclc/50234997","WorldCat Record")</f>
        <v/>
      </c>
      <c r="AU1272" t="inlineStr">
        <is>
          <t>1004722:eng</t>
        </is>
      </c>
      <c r="AV1272" t="inlineStr">
        <is>
          <t>50234997</t>
        </is>
      </c>
      <c r="AW1272" t="inlineStr">
        <is>
          <t>991003977919702656</t>
        </is>
      </c>
      <c r="AX1272" t="inlineStr">
        <is>
          <t>991003977919702656</t>
        </is>
      </c>
      <c r="AY1272" t="inlineStr">
        <is>
          <t>2262903550002656</t>
        </is>
      </c>
      <c r="AZ1272" t="inlineStr">
        <is>
          <t>BOOK</t>
        </is>
      </c>
      <c r="BB1272" t="inlineStr">
        <is>
          <t>9780807004555</t>
        </is>
      </c>
      <c r="BC1272" t="inlineStr">
        <is>
          <t>32285004699723</t>
        </is>
      </c>
      <c r="BD1272" t="inlineStr">
        <is>
          <t>893353141</t>
        </is>
      </c>
    </row>
    <row r="1273">
      <c r="A1273" t="inlineStr">
        <is>
          <t>No</t>
        </is>
      </c>
      <c r="B1273" t="inlineStr">
        <is>
          <t>HQ2044.U6 L56 2006</t>
        </is>
      </c>
      <c r="C1273" t="inlineStr">
        <is>
          <t>0                      HQ 2044000U  6                  L  56          2006</t>
        </is>
      </c>
      <c r="D1273" t="inlineStr">
        <is>
          <t>Neo-bohemia : art and commerce in the postindustrial city / Richard Lloyd.</t>
        </is>
      </c>
      <c r="F1273" t="inlineStr">
        <is>
          <t>No</t>
        </is>
      </c>
      <c r="G1273" t="inlineStr">
        <is>
          <t>1</t>
        </is>
      </c>
      <c r="H1273" t="inlineStr">
        <is>
          <t>No</t>
        </is>
      </c>
      <c r="I1273" t="inlineStr">
        <is>
          <t>No</t>
        </is>
      </c>
      <c r="J1273" t="inlineStr">
        <is>
          <t>0</t>
        </is>
      </c>
      <c r="K1273" t="inlineStr">
        <is>
          <t>Lloyd, Richard D. (Richard Douglas), 1967-</t>
        </is>
      </c>
      <c r="L1273" t="inlineStr">
        <is>
          <t>New York : Routledge, 2006.</t>
        </is>
      </c>
      <c r="M1273" t="inlineStr">
        <is>
          <t>2006</t>
        </is>
      </c>
      <c r="O1273" t="inlineStr">
        <is>
          <t>eng</t>
        </is>
      </c>
      <c r="P1273" t="inlineStr">
        <is>
          <t>nyu</t>
        </is>
      </c>
      <c r="R1273" t="inlineStr">
        <is>
          <t xml:space="preserve">HQ </t>
        </is>
      </c>
      <c r="S1273" t="n">
        <v>1</v>
      </c>
      <c r="T1273" t="n">
        <v>1</v>
      </c>
      <c r="U1273" t="inlineStr">
        <is>
          <t>2005-12-14</t>
        </is>
      </c>
      <c r="V1273" t="inlineStr">
        <is>
          <t>2005-12-14</t>
        </is>
      </c>
      <c r="W1273" t="inlineStr">
        <is>
          <t>2005-12-14</t>
        </is>
      </c>
      <c r="X1273" t="inlineStr">
        <is>
          <t>2005-12-14</t>
        </is>
      </c>
      <c r="Y1273" t="n">
        <v>321</v>
      </c>
      <c r="Z1273" t="n">
        <v>255</v>
      </c>
      <c r="AA1273" t="n">
        <v>642</v>
      </c>
      <c r="AB1273" t="n">
        <v>3</v>
      </c>
      <c r="AC1273" t="n">
        <v>6</v>
      </c>
      <c r="AD1273" t="n">
        <v>14</v>
      </c>
      <c r="AE1273" t="n">
        <v>31</v>
      </c>
      <c r="AF1273" t="n">
        <v>4</v>
      </c>
      <c r="AG1273" t="n">
        <v>10</v>
      </c>
      <c r="AH1273" t="n">
        <v>4</v>
      </c>
      <c r="AI1273" t="n">
        <v>8</v>
      </c>
      <c r="AJ1273" t="n">
        <v>6</v>
      </c>
      <c r="AK1273" t="n">
        <v>12</v>
      </c>
      <c r="AL1273" t="n">
        <v>2</v>
      </c>
      <c r="AM1273" t="n">
        <v>5</v>
      </c>
      <c r="AN1273" t="n">
        <v>0</v>
      </c>
      <c r="AO1273" t="n">
        <v>1</v>
      </c>
      <c r="AP1273" t="inlineStr">
        <is>
          <t>No</t>
        </is>
      </c>
      <c r="AQ1273" t="inlineStr">
        <is>
          <t>No</t>
        </is>
      </c>
      <c r="AS1273">
        <f>HYPERLINK("https://creighton-primo.hosted.exlibrisgroup.com/primo-explore/search?tab=default_tab&amp;search_scope=EVERYTHING&amp;vid=01CRU&amp;lang=en_US&amp;offset=0&amp;query=any,contains,991004660499702656","Catalog Record")</f>
        <v/>
      </c>
      <c r="AT1273">
        <f>HYPERLINK("http://www.worldcat.org/oclc/58789545","WorldCat Record")</f>
        <v/>
      </c>
      <c r="AU1273" t="inlineStr">
        <is>
          <t>796281768:eng</t>
        </is>
      </c>
      <c r="AV1273" t="inlineStr">
        <is>
          <t>58789545</t>
        </is>
      </c>
      <c r="AW1273" t="inlineStr">
        <is>
          <t>991004660499702656</t>
        </is>
      </c>
      <c r="AX1273" t="inlineStr">
        <is>
          <t>991004660499702656</t>
        </is>
      </c>
      <c r="AY1273" t="inlineStr">
        <is>
          <t>2270520280002656</t>
        </is>
      </c>
      <c r="AZ1273" t="inlineStr">
        <is>
          <t>BOOK</t>
        </is>
      </c>
      <c r="BB1273" t="inlineStr">
        <is>
          <t>9780415951814</t>
        </is>
      </c>
      <c r="BC1273" t="inlineStr">
        <is>
          <t>32285005152177</t>
        </is>
      </c>
      <c r="BD1273" t="inlineStr">
        <is>
          <t>893526365</t>
        </is>
      </c>
    </row>
    <row r="1274">
      <c r="A1274" t="inlineStr">
        <is>
          <t>No</t>
        </is>
      </c>
      <c r="B1274" t="inlineStr">
        <is>
          <t>HQ2044.U62 N674 1996</t>
        </is>
      </c>
      <c r="C1274" t="inlineStr">
        <is>
          <t>0                      HQ 2044000U  62                 N  674         1996</t>
        </is>
      </c>
      <c r="D1274" t="inlineStr">
        <is>
          <t>This place on earth : home and the practice of permanence / Alan Thein Durning.</t>
        </is>
      </c>
      <c r="F1274" t="inlineStr">
        <is>
          <t>No</t>
        </is>
      </c>
      <c r="G1274" t="inlineStr">
        <is>
          <t>1</t>
        </is>
      </c>
      <c r="H1274" t="inlineStr">
        <is>
          <t>No</t>
        </is>
      </c>
      <c r="I1274" t="inlineStr">
        <is>
          <t>No</t>
        </is>
      </c>
      <c r="J1274" t="inlineStr">
        <is>
          <t>0</t>
        </is>
      </c>
      <c r="K1274" t="inlineStr">
        <is>
          <t>Durning, Alan Thein.</t>
        </is>
      </c>
      <c r="L1274" t="inlineStr">
        <is>
          <t>Seattle : Sasquatch Books, c1996.</t>
        </is>
      </c>
      <c r="M1274" t="inlineStr">
        <is>
          <t>1996</t>
        </is>
      </c>
      <c r="O1274" t="inlineStr">
        <is>
          <t>eng</t>
        </is>
      </c>
      <c r="P1274" t="inlineStr">
        <is>
          <t>wau</t>
        </is>
      </c>
      <c r="R1274" t="inlineStr">
        <is>
          <t xml:space="preserve">HQ </t>
        </is>
      </c>
      <c r="S1274" t="n">
        <v>9</v>
      </c>
      <c r="T1274" t="n">
        <v>9</v>
      </c>
      <c r="U1274" t="inlineStr">
        <is>
          <t>2006-04-13</t>
        </is>
      </c>
      <c r="V1274" t="inlineStr">
        <is>
          <t>2006-04-13</t>
        </is>
      </c>
      <c r="W1274" t="inlineStr">
        <is>
          <t>2001-04-26</t>
        </is>
      </c>
      <c r="X1274" t="inlineStr">
        <is>
          <t>2001-04-26</t>
        </is>
      </c>
      <c r="Y1274" t="n">
        <v>277</v>
      </c>
      <c r="Z1274" t="n">
        <v>249</v>
      </c>
      <c r="AA1274" t="n">
        <v>275</v>
      </c>
      <c r="AB1274" t="n">
        <v>2</v>
      </c>
      <c r="AC1274" t="n">
        <v>2</v>
      </c>
      <c r="AD1274" t="n">
        <v>8</v>
      </c>
      <c r="AE1274" t="n">
        <v>9</v>
      </c>
      <c r="AF1274" t="n">
        <v>2</v>
      </c>
      <c r="AG1274" t="n">
        <v>2</v>
      </c>
      <c r="AH1274" t="n">
        <v>1</v>
      </c>
      <c r="AI1274" t="n">
        <v>2</v>
      </c>
      <c r="AJ1274" t="n">
        <v>6</v>
      </c>
      <c r="AK1274" t="n">
        <v>6</v>
      </c>
      <c r="AL1274" t="n">
        <v>1</v>
      </c>
      <c r="AM1274" t="n">
        <v>1</v>
      </c>
      <c r="AN1274" t="n">
        <v>0</v>
      </c>
      <c r="AO1274" t="n">
        <v>0</v>
      </c>
      <c r="AP1274" t="inlineStr">
        <is>
          <t>No</t>
        </is>
      </c>
      <c r="AQ1274" t="inlineStr">
        <is>
          <t>Yes</t>
        </is>
      </c>
      <c r="AR1274">
        <f>HYPERLINK("http://catalog.hathitrust.org/Record/007134726","HathiTrust Record")</f>
        <v/>
      </c>
      <c r="AS1274">
        <f>HYPERLINK("https://creighton-primo.hosted.exlibrisgroup.com/primo-explore/search?tab=default_tab&amp;search_scope=EVERYTHING&amp;vid=01CRU&amp;lang=en_US&amp;offset=0&amp;query=any,contains,991003530169702656","Catalog Record")</f>
        <v/>
      </c>
      <c r="AT1274">
        <f>HYPERLINK("http://www.worldcat.org/oclc/34782643","WorldCat Record")</f>
        <v/>
      </c>
      <c r="AU1274" t="inlineStr">
        <is>
          <t>682029:eng</t>
        </is>
      </c>
      <c r="AV1274" t="inlineStr">
        <is>
          <t>34782643</t>
        </is>
      </c>
      <c r="AW1274" t="inlineStr">
        <is>
          <t>991003530169702656</t>
        </is>
      </c>
      <c r="AX1274" t="inlineStr">
        <is>
          <t>991003530169702656</t>
        </is>
      </c>
      <c r="AY1274" t="inlineStr">
        <is>
          <t>2255508550002656</t>
        </is>
      </c>
      <c r="AZ1274" t="inlineStr">
        <is>
          <t>BOOK</t>
        </is>
      </c>
      <c r="BB1274" t="inlineStr">
        <is>
          <t>9781570610400</t>
        </is>
      </c>
      <c r="BC1274" t="inlineStr">
        <is>
          <t>32285004315304</t>
        </is>
      </c>
      <c r="BD1274" t="inlineStr">
        <is>
          <t>893330388</t>
        </is>
      </c>
    </row>
    <row r="1275">
      <c r="A1275" t="inlineStr">
        <is>
          <t>No</t>
        </is>
      </c>
      <c r="B1275" t="inlineStr">
        <is>
          <t>HQ2044.U62 S253 2005</t>
        </is>
      </c>
      <c r="C1275" t="inlineStr">
        <is>
          <t>0                      HQ 2044000U  62                 S  253         2005</t>
        </is>
      </c>
      <c r="D1275" t="inlineStr">
        <is>
          <t>Metropolitan San Diego : how geography and lifestyle shape a new urban environment / Larry R. Ford.</t>
        </is>
      </c>
      <c r="F1275" t="inlineStr">
        <is>
          <t>No</t>
        </is>
      </c>
      <c r="G1275" t="inlineStr">
        <is>
          <t>1</t>
        </is>
      </c>
      <c r="H1275" t="inlineStr">
        <is>
          <t>No</t>
        </is>
      </c>
      <c r="I1275" t="inlineStr">
        <is>
          <t>No</t>
        </is>
      </c>
      <c r="J1275" t="inlineStr">
        <is>
          <t>0</t>
        </is>
      </c>
      <c r="K1275" t="inlineStr">
        <is>
          <t>Ford, Larry, 1943-</t>
        </is>
      </c>
      <c r="L1275" t="inlineStr">
        <is>
          <t>Philadelphia : University of Pennsylvania Press, c2005.</t>
        </is>
      </c>
      <c r="M1275" t="inlineStr">
        <is>
          <t>2005</t>
        </is>
      </c>
      <c r="O1275" t="inlineStr">
        <is>
          <t>eng</t>
        </is>
      </c>
      <c r="P1275" t="inlineStr">
        <is>
          <t>pau</t>
        </is>
      </c>
      <c r="Q1275" t="inlineStr">
        <is>
          <t>Metropolitan portraits</t>
        </is>
      </c>
      <c r="R1275" t="inlineStr">
        <is>
          <t xml:space="preserve">HQ </t>
        </is>
      </c>
      <c r="S1275" t="n">
        <v>2</v>
      </c>
      <c r="T1275" t="n">
        <v>2</v>
      </c>
      <c r="U1275" t="inlineStr">
        <is>
          <t>2006-05-09</t>
        </is>
      </c>
      <c r="V1275" t="inlineStr">
        <is>
          <t>2006-05-09</t>
        </is>
      </c>
      <c r="W1275" t="inlineStr">
        <is>
          <t>2006-03-01</t>
        </is>
      </c>
      <c r="X1275" t="inlineStr">
        <is>
          <t>2006-03-01</t>
        </is>
      </c>
      <c r="Y1275" t="n">
        <v>277</v>
      </c>
      <c r="Z1275" t="n">
        <v>245</v>
      </c>
      <c r="AA1275" t="n">
        <v>249</v>
      </c>
      <c r="AB1275" t="n">
        <v>2</v>
      </c>
      <c r="AC1275" t="n">
        <v>2</v>
      </c>
      <c r="AD1275" t="n">
        <v>11</v>
      </c>
      <c r="AE1275" t="n">
        <v>11</v>
      </c>
      <c r="AF1275" t="n">
        <v>6</v>
      </c>
      <c r="AG1275" t="n">
        <v>6</v>
      </c>
      <c r="AH1275" t="n">
        <v>3</v>
      </c>
      <c r="AI1275" t="n">
        <v>3</v>
      </c>
      <c r="AJ1275" t="n">
        <v>6</v>
      </c>
      <c r="AK1275" t="n">
        <v>6</v>
      </c>
      <c r="AL1275" t="n">
        <v>1</v>
      </c>
      <c r="AM1275" t="n">
        <v>1</v>
      </c>
      <c r="AN1275" t="n">
        <v>0</v>
      </c>
      <c r="AO1275" t="n">
        <v>0</v>
      </c>
      <c r="AP1275" t="inlineStr">
        <is>
          <t>No</t>
        </is>
      </c>
      <c r="AQ1275" t="inlineStr">
        <is>
          <t>Yes</t>
        </is>
      </c>
      <c r="AR1275">
        <f>HYPERLINK("http://catalog.hathitrust.org/Record/004923606","HathiTrust Record")</f>
        <v/>
      </c>
      <c r="AS1275">
        <f>HYPERLINK("https://creighton-primo.hosted.exlibrisgroup.com/primo-explore/search?tab=default_tab&amp;search_scope=EVERYTHING&amp;vid=01CRU&amp;lang=en_US&amp;offset=0&amp;query=any,contains,991004716219702656","Catalog Record")</f>
        <v/>
      </c>
      <c r="AT1275">
        <f>HYPERLINK("http://www.worldcat.org/oclc/55678885","WorldCat Record")</f>
        <v/>
      </c>
      <c r="AU1275" t="inlineStr">
        <is>
          <t>291735223:eng</t>
        </is>
      </c>
      <c r="AV1275" t="inlineStr">
        <is>
          <t>55678885</t>
        </is>
      </c>
      <c r="AW1275" t="inlineStr">
        <is>
          <t>991004716219702656</t>
        </is>
      </c>
      <c r="AX1275" t="inlineStr">
        <is>
          <t>991004716219702656</t>
        </is>
      </c>
      <c r="AY1275" t="inlineStr">
        <is>
          <t>2260210740002656</t>
        </is>
      </c>
      <c r="AZ1275" t="inlineStr">
        <is>
          <t>BOOK</t>
        </is>
      </c>
      <c r="BB1275" t="inlineStr">
        <is>
          <t>9780812218985</t>
        </is>
      </c>
      <c r="BC1275" t="inlineStr">
        <is>
          <t>32285005161319</t>
        </is>
      </c>
      <c r="BD1275" t="inlineStr">
        <is>
          <t>893442974</t>
        </is>
      </c>
    </row>
    <row r="1276">
      <c r="A1276" t="inlineStr">
        <is>
          <t>No</t>
        </is>
      </c>
      <c r="B1276" t="inlineStr">
        <is>
          <t>HQ21 .A489 1983</t>
        </is>
      </c>
      <c r="C1276" t="inlineStr">
        <is>
          <t>0                      HQ 0021000A  489         1983</t>
        </is>
      </c>
      <c r="D1276" t="inlineStr">
        <is>
          <t>Sex and insanity / Melvin Anchell.</t>
        </is>
      </c>
      <c r="F1276" t="inlineStr">
        <is>
          <t>No</t>
        </is>
      </c>
      <c r="G1276" t="inlineStr">
        <is>
          <t>1</t>
        </is>
      </c>
      <c r="H1276" t="inlineStr">
        <is>
          <t>No</t>
        </is>
      </c>
      <c r="I1276" t="inlineStr">
        <is>
          <t>No</t>
        </is>
      </c>
      <c r="J1276" t="inlineStr">
        <is>
          <t>0</t>
        </is>
      </c>
      <c r="K1276" t="inlineStr">
        <is>
          <t>Anchell, Melvin, 1919-</t>
        </is>
      </c>
      <c r="L1276" t="inlineStr">
        <is>
          <t>Portland, Or. : Halcyon House, c1983.</t>
        </is>
      </c>
      <c r="M1276" t="inlineStr">
        <is>
          <t>1983</t>
        </is>
      </c>
      <c r="O1276" t="inlineStr">
        <is>
          <t>eng</t>
        </is>
      </c>
      <c r="P1276" t="inlineStr">
        <is>
          <t>oru</t>
        </is>
      </c>
      <c r="R1276" t="inlineStr">
        <is>
          <t xml:space="preserve">HQ </t>
        </is>
      </c>
      <c r="S1276" t="n">
        <v>11</v>
      </c>
      <c r="T1276" t="n">
        <v>11</v>
      </c>
      <c r="U1276" t="inlineStr">
        <is>
          <t>1998-04-13</t>
        </is>
      </c>
      <c r="V1276" t="inlineStr">
        <is>
          <t>1998-04-13</t>
        </is>
      </c>
      <c r="W1276" t="inlineStr">
        <is>
          <t>1992-05-05</t>
        </is>
      </c>
      <c r="X1276" t="inlineStr">
        <is>
          <t>1992-05-05</t>
        </is>
      </c>
      <c r="Y1276" t="n">
        <v>34</v>
      </c>
      <c r="Z1276" t="n">
        <v>31</v>
      </c>
      <c r="AA1276" t="n">
        <v>171</v>
      </c>
      <c r="AB1276" t="n">
        <v>2</v>
      </c>
      <c r="AC1276" t="n">
        <v>3</v>
      </c>
      <c r="AD1276" t="n">
        <v>0</v>
      </c>
      <c r="AE1276" t="n">
        <v>8</v>
      </c>
      <c r="AF1276" t="n">
        <v>0</v>
      </c>
      <c r="AG1276" t="n">
        <v>1</v>
      </c>
      <c r="AH1276" t="n">
        <v>0</v>
      </c>
      <c r="AI1276" t="n">
        <v>3</v>
      </c>
      <c r="AJ1276" t="n">
        <v>0</v>
      </c>
      <c r="AK1276" t="n">
        <v>4</v>
      </c>
      <c r="AL1276" t="n">
        <v>0</v>
      </c>
      <c r="AM1276" t="n">
        <v>0</v>
      </c>
      <c r="AN1276" t="n">
        <v>0</v>
      </c>
      <c r="AO1276" t="n">
        <v>1</v>
      </c>
      <c r="AP1276" t="inlineStr">
        <is>
          <t>No</t>
        </is>
      </c>
      <c r="AQ1276" t="inlineStr">
        <is>
          <t>No</t>
        </is>
      </c>
      <c r="AS1276">
        <f>HYPERLINK("https://creighton-primo.hosted.exlibrisgroup.com/primo-explore/search?tab=default_tab&amp;search_scope=EVERYTHING&amp;vid=01CRU&amp;lang=en_US&amp;offset=0&amp;query=any,contains,991000277859702656","Catalog Record")</f>
        <v/>
      </c>
      <c r="AT1276">
        <f>HYPERLINK("http://www.worldcat.org/oclc/9897970","WorldCat Record")</f>
        <v/>
      </c>
      <c r="AU1276" t="inlineStr">
        <is>
          <t>1909190630:eng</t>
        </is>
      </c>
      <c r="AV1276" t="inlineStr">
        <is>
          <t>9897970</t>
        </is>
      </c>
      <c r="AW1276" t="inlineStr">
        <is>
          <t>991000277859702656</t>
        </is>
      </c>
      <c r="AX1276" t="inlineStr">
        <is>
          <t>991000277859702656</t>
        </is>
      </c>
      <c r="AY1276" t="inlineStr">
        <is>
          <t>2271939300002656</t>
        </is>
      </c>
      <c r="AZ1276" t="inlineStr">
        <is>
          <t>BOOK</t>
        </is>
      </c>
      <c r="BB1276" t="inlineStr">
        <is>
          <t>9780894202384</t>
        </is>
      </c>
      <c r="BC1276" t="inlineStr">
        <is>
          <t>32285001121655</t>
        </is>
      </c>
      <c r="BD1276" t="inlineStr">
        <is>
          <t>893407072</t>
        </is>
      </c>
    </row>
    <row r="1277">
      <c r="A1277" t="inlineStr">
        <is>
          <t>No</t>
        </is>
      </c>
      <c r="B1277" t="inlineStr">
        <is>
          <t>HQ21 .C24</t>
        </is>
      </c>
      <c r="C1277" t="inlineStr">
        <is>
          <t>0                      HQ 0021000C  24</t>
        </is>
      </c>
      <c r="D1277" t="inlineStr">
        <is>
          <t>The family book about sexuality / Mary S. Calderone and Eric W. Johnson ; drawings by Vivian Cohen.</t>
        </is>
      </c>
      <c r="F1277" t="inlineStr">
        <is>
          <t>No</t>
        </is>
      </c>
      <c r="G1277" t="inlineStr">
        <is>
          <t>1</t>
        </is>
      </c>
      <c r="H1277" t="inlineStr">
        <is>
          <t>Yes</t>
        </is>
      </c>
      <c r="I1277" t="inlineStr">
        <is>
          <t>No</t>
        </is>
      </c>
      <c r="J1277" t="inlineStr">
        <is>
          <t>0</t>
        </is>
      </c>
      <c r="K1277" t="inlineStr">
        <is>
          <t>Calderone, Mary Steichen, 1904-1998.</t>
        </is>
      </c>
      <c r="L1277" t="inlineStr">
        <is>
          <t>New York : Harper &amp; Row, c1981.</t>
        </is>
      </c>
      <c r="M1277" t="inlineStr">
        <is>
          <t>1981</t>
        </is>
      </c>
      <c r="N1277" t="inlineStr">
        <is>
          <t>1st ed.</t>
        </is>
      </c>
      <c r="O1277" t="inlineStr">
        <is>
          <t>eng</t>
        </is>
      </c>
      <c r="P1277" t="inlineStr">
        <is>
          <t>nyu</t>
        </is>
      </c>
      <c r="R1277" t="inlineStr">
        <is>
          <t xml:space="preserve">HQ </t>
        </is>
      </c>
      <c r="S1277" t="n">
        <v>8</v>
      </c>
      <c r="T1277" t="n">
        <v>8</v>
      </c>
      <c r="U1277" t="inlineStr">
        <is>
          <t>2005-03-29</t>
        </is>
      </c>
      <c r="V1277" t="inlineStr">
        <is>
          <t>2005-03-29</t>
        </is>
      </c>
      <c r="W1277" t="inlineStr">
        <is>
          <t>1990-07-24</t>
        </is>
      </c>
      <c r="X1277" t="inlineStr">
        <is>
          <t>1990-07-24</t>
        </is>
      </c>
      <c r="Y1277" t="n">
        <v>657</v>
      </c>
      <c r="Z1277" t="n">
        <v>626</v>
      </c>
      <c r="AA1277" t="n">
        <v>1045</v>
      </c>
      <c r="AB1277" t="n">
        <v>6</v>
      </c>
      <c r="AC1277" t="n">
        <v>10</v>
      </c>
      <c r="AD1277" t="n">
        <v>15</v>
      </c>
      <c r="AE1277" t="n">
        <v>18</v>
      </c>
      <c r="AF1277" t="n">
        <v>6</v>
      </c>
      <c r="AG1277" t="n">
        <v>6</v>
      </c>
      <c r="AH1277" t="n">
        <v>3</v>
      </c>
      <c r="AI1277" t="n">
        <v>4</v>
      </c>
      <c r="AJ1277" t="n">
        <v>9</v>
      </c>
      <c r="AK1277" t="n">
        <v>10</v>
      </c>
      <c r="AL1277" t="n">
        <v>3</v>
      </c>
      <c r="AM1277" t="n">
        <v>4</v>
      </c>
      <c r="AN1277" t="n">
        <v>0</v>
      </c>
      <c r="AO1277" t="n">
        <v>0</v>
      </c>
      <c r="AP1277" t="inlineStr">
        <is>
          <t>No</t>
        </is>
      </c>
      <c r="AQ1277" t="inlineStr">
        <is>
          <t>Yes</t>
        </is>
      </c>
      <c r="AR1277">
        <f>HYPERLINK("http://catalog.hathitrust.org/Record/000729787","HathiTrust Record")</f>
        <v/>
      </c>
      <c r="AS1277">
        <f>HYPERLINK("https://creighton-primo.hosted.exlibrisgroup.com/primo-explore/search?tab=default_tab&amp;search_scope=EVERYTHING&amp;vid=01CRU&amp;lang=en_US&amp;offset=0&amp;query=any,contains,991004802709702656","Catalog Record")</f>
        <v/>
      </c>
      <c r="AT1277">
        <f>HYPERLINK("http://www.worldcat.org/oclc/5219834","WorldCat Record")</f>
        <v/>
      </c>
      <c r="AU1277" t="inlineStr">
        <is>
          <t>102969551:eng</t>
        </is>
      </c>
      <c r="AV1277" t="inlineStr">
        <is>
          <t>5219834</t>
        </is>
      </c>
      <c r="AW1277" t="inlineStr">
        <is>
          <t>991004802709702656</t>
        </is>
      </c>
      <c r="AX1277" t="inlineStr">
        <is>
          <t>991004802709702656</t>
        </is>
      </c>
      <c r="AY1277" t="inlineStr">
        <is>
          <t>2268425640002656</t>
        </is>
      </c>
      <c r="AZ1277" t="inlineStr">
        <is>
          <t>BOOK</t>
        </is>
      </c>
      <c r="BB1277" t="inlineStr">
        <is>
          <t>9780690019100</t>
        </is>
      </c>
      <c r="BC1277" t="inlineStr">
        <is>
          <t>32285000248046</t>
        </is>
      </c>
      <c r="BD1277" t="inlineStr">
        <is>
          <t>893430512</t>
        </is>
      </c>
    </row>
    <row r="1278">
      <c r="A1278" t="inlineStr">
        <is>
          <t>No</t>
        </is>
      </c>
      <c r="B1278" t="inlineStr">
        <is>
          <t>HQ21 .C449 1984</t>
        </is>
      </c>
      <c r="C1278" t="inlineStr">
        <is>
          <t>0                      HQ 0021000C  449         1984</t>
        </is>
      </c>
      <c r="D1278" t="inlineStr">
        <is>
          <t>Sex and advantage : a comparative, macro-structural theory of sex stratification / Janet Saltzman Chafetz.</t>
        </is>
      </c>
      <c r="F1278" t="inlineStr">
        <is>
          <t>No</t>
        </is>
      </c>
      <c r="G1278" t="inlineStr">
        <is>
          <t>1</t>
        </is>
      </c>
      <c r="H1278" t="inlineStr">
        <is>
          <t>No</t>
        </is>
      </c>
      <c r="I1278" t="inlineStr">
        <is>
          <t>No</t>
        </is>
      </c>
      <c r="J1278" t="inlineStr">
        <is>
          <t>0</t>
        </is>
      </c>
      <c r="K1278" t="inlineStr">
        <is>
          <t>Chafetz, Janet Saltzman.</t>
        </is>
      </c>
      <c r="L1278" t="inlineStr">
        <is>
          <t>Totowa, N.J. : Rowman &amp; Allanheld, 1984.</t>
        </is>
      </c>
      <c r="M1278" t="inlineStr">
        <is>
          <t>1984</t>
        </is>
      </c>
      <c r="O1278" t="inlineStr">
        <is>
          <t>eng</t>
        </is>
      </c>
      <c r="P1278" t="inlineStr">
        <is>
          <t>nju</t>
        </is>
      </c>
      <c r="R1278" t="inlineStr">
        <is>
          <t xml:space="preserve">HQ </t>
        </is>
      </c>
      <c r="S1278" t="n">
        <v>2</v>
      </c>
      <c r="T1278" t="n">
        <v>2</v>
      </c>
      <c r="U1278" t="inlineStr">
        <is>
          <t>2005-04-15</t>
        </is>
      </c>
      <c r="V1278" t="inlineStr">
        <is>
          <t>2005-04-15</t>
        </is>
      </c>
      <c r="W1278" t="inlineStr">
        <is>
          <t>1990-04-20</t>
        </is>
      </c>
      <c r="X1278" t="inlineStr">
        <is>
          <t>1990-04-20</t>
        </is>
      </c>
      <c r="Y1278" t="n">
        <v>632</v>
      </c>
      <c r="Z1278" t="n">
        <v>557</v>
      </c>
      <c r="AA1278" t="n">
        <v>562</v>
      </c>
      <c r="AB1278" t="n">
        <v>8</v>
      </c>
      <c r="AC1278" t="n">
        <v>8</v>
      </c>
      <c r="AD1278" t="n">
        <v>30</v>
      </c>
      <c r="AE1278" t="n">
        <v>30</v>
      </c>
      <c r="AF1278" t="n">
        <v>9</v>
      </c>
      <c r="AG1278" t="n">
        <v>9</v>
      </c>
      <c r="AH1278" t="n">
        <v>6</v>
      </c>
      <c r="AI1278" t="n">
        <v>6</v>
      </c>
      <c r="AJ1278" t="n">
        <v>11</v>
      </c>
      <c r="AK1278" t="n">
        <v>11</v>
      </c>
      <c r="AL1278" t="n">
        <v>6</v>
      </c>
      <c r="AM1278" t="n">
        <v>6</v>
      </c>
      <c r="AN1278" t="n">
        <v>5</v>
      </c>
      <c r="AO1278" t="n">
        <v>5</v>
      </c>
      <c r="AP1278" t="inlineStr">
        <is>
          <t>No</t>
        </is>
      </c>
      <c r="AQ1278" t="inlineStr">
        <is>
          <t>Yes</t>
        </is>
      </c>
      <c r="AR1278">
        <f>HYPERLINK("http://catalog.hathitrust.org/Record/000284567","HathiTrust Record")</f>
        <v/>
      </c>
      <c r="AS1278">
        <f>HYPERLINK("https://creighton-primo.hosted.exlibrisgroup.com/primo-explore/search?tab=default_tab&amp;search_scope=EVERYTHING&amp;vid=01CRU&amp;lang=en_US&amp;offset=0&amp;query=any,contains,991000285159702656","Catalog Record")</f>
        <v/>
      </c>
      <c r="AT1278">
        <f>HYPERLINK("http://www.worldcat.org/oclc/9943104","WorldCat Record")</f>
        <v/>
      </c>
      <c r="AU1278" t="inlineStr">
        <is>
          <t>20547024:eng</t>
        </is>
      </c>
      <c r="AV1278" t="inlineStr">
        <is>
          <t>9943104</t>
        </is>
      </c>
      <c r="AW1278" t="inlineStr">
        <is>
          <t>991000285159702656</t>
        </is>
      </c>
      <c r="AX1278" t="inlineStr">
        <is>
          <t>991000285159702656</t>
        </is>
      </c>
      <c r="AY1278" t="inlineStr">
        <is>
          <t>2263153870002656</t>
        </is>
      </c>
      <c r="AZ1278" t="inlineStr">
        <is>
          <t>BOOK</t>
        </is>
      </c>
      <c r="BB1278" t="inlineStr">
        <is>
          <t>9780865981614</t>
        </is>
      </c>
      <c r="BC1278" t="inlineStr">
        <is>
          <t>32285000124148</t>
        </is>
      </c>
      <c r="BD1278" t="inlineStr">
        <is>
          <t>893614070</t>
        </is>
      </c>
    </row>
    <row r="1279">
      <c r="A1279" t="inlineStr">
        <is>
          <t>No</t>
        </is>
      </c>
      <c r="B1279" t="inlineStr">
        <is>
          <t>HQ21 .E53 1977</t>
        </is>
      </c>
      <c r="C1279" t="inlineStr">
        <is>
          <t>0                      HQ 0021000E  53          1977</t>
        </is>
      </c>
      <c r="D1279" t="inlineStr">
        <is>
          <t>Sex and marriage : Eros in contemporary life / by Havelock Ellis ; edited, with a note by John Gawsworth.</t>
        </is>
      </c>
      <c r="F1279" t="inlineStr">
        <is>
          <t>No</t>
        </is>
      </c>
      <c r="G1279" t="inlineStr">
        <is>
          <t>1</t>
        </is>
      </c>
      <c r="H1279" t="inlineStr">
        <is>
          <t>No</t>
        </is>
      </c>
      <c r="I1279" t="inlineStr">
        <is>
          <t>No</t>
        </is>
      </c>
      <c r="J1279" t="inlineStr">
        <is>
          <t>0</t>
        </is>
      </c>
      <c r="K1279" t="inlineStr">
        <is>
          <t>Ellis, Havelock, 1859-1939.</t>
        </is>
      </c>
      <c r="L1279" t="inlineStr">
        <is>
          <t>Westport, Conn. : Greenwood Press, 1977, c1952.</t>
        </is>
      </c>
      <c r="M1279" t="inlineStr">
        <is>
          <t>1977</t>
        </is>
      </c>
      <c r="O1279" t="inlineStr">
        <is>
          <t>eng</t>
        </is>
      </c>
      <c r="P1279" t="inlineStr">
        <is>
          <t>ctu</t>
        </is>
      </c>
      <c r="R1279" t="inlineStr">
        <is>
          <t xml:space="preserve">HQ </t>
        </is>
      </c>
      <c r="S1279" t="n">
        <v>8</v>
      </c>
      <c r="T1279" t="n">
        <v>8</v>
      </c>
      <c r="U1279" t="inlineStr">
        <is>
          <t>2006-03-31</t>
        </is>
      </c>
      <c r="V1279" t="inlineStr">
        <is>
          <t>2006-03-31</t>
        </is>
      </c>
      <c r="W1279" t="inlineStr">
        <is>
          <t>1990-04-10</t>
        </is>
      </c>
      <c r="X1279" t="inlineStr">
        <is>
          <t>1990-04-10</t>
        </is>
      </c>
      <c r="Y1279" t="n">
        <v>104</v>
      </c>
      <c r="Z1279" t="n">
        <v>95</v>
      </c>
      <c r="AA1279" t="n">
        <v>287</v>
      </c>
      <c r="AB1279" t="n">
        <v>2</v>
      </c>
      <c r="AC1279" t="n">
        <v>4</v>
      </c>
      <c r="AD1279" t="n">
        <v>4</v>
      </c>
      <c r="AE1279" t="n">
        <v>9</v>
      </c>
      <c r="AF1279" t="n">
        <v>0</v>
      </c>
      <c r="AG1279" t="n">
        <v>2</v>
      </c>
      <c r="AH1279" t="n">
        <v>1</v>
      </c>
      <c r="AI1279" t="n">
        <v>1</v>
      </c>
      <c r="AJ1279" t="n">
        <v>3</v>
      </c>
      <c r="AK1279" t="n">
        <v>4</v>
      </c>
      <c r="AL1279" t="n">
        <v>1</v>
      </c>
      <c r="AM1279" t="n">
        <v>3</v>
      </c>
      <c r="AN1279" t="n">
        <v>0</v>
      </c>
      <c r="AO1279" t="n">
        <v>0</v>
      </c>
      <c r="AP1279" t="inlineStr">
        <is>
          <t>No</t>
        </is>
      </c>
      <c r="AQ1279" t="inlineStr">
        <is>
          <t>Yes</t>
        </is>
      </c>
      <c r="AR1279">
        <f>HYPERLINK("http://catalog.hathitrust.org/Record/102043312","HathiTrust Record")</f>
        <v/>
      </c>
      <c r="AS1279">
        <f>HYPERLINK("https://creighton-primo.hosted.exlibrisgroup.com/primo-explore/search?tab=default_tab&amp;search_scope=EVERYTHING&amp;vid=01CRU&amp;lang=en_US&amp;offset=0&amp;query=any,contains,991004296559702656","Catalog Record")</f>
        <v/>
      </c>
      <c r="AT1279">
        <f>HYPERLINK("http://www.worldcat.org/oclc/2965164","WorldCat Record")</f>
        <v/>
      </c>
      <c r="AU1279" t="inlineStr">
        <is>
          <t>796307186:eng</t>
        </is>
      </c>
      <c r="AV1279" t="inlineStr">
        <is>
          <t>2965164</t>
        </is>
      </c>
      <c r="AW1279" t="inlineStr">
        <is>
          <t>991004296559702656</t>
        </is>
      </c>
      <c r="AX1279" t="inlineStr">
        <is>
          <t>991004296559702656</t>
        </is>
      </c>
      <c r="AY1279" t="inlineStr">
        <is>
          <t>2270271990002656</t>
        </is>
      </c>
      <c r="AZ1279" t="inlineStr">
        <is>
          <t>BOOK</t>
        </is>
      </c>
      <c r="BB1279" t="inlineStr">
        <is>
          <t>9780837196671</t>
        </is>
      </c>
      <c r="BC1279" t="inlineStr">
        <is>
          <t>32285000102953</t>
        </is>
      </c>
      <c r="BD1279" t="inlineStr">
        <is>
          <t>893343669</t>
        </is>
      </c>
    </row>
    <row r="1280">
      <c r="A1280" t="inlineStr">
        <is>
          <t>No</t>
        </is>
      </c>
      <c r="B1280" t="inlineStr">
        <is>
          <t>HQ21 .E58 1940</t>
        </is>
      </c>
      <c r="C1280" t="inlineStr">
        <is>
          <t>0                      HQ 0021000E  58          1940</t>
        </is>
      </c>
      <c r="D1280" t="inlineStr">
        <is>
          <t>Studies in the psychology of sex, by Havelock Ellis ...</t>
        </is>
      </c>
      <c r="E1280" t="inlineStr">
        <is>
          <t>V.1</t>
        </is>
      </c>
      <c r="F1280" t="inlineStr">
        <is>
          <t>Yes</t>
        </is>
      </c>
      <c r="G1280" t="inlineStr">
        <is>
          <t>1</t>
        </is>
      </c>
      <c r="H1280" t="inlineStr">
        <is>
          <t>No</t>
        </is>
      </c>
      <c r="I1280" t="inlineStr">
        <is>
          <t>No</t>
        </is>
      </c>
      <c r="J1280" t="inlineStr">
        <is>
          <t>0</t>
        </is>
      </c>
      <c r="K1280" t="inlineStr">
        <is>
          <t>Ellis, Havelock, 1859-1939.</t>
        </is>
      </c>
      <c r="L1280" t="inlineStr">
        <is>
          <t>New York, Random House [1940]</t>
        </is>
      </c>
      <c r="M1280" t="inlineStr">
        <is>
          <t>1940</t>
        </is>
      </c>
      <c r="O1280" t="inlineStr">
        <is>
          <t>eng</t>
        </is>
      </c>
      <c r="P1280" t="inlineStr">
        <is>
          <t>nyu</t>
        </is>
      </c>
      <c r="R1280" t="inlineStr">
        <is>
          <t xml:space="preserve">HQ </t>
        </is>
      </c>
      <c r="S1280" t="n">
        <v>5</v>
      </c>
      <c r="T1280" t="n">
        <v>8</v>
      </c>
      <c r="U1280" t="inlineStr">
        <is>
          <t>2006-03-31</t>
        </is>
      </c>
      <c r="V1280" t="inlineStr">
        <is>
          <t>2006-03-31</t>
        </is>
      </c>
      <c r="W1280" t="inlineStr">
        <is>
          <t>1997-08-07</t>
        </is>
      </c>
      <c r="X1280" t="inlineStr">
        <is>
          <t>1997-08-07</t>
        </is>
      </c>
      <c r="Y1280" t="n">
        <v>342</v>
      </c>
      <c r="Z1280" t="n">
        <v>306</v>
      </c>
      <c r="AA1280" t="n">
        <v>1228</v>
      </c>
      <c r="AB1280" t="n">
        <v>5</v>
      </c>
      <c r="AC1280" t="n">
        <v>12</v>
      </c>
      <c r="AD1280" t="n">
        <v>11</v>
      </c>
      <c r="AE1280" t="n">
        <v>48</v>
      </c>
      <c r="AF1280" t="n">
        <v>6</v>
      </c>
      <c r="AG1280" t="n">
        <v>18</v>
      </c>
      <c r="AH1280" t="n">
        <v>0</v>
      </c>
      <c r="AI1280" t="n">
        <v>9</v>
      </c>
      <c r="AJ1280" t="n">
        <v>2</v>
      </c>
      <c r="AK1280" t="n">
        <v>19</v>
      </c>
      <c r="AL1280" t="n">
        <v>4</v>
      </c>
      <c r="AM1280" t="n">
        <v>10</v>
      </c>
      <c r="AN1280" t="n">
        <v>0</v>
      </c>
      <c r="AO1280" t="n">
        <v>1</v>
      </c>
      <c r="AP1280" t="inlineStr">
        <is>
          <t>No</t>
        </is>
      </c>
      <c r="AQ1280" t="inlineStr">
        <is>
          <t>Yes</t>
        </is>
      </c>
      <c r="AR1280">
        <f>HYPERLINK("http://catalog.hathitrust.org/Record/007473925","HathiTrust Record")</f>
        <v/>
      </c>
      <c r="AS1280">
        <f>HYPERLINK("https://creighton-primo.hosted.exlibrisgroup.com/primo-explore/search?tab=default_tab&amp;search_scope=EVERYTHING&amp;vid=01CRU&amp;lang=en_US&amp;offset=0&amp;query=any,contains,991004144089702656","Catalog Record")</f>
        <v/>
      </c>
      <c r="AT1280">
        <f>HYPERLINK("http://www.worldcat.org/oclc/2506618","WorldCat Record")</f>
        <v/>
      </c>
      <c r="AU1280" t="inlineStr">
        <is>
          <t>2279593400:eng</t>
        </is>
      </c>
      <c r="AV1280" t="inlineStr">
        <is>
          <t>2506618</t>
        </is>
      </c>
      <c r="AW1280" t="inlineStr">
        <is>
          <t>991004144089702656</t>
        </is>
      </c>
      <c r="AX1280" t="inlineStr">
        <is>
          <t>991004144089702656</t>
        </is>
      </c>
      <c r="AY1280" t="inlineStr">
        <is>
          <t>2256961090002656</t>
        </is>
      </c>
      <c r="AZ1280" t="inlineStr">
        <is>
          <t>BOOK</t>
        </is>
      </c>
      <c r="BC1280" t="inlineStr">
        <is>
          <t>32285003087698</t>
        </is>
      </c>
      <c r="BD1280" t="inlineStr">
        <is>
          <t>893618297</t>
        </is>
      </c>
    </row>
    <row r="1281">
      <c r="A1281" t="inlineStr">
        <is>
          <t>No</t>
        </is>
      </c>
      <c r="B1281" t="inlineStr">
        <is>
          <t>HQ21 .E58 1940</t>
        </is>
      </c>
      <c r="C1281" t="inlineStr">
        <is>
          <t>0                      HQ 0021000E  58          1940</t>
        </is>
      </c>
      <c r="D1281" t="inlineStr">
        <is>
          <t>Studies in the psychology of sex, by Havelock Ellis ...</t>
        </is>
      </c>
      <c r="E1281" t="inlineStr">
        <is>
          <t>V.2</t>
        </is>
      </c>
      <c r="F1281" t="inlineStr">
        <is>
          <t>Yes</t>
        </is>
      </c>
      <c r="G1281" t="inlineStr">
        <is>
          <t>1</t>
        </is>
      </c>
      <c r="H1281" t="inlineStr">
        <is>
          <t>No</t>
        </is>
      </c>
      <c r="I1281" t="inlineStr">
        <is>
          <t>No</t>
        </is>
      </c>
      <c r="J1281" t="inlineStr">
        <is>
          <t>0</t>
        </is>
      </c>
      <c r="K1281" t="inlineStr">
        <is>
          <t>Ellis, Havelock, 1859-1939.</t>
        </is>
      </c>
      <c r="L1281" t="inlineStr">
        <is>
          <t>New York, Random House [1940]</t>
        </is>
      </c>
      <c r="M1281" t="inlineStr">
        <is>
          <t>1940</t>
        </is>
      </c>
      <c r="O1281" t="inlineStr">
        <is>
          <t>eng</t>
        </is>
      </c>
      <c r="P1281" t="inlineStr">
        <is>
          <t>nyu</t>
        </is>
      </c>
      <c r="R1281" t="inlineStr">
        <is>
          <t xml:space="preserve">HQ </t>
        </is>
      </c>
      <c r="S1281" t="n">
        <v>3</v>
      </c>
      <c r="T1281" t="n">
        <v>8</v>
      </c>
      <c r="U1281" t="inlineStr">
        <is>
          <t>1998-03-26</t>
        </is>
      </c>
      <c r="V1281" t="inlineStr">
        <is>
          <t>2006-03-31</t>
        </is>
      </c>
      <c r="W1281" t="inlineStr">
        <is>
          <t>1997-08-07</t>
        </is>
      </c>
      <c r="X1281" t="inlineStr">
        <is>
          <t>1997-08-07</t>
        </is>
      </c>
      <c r="Y1281" t="n">
        <v>342</v>
      </c>
      <c r="Z1281" t="n">
        <v>306</v>
      </c>
      <c r="AA1281" t="n">
        <v>1228</v>
      </c>
      <c r="AB1281" t="n">
        <v>5</v>
      </c>
      <c r="AC1281" t="n">
        <v>12</v>
      </c>
      <c r="AD1281" t="n">
        <v>11</v>
      </c>
      <c r="AE1281" t="n">
        <v>48</v>
      </c>
      <c r="AF1281" t="n">
        <v>6</v>
      </c>
      <c r="AG1281" t="n">
        <v>18</v>
      </c>
      <c r="AH1281" t="n">
        <v>0</v>
      </c>
      <c r="AI1281" t="n">
        <v>9</v>
      </c>
      <c r="AJ1281" t="n">
        <v>2</v>
      </c>
      <c r="AK1281" t="n">
        <v>19</v>
      </c>
      <c r="AL1281" t="n">
        <v>4</v>
      </c>
      <c r="AM1281" t="n">
        <v>10</v>
      </c>
      <c r="AN1281" t="n">
        <v>0</v>
      </c>
      <c r="AO1281" t="n">
        <v>1</v>
      </c>
      <c r="AP1281" t="inlineStr">
        <is>
          <t>No</t>
        </is>
      </c>
      <c r="AQ1281" t="inlineStr">
        <is>
          <t>Yes</t>
        </is>
      </c>
      <c r="AR1281">
        <f>HYPERLINK("http://catalog.hathitrust.org/Record/007473925","HathiTrust Record")</f>
        <v/>
      </c>
      <c r="AS1281">
        <f>HYPERLINK("https://creighton-primo.hosted.exlibrisgroup.com/primo-explore/search?tab=default_tab&amp;search_scope=EVERYTHING&amp;vid=01CRU&amp;lang=en_US&amp;offset=0&amp;query=any,contains,991004144089702656","Catalog Record")</f>
        <v/>
      </c>
      <c r="AT1281">
        <f>HYPERLINK("http://www.worldcat.org/oclc/2506618","WorldCat Record")</f>
        <v/>
      </c>
      <c r="AU1281" t="inlineStr">
        <is>
          <t>2279593400:eng</t>
        </is>
      </c>
      <c r="AV1281" t="inlineStr">
        <is>
          <t>2506618</t>
        </is>
      </c>
      <c r="AW1281" t="inlineStr">
        <is>
          <t>991004144089702656</t>
        </is>
      </c>
      <c r="AX1281" t="inlineStr">
        <is>
          <t>991004144089702656</t>
        </is>
      </c>
      <c r="AY1281" t="inlineStr">
        <is>
          <t>2256961090002656</t>
        </is>
      </c>
      <c r="AZ1281" t="inlineStr">
        <is>
          <t>BOOK</t>
        </is>
      </c>
      <c r="BC1281" t="inlineStr">
        <is>
          <t>32285003087706</t>
        </is>
      </c>
      <c r="BD1281" t="inlineStr">
        <is>
          <t>893628001</t>
        </is>
      </c>
    </row>
    <row r="1282">
      <c r="A1282" t="inlineStr">
        <is>
          <t>No</t>
        </is>
      </c>
      <c r="B1282" t="inlineStr">
        <is>
          <t>HQ21 .F37</t>
        </is>
      </c>
      <c r="C1282" t="inlineStr">
        <is>
          <t>0                      HQ 0021000F  37</t>
        </is>
      </c>
      <c r="D1282" t="inlineStr">
        <is>
          <t>Human sexual behaviour / Philip Feldman and Malcolm MacCulloch.</t>
        </is>
      </c>
      <c r="F1282" t="inlineStr">
        <is>
          <t>No</t>
        </is>
      </c>
      <c r="G1282" t="inlineStr">
        <is>
          <t>1</t>
        </is>
      </c>
      <c r="H1282" t="inlineStr">
        <is>
          <t>No</t>
        </is>
      </c>
      <c r="I1282" t="inlineStr">
        <is>
          <t>No</t>
        </is>
      </c>
      <c r="J1282" t="inlineStr">
        <is>
          <t>0</t>
        </is>
      </c>
      <c r="K1282" t="inlineStr">
        <is>
          <t>Feldman, M. Philip (Maurice Philip)</t>
        </is>
      </c>
      <c r="L1282" t="inlineStr">
        <is>
          <t>Chichester [Eng.] ; New York : Wiley, c1980.</t>
        </is>
      </c>
      <c r="M1282" t="inlineStr">
        <is>
          <t>1980</t>
        </is>
      </c>
      <c r="O1282" t="inlineStr">
        <is>
          <t>eng</t>
        </is>
      </c>
      <c r="P1282" t="inlineStr">
        <is>
          <t>enk</t>
        </is>
      </c>
      <c r="R1282" t="inlineStr">
        <is>
          <t xml:space="preserve">HQ </t>
        </is>
      </c>
      <c r="S1282" t="n">
        <v>27</v>
      </c>
      <c r="T1282" t="n">
        <v>27</v>
      </c>
      <c r="U1282" t="inlineStr">
        <is>
          <t>2007-11-09</t>
        </is>
      </c>
      <c r="V1282" t="inlineStr">
        <is>
          <t>2007-11-09</t>
        </is>
      </c>
      <c r="W1282" t="inlineStr">
        <is>
          <t>1990-07-24</t>
        </is>
      </c>
      <c r="X1282" t="inlineStr">
        <is>
          <t>1990-07-24</t>
        </is>
      </c>
      <c r="Y1282" t="n">
        <v>344</v>
      </c>
      <c r="Z1282" t="n">
        <v>252</v>
      </c>
      <c r="AA1282" t="n">
        <v>258</v>
      </c>
      <c r="AB1282" t="n">
        <v>1</v>
      </c>
      <c r="AC1282" t="n">
        <v>1</v>
      </c>
      <c r="AD1282" t="n">
        <v>8</v>
      </c>
      <c r="AE1282" t="n">
        <v>8</v>
      </c>
      <c r="AF1282" t="n">
        <v>5</v>
      </c>
      <c r="AG1282" t="n">
        <v>5</v>
      </c>
      <c r="AH1282" t="n">
        <v>2</v>
      </c>
      <c r="AI1282" t="n">
        <v>2</v>
      </c>
      <c r="AJ1282" t="n">
        <v>4</v>
      </c>
      <c r="AK1282" t="n">
        <v>4</v>
      </c>
      <c r="AL1282" t="n">
        <v>0</v>
      </c>
      <c r="AM1282" t="n">
        <v>0</v>
      </c>
      <c r="AN1282" t="n">
        <v>0</v>
      </c>
      <c r="AO1282" t="n">
        <v>0</v>
      </c>
      <c r="AP1282" t="inlineStr">
        <is>
          <t>No</t>
        </is>
      </c>
      <c r="AQ1282" t="inlineStr">
        <is>
          <t>No</t>
        </is>
      </c>
      <c r="AS1282">
        <f>HYPERLINK("https://creighton-primo.hosted.exlibrisgroup.com/primo-explore/search?tab=default_tab&amp;search_scope=EVERYTHING&amp;vid=01CRU&amp;lang=en_US&amp;offset=0&amp;query=any,contains,991004878309702656","Catalog Record")</f>
        <v/>
      </c>
      <c r="AT1282">
        <f>HYPERLINK("http://www.worldcat.org/oclc/5800129","WorldCat Record")</f>
        <v/>
      </c>
      <c r="AU1282" t="inlineStr">
        <is>
          <t>19496435:eng</t>
        </is>
      </c>
      <c r="AV1282" t="inlineStr">
        <is>
          <t>5800129</t>
        </is>
      </c>
      <c r="AW1282" t="inlineStr">
        <is>
          <t>991004878309702656</t>
        </is>
      </c>
      <c r="AX1282" t="inlineStr">
        <is>
          <t>991004878309702656</t>
        </is>
      </c>
      <c r="AY1282" t="inlineStr">
        <is>
          <t>2263351870002656</t>
        </is>
      </c>
      <c r="AZ1282" t="inlineStr">
        <is>
          <t>BOOK</t>
        </is>
      </c>
      <c r="BB1282" t="inlineStr">
        <is>
          <t>9780471276760</t>
        </is>
      </c>
      <c r="BC1282" t="inlineStr">
        <is>
          <t>32285000248053</t>
        </is>
      </c>
      <c r="BD1282" t="inlineStr">
        <is>
          <t>893344360</t>
        </is>
      </c>
    </row>
    <row r="1283">
      <c r="A1283" t="inlineStr">
        <is>
          <t>No</t>
        </is>
      </c>
      <c r="B1283" t="inlineStr">
        <is>
          <t>HQ21 .F693</t>
        </is>
      </c>
      <c r="C1283" t="inlineStr">
        <is>
          <t>0                      HQ 0021000F  693</t>
        </is>
      </c>
      <c r="D1283" t="inlineStr">
        <is>
          <t>Patterns of sexual behavior / by Clellan S. Ford, and Frank A. Beach. With a foreword by Robert Latou Dickinson.</t>
        </is>
      </c>
      <c r="F1283" t="inlineStr">
        <is>
          <t>No</t>
        </is>
      </c>
      <c r="G1283" t="inlineStr">
        <is>
          <t>1</t>
        </is>
      </c>
      <c r="H1283" t="inlineStr">
        <is>
          <t>No</t>
        </is>
      </c>
      <c r="I1283" t="inlineStr">
        <is>
          <t>No</t>
        </is>
      </c>
      <c r="J1283" t="inlineStr">
        <is>
          <t>0</t>
        </is>
      </c>
      <c r="K1283" t="inlineStr">
        <is>
          <t>Ford, Clellan S. (Clellan Stearns), 1909-1972.</t>
        </is>
      </c>
      <c r="L1283" t="inlineStr">
        <is>
          <t>New York : Harper ; 1951</t>
        </is>
      </c>
      <c r="M1283" t="inlineStr">
        <is>
          <t>1951</t>
        </is>
      </c>
      <c r="N1283" t="inlineStr">
        <is>
          <t>1st ed.</t>
        </is>
      </c>
      <c r="O1283" t="inlineStr">
        <is>
          <t>eng</t>
        </is>
      </c>
      <c r="P1283" t="inlineStr">
        <is>
          <t>nyu</t>
        </is>
      </c>
      <c r="R1283" t="inlineStr">
        <is>
          <t xml:space="preserve">HQ </t>
        </is>
      </c>
      <c r="S1283" t="n">
        <v>5</v>
      </c>
      <c r="T1283" t="n">
        <v>5</v>
      </c>
      <c r="U1283" t="inlineStr">
        <is>
          <t>1998-03-23</t>
        </is>
      </c>
      <c r="V1283" t="inlineStr">
        <is>
          <t>1998-03-23</t>
        </is>
      </c>
      <c r="W1283" t="inlineStr">
        <is>
          <t>1997-08-07</t>
        </is>
      </c>
      <c r="X1283" t="inlineStr">
        <is>
          <t>1997-08-07</t>
        </is>
      </c>
      <c r="Y1283" t="n">
        <v>791</v>
      </c>
      <c r="Z1283" t="n">
        <v>699</v>
      </c>
      <c r="AA1283" t="n">
        <v>857</v>
      </c>
      <c r="AB1283" t="n">
        <v>4</v>
      </c>
      <c r="AC1283" t="n">
        <v>6</v>
      </c>
      <c r="AD1283" t="n">
        <v>31</v>
      </c>
      <c r="AE1283" t="n">
        <v>39</v>
      </c>
      <c r="AF1283" t="n">
        <v>10</v>
      </c>
      <c r="AG1283" t="n">
        <v>15</v>
      </c>
      <c r="AH1283" t="n">
        <v>7</v>
      </c>
      <c r="AI1283" t="n">
        <v>7</v>
      </c>
      <c r="AJ1283" t="n">
        <v>17</v>
      </c>
      <c r="AK1283" t="n">
        <v>20</v>
      </c>
      <c r="AL1283" t="n">
        <v>3</v>
      </c>
      <c r="AM1283" t="n">
        <v>5</v>
      </c>
      <c r="AN1283" t="n">
        <v>0</v>
      </c>
      <c r="AO1283" t="n">
        <v>0</v>
      </c>
      <c r="AP1283" t="inlineStr">
        <is>
          <t>No</t>
        </is>
      </c>
      <c r="AQ1283" t="inlineStr">
        <is>
          <t>Yes</t>
        </is>
      </c>
      <c r="AR1283">
        <f>HYPERLINK("http://catalog.hathitrust.org/Record/001109819","HathiTrust Record")</f>
        <v/>
      </c>
      <c r="AS1283">
        <f>HYPERLINK("https://creighton-primo.hosted.exlibrisgroup.com/primo-explore/search?tab=default_tab&amp;search_scope=EVERYTHING&amp;vid=01CRU&amp;lang=en_US&amp;offset=0&amp;query=any,contains,991001591279702656","Catalog Record")</f>
        <v/>
      </c>
      <c r="AT1283">
        <f>HYPERLINK("http://www.worldcat.org/oclc/8292140","WorldCat Record")</f>
        <v/>
      </c>
      <c r="AU1283" t="inlineStr">
        <is>
          <t>190169772:eng</t>
        </is>
      </c>
      <c r="AV1283" t="inlineStr">
        <is>
          <t>8292140</t>
        </is>
      </c>
      <c r="AW1283" t="inlineStr">
        <is>
          <t>991001591279702656</t>
        </is>
      </c>
      <c r="AX1283" t="inlineStr">
        <is>
          <t>991001591279702656</t>
        </is>
      </c>
      <c r="AY1283" t="inlineStr">
        <is>
          <t>2257994970002656</t>
        </is>
      </c>
      <c r="AZ1283" t="inlineStr">
        <is>
          <t>BOOK</t>
        </is>
      </c>
      <c r="BC1283" t="inlineStr">
        <is>
          <t>32285003087714</t>
        </is>
      </c>
      <c r="BD1283" t="inlineStr">
        <is>
          <t>893590457</t>
        </is>
      </c>
    </row>
    <row r="1284">
      <c r="A1284" t="inlineStr">
        <is>
          <t>No</t>
        </is>
      </c>
      <c r="B1284" t="inlineStr">
        <is>
          <t>HQ21 .F73 1995</t>
        </is>
      </c>
      <c r="C1284" t="inlineStr">
        <is>
          <t>0                      HQ 0021000F  73          1995</t>
        </is>
      </c>
      <c r="D1284" t="inlineStr">
        <is>
          <t>Studies in human sexuality : a selected guide / Suzanne G. Frayser, Thomas J. Whitby.</t>
        </is>
      </c>
      <c r="F1284" t="inlineStr">
        <is>
          <t>No</t>
        </is>
      </c>
      <c r="G1284" t="inlineStr">
        <is>
          <t>1</t>
        </is>
      </c>
      <c r="H1284" t="inlineStr">
        <is>
          <t>No</t>
        </is>
      </c>
      <c r="I1284" t="inlineStr">
        <is>
          <t>No</t>
        </is>
      </c>
      <c r="J1284" t="inlineStr">
        <is>
          <t>0</t>
        </is>
      </c>
      <c r="K1284" t="inlineStr">
        <is>
          <t>Frayser, Suzanne G.</t>
        </is>
      </c>
      <c r="L1284" t="inlineStr">
        <is>
          <t>Englewood, Colo. : Libraries Unlimited, 1995.</t>
        </is>
      </c>
      <c r="M1284" t="inlineStr">
        <is>
          <t>1995</t>
        </is>
      </c>
      <c r="N1284" t="inlineStr">
        <is>
          <t>2nd ed.</t>
        </is>
      </c>
      <c r="O1284" t="inlineStr">
        <is>
          <t>eng</t>
        </is>
      </c>
      <c r="P1284" t="inlineStr">
        <is>
          <t>cou</t>
        </is>
      </c>
      <c r="R1284" t="inlineStr">
        <is>
          <t xml:space="preserve">HQ </t>
        </is>
      </c>
      <c r="S1284" t="n">
        <v>15</v>
      </c>
      <c r="T1284" t="n">
        <v>15</v>
      </c>
      <c r="U1284" t="inlineStr">
        <is>
          <t>2000-11-10</t>
        </is>
      </c>
      <c r="V1284" t="inlineStr">
        <is>
          <t>2000-11-10</t>
        </is>
      </c>
      <c r="W1284" t="inlineStr">
        <is>
          <t>1996-09-30</t>
        </is>
      </c>
      <c r="X1284" t="inlineStr">
        <is>
          <t>1996-09-30</t>
        </is>
      </c>
      <c r="Y1284" t="n">
        <v>312</v>
      </c>
      <c r="Z1284" t="n">
        <v>279</v>
      </c>
      <c r="AA1284" t="n">
        <v>1368</v>
      </c>
      <c r="AB1284" t="n">
        <v>4</v>
      </c>
      <c r="AC1284" t="n">
        <v>7</v>
      </c>
      <c r="AD1284" t="n">
        <v>14</v>
      </c>
      <c r="AE1284" t="n">
        <v>36</v>
      </c>
      <c r="AF1284" t="n">
        <v>2</v>
      </c>
      <c r="AG1284" t="n">
        <v>14</v>
      </c>
      <c r="AH1284" t="n">
        <v>4</v>
      </c>
      <c r="AI1284" t="n">
        <v>7</v>
      </c>
      <c r="AJ1284" t="n">
        <v>8</v>
      </c>
      <c r="AK1284" t="n">
        <v>18</v>
      </c>
      <c r="AL1284" t="n">
        <v>3</v>
      </c>
      <c r="AM1284" t="n">
        <v>6</v>
      </c>
      <c r="AN1284" t="n">
        <v>0</v>
      </c>
      <c r="AO1284" t="n">
        <v>0</v>
      </c>
      <c r="AP1284" t="inlineStr">
        <is>
          <t>No</t>
        </is>
      </c>
      <c r="AQ1284" t="inlineStr">
        <is>
          <t>No</t>
        </is>
      </c>
      <c r="AS1284">
        <f>HYPERLINK("https://creighton-primo.hosted.exlibrisgroup.com/primo-explore/search?tab=default_tab&amp;search_scope=EVERYTHING&amp;vid=01CRU&amp;lang=en_US&amp;offset=0&amp;query=any,contains,991002461979702656","Catalog Record")</f>
        <v/>
      </c>
      <c r="AT1284">
        <f>HYPERLINK("http://www.worldcat.org/oclc/32086283","WorldCat Record")</f>
        <v/>
      </c>
      <c r="AU1284" t="inlineStr">
        <is>
          <t>1049187:eng</t>
        </is>
      </c>
      <c r="AV1284" t="inlineStr">
        <is>
          <t>32086283</t>
        </is>
      </c>
      <c r="AW1284" t="inlineStr">
        <is>
          <t>991002461979702656</t>
        </is>
      </c>
      <c r="AX1284" t="inlineStr">
        <is>
          <t>991002461979702656</t>
        </is>
      </c>
      <c r="AY1284" t="inlineStr">
        <is>
          <t>2269824270002656</t>
        </is>
      </c>
      <c r="AZ1284" t="inlineStr">
        <is>
          <t>BOOK</t>
        </is>
      </c>
      <c r="BB1284" t="inlineStr">
        <is>
          <t>9781563081316</t>
        </is>
      </c>
      <c r="BC1284" t="inlineStr">
        <is>
          <t>32285002321213</t>
        </is>
      </c>
      <c r="BD1284" t="inlineStr">
        <is>
          <t>893239088</t>
        </is>
      </c>
    </row>
    <row r="1285">
      <c r="A1285" t="inlineStr">
        <is>
          <t>No</t>
        </is>
      </c>
      <c r="B1285" t="inlineStr">
        <is>
          <t>HQ21 .G234</t>
        </is>
      </c>
      <c r="C1285" t="inlineStr">
        <is>
          <t>0                      HQ 0021000G  234</t>
        </is>
      </c>
      <c r="D1285" t="inlineStr">
        <is>
          <t>Sexual conduct : the social sources of human sexuality / [by] John H. Gagnon [and] William Simon.</t>
        </is>
      </c>
      <c r="F1285" t="inlineStr">
        <is>
          <t>No</t>
        </is>
      </c>
      <c r="G1285" t="inlineStr">
        <is>
          <t>1</t>
        </is>
      </c>
      <c r="H1285" t="inlineStr">
        <is>
          <t>No</t>
        </is>
      </c>
      <c r="I1285" t="inlineStr">
        <is>
          <t>No</t>
        </is>
      </c>
      <c r="J1285" t="inlineStr">
        <is>
          <t>0</t>
        </is>
      </c>
      <c r="K1285" t="inlineStr">
        <is>
          <t>Gagnon, John H.</t>
        </is>
      </c>
      <c r="L1285" t="inlineStr">
        <is>
          <t>Chicago : Aldine Pub. Co., [1973]</t>
        </is>
      </c>
      <c r="M1285" t="inlineStr">
        <is>
          <t>1973</t>
        </is>
      </c>
      <c r="O1285" t="inlineStr">
        <is>
          <t>eng</t>
        </is>
      </c>
      <c r="P1285" t="inlineStr">
        <is>
          <t>ilu</t>
        </is>
      </c>
      <c r="Q1285" t="inlineStr">
        <is>
          <t>Observations</t>
        </is>
      </c>
      <c r="R1285" t="inlineStr">
        <is>
          <t xml:space="preserve">HQ </t>
        </is>
      </c>
      <c r="S1285" t="n">
        <v>6</v>
      </c>
      <c r="T1285" t="n">
        <v>6</v>
      </c>
      <c r="U1285" t="inlineStr">
        <is>
          <t>2002-09-15</t>
        </is>
      </c>
      <c r="V1285" t="inlineStr">
        <is>
          <t>2002-09-15</t>
        </is>
      </c>
      <c r="W1285" t="inlineStr">
        <is>
          <t>1992-03-26</t>
        </is>
      </c>
      <c r="X1285" t="inlineStr">
        <is>
          <t>1992-03-26</t>
        </is>
      </c>
      <c r="Y1285" t="n">
        <v>731</v>
      </c>
      <c r="Z1285" t="n">
        <v>624</v>
      </c>
      <c r="AA1285" t="n">
        <v>758</v>
      </c>
      <c r="AB1285" t="n">
        <v>8</v>
      </c>
      <c r="AC1285" t="n">
        <v>9</v>
      </c>
      <c r="AD1285" t="n">
        <v>27</v>
      </c>
      <c r="AE1285" t="n">
        <v>33</v>
      </c>
      <c r="AF1285" t="n">
        <v>6</v>
      </c>
      <c r="AG1285" t="n">
        <v>8</v>
      </c>
      <c r="AH1285" t="n">
        <v>5</v>
      </c>
      <c r="AI1285" t="n">
        <v>7</v>
      </c>
      <c r="AJ1285" t="n">
        <v>14</v>
      </c>
      <c r="AK1285" t="n">
        <v>16</v>
      </c>
      <c r="AL1285" t="n">
        <v>7</v>
      </c>
      <c r="AM1285" t="n">
        <v>8</v>
      </c>
      <c r="AN1285" t="n">
        <v>0</v>
      </c>
      <c r="AO1285" t="n">
        <v>0</v>
      </c>
      <c r="AP1285" t="inlineStr">
        <is>
          <t>No</t>
        </is>
      </c>
      <c r="AQ1285" t="inlineStr">
        <is>
          <t>Yes</t>
        </is>
      </c>
      <c r="AR1285">
        <f>HYPERLINK("http://catalog.hathitrust.org/Record/000015537","HathiTrust Record")</f>
        <v/>
      </c>
      <c r="AS1285">
        <f>HYPERLINK("https://creighton-primo.hosted.exlibrisgroup.com/primo-explore/search?tab=default_tab&amp;search_scope=EVERYTHING&amp;vid=01CRU&amp;lang=en_US&amp;offset=0&amp;query=any,contains,991003263129702656","Catalog Record")</f>
        <v/>
      </c>
      <c r="AT1285">
        <f>HYPERLINK("http://www.worldcat.org/oclc/789362","WorldCat Record")</f>
        <v/>
      </c>
      <c r="AU1285" t="inlineStr">
        <is>
          <t>1730388:eng</t>
        </is>
      </c>
      <c r="AV1285" t="inlineStr">
        <is>
          <t>789362</t>
        </is>
      </c>
      <c r="AW1285" t="inlineStr">
        <is>
          <t>991003263129702656</t>
        </is>
      </c>
      <c r="AX1285" t="inlineStr">
        <is>
          <t>991003263129702656</t>
        </is>
      </c>
      <c r="AY1285" t="inlineStr">
        <is>
          <t>2267824970002656</t>
        </is>
      </c>
      <c r="AZ1285" t="inlineStr">
        <is>
          <t>BOOK</t>
        </is>
      </c>
      <c r="BB1285" t="inlineStr">
        <is>
          <t>9780202302614</t>
        </is>
      </c>
      <c r="BC1285" t="inlineStr">
        <is>
          <t>32285001029205</t>
        </is>
      </c>
      <c r="BD1285" t="inlineStr">
        <is>
          <t>893416210</t>
        </is>
      </c>
    </row>
    <row r="1286">
      <c r="A1286" t="inlineStr">
        <is>
          <t>No</t>
        </is>
      </c>
      <c r="B1286" t="inlineStr">
        <is>
          <t>HQ21 .G363 1985</t>
        </is>
      </c>
      <c r="C1286" t="inlineStr">
        <is>
          <t>0                      HQ 0021000G  363         1985</t>
        </is>
      </c>
      <c r="D1286" t="inlineStr">
        <is>
          <t>Gender and the life course / edited by Alice S. Rossi.</t>
        </is>
      </c>
      <c r="F1286" t="inlineStr">
        <is>
          <t>No</t>
        </is>
      </c>
      <c r="G1286" t="inlineStr">
        <is>
          <t>1</t>
        </is>
      </c>
      <c r="H1286" t="inlineStr">
        <is>
          <t>No</t>
        </is>
      </c>
      <c r="I1286" t="inlineStr">
        <is>
          <t>No</t>
        </is>
      </c>
      <c r="J1286" t="inlineStr">
        <is>
          <t>0</t>
        </is>
      </c>
      <c r="L1286" t="inlineStr">
        <is>
          <t>New York : Aldine Pub. Co., c1985.</t>
        </is>
      </c>
      <c r="M1286" t="inlineStr">
        <is>
          <t>1985</t>
        </is>
      </c>
      <c r="O1286" t="inlineStr">
        <is>
          <t>eng</t>
        </is>
      </c>
      <c r="P1286" t="inlineStr">
        <is>
          <t>nyu</t>
        </is>
      </c>
      <c r="R1286" t="inlineStr">
        <is>
          <t xml:space="preserve">HQ </t>
        </is>
      </c>
      <c r="S1286" t="n">
        <v>8</v>
      </c>
      <c r="T1286" t="n">
        <v>8</v>
      </c>
      <c r="U1286" t="inlineStr">
        <is>
          <t>2000-04-18</t>
        </is>
      </c>
      <c r="V1286" t="inlineStr">
        <is>
          <t>2000-04-18</t>
        </is>
      </c>
      <c r="W1286" t="inlineStr">
        <is>
          <t>1990-07-24</t>
        </is>
      </c>
      <c r="X1286" t="inlineStr">
        <is>
          <t>1990-07-24</t>
        </is>
      </c>
      <c r="Y1286" t="n">
        <v>834</v>
      </c>
      <c r="Z1286" t="n">
        <v>695</v>
      </c>
      <c r="AA1286" t="n">
        <v>712</v>
      </c>
      <c r="AB1286" t="n">
        <v>5</v>
      </c>
      <c r="AC1286" t="n">
        <v>5</v>
      </c>
      <c r="AD1286" t="n">
        <v>33</v>
      </c>
      <c r="AE1286" t="n">
        <v>33</v>
      </c>
      <c r="AF1286" t="n">
        <v>14</v>
      </c>
      <c r="AG1286" t="n">
        <v>14</v>
      </c>
      <c r="AH1286" t="n">
        <v>7</v>
      </c>
      <c r="AI1286" t="n">
        <v>7</v>
      </c>
      <c r="AJ1286" t="n">
        <v>13</v>
      </c>
      <c r="AK1286" t="n">
        <v>13</v>
      </c>
      <c r="AL1286" t="n">
        <v>4</v>
      </c>
      <c r="AM1286" t="n">
        <v>4</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HYPERLINK("https://creighton-primo.hosted.exlibrisgroup.com/primo-explore/search?tab=default_tab&amp;search_scope=EVERYTHING&amp;vid=01CRU&amp;lang=en_US&amp;offset=0&amp;query=any,contains,991000456009702656","Catalog Record")</f>
        <v/>
      </c>
      <c r="AT1286">
        <f>HYPERLINK("http://www.worldcat.org/oclc/10913783","WorldCat Record")</f>
        <v/>
      </c>
      <c r="AU1286" t="inlineStr">
        <is>
          <t>54652441:eng</t>
        </is>
      </c>
      <c r="AV1286" t="inlineStr">
        <is>
          <t>10913783</t>
        </is>
      </c>
      <c r="AW1286" t="inlineStr">
        <is>
          <t>991000456009702656</t>
        </is>
      </c>
      <c r="AX1286" t="inlineStr">
        <is>
          <t>991000456009702656</t>
        </is>
      </c>
      <c r="AY1286" t="inlineStr">
        <is>
          <t>2258583470002656</t>
        </is>
      </c>
      <c r="AZ1286" t="inlineStr">
        <is>
          <t>BOOK</t>
        </is>
      </c>
      <c r="BB1286" t="inlineStr">
        <is>
          <t>9780202303123</t>
        </is>
      </c>
      <c r="BC1286" t="inlineStr">
        <is>
          <t>32285000248079</t>
        </is>
      </c>
      <c r="BD1286" t="inlineStr">
        <is>
          <t>893865365</t>
        </is>
      </c>
    </row>
    <row r="1287">
      <c r="A1287" t="inlineStr">
        <is>
          <t>No</t>
        </is>
      </c>
      <c r="B1287" t="inlineStr">
        <is>
          <t>HQ21 .G6712 1986</t>
        </is>
      </c>
      <c r="C1287" t="inlineStr">
        <is>
          <t>0                      HQ 0021000G  6712        1986</t>
        </is>
      </c>
      <c r="D1287" t="inlineStr">
        <is>
          <t>Sexuality : insights and issues / Jerrold S. Greenberg, Clint E. Bruess, Doris W. Sands.</t>
        </is>
      </c>
      <c r="F1287" t="inlineStr">
        <is>
          <t>No</t>
        </is>
      </c>
      <c r="G1287" t="inlineStr">
        <is>
          <t>1</t>
        </is>
      </c>
      <c r="H1287" t="inlineStr">
        <is>
          <t>No</t>
        </is>
      </c>
      <c r="I1287" t="inlineStr">
        <is>
          <t>No</t>
        </is>
      </c>
      <c r="J1287" t="inlineStr">
        <is>
          <t>0</t>
        </is>
      </c>
      <c r="K1287" t="inlineStr">
        <is>
          <t>Greenberg, Jerrold S.</t>
        </is>
      </c>
      <c r="L1287" t="inlineStr">
        <is>
          <t>Dubuque, Iowa : W.C. Brown, c1986.</t>
        </is>
      </c>
      <c r="M1287" t="inlineStr">
        <is>
          <t>1986</t>
        </is>
      </c>
      <c r="O1287" t="inlineStr">
        <is>
          <t>eng</t>
        </is>
      </c>
      <c r="P1287" t="inlineStr">
        <is>
          <t>iau</t>
        </is>
      </c>
      <c r="R1287" t="inlineStr">
        <is>
          <t xml:space="preserve">HQ </t>
        </is>
      </c>
      <c r="S1287" t="n">
        <v>34</v>
      </c>
      <c r="T1287" t="n">
        <v>34</v>
      </c>
      <c r="U1287" t="inlineStr">
        <is>
          <t>2004-07-19</t>
        </is>
      </c>
      <c r="V1287" t="inlineStr">
        <is>
          <t>2004-07-19</t>
        </is>
      </c>
      <c r="W1287" t="inlineStr">
        <is>
          <t>1990-01-31</t>
        </is>
      </c>
      <c r="X1287" t="inlineStr">
        <is>
          <t>1990-01-31</t>
        </is>
      </c>
      <c r="Y1287" t="n">
        <v>71</v>
      </c>
      <c r="Z1287" t="n">
        <v>63</v>
      </c>
      <c r="AA1287" t="n">
        <v>136</v>
      </c>
      <c r="AB1287" t="n">
        <v>1</v>
      </c>
      <c r="AC1287" t="n">
        <v>2</v>
      </c>
      <c r="AD1287" t="n">
        <v>3</v>
      </c>
      <c r="AE1287" t="n">
        <v>5</v>
      </c>
      <c r="AF1287" t="n">
        <v>3</v>
      </c>
      <c r="AG1287" t="n">
        <v>4</v>
      </c>
      <c r="AH1287" t="n">
        <v>0</v>
      </c>
      <c r="AI1287" t="n">
        <v>0</v>
      </c>
      <c r="AJ1287" t="n">
        <v>0</v>
      </c>
      <c r="AK1287" t="n">
        <v>0</v>
      </c>
      <c r="AL1287" t="n">
        <v>0</v>
      </c>
      <c r="AM1287" t="n">
        <v>1</v>
      </c>
      <c r="AN1287" t="n">
        <v>0</v>
      </c>
      <c r="AO1287" t="n">
        <v>0</v>
      </c>
      <c r="AP1287" t="inlineStr">
        <is>
          <t>No</t>
        </is>
      </c>
      <c r="AQ1287" t="inlineStr">
        <is>
          <t>No</t>
        </is>
      </c>
      <c r="AS1287">
        <f>HYPERLINK("https://creighton-primo.hosted.exlibrisgroup.com/primo-explore/search?tab=default_tab&amp;search_scope=EVERYTHING&amp;vid=01CRU&amp;lang=en_US&amp;offset=0&amp;query=any,contains,991000835639702656","Catalog Record")</f>
        <v/>
      </c>
      <c r="AT1287">
        <f>HYPERLINK("http://www.worldcat.org/oclc/13493959","WorldCat Record")</f>
        <v/>
      </c>
      <c r="AU1287" t="inlineStr">
        <is>
          <t>906228836:eng</t>
        </is>
      </c>
      <c r="AV1287" t="inlineStr">
        <is>
          <t>13493959</t>
        </is>
      </c>
      <c r="AW1287" t="inlineStr">
        <is>
          <t>991000835639702656</t>
        </is>
      </c>
      <c r="AX1287" t="inlineStr">
        <is>
          <t>991000835639702656</t>
        </is>
      </c>
      <c r="AY1287" t="inlineStr">
        <is>
          <t>2255452850002656</t>
        </is>
      </c>
      <c r="AZ1287" t="inlineStr">
        <is>
          <t>BOOK</t>
        </is>
      </c>
      <c r="BB1287" t="inlineStr">
        <is>
          <t>9780697004666</t>
        </is>
      </c>
      <c r="BC1287" t="inlineStr">
        <is>
          <t>32285000031491</t>
        </is>
      </c>
      <c r="BD1287" t="inlineStr">
        <is>
          <t>893327635</t>
        </is>
      </c>
    </row>
    <row r="1288">
      <c r="A1288" t="inlineStr">
        <is>
          <t>No</t>
        </is>
      </c>
      <c r="B1288" t="inlineStr">
        <is>
          <t>HQ21 .G6713 1984</t>
        </is>
      </c>
      <c r="C1288" t="inlineStr">
        <is>
          <t>0                      HQ 0021000G  6713        1984</t>
        </is>
      </c>
      <c r="D1288" t="inlineStr">
        <is>
          <t>Sex and destiny : the politics of human fertility / Germaine Greer.</t>
        </is>
      </c>
      <c r="F1288" t="inlineStr">
        <is>
          <t>No</t>
        </is>
      </c>
      <c r="G1288" t="inlineStr">
        <is>
          <t>1</t>
        </is>
      </c>
      <c r="H1288" t="inlineStr">
        <is>
          <t>No</t>
        </is>
      </c>
      <c r="I1288" t="inlineStr">
        <is>
          <t>No</t>
        </is>
      </c>
      <c r="J1288" t="inlineStr">
        <is>
          <t>0</t>
        </is>
      </c>
      <c r="K1288" t="inlineStr">
        <is>
          <t>Greer, Germaine, 1939-</t>
        </is>
      </c>
      <c r="L1288" t="inlineStr">
        <is>
          <t>New York : Harper &amp; Row, c1984.</t>
        </is>
      </c>
      <c r="M1288" t="inlineStr">
        <is>
          <t>1984</t>
        </is>
      </c>
      <c r="N1288" t="inlineStr">
        <is>
          <t>1st ed.</t>
        </is>
      </c>
      <c r="O1288" t="inlineStr">
        <is>
          <t>eng</t>
        </is>
      </c>
      <c r="P1288" t="inlineStr">
        <is>
          <t>nyu</t>
        </is>
      </c>
      <c r="R1288" t="inlineStr">
        <is>
          <t xml:space="preserve">HQ </t>
        </is>
      </c>
      <c r="S1288" t="n">
        <v>2</v>
      </c>
      <c r="T1288" t="n">
        <v>2</v>
      </c>
      <c r="U1288" t="inlineStr">
        <is>
          <t>1995-06-16</t>
        </is>
      </c>
      <c r="V1288" t="inlineStr">
        <is>
          <t>1995-06-16</t>
        </is>
      </c>
      <c r="W1288" t="inlineStr">
        <is>
          <t>1990-07-24</t>
        </is>
      </c>
      <c r="X1288" t="inlineStr">
        <is>
          <t>1990-07-24</t>
        </is>
      </c>
      <c r="Y1288" t="n">
        <v>1503</v>
      </c>
      <c r="Z1288" t="n">
        <v>1340</v>
      </c>
      <c r="AA1288" t="n">
        <v>1391</v>
      </c>
      <c r="AB1288" t="n">
        <v>9</v>
      </c>
      <c r="AC1288" t="n">
        <v>9</v>
      </c>
      <c r="AD1288" t="n">
        <v>45</v>
      </c>
      <c r="AE1288" t="n">
        <v>45</v>
      </c>
      <c r="AF1288" t="n">
        <v>17</v>
      </c>
      <c r="AG1288" t="n">
        <v>17</v>
      </c>
      <c r="AH1288" t="n">
        <v>11</v>
      </c>
      <c r="AI1288" t="n">
        <v>11</v>
      </c>
      <c r="AJ1288" t="n">
        <v>22</v>
      </c>
      <c r="AK1288" t="n">
        <v>22</v>
      </c>
      <c r="AL1288" t="n">
        <v>5</v>
      </c>
      <c r="AM1288" t="n">
        <v>5</v>
      </c>
      <c r="AN1288" t="n">
        <v>2</v>
      </c>
      <c r="AO1288" t="n">
        <v>2</v>
      </c>
      <c r="AP1288" t="inlineStr">
        <is>
          <t>No</t>
        </is>
      </c>
      <c r="AQ1288" t="inlineStr">
        <is>
          <t>Yes</t>
        </is>
      </c>
      <c r="AR1288">
        <f>HYPERLINK("http://catalog.hathitrust.org/Record/000283125","HathiTrust Record")</f>
        <v/>
      </c>
      <c r="AS1288">
        <f>HYPERLINK("https://creighton-primo.hosted.exlibrisgroup.com/primo-explore/search?tab=default_tab&amp;search_scope=EVERYTHING&amp;vid=01CRU&amp;lang=en_US&amp;offset=0&amp;query=any,contains,991000299099702656","Catalog Record")</f>
        <v/>
      </c>
      <c r="AT1288">
        <f>HYPERLINK("http://www.worldcat.org/oclc/10020305","WorldCat Record")</f>
        <v/>
      </c>
      <c r="AU1288" t="inlineStr">
        <is>
          <t>3286309:eng</t>
        </is>
      </c>
      <c r="AV1288" t="inlineStr">
        <is>
          <t>10020305</t>
        </is>
      </c>
      <c r="AW1288" t="inlineStr">
        <is>
          <t>991000299099702656</t>
        </is>
      </c>
      <c r="AX1288" t="inlineStr">
        <is>
          <t>991000299099702656</t>
        </is>
      </c>
      <c r="AY1288" t="inlineStr">
        <is>
          <t>2265266290002656</t>
        </is>
      </c>
      <c r="AZ1288" t="inlineStr">
        <is>
          <t>BOOK</t>
        </is>
      </c>
      <c r="BB1288" t="inlineStr">
        <is>
          <t>9780060151409</t>
        </is>
      </c>
      <c r="BC1288" t="inlineStr">
        <is>
          <t>32285000248087</t>
        </is>
      </c>
      <c r="BD1288" t="inlineStr">
        <is>
          <t>893351477</t>
        </is>
      </c>
    </row>
    <row r="1289">
      <c r="A1289" t="inlineStr">
        <is>
          <t>No</t>
        </is>
      </c>
      <c r="B1289" t="inlineStr">
        <is>
          <t>HQ21 .H918 1981</t>
        </is>
      </c>
      <c r="C1289" t="inlineStr">
        <is>
          <t>0                      HQ 0021000H  918         1981</t>
        </is>
      </c>
      <c r="D1289" t="inlineStr">
        <is>
          <t>Human sexuality and personhood.</t>
        </is>
      </c>
      <c r="F1289" t="inlineStr">
        <is>
          <t>No</t>
        </is>
      </c>
      <c r="G1289" t="inlineStr">
        <is>
          <t>1</t>
        </is>
      </c>
      <c r="H1289" t="inlineStr">
        <is>
          <t>No</t>
        </is>
      </c>
      <c r="I1289" t="inlineStr">
        <is>
          <t>No</t>
        </is>
      </c>
      <c r="J1289" t="inlineStr">
        <is>
          <t>0</t>
        </is>
      </c>
      <c r="L1289" t="inlineStr">
        <is>
          <t>St. Louis, Mo. : The Pope John XXIII Medical-Moral Research and Education Center, 1981.</t>
        </is>
      </c>
      <c r="M1289" t="inlineStr">
        <is>
          <t>1981</t>
        </is>
      </c>
      <c r="O1289" t="inlineStr">
        <is>
          <t>eng</t>
        </is>
      </c>
      <c r="P1289" t="inlineStr">
        <is>
          <t>mou</t>
        </is>
      </c>
      <c r="R1289" t="inlineStr">
        <is>
          <t xml:space="preserve">HQ </t>
        </is>
      </c>
      <c r="S1289" t="n">
        <v>5</v>
      </c>
      <c r="T1289" t="n">
        <v>5</v>
      </c>
      <c r="U1289" t="inlineStr">
        <is>
          <t>2003-09-02</t>
        </is>
      </c>
      <c r="V1289" t="inlineStr">
        <is>
          <t>2003-09-02</t>
        </is>
      </c>
      <c r="W1289" t="inlineStr">
        <is>
          <t>1990-07-24</t>
        </is>
      </c>
      <c r="X1289" t="inlineStr">
        <is>
          <t>1990-07-24</t>
        </is>
      </c>
      <c r="Y1289" t="n">
        <v>249</v>
      </c>
      <c r="Z1289" t="n">
        <v>226</v>
      </c>
      <c r="AA1289" t="n">
        <v>255</v>
      </c>
      <c r="AB1289" t="n">
        <v>4</v>
      </c>
      <c r="AC1289" t="n">
        <v>4</v>
      </c>
      <c r="AD1289" t="n">
        <v>26</v>
      </c>
      <c r="AE1289" t="n">
        <v>28</v>
      </c>
      <c r="AF1289" t="n">
        <v>9</v>
      </c>
      <c r="AG1289" t="n">
        <v>9</v>
      </c>
      <c r="AH1289" t="n">
        <v>6</v>
      </c>
      <c r="AI1289" t="n">
        <v>7</v>
      </c>
      <c r="AJ1289" t="n">
        <v>20</v>
      </c>
      <c r="AK1289" t="n">
        <v>21</v>
      </c>
      <c r="AL1289" t="n">
        <v>1</v>
      </c>
      <c r="AM1289" t="n">
        <v>1</v>
      </c>
      <c r="AN1289" t="n">
        <v>0</v>
      </c>
      <c r="AO1289" t="n">
        <v>0</v>
      </c>
      <c r="AP1289" t="inlineStr">
        <is>
          <t>No</t>
        </is>
      </c>
      <c r="AQ1289" t="inlineStr">
        <is>
          <t>Yes</t>
        </is>
      </c>
      <c r="AR1289">
        <f>HYPERLINK("http://catalog.hathitrust.org/Record/006017084","HathiTrust Record")</f>
        <v/>
      </c>
      <c r="AS1289">
        <f>HYPERLINK("https://creighton-primo.hosted.exlibrisgroup.com/primo-explore/search?tab=default_tab&amp;search_scope=EVERYTHING&amp;vid=01CRU&amp;lang=en_US&amp;offset=0&amp;query=any,contains,991005093469702656","Catalog Record")</f>
        <v/>
      </c>
      <c r="AT1289">
        <f>HYPERLINK("http://www.worldcat.org/oclc/8282392","WorldCat Record")</f>
        <v/>
      </c>
      <c r="AU1289" t="inlineStr">
        <is>
          <t>24647435:eng</t>
        </is>
      </c>
      <c r="AV1289" t="inlineStr">
        <is>
          <t>8282392</t>
        </is>
      </c>
      <c r="AW1289" t="inlineStr">
        <is>
          <t>991005093469702656</t>
        </is>
      </c>
      <c r="AX1289" t="inlineStr">
        <is>
          <t>991005093469702656</t>
        </is>
      </c>
      <c r="AY1289" t="inlineStr">
        <is>
          <t>2257005700002656</t>
        </is>
      </c>
      <c r="AZ1289" t="inlineStr">
        <is>
          <t>BOOK</t>
        </is>
      </c>
      <c r="BB1289" t="inlineStr">
        <is>
          <t>9780935372090</t>
        </is>
      </c>
      <c r="BC1289" t="inlineStr">
        <is>
          <t>32285000248103</t>
        </is>
      </c>
      <c r="BD1289" t="inlineStr">
        <is>
          <t>893895850</t>
        </is>
      </c>
    </row>
    <row r="1290">
      <c r="A1290" t="inlineStr">
        <is>
          <t>No</t>
        </is>
      </c>
      <c r="B1290" t="inlineStr">
        <is>
          <t>HQ21 .M68</t>
        </is>
      </c>
      <c r="C1290" t="inlineStr">
        <is>
          <t>0                      HQ 0021000M  68</t>
        </is>
      </c>
      <c r="D1290" t="inlineStr">
        <is>
          <t>Modern views of human sexual behavior / edited by James Leslie McCary and Donna R. Copeland.</t>
        </is>
      </c>
      <c r="F1290" t="inlineStr">
        <is>
          <t>No</t>
        </is>
      </c>
      <c r="G1290" t="inlineStr">
        <is>
          <t>1</t>
        </is>
      </c>
      <c r="H1290" t="inlineStr">
        <is>
          <t>No</t>
        </is>
      </c>
      <c r="I1290" t="inlineStr">
        <is>
          <t>No</t>
        </is>
      </c>
      <c r="J1290" t="inlineStr">
        <is>
          <t>0</t>
        </is>
      </c>
      <c r="L1290" t="inlineStr">
        <is>
          <t>Chicago : Science Research Associates, c1976.</t>
        </is>
      </c>
      <c r="M1290" t="inlineStr">
        <is>
          <t>1976</t>
        </is>
      </c>
      <c r="O1290" t="inlineStr">
        <is>
          <t>eng</t>
        </is>
      </c>
      <c r="P1290" t="inlineStr">
        <is>
          <t>ilu</t>
        </is>
      </c>
      <c r="R1290" t="inlineStr">
        <is>
          <t xml:space="preserve">HQ </t>
        </is>
      </c>
      <c r="S1290" t="n">
        <v>12</v>
      </c>
      <c r="T1290" t="n">
        <v>12</v>
      </c>
      <c r="U1290" t="inlineStr">
        <is>
          <t>2010-04-21</t>
        </is>
      </c>
      <c r="V1290" t="inlineStr">
        <is>
          <t>2010-04-21</t>
        </is>
      </c>
      <c r="W1290" t="inlineStr">
        <is>
          <t>1995-06-30</t>
        </is>
      </c>
      <c r="X1290" t="inlineStr">
        <is>
          <t>1995-06-30</t>
        </is>
      </c>
      <c r="Y1290" t="n">
        <v>203</v>
      </c>
      <c r="Z1290" t="n">
        <v>154</v>
      </c>
      <c r="AA1290" t="n">
        <v>156</v>
      </c>
      <c r="AB1290" t="n">
        <v>2</v>
      </c>
      <c r="AC1290" t="n">
        <v>2</v>
      </c>
      <c r="AD1290" t="n">
        <v>3</v>
      </c>
      <c r="AE1290" t="n">
        <v>3</v>
      </c>
      <c r="AF1290" t="n">
        <v>2</v>
      </c>
      <c r="AG1290" t="n">
        <v>2</v>
      </c>
      <c r="AH1290" t="n">
        <v>0</v>
      </c>
      <c r="AI1290" t="n">
        <v>0</v>
      </c>
      <c r="AJ1290" t="n">
        <v>1</v>
      </c>
      <c r="AK1290" t="n">
        <v>1</v>
      </c>
      <c r="AL1290" t="n">
        <v>1</v>
      </c>
      <c r="AM1290" t="n">
        <v>1</v>
      </c>
      <c r="AN1290" t="n">
        <v>0</v>
      </c>
      <c r="AO1290" t="n">
        <v>0</v>
      </c>
      <c r="AP1290" t="inlineStr">
        <is>
          <t>No</t>
        </is>
      </c>
      <c r="AQ1290" t="inlineStr">
        <is>
          <t>No</t>
        </is>
      </c>
      <c r="AS1290">
        <f>HYPERLINK("https://creighton-primo.hosted.exlibrisgroup.com/primo-explore/search?tab=default_tab&amp;search_scope=EVERYTHING&amp;vid=01CRU&amp;lang=en_US&amp;offset=0&amp;query=any,contains,991003987799702656","Catalog Record")</f>
        <v/>
      </c>
      <c r="AT1290">
        <f>HYPERLINK("http://www.worldcat.org/oclc/2035067","WorldCat Record")</f>
        <v/>
      </c>
      <c r="AU1290" t="inlineStr">
        <is>
          <t>350619986:eng</t>
        </is>
      </c>
      <c r="AV1290" t="inlineStr">
        <is>
          <t>2035067</t>
        </is>
      </c>
      <c r="AW1290" t="inlineStr">
        <is>
          <t>991003987799702656</t>
        </is>
      </c>
      <c r="AX1290" t="inlineStr">
        <is>
          <t>991003987799702656</t>
        </is>
      </c>
      <c r="AY1290" t="inlineStr">
        <is>
          <t>2268404010002656</t>
        </is>
      </c>
      <c r="AZ1290" t="inlineStr">
        <is>
          <t>BOOK</t>
        </is>
      </c>
      <c r="BB1290" t="inlineStr">
        <is>
          <t>9780574179258</t>
        </is>
      </c>
      <c r="BC1290" t="inlineStr">
        <is>
          <t>32285002021987</t>
        </is>
      </c>
      <c r="BD1290" t="inlineStr">
        <is>
          <t>893687216</t>
        </is>
      </c>
    </row>
    <row r="1291">
      <c r="A1291" t="inlineStr">
        <is>
          <t>No</t>
        </is>
      </c>
      <c r="B1291" t="inlineStr">
        <is>
          <t>HQ21 .M737 1985</t>
        </is>
      </c>
      <c r="C1291" t="inlineStr">
        <is>
          <t>0                      HQ 0021000M  737         1985</t>
        </is>
      </c>
      <c r="D1291" t="inlineStr">
        <is>
          <t>The destroying angel : sex, fitness &amp; food in the legacy of degeneracy theory, Graham crackers, Kellogg's corn flakes &amp; American health history / John Money.</t>
        </is>
      </c>
      <c r="F1291" t="inlineStr">
        <is>
          <t>No</t>
        </is>
      </c>
      <c r="G1291" t="inlineStr">
        <is>
          <t>1</t>
        </is>
      </c>
      <c r="H1291" t="inlineStr">
        <is>
          <t>No</t>
        </is>
      </c>
      <c r="I1291" t="inlineStr">
        <is>
          <t>No</t>
        </is>
      </c>
      <c r="J1291" t="inlineStr">
        <is>
          <t>0</t>
        </is>
      </c>
      <c r="K1291" t="inlineStr">
        <is>
          <t>Money, John, 1921-2006.</t>
        </is>
      </c>
      <c r="L1291" t="inlineStr">
        <is>
          <t>Buffalo, N.Y. : Prometheus Books, c1985.</t>
        </is>
      </c>
      <c r="M1291" t="inlineStr">
        <is>
          <t>1985</t>
        </is>
      </c>
      <c r="O1291" t="inlineStr">
        <is>
          <t>eng</t>
        </is>
      </c>
      <c r="P1291" t="inlineStr">
        <is>
          <t>nyu</t>
        </is>
      </c>
      <c r="R1291" t="inlineStr">
        <is>
          <t xml:space="preserve">HQ </t>
        </is>
      </c>
      <c r="S1291" t="n">
        <v>7</v>
      </c>
      <c r="T1291" t="n">
        <v>7</v>
      </c>
      <c r="U1291" t="inlineStr">
        <is>
          <t>1999-07-13</t>
        </is>
      </c>
      <c r="V1291" t="inlineStr">
        <is>
          <t>1999-07-13</t>
        </is>
      </c>
      <c r="W1291" t="inlineStr">
        <is>
          <t>1990-07-24</t>
        </is>
      </c>
      <c r="X1291" t="inlineStr">
        <is>
          <t>1990-07-24</t>
        </is>
      </c>
      <c r="Y1291" t="n">
        <v>513</v>
      </c>
      <c r="Z1291" t="n">
        <v>465</v>
      </c>
      <c r="AA1291" t="n">
        <v>467</v>
      </c>
      <c r="AB1291" t="n">
        <v>4</v>
      </c>
      <c r="AC1291" t="n">
        <v>4</v>
      </c>
      <c r="AD1291" t="n">
        <v>14</v>
      </c>
      <c r="AE1291" t="n">
        <v>14</v>
      </c>
      <c r="AF1291" t="n">
        <v>3</v>
      </c>
      <c r="AG1291" t="n">
        <v>3</v>
      </c>
      <c r="AH1291" t="n">
        <v>4</v>
      </c>
      <c r="AI1291" t="n">
        <v>4</v>
      </c>
      <c r="AJ1291" t="n">
        <v>7</v>
      </c>
      <c r="AK1291" t="n">
        <v>7</v>
      </c>
      <c r="AL1291" t="n">
        <v>3</v>
      </c>
      <c r="AM1291" t="n">
        <v>3</v>
      </c>
      <c r="AN1291" t="n">
        <v>1</v>
      </c>
      <c r="AO1291" t="n">
        <v>1</v>
      </c>
      <c r="AP1291" t="inlineStr">
        <is>
          <t>No</t>
        </is>
      </c>
      <c r="AQ1291" t="inlineStr">
        <is>
          <t>Yes</t>
        </is>
      </c>
      <c r="AR1291">
        <f>HYPERLINK("http://catalog.hathitrust.org/Record/000574957","HathiTrust Record")</f>
        <v/>
      </c>
      <c r="AS1291">
        <f>HYPERLINK("https://creighton-primo.hosted.exlibrisgroup.com/primo-explore/search?tab=default_tab&amp;search_scope=EVERYTHING&amp;vid=01CRU&amp;lang=en_US&amp;offset=0&amp;query=any,contains,991000627339702656","Catalog Record")</f>
        <v/>
      </c>
      <c r="AT1291">
        <f>HYPERLINK("http://www.worldcat.org/oclc/12046964","WorldCat Record")</f>
        <v/>
      </c>
      <c r="AU1291" t="inlineStr">
        <is>
          <t>4792741:eng</t>
        </is>
      </c>
      <c r="AV1291" t="inlineStr">
        <is>
          <t>12046964</t>
        </is>
      </c>
      <c r="AW1291" t="inlineStr">
        <is>
          <t>991000627339702656</t>
        </is>
      </c>
      <c r="AX1291" t="inlineStr">
        <is>
          <t>991000627339702656</t>
        </is>
      </c>
      <c r="AY1291" t="inlineStr">
        <is>
          <t>2257556760002656</t>
        </is>
      </c>
      <c r="AZ1291" t="inlineStr">
        <is>
          <t>BOOK</t>
        </is>
      </c>
      <c r="BB1291" t="inlineStr">
        <is>
          <t>9780879752774</t>
        </is>
      </c>
      <c r="BC1291" t="inlineStr">
        <is>
          <t>32285000248111</t>
        </is>
      </c>
      <c r="BD1291" t="inlineStr">
        <is>
          <t>893407373</t>
        </is>
      </c>
    </row>
    <row r="1292">
      <c r="A1292" t="inlineStr">
        <is>
          <t>No</t>
        </is>
      </c>
      <c r="B1292" t="inlineStr">
        <is>
          <t>HQ21 .M913 1974</t>
        </is>
      </c>
      <c r="C1292" t="inlineStr">
        <is>
          <t>0                      HQ 0021000M  913         1974</t>
        </is>
      </c>
      <c r="D1292" t="inlineStr">
        <is>
          <t>The evolution of modern marriage : a sociology of sexual relations / translated by Isabella C. Wigglesworth. New York, Knopf, 1930.</t>
        </is>
      </c>
      <c r="F1292" t="inlineStr">
        <is>
          <t>No</t>
        </is>
      </c>
      <c r="G1292" t="inlineStr">
        <is>
          <t>1</t>
        </is>
      </c>
      <c r="H1292" t="inlineStr">
        <is>
          <t>No</t>
        </is>
      </c>
      <c r="I1292" t="inlineStr">
        <is>
          <t>No</t>
        </is>
      </c>
      <c r="J1292" t="inlineStr">
        <is>
          <t>0</t>
        </is>
      </c>
      <c r="K1292" t="inlineStr">
        <is>
          <t>Müller-Lyer, Franz Carl, 1857-1916.</t>
        </is>
      </c>
      <c r="L1292" t="inlineStr">
        <is>
          <t>[New York : AMS Press, 1974]</t>
        </is>
      </c>
      <c r="M1292" t="inlineStr">
        <is>
          <t>1974</t>
        </is>
      </c>
      <c r="O1292" t="inlineStr">
        <is>
          <t>eng</t>
        </is>
      </c>
      <c r="P1292" t="inlineStr">
        <is>
          <t>nyu</t>
        </is>
      </c>
      <c r="R1292" t="inlineStr">
        <is>
          <t xml:space="preserve">HQ </t>
        </is>
      </c>
      <c r="S1292" t="n">
        <v>7</v>
      </c>
      <c r="T1292" t="n">
        <v>7</v>
      </c>
      <c r="U1292" t="inlineStr">
        <is>
          <t>2007-11-09</t>
        </is>
      </c>
      <c r="V1292" t="inlineStr">
        <is>
          <t>2007-11-09</t>
        </is>
      </c>
      <c r="W1292" t="inlineStr">
        <is>
          <t>1990-04-18</t>
        </is>
      </c>
      <c r="X1292" t="inlineStr">
        <is>
          <t>1990-04-18</t>
        </is>
      </c>
      <c r="Y1292" t="n">
        <v>61</v>
      </c>
      <c r="Z1292" t="n">
        <v>47</v>
      </c>
      <c r="AA1292" t="n">
        <v>167</v>
      </c>
      <c r="AB1292" t="n">
        <v>1</v>
      </c>
      <c r="AC1292" t="n">
        <v>1</v>
      </c>
      <c r="AD1292" t="n">
        <v>1</v>
      </c>
      <c r="AE1292" t="n">
        <v>2</v>
      </c>
      <c r="AF1292" t="n">
        <v>0</v>
      </c>
      <c r="AG1292" t="n">
        <v>1</v>
      </c>
      <c r="AH1292" t="n">
        <v>0</v>
      </c>
      <c r="AI1292" t="n">
        <v>0</v>
      </c>
      <c r="AJ1292" t="n">
        <v>1</v>
      </c>
      <c r="AK1292" t="n">
        <v>2</v>
      </c>
      <c r="AL1292" t="n">
        <v>0</v>
      </c>
      <c r="AM1292" t="n">
        <v>0</v>
      </c>
      <c r="AN1292" t="n">
        <v>0</v>
      </c>
      <c r="AO1292" t="n">
        <v>0</v>
      </c>
      <c r="AP1292" t="inlineStr">
        <is>
          <t>No</t>
        </is>
      </c>
      <c r="AQ1292" t="inlineStr">
        <is>
          <t>Yes</t>
        </is>
      </c>
      <c r="AR1292">
        <f>HYPERLINK("http://catalog.hathitrust.org/Record/010552930","HathiTrust Record")</f>
        <v/>
      </c>
      <c r="AS1292">
        <f>HYPERLINK("https://creighton-primo.hosted.exlibrisgroup.com/primo-explore/search?tab=default_tab&amp;search_scope=EVERYTHING&amp;vid=01CRU&amp;lang=en_US&amp;offset=0&amp;query=any,contains,991003695979702656","Catalog Record")</f>
        <v/>
      </c>
      <c r="AT1292">
        <f>HYPERLINK("http://www.worldcat.org/oclc/1328419","WorldCat Record")</f>
        <v/>
      </c>
      <c r="AU1292" t="inlineStr">
        <is>
          <t>4915500419:eng</t>
        </is>
      </c>
      <c r="AV1292" t="inlineStr">
        <is>
          <t>1328419</t>
        </is>
      </c>
      <c r="AW1292" t="inlineStr">
        <is>
          <t>991003695979702656</t>
        </is>
      </c>
      <c r="AX1292" t="inlineStr">
        <is>
          <t>991003695979702656</t>
        </is>
      </c>
      <c r="AY1292" t="inlineStr">
        <is>
          <t>2259287170002656</t>
        </is>
      </c>
      <c r="AZ1292" t="inlineStr">
        <is>
          <t>BOOK</t>
        </is>
      </c>
      <c r="BB1292" t="inlineStr">
        <is>
          <t>9780404574840</t>
        </is>
      </c>
      <c r="BC1292" t="inlineStr">
        <is>
          <t>32285000116789</t>
        </is>
      </c>
      <c r="BD1292" t="inlineStr">
        <is>
          <t>893445789</t>
        </is>
      </c>
    </row>
    <row r="1293">
      <c r="A1293" t="inlineStr">
        <is>
          <t>No</t>
        </is>
      </c>
      <c r="B1293" t="inlineStr">
        <is>
          <t>HQ21 .P28 1991</t>
        </is>
      </c>
      <c r="C1293" t="inlineStr">
        <is>
          <t>0                      HQ 0021000P  28          1991</t>
        </is>
      </c>
      <c r="D1293" t="inlineStr">
        <is>
          <t>Conjunciones y disyunciones / Octavio Paz.</t>
        </is>
      </c>
      <c r="F1293" t="inlineStr">
        <is>
          <t>No</t>
        </is>
      </c>
      <c r="G1293" t="inlineStr">
        <is>
          <t>1</t>
        </is>
      </c>
      <c r="H1293" t="inlineStr">
        <is>
          <t>No</t>
        </is>
      </c>
      <c r="I1293" t="inlineStr">
        <is>
          <t>No</t>
        </is>
      </c>
      <c r="J1293" t="inlineStr">
        <is>
          <t>0</t>
        </is>
      </c>
      <c r="K1293" t="inlineStr">
        <is>
          <t>Paz, Octavio, 1914-1998.</t>
        </is>
      </c>
      <c r="L1293" t="inlineStr">
        <is>
          <t>Barcelona : Seix Barral, c1991.</t>
        </is>
      </c>
      <c r="M1293" t="inlineStr">
        <is>
          <t>1991</t>
        </is>
      </c>
      <c r="N1293" t="inlineStr">
        <is>
          <t>1a ed.</t>
        </is>
      </c>
      <c r="O1293" t="inlineStr">
        <is>
          <t>spa</t>
        </is>
      </c>
      <c r="P1293" t="inlineStr">
        <is>
          <t xml:space="preserve">sp </t>
        </is>
      </c>
      <c r="Q1293" t="inlineStr">
        <is>
          <t>Biblioteca breve</t>
        </is>
      </c>
      <c r="R1293" t="inlineStr">
        <is>
          <t xml:space="preserve">HQ </t>
        </is>
      </c>
      <c r="S1293" t="n">
        <v>1</v>
      </c>
      <c r="T1293" t="n">
        <v>1</v>
      </c>
      <c r="U1293" t="inlineStr">
        <is>
          <t>2006-05-03</t>
        </is>
      </c>
      <c r="V1293" t="inlineStr">
        <is>
          <t>2006-05-03</t>
        </is>
      </c>
      <c r="W1293" t="inlineStr">
        <is>
          <t>1992-11-12</t>
        </is>
      </c>
      <c r="X1293" t="inlineStr">
        <is>
          <t>1992-11-12</t>
        </is>
      </c>
      <c r="Y1293" t="n">
        <v>74</v>
      </c>
      <c r="Z1293" t="n">
        <v>52</v>
      </c>
      <c r="AA1293" t="n">
        <v>260</v>
      </c>
      <c r="AB1293" t="n">
        <v>1</v>
      </c>
      <c r="AC1293" t="n">
        <v>2</v>
      </c>
      <c r="AD1293" t="n">
        <v>1</v>
      </c>
      <c r="AE1293" t="n">
        <v>7</v>
      </c>
      <c r="AF1293" t="n">
        <v>0</v>
      </c>
      <c r="AG1293" t="n">
        <v>2</v>
      </c>
      <c r="AH1293" t="n">
        <v>1</v>
      </c>
      <c r="AI1293" t="n">
        <v>3</v>
      </c>
      <c r="AJ1293" t="n">
        <v>1</v>
      </c>
      <c r="AK1293" t="n">
        <v>5</v>
      </c>
      <c r="AL1293" t="n">
        <v>0</v>
      </c>
      <c r="AM1293" t="n">
        <v>1</v>
      </c>
      <c r="AN1293" t="n">
        <v>0</v>
      </c>
      <c r="AO1293" t="n">
        <v>0</v>
      </c>
      <c r="AP1293" t="inlineStr">
        <is>
          <t>No</t>
        </is>
      </c>
      <c r="AQ1293" t="inlineStr">
        <is>
          <t>Yes</t>
        </is>
      </c>
      <c r="AR1293">
        <f>HYPERLINK("http://catalog.hathitrust.org/Record/007572036","HathiTrust Record")</f>
        <v/>
      </c>
      <c r="AS1293">
        <f>HYPERLINK("https://creighton-primo.hosted.exlibrisgroup.com/primo-explore/search?tab=default_tab&amp;search_scope=EVERYTHING&amp;vid=01CRU&amp;lang=en_US&amp;offset=0&amp;query=any,contains,991001893649702656","Catalog Record")</f>
        <v/>
      </c>
      <c r="AT1293">
        <f>HYPERLINK("http://www.worldcat.org/oclc/23930538","WorldCat Record")</f>
        <v/>
      </c>
      <c r="AU1293" t="inlineStr">
        <is>
          <t>54099166:spa</t>
        </is>
      </c>
      <c r="AV1293" t="inlineStr">
        <is>
          <t>23930538</t>
        </is>
      </c>
      <c r="AW1293" t="inlineStr">
        <is>
          <t>991001893649702656</t>
        </is>
      </c>
      <c r="AX1293" t="inlineStr">
        <is>
          <t>991001893649702656</t>
        </is>
      </c>
      <c r="AY1293" t="inlineStr">
        <is>
          <t>2272335170002656</t>
        </is>
      </c>
      <c r="AZ1293" t="inlineStr">
        <is>
          <t>BOOK</t>
        </is>
      </c>
      <c r="BB1293" t="inlineStr">
        <is>
          <t>9788432206337</t>
        </is>
      </c>
      <c r="BC1293" t="inlineStr">
        <is>
          <t>32285001361947</t>
        </is>
      </c>
      <c r="BD1293" t="inlineStr">
        <is>
          <t>893615449</t>
        </is>
      </c>
    </row>
    <row r="1294">
      <c r="A1294" t="inlineStr">
        <is>
          <t>No</t>
        </is>
      </c>
      <c r="B1294" t="inlineStr">
        <is>
          <t>HQ21 .R415 1990</t>
        </is>
      </c>
      <c r="C1294" t="inlineStr">
        <is>
          <t>0                      HQ 0021000R  415         1990</t>
        </is>
      </c>
      <c r="D1294" t="inlineStr">
        <is>
          <t>The Kinsey Institute new report on sex : what you must know to be sexually literate / June M. Reinisch with Ruth Beasley ; edited and compiled by Debra Kent.</t>
        </is>
      </c>
      <c r="F1294" t="inlineStr">
        <is>
          <t>No</t>
        </is>
      </c>
      <c r="G1294" t="inlineStr">
        <is>
          <t>1</t>
        </is>
      </c>
      <c r="H1294" t="inlineStr">
        <is>
          <t>No</t>
        </is>
      </c>
      <c r="I1294" t="inlineStr">
        <is>
          <t>No</t>
        </is>
      </c>
      <c r="J1294" t="inlineStr">
        <is>
          <t>0</t>
        </is>
      </c>
      <c r="K1294" t="inlineStr">
        <is>
          <t>Reinisch, June Machover.</t>
        </is>
      </c>
      <c r="L1294" t="inlineStr">
        <is>
          <t>New York : St. Martin's Press, 1990.</t>
        </is>
      </c>
      <c r="M1294" t="inlineStr">
        <is>
          <t>1990</t>
        </is>
      </c>
      <c r="N1294" t="inlineStr">
        <is>
          <t>1st ed.</t>
        </is>
      </c>
      <c r="O1294" t="inlineStr">
        <is>
          <t>eng</t>
        </is>
      </c>
      <c r="P1294" t="inlineStr">
        <is>
          <t>nyu</t>
        </is>
      </c>
      <c r="R1294" t="inlineStr">
        <is>
          <t xml:space="preserve">HQ </t>
        </is>
      </c>
      <c r="S1294" t="n">
        <v>43</v>
      </c>
      <c r="T1294" t="n">
        <v>43</v>
      </c>
      <c r="U1294" t="inlineStr">
        <is>
          <t>2005-09-14</t>
        </is>
      </c>
      <c r="V1294" t="inlineStr">
        <is>
          <t>2005-09-14</t>
        </is>
      </c>
      <c r="W1294" t="inlineStr">
        <is>
          <t>1990-11-08</t>
        </is>
      </c>
      <c r="X1294" t="inlineStr">
        <is>
          <t>1990-11-08</t>
        </is>
      </c>
      <c r="Y1294" t="n">
        <v>1238</v>
      </c>
      <c r="Z1294" t="n">
        <v>1166</v>
      </c>
      <c r="AA1294" t="n">
        <v>1386</v>
      </c>
      <c r="AB1294" t="n">
        <v>10</v>
      </c>
      <c r="AC1294" t="n">
        <v>12</v>
      </c>
      <c r="AD1294" t="n">
        <v>23</v>
      </c>
      <c r="AE1294" t="n">
        <v>30</v>
      </c>
      <c r="AF1294" t="n">
        <v>9</v>
      </c>
      <c r="AG1294" t="n">
        <v>12</v>
      </c>
      <c r="AH1294" t="n">
        <v>4</v>
      </c>
      <c r="AI1294" t="n">
        <v>5</v>
      </c>
      <c r="AJ1294" t="n">
        <v>10</v>
      </c>
      <c r="AK1294" t="n">
        <v>14</v>
      </c>
      <c r="AL1294" t="n">
        <v>4</v>
      </c>
      <c r="AM1294" t="n">
        <v>5</v>
      </c>
      <c r="AN1294" t="n">
        <v>0</v>
      </c>
      <c r="AO1294" t="n">
        <v>0</v>
      </c>
      <c r="AP1294" t="inlineStr">
        <is>
          <t>No</t>
        </is>
      </c>
      <c r="AQ1294" t="inlineStr">
        <is>
          <t>Yes</t>
        </is>
      </c>
      <c r="AR1294">
        <f>HYPERLINK("http://catalog.hathitrust.org/Record/002216202","HathiTrust Record")</f>
        <v/>
      </c>
      <c r="AS1294">
        <f>HYPERLINK("https://creighton-primo.hosted.exlibrisgroup.com/primo-explore/search?tab=default_tab&amp;search_scope=EVERYTHING&amp;vid=01CRU&amp;lang=en_US&amp;offset=0&amp;query=any,contains,991001747269702656","Catalog Record")</f>
        <v/>
      </c>
      <c r="AT1294">
        <f>HYPERLINK("http://www.worldcat.org/oclc/22117510","WorldCat Record")</f>
        <v/>
      </c>
      <c r="AU1294" t="inlineStr">
        <is>
          <t>19828200:eng</t>
        </is>
      </c>
      <c r="AV1294" t="inlineStr">
        <is>
          <t>22117510</t>
        </is>
      </c>
      <c r="AW1294" t="inlineStr">
        <is>
          <t>991001747269702656</t>
        </is>
      </c>
      <c r="AX1294" t="inlineStr">
        <is>
          <t>991001747269702656</t>
        </is>
      </c>
      <c r="AY1294" t="inlineStr">
        <is>
          <t>2260104180002656</t>
        </is>
      </c>
      <c r="AZ1294" t="inlineStr">
        <is>
          <t>BOOK</t>
        </is>
      </c>
      <c r="BB1294" t="inlineStr">
        <is>
          <t>9780312052683</t>
        </is>
      </c>
      <c r="BC1294" t="inlineStr">
        <is>
          <t>32285000314020</t>
        </is>
      </c>
      <c r="BD1294" t="inlineStr">
        <is>
          <t>893340665</t>
        </is>
      </c>
    </row>
    <row r="1295">
      <c r="A1295" t="inlineStr">
        <is>
          <t>No</t>
        </is>
      </c>
      <c r="B1295" t="inlineStr">
        <is>
          <t>HQ21 .R425 1986</t>
        </is>
      </c>
      <c r="C1295" t="inlineStr">
        <is>
          <t>0                      HQ 0021000R  425         1986</t>
        </is>
      </c>
      <c r="D1295" t="inlineStr">
        <is>
          <t>Journey into sexuality : an exploratory voyage / Ira L. Reiss.</t>
        </is>
      </c>
      <c r="F1295" t="inlineStr">
        <is>
          <t>No</t>
        </is>
      </c>
      <c r="G1295" t="inlineStr">
        <is>
          <t>1</t>
        </is>
      </c>
      <c r="H1295" t="inlineStr">
        <is>
          <t>No</t>
        </is>
      </c>
      <c r="I1295" t="inlineStr">
        <is>
          <t>No</t>
        </is>
      </c>
      <c r="J1295" t="inlineStr">
        <is>
          <t>0</t>
        </is>
      </c>
      <c r="K1295" t="inlineStr">
        <is>
          <t>Reiss, Ira L.</t>
        </is>
      </c>
      <c r="L1295" t="inlineStr">
        <is>
          <t>Englewood Cliffs, N.J. : Prentice-Hall, c1986.</t>
        </is>
      </c>
      <c r="M1295" t="inlineStr">
        <is>
          <t>1986</t>
        </is>
      </c>
      <c r="O1295" t="inlineStr">
        <is>
          <t>eng</t>
        </is>
      </c>
      <c r="P1295" t="inlineStr">
        <is>
          <t>nju</t>
        </is>
      </c>
      <c r="R1295" t="inlineStr">
        <is>
          <t xml:space="preserve">HQ </t>
        </is>
      </c>
      <c r="S1295" t="n">
        <v>15</v>
      </c>
      <c r="T1295" t="n">
        <v>15</v>
      </c>
      <c r="U1295" t="inlineStr">
        <is>
          <t>2000-06-12</t>
        </is>
      </c>
      <c r="V1295" t="inlineStr">
        <is>
          <t>2000-06-12</t>
        </is>
      </c>
      <c r="W1295" t="inlineStr">
        <is>
          <t>1990-03-22</t>
        </is>
      </c>
      <c r="X1295" t="inlineStr">
        <is>
          <t>1990-03-22</t>
        </is>
      </c>
      <c r="Y1295" t="n">
        <v>578</v>
      </c>
      <c r="Z1295" t="n">
        <v>522</v>
      </c>
      <c r="AA1295" t="n">
        <v>524</v>
      </c>
      <c r="AB1295" t="n">
        <v>3</v>
      </c>
      <c r="AC1295" t="n">
        <v>3</v>
      </c>
      <c r="AD1295" t="n">
        <v>21</v>
      </c>
      <c r="AE1295" t="n">
        <v>21</v>
      </c>
      <c r="AF1295" t="n">
        <v>9</v>
      </c>
      <c r="AG1295" t="n">
        <v>9</v>
      </c>
      <c r="AH1295" t="n">
        <v>6</v>
      </c>
      <c r="AI1295" t="n">
        <v>6</v>
      </c>
      <c r="AJ1295" t="n">
        <v>12</v>
      </c>
      <c r="AK1295" t="n">
        <v>12</v>
      </c>
      <c r="AL1295" t="n">
        <v>2</v>
      </c>
      <c r="AM1295" t="n">
        <v>2</v>
      </c>
      <c r="AN1295" t="n">
        <v>0</v>
      </c>
      <c r="AO1295" t="n">
        <v>0</v>
      </c>
      <c r="AP1295" t="inlineStr">
        <is>
          <t>No</t>
        </is>
      </c>
      <c r="AQ1295" t="inlineStr">
        <is>
          <t>Yes</t>
        </is>
      </c>
      <c r="AR1295">
        <f>HYPERLINK("http://catalog.hathitrust.org/Record/000480705","HathiTrust Record")</f>
        <v/>
      </c>
      <c r="AS1295">
        <f>HYPERLINK("https://creighton-primo.hosted.exlibrisgroup.com/primo-explore/search?tab=default_tab&amp;search_scope=EVERYTHING&amp;vid=01CRU&amp;lang=en_US&amp;offset=0&amp;query=any,contains,991000770219702656","Catalog Record")</f>
        <v/>
      </c>
      <c r="AT1295">
        <f>HYPERLINK("http://www.worldcat.org/oclc/13010678","WorldCat Record")</f>
        <v/>
      </c>
      <c r="AU1295" t="inlineStr">
        <is>
          <t>5491423:eng</t>
        </is>
      </c>
      <c r="AV1295" t="inlineStr">
        <is>
          <t>13010678</t>
        </is>
      </c>
      <c r="AW1295" t="inlineStr">
        <is>
          <t>991000770219702656</t>
        </is>
      </c>
      <c r="AX1295" t="inlineStr">
        <is>
          <t>991000770219702656</t>
        </is>
      </c>
      <c r="AY1295" t="inlineStr">
        <is>
          <t>2258352280002656</t>
        </is>
      </c>
      <c r="AZ1295" t="inlineStr">
        <is>
          <t>BOOK</t>
        </is>
      </c>
      <c r="BB1295" t="inlineStr">
        <is>
          <t>9780135114780</t>
        </is>
      </c>
      <c r="BC1295" t="inlineStr">
        <is>
          <t>32285000095058</t>
        </is>
      </c>
      <c r="BD1295" t="inlineStr">
        <is>
          <t>893509091</t>
        </is>
      </c>
    </row>
    <row r="1296">
      <c r="A1296" t="inlineStr">
        <is>
          <t>No</t>
        </is>
      </c>
      <c r="B1296" t="inlineStr">
        <is>
          <t>HQ21 .R86 1956</t>
        </is>
      </c>
      <c r="C1296" t="inlineStr">
        <is>
          <t>0                      HQ 0021000R  86          1956</t>
        </is>
      </c>
      <c r="D1296" t="inlineStr">
        <is>
          <t>Love in the Western World / translated by Montgomery Belgion.</t>
        </is>
      </c>
      <c r="F1296" t="inlineStr">
        <is>
          <t>No</t>
        </is>
      </c>
      <c r="G1296" t="inlineStr">
        <is>
          <t>1</t>
        </is>
      </c>
      <c r="H1296" t="inlineStr">
        <is>
          <t>No</t>
        </is>
      </c>
      <c r="I1296" t="inlineStr">
        <is>
          <t>No</t>
        </is>
      </c>
      <c r="J1296" t="inlineStr">
        <is>
          <t>0</t>
        </is>
      </c>
      <c r="K1296" t="inlineStr">
        <is>
          <t>Rougemont, Denis de, 1906-1985.</t>
        </is>
      </c>
      <c r="L1296" t="inlineStr">
        <is>
          <t>[New York] : Pantheon, [c1956]</t>
        </is>
      </c>
      <c r="M1296" t="inlineStr">
        <is>
          <t>1956</t>
        </is>
      </c>
      <c r="N1296" t="inlineStr">
        <is>
          <t>Rev. and augm. ed.</t>
        </is>
      </c>
      <c r="O1296" t="inlineStr">
        <is>
          <t>eng</t>
        </is>
      </c>
      <c r="P1296" t="inlineStr">
        <is>
          <t>nyu</t>
        </is>
      </c>
      <c r="R1296" t="inlineStr">
        <is>
          <t xml:space="preserve">HQ </t>
        </is>
      </c>
      <c r="S1296" t="n">
        <v>15</v>
      </c>
      <c r="T1296" t="n">
        <v>15</v>
      </c>
      <c r="U1296" t="inlineStr">
        <is>
          <t>2008-02-15</t>
        </is>
      </c>
      <c r="V1296" t="inlineStr">
        <is>
          <t>2008-02-15</t>
        </is>
      </c>
      <c r="W1296" t="inlineStr">
        <is>
          <t>1990-04-25</t>
        </is>
      </c>
      <c r="X1296" t="inlineStr">
        <is>
          <t>1990-04-25</t>
        </is>
      </c>
      <c r="Y1296" t="n">
        <v>890</v>
      </c>
      <c r="Z1296" t="n">
        <v>818</v>
      </c>
      <c r="AA1296" t="n">
        <v>1313</v>
      </c>
      <c r="AB1296" t="n">
        <v>5</v>
      </c>
      <c r="AC1296" t="n">
        <v>9</v>
      </c>
      <c r="AD1296" t="n">
        <v>37</v>
      </c>
      <c r="AE1296" t="n">
        <v>54</v>
      </c>
      <c r="AF1296" t="n">
        <v>14</v>
      </c>
      <c r="AG1296" t="n">
        <v>24</v>
      </c>
      <c r="AH1296" t="n">
        <v>8</v>
      </c>
      <c r="AI1296" t="n">
        <v>9</v>
      </c>
      <c r="AJ1296" t="n">
        <v>23</v>
      </c>
      <c r="AK1296" t="n">
        <v>27</v>
      </c>
      <c r="AL1296" t="n">
        <v>3</v>
      </c>
      <c r="AM1296" t="n">
        <v>7</v>
      </c>
      <c r="AN1296" t="n">
        <v>0</v>
      </c>
      <c r="AO1296" t="n">
        <v>0</v>
      </c>
      <c r="AP1296" t="inlineStr">
        <is>
          <t>No</t>
        </is>
      </c>
      <c r="AQ1296" t="inlineStr">
        <is>
          <t>Yes</t>
        </is>
      </c>
      <c r="AR1296">
        <f>HYPERLINK("http://catalog.hathitrust.org/Record/000976851","HathiTrust Record")</f>
        <v/>
      </c>
      <c r="AS1296">
        <f>HYPERLINK("https://creighton-primo.hosted.exlibrisgroup.com/primo-explore/search?tab=default_tab&amp;search_scope=EVERYTHING&amp;vid=01CRU&amp;lang=en_US&amp;offset=0&amp;query=any,contains,991001212819702656","Catalog Record")</f>
        <v/>
      </c>
      <c r="AT1296">
        <f>HYPERLINK("http://www.worldcat.org/oclc/193305","WorldCat Record")</f>
        <v/>
      </c>
      <c r="AU1296" t="inlineStr">
        <is>
          <t>47596536:eng</t>
        </is>
      </c>
      <c r="AV1296" t="inlineStr">
        <is>
          <t>193305</t>
        </is>
      </c>
      <c r="AW1296" t="inlineStr">
        <is>
          <t>991001212819702656</t>
        </is>
      </c>
      <c r="AX1296" t="inlineStr">
        <is>
          <t>991001212819702656</t>
        </is>
      </c>
      <c r="AY1296" t="inlineStr">
        <is>
          <t>2270848060002656</t>
        </is>
      </c>
      <c r="AZ1296" t="inlineStr">
        <is>
          <t>BOOK</t>
        </is>
      </c>
      <c r="BC1296" t="inlineStr">
        <is>
          <t>32285000119015</t>
        </is>
      </c>
      <c r="BD1296" t="inlineStr">
        <is>
          <t>893534477</t>
        </is>
      </c>
    </row>
    <row r="1297">
      <c r="A1297" t="inlineStr">
        <is>
          <t>No</t>
        </is>
      </c>
      <c r="B1297" t="inlineStr">
        <is>
          <t>HQ21 .S36 1994</t>
        </is>
      </c>
      <c r="C1297" t="inlineStr">
        <is>
          <t>0                      HQ 0021000S  36          1994</t>
        </is>
      </c>
      <c r="D1297" t="inlineStr">
        <is>
          <t>Straight sex : rethinking the politics of pleasure / Lynne Segal.</t>
        </is>
      </c>
      <c r="F1297" t="inlineStr">
        <is>
          <t>No</t>
        </is>
      </c>
      <c r="G1297" t="inlineStr">
        <is>
          <t>1</t>
        </is>
      </c>
      <c r="H1297" t="inlineStr">
        <is>
          <t>No</t>
        </is>
      </c>
      <c r="I1297" t="inlineStr">
        <is>
          <t>No</t>
        </is>
      </c>
      <c r="J1297" t="inlineStr">
        <is>
          <t>0</t>
        </is>
      </c>
      <c r="K1297" t="inlineStr">
        <is>
          <t>Segal, Lynne.</t>
        </is>
      </c>
      <c r="L1297" t="inlineStr">
        <is>
          <t>Berkeley : University of California Press, c1994.</t>
        </is>
      </c>
      <c r="M1297" t="inlineStr">
        <is>
          <t>1994</t>
        </is>
      </c>
      <c r="O1297" t="inlineStr">
        <is>
          <t>eng</t>
        </is>
      </c>
      <c r="P1297" t="inlineStr">
        <is>
          <t>cau</t>
        </is>
      </c>
      <c r="R1297" t="inlineStr">
        <is>
          <t xml:space="preserve">HQ </t>
        </is>
      </c>
      <c r="S1297" t="n">
        <v>8</v>
      </c>
      <c r="T1297" t="n">
        <v>8</v>
      </c>
      <c r="U1297" t="inlineStr">
        <is>
          <t>1996-04-25</t>
        </is>
      </c>
      <c r="V1297" t="inlineStr">
        <is>
          <t>1996-04-25</t>
        </is>
      </c>
      <c r="W1297" t="inlineStr">
        <is>
          <t>1996-03-21</t>
        </is>
      </c>
      <c r="X1297" t="inlineStr">
        <is>
          <t>1996-03-21</t>
        </is>
      </c>
      <c r="Y1297" t="n">
        <v>363</v>
      </c>
      <c r="Z1297" t="n">
        <v>306</v>
      </c>
      <c r="AA1297" t="n">
        <v>354</v>
      </c>
      <c r="AB1297" t="n">
        <v>2</v>
      </c>
      <c r="AC1297" t="n">
        <v>2</v>
      </c>
      <c r="AD1297" t="n">
        <v>14</v>
      </c>
      <c r="AE1297" t="n">
        <v>14</v>
      </c>
      <c r="AF1297" t="n">
        <v>4</v>
      </c>
      <c r="AG1297" t="n">
        <v>4</v>
      </c>
      <c r="AH1297" t="n">
        <v>5</v>
      </c>
      <c r="AI1297" t="n">
        <v>5</v>
      </c>
      <c r="AJ1297" t="n">
        <v>8</v>
      </c>
      <c r="AK1297" t="n">
        <v>8</v>
      </c>
      <c r="AL1297" t="n">
        <v>1</v>
      </c>
      <c r="AM1297" t="n">
        <v>1</v>
      </c>
      <c r="AN1297" t="n">
        <v>0</v>
      </c>
      <c r="AO1297" t="n">
        <v>0</v>
      </c>
      <c r="AP1297" t="inlineStr">
        <is>
          <t>No</t>
        </is>
      </c>
      <c r="AQ1297" t="inlineStr">
        <is>
          <t>No</t>
        </is>
      </c>
      <c r="AS1297">
        <f>HYPERLINK("https://creighton-primo.hosted.exlibrisgroup.com/primo-explore/search?tab=default_tab&amp;search_scope=EVERYTHING&amp;vid=01CRU&amp;lang=en_US&amp;offset=0&amp;query=any,contains,991002340969702656","Catalog Record")</f>
        <v/>
      </c>
      <c r="AT1297">
        <f>HYPERLINK("http://www.worldcat.org/oclc/30474939","WorldCat Record")</f>
        <v/>
      </c>
      <c r="AU1297" t="inlineStr">
        <is>
          <t>2300712342:eng</t>
        </is>
      </c>
      <c r="AV1297" t="inlineStr">
        <is>
          <t>30474939</t>
        </is>
      </c>
      <c r="AW1297" t="inlineStr">
        <is>
          <t>991002340969702656</t>
        </is>
      </c>
      <c r="AX1297" t="inlineStr">
        <is>
          <t>991002340969702656</t>
        </is>
      </c>
      <c r="AY1297" t="inlineStr">
        <is>
          <t>2264102410002656</t>
        </is>
      </c>
      <c r="AZ1297" t="inlineStr">
        <is>
          <t>BOOK</t>
        </is>
      </c>
      <c r="BB1297" t="inlineStr">
        <is>
          <t>9780520200005</t>
        </is>
      </c>
      <c r="BC1297" t="inlineStr">
        <is>
          <t>32285002146024</t>
        </is>
      </c>
      <c r="BD1297" t="inlineStr">
        <is>
          <t>893497999</t>
        </is>
      </c>
    </row>
    <row r="1298">
      <c r="A1298" t="inlineStr">
        <is>
          <t>No</t>
        </is>
      </c>
      <c r="B1298" t="inlineStr">
        <is>
          <t>HQ21 .S45 1996</t>
        </is>
      </c>
      <c r="C1298" t="inlineStr">
        <is>
          <t>0                      HQ 0021000S  45          1996</t>
        </is>
      </c>
      <c r="D1298" t="inlineStr">
        <is>
          <t>Agenda sexológica / Isbelia M. Segnini.</t>
        </is>
      </c>
      <c r="F1298" t="inlineStr">
        <is>
          <t>No</t>
        </is>
      </c>
      <c r="G1298" t="inlineStr">
        <is>
          <t>1</t>
        </is>
      </c>
      <c r="H1298" t="inlineStr">
        <is>
          <t>No</t>
        </is>
      </c>
      <c r="I1298" t="inlineStr">
        <is>
          <t>No</t>
        </is>
      </c>
      <c r="J1298" t="inlineStr">
        <is>
          <t>0</t>
        </is>
      </c>
      <c r="K1298" t="inlineStr">
        <is>
          <t>Segnini, Isbelia M.</t>
        </is>
      </c>
      <c r="L1298" t="inlineStr">
        <is>
          <t>Caracas : Alfadil, 1996.</t>
        </is>
      </c>
      <c r="M1298" t="inlineStr">
        <is>
          <t>1996</t>
        </is>
      </c>
      <c r="O1298" t="inlineStr">
        <is>
          <t>spa</t>
        </is>
      </c>
      <c r="P1298" t="inlineStr">
        <is>
          <t xml:space="preserve">ve </t>
        </is>
      </c>
      <c r="Q1298" t="inlineStr">
        <is>
          <t>Ameritextos ; 13</t>
        </is>
      </c>
      <c r="R1298" t="inlineStr">
        <is>
          <t xml:space="preserve">HQ </t>
        </is>
      </c>
      <c r="S1298" t="n">
        <v>2</v>
      </c>
      <c r="T1298" t="n">
        <v>2</v>
      </c>
      <c r="U1298" t="inlineStr">
        <is>
          <t>2006-05-03</t>
        </is>
      </c>
      <c r="V1298" t="inlineStr">
        <is>
          <t>2006-05-03</t>
        </is>
      </c>
      <c r="W1298" t="inlineStr">
        <is>
          <t>2002-11-04</t>
        </is>
      </c>
      <c r="X1298" t="inlineStr">
        <is>
          <t>2002-11-04</t>
        </is>
      </c>
      <c r="Y1298" t="n">
        <v>3</v>
      </c>
      <c r="Z1298" t="n">
        <v>1</v>
      </c>
      <c r="AA1298" t="n">
        <v>1</v>
      </c>
      <c r="AB1298" t="n">
        <v>1</v>
      </c>
      <c r="AC1298" t="n">
        <v>1</v>
      </c>
      <c r="AD1298" t="n">
        <v>0</v>
      </c>
      <c r="AE1298" t="n">
        <v>0</v>
      </c>
      <c r="AF1298" t="n">
        <v>0</v>
      </c>
      <c r="AG1298" t="n">
        <v>0</v>
      </c>
      <c r="AH1298" t="n">
        <v>0</v>
      </c>
      <c r="AI1298" t="n">
        <v>0</v>
      </c>
      <c r="AJ1298" t="n">
        <v>0</v>
      </c>
      <c r="AK1298" t="n">
        <v>0</v>
      </c>
      <c r="AL1298" t="n">
        <v>0</v>
      </c>
      <c r="AM1298" t="n">
        <v>0</v>
      </c>
      <c r="AN1298" t="n">
        <v>0</v>
      </c>
      <c r="AO1298" t="n">
        <v>0</v>
      </c>
      <c r="AP1298" t="inlineStr">
        <is>
          <t>No</t>
        </is>
      </c>
      <c r="AQ1298" t="inlineStr">
        <is>
          <t>No</t>
        </is>
      </c>
      <c r="AS1298">
        <f>HYPERLINK("https://creighton-primo.hosted.exlibrisgroup.com/primo-explore/search?tab=default_tab&amp;search_scope=EVERYTHING&amp;vid=01CRU&amp;lang=en_US&amp;offset=0&amp;query=any,contains,991003932959702656","Catalog Record")</f>
        <v/>
      </c>
      <c r="AT1298">
        <f>HYPERLINK("http://www.worldcat.org/oclc/38529271","WorldCat Record")</f>
        <v/>
      </c>
      <c r="AU1298" t="inlineStr">
        <is>
          <t>42135431:spa</t>
        </is>
      </c>
      <c r="AV1298" t="inlineStr">
        <is>
          <t>38529271</t>
        </is>
      </c>
      <c r="AW1298" t="inlineStr">
        <is>
          <t>991003932959702656</t>
        </is>
      </c>
      <c r="AX1298" t="inlineStr">
        <is>
          <t>991003932959702656</t>
        </is>
      </c>
      <c r="AY1298" t="inlineStr">
        <is>
          <t>2265293310002656</t>
        </is>
      </c>
      <c r="AZ1298" t="inlineStr">
        <is>
          <t>BOOK</t>
        </is>
      </c>
      <c r="BB1298" t="inlineStr">
        <is>
          <t>9789803540210</t>
        </is>
      </c>
      <c r="BC1298" t="inlineStr">
        <is>
          <t>32285004659883</t>
        </is>
      </c>
      <c r="BD1298" t="inlineStr">
        <is>
          <t>893810267</t>
        </is>
      </c>
    </row>
    <row r="1299">
      <c r="A1299" t="inlineStr">
        <is>
          <t>No</t>
        </is>
      </c>
      <c r="B1299" t="inlineStr">
        <is>
          <t>HQ21 .S4738 2007</t>
        </is>
      </c>
      <c r="C1299" t="inlineStr">
        <is>
          <t>0                      HQ 0021000S  4738        2007</t>
        </is>
      </c>
      <c r="D1299" t="inlineStr">
        <is>
          <t>The sexual self : the construction of sexual scripts / Michael Kimmel, editor.</t>
        </is>
      </c>
      <c r="F1299" t="inlineStr">
        <is>
          <t>No</t>
        </is>
      </c>
      <c r="G1299" t="inlineStr">
        <is>
          <t>1</t>
        </is>
      </c>
      <c r="H1299" t="inlineStr">
        <is>
          <t>No</t>
        </is>
      </c>
      <c r="I1299" t="inlineStr">
        <is>
          <t>No</t>
        </is>
      </c>
      <c r="J1299" t="inlineStr">
        <is>
          <t>0</t>
        </is>
      </c>
      <c r="L1299" t="inlineStr">
        <is>
          <t>Nashville, TN : Vanderbilt University Press, 2007.</t>
        </is>
      </c>
      <c r="M1299" t="inlineStr">
        <is>
          <t>2007</t>
        </is>
      </c>
      <c r="N1299" t="inlineStr">
        <is>
          <t>1st ed.</t>
        </is>
      </c>
      <c r="O1299" t="inlineStr">
        <is>
          <t>eng</t>
        </is>
      </c>
      <c r="P1299" t="inlineStr">
        <is>
          <t>tnu</t>
        </is>
      </c>
      <c r="R1299" t="inlineStr">
        <is>
          <t xml:space="preserve">HQ </t>
        </is>
      </c>
      <c r="S1299" t="n">
        <v>3</v>
      </c>
      <c r="T1299" t="n">
        <v>3</v>
      </c>
      <c r="U1299" t="inlineStr">
        <is>
          <t>2009-04-23</t>
        </is>
      </c>
      <c r="V1299" t="inlineStr">
        <is>
          <t>2009-04-23</t>
        </is>
      </c>
      <c r="W1299" t="inlineStr">
        <is>
          <t>2008-09-18</t>
        </is>
      </c>
      <c r="X1299" t="inlineStr">
        <is>
          <t>2008-09-18</t>
        </is>
      </c>
      <c r="Y1299" t="n">
        <v>335</v>
      </c>
      <c r="Z1299" t="n">
        <v>268</v>
      </c>
      <c r="AA1299" t="n">
        <v>315</v>
      </c>
      <c r="AB1299" t="n">
        <v>4</v>
      </c>
      <c r="AC1299" t="n">
        <v>4</v>
      </c>
      <c r="AD1299" t="n">
        <v>19</v>
      </c>
      <c r="AE1299" t="n">
        <v>23</v>
      </c>
      <c r="AF1299" t="n">
        <v>6</v>
      </c>
      <c r="AG1299" t="n">
        <v>9</v>
      </c>
      <c r="AH1299" t="n">
        <v>5</v>
      </c>
      <c r="AI1299" t="n">
        <v>6</v>
      </c>
      <c r="AJ1299" t="n">
        <v>9</v>
      </c>
      <c r="AK1299" t="n">
        <v>10</v>
      </c>
      <c r="AL1299" t="n">
        <v>3</v>
      </c>
      <c r="AM1299" t="n">
        <v>3</v>
      </c>
      <c r="AN1299" t="n">
        <v>0</v>
      </c>
      <c r="AO1299" t="n">
        <v>0</v>
      </c>
      <c r="AP1299" t="inlineStr">
        <is>
          <t>No</t>
        </is>
      </c>
      <c r="AQ1299" t="inlineStr">
        <is>
          <t>No</t>
        </is>
      </c>
      <c r="AS1299">
        <f>HYPERLINK("https://creighton-primo.hosted.exlibrisgroup.com/primo-explore/search?tab=default_tab&amp;search_scope=EVERYTHING&amp;vid=01CRU&amp;lang=en_US&amp;offset=0&amp;query=any,contains,991005263259702656","Catalog Record")</f>
        <v/>
      </c>
      <c r="AT1299">
        <f>HYPERLINK("http://www.worldcat.org/oclc/76820774","WorldCat Record")</f>
        <v/>
      </c>
      <c r="AU1299" t="inlineStr">
        <is>
          <t>62592285:eng</t>
        </is>
      </c>
      <c r="AV1299" t="inlineStr">
        <is>
          <t>76820774</t>
        </is>
      </c>
      <c r="AW1299" t="inlineStr">
        <is>
          <t>991005263259702656</t>
        </is>
      </c>
      <c r="AX1299" t="inlineStr">
        <is>
          <t>991005263259702656</t>
        </is>
      </c>
      <c r="AY1299" t="inlineStr">
        <is>
          <t>2269204070002656</t>
        </is>
      </c>
      <c r="AZ1299" t="inlineStr">
        <is>
          <t>BOOK</t>
        </is>
      </c>
      <c r="BB1299" t="inlineStr">
        <is>
          <t>9780826515582</t>
        </is>
      </c>
      <c r="BC1299" t="inlineStr">
        <is>
          <t>32285005458731</t>
        </is>
      </c>
      <c r="BD1299" t="inlineStr">
        <is>
          <t>893802024</t>
        </is>
      </c>
    </row>
    <row r="1300">
      <c r="A1300" t="inlineStr">
        <is>
          <t>No</t>
        </is>
      </c>
      <c r="B1300" t="inlineStr">
        <is>
          <t>HQ21 .S47512 2007</t>
        </is>
      </c>
      <c r="C1300" t="inlineStr">
        <is>
          <t>0                      HQ 0021000S  47512       2007</t>
        </is>
      </c>
      <c r="D1300" t="inlineStr">
        <is>
          <t>Sexualities &amp; communication in everyday life : a reader / editors, Karen E. Lovaas, Mercilee M. Jenkins.</t>
        </is>
      </c>
      <c r="F1300" t="inlineStr">
        <is>
          <t>No</t>
        </is>
      </c>
      <c r="G1300" t="inlineStr">
        <is>
          <t>1</t>
        </is>
      </c>
      <c r="H1300" t="inlineStr">
        <is>
          <t>No</t>
        </is>
      </c>
      <c r="I1300" t="inlineStr">
        <is>
          <t>No</t>
        </is>
      </c>
      <c r="J1300" t="inlineStr">
        <is>
          <t>0</t>
        </is>
      </c>
      <c r="L1300" t="inlineStr">
        <is>
          <t>Thousand Oaks, Calif. : SAGE Publications, c2007.</t>
        </is>
      </c>
      <c r="M1300" t="inlineStr">
        <is>
          <t>2007</t>
        </is>
      </c>
      <c r="O1300" t="inlineStr">
        <is>
          <t>eng</t>
        </is>
      </c>
      <c r="P1300" t="inlineStr">
        <is>
          <t>cau</t>
        </is>
      </c>
      <c r="R1300" t="inlineStr">
        <is>
          <t xml:space="preserve">HQ </t>
        </is>
      </c>
      <c r="S1300" t="n">
        <v>1</v>
      </c>
      <c r="T1300" t="n">
        <v>1</v>
      </c>
      <c r="U1300" t="inlineStr">
        <is>
          <t>2009-03-31</t>
        </is>
      </c>
      <c r="V1300" t="inlineStr">
        <is>
          <t>2009-03-31</t>
        </is>
      </c>
      <c r="W1300" t="inlineStr">
        <is>
          <t>2009-03-31</t>
        </is>
      </c>
      <c r="X1300" t="inlineStr">
        <is>
          <t>2009-03-31</t>
        </is>
      </c>
      <c r="Y1300" t="n">
        <v>226</v>
      </c>
      <c r="Z1300" t="n">
        <v>143</v>
      </c>
      <c r="AA1300" t="n">
        <v>146</v>
      </c>
      <c r="AB1300" t="n">
        <v>2</v>
      </c>
      <c r="AC1300" t="n">
        <v>2</v>
      </c>
      <c r="AD1300" t="n">
        <v>9</v>
      </c>
      <c r="AE1300" t="n">
        <v>9</v>
      </c>
      <c r="AF1300" t="n">
        <v>2</v>
      </c>
      <c r="AG1300" t="n">
        <v>2</v>
      </c>
      <c r="AH1300" t="n">
        <v>2</v>
      </c>
      <c r="AI1300" t="n">
        <v>2</v>
      </c>
      <c r="AJ1300" t="n">
        <v>6</v>
      </c>
      <c r="AK1300" t="n">
        <v>6</v>
      </c>
      <c r="AL1300" t="n">
        <v>1</v>
      </c>
      <c r="AM1300" t="n">
        <v>1</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HYPERLINK("https://creighton-primo.hosted.exlibrisgroup.com/primo-explore/search?tab=default_tab&amp;search_scope=EVERYTHING&amp;vid=01CRU&amp;lang=en_US&amp;offset=0&amp;query=any,contains,991005304879702656","Catalog Record")</f>
        <v/>
      </c>
      <c r="AT1300">
        <f>HYPERLINK("http://www.worldcat.org/oclc/64336177","WorldCat Record")</f>
        <v/>
      </c>
      <c r="AU1300" t="inlineStr">
        <is>
          <t>865016447:eng</t>
        </is>
      </c>
      <c r="AV1300" t="inlineStr">
        <is>
          <t>64336177</t>
        </is>
      </c>
      <c r="AW1300" t="inlineStr">
        <is>
          <t>991005304879702656</t>
        </is>
      </c>
      <c r="AX1300" t="inlineStr">
        <is>
          <t>991005304879702656</t>
        </is>
      </c>
      <c r="AY1300" t="inlineStr">
        <is>
          <t>2255287240002656</t>
        </is>
      </c>
      <c r="AZ1300" t="inlineStr">
        <is>
          <t>BOOK</t>
        </is>
      </c>
      <c r="BB1300" t="inlineStr">
        <is>
          <t>9781412914437</t>
        </is>
      </c>
      <c r="BC1300" t="inlineStr">
        <is>
          <t>32285005512016</t>
        </is>
      </c>
      <c r="BD1300" t="inlineStr">
        <is>
          <t>893536539</t>
        </is>
      </c>
    </row>
    <row r="1301">
      <c r="A1301" t="inlineStr">
        <is>
          <t>No</t>
        </is>
      </c>
      <c r="B1301" t="inlineStr">
        <is>
          <t>HQ21 .S4756 1994</t>
        </is>
      </c>
      <c r="C1301" t="inlineStr">
        <is>
          <t>0                      HQ 0021000S  4756        1994</t>
        </is>
      </c>
      <c r="D1301" t="inlineStr">
        <is>
          <t>Sexuality across the life course / edited by Alice S. Rossi.</t>
        </is>
      </c>
      <c r="F1301" t="inlineStr">
        <is>
          <t>No</t>
        </is>
      </c>
      <c r="G1301" t="inlineStr">
        <is>
          <t>1</t>
        </is>
      </c>
      <c r="H1301" t="inlineStr">
        <is>
          <t>No</t>
        </is>
      </c>
      <c r="I1301" t="inlineStr">
        <is>
          <t>No</t>
        </is>
      </c>
      <c r="J1301" t="inlineStr">
        <is>
          <t>0</t>
        </is>
      </c>
      <c r="L1301" t="inlineStr">
        <is>
          <t>Chicago : University of Chicago Press, c1994.</t>
        </is>
      </c>
      <c r="M1301" t="inlineStr">
        <is>
          <t>1994</t>
        </is>
      </c>
      <c r="O1301" t="inlineStr">
        <is>
          <t>eng</t>
        </is>
      </c>
      <c r="P1301" t="inlineStr">
        <is>
          <t>ilu</t>
        </is>
      </c>
      <c r="Q1301" t="inlineStr">
        <is>
          <t>The John D. and Catherine T. MacArthur Foundation series on mental health and development. Studies on successful midlife development</t>
        </is>
      </c>
      <c r="R1301" t="inlineStr">
        <is>
          <t xml:space="preserve">HQ </t>
        </is>
      </c>
      <c r="S1301" t="n">
        <v>5</v>
      </c>
      <c r="T1301" t="n">
        <v>5</v>
      </c>
      <c r="U1301" t="inlineStr">
        <is>
          <t>1998-10-14</t>
        </is>
      </c>
      <c r="V1301" t="inlineStr">
        <is>
          <t>1998-10-14</t>
        </is>
      </c>
      <c r="W1301" t="inlineStr">
        <is>
          <t>1996-02-08</t>
        </is>
      </c>
      <c r="X1301" t="inlineStr">
        <is>
          <t>1996-02-08</t>
        </is>
      </c>
      <c r="Y1301" t="n">
        <v>526</v>
      </c>
      <c r="Z1301" t="n">
        <v>444</v>
      </c>
      <c r="AA1301" t="n">
        <v>475</v>
      </c>
      <c r="AB1301" t="n">
        <v>4</v>
      </c>
      <c r="AC1301" t="n">
        <v>4</v>
      </c>
      <c r="AD1301" t="n">
        <v>27</v>
      </c>
      <c r="AE1301" t="n">
        <v>28</v>
      </c>
      <c r="AF1301" t="n">
        <v>11</v>
      </c>
      <c r="AG1301" t="n">
        <v>11</v>
      </c>
      <c r="AH1301" t="n">
        <v>5</v>
      </c>
      <c r="AI1301" t="n">
        <v>5</v>
      </c>
      <c r="AJ1301" t="n">
        <v>15</v>
      </c>
      <c r="AK1301" t="n">
        <v>16</v>
      </c>
      <c r="AL1301" t="n">
        <v>3</v>
      </c>
      <c r="AM1301" t="n">
        <v>3</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HYPERLINK("https://creighton-primo.hosted.exlibrisgroup.com/primo-explore/search?tab=default_tab&amp;search_scope=EVERYTHING&amp;vid=01CRU&amp;lang=en_US&amp;offset=0&amp;query=any,contains,991002263189702656","Catalog Record")</f>
        <v/>
      </c>
      <c r="AT1301">
        <f>HYPERLINK("http://www.worldcat.org/oclc/29358615","WorldCat Record")</f>
        <v/>
      </c>
      <c r="AU1301" t="inlineStr">
        <is>
          <t>55771993:eng</t>
        </is>
      </c>
      <c r="AV1301" t="inlineStr">
        <is>
          <t>29358615</t>
        </is>
      </c>
      <c r="AW1301" t="inlineStr">
        <is>
          <t>991002263189702656</t>
        </is>
      </c>
      <c r="AX1301" t="inlineStr">
        <is>
          <t>991002263189702656</t>
        </is>
      </c>
      <c r="AY1301" t="inlineStr">
        <is>
          <t>2268338900002656</t>
        </is>
      </c>
      <c r="AZ1301" t="inlineStr">
        <is>
          <t>BOOK</t>
        </is>
      </c>
      <c r="BB1301" t="inlineStr">
        <is>
          <t>9780226728339</t>
        </is>
      </c>
      <c r="BC1301" t="inlineStr">
        <is>
          <t>32285002128329</t>
        </is>
      </c>
      <c r="BD1301" t="inlineStr">
        <is>
          <t>893622085</t>
        </is>
      </c>
    </row>
    <row r="1302">
      <c r="A1302" t="inlineStr">
        <is>
          <t>No</t>
        </is>
      </c>
      <c r="B1302" t="inlineStr">
        <is>
          <t>HQ21 .S54</t>
        </is>
      </c>
      <c r="C1302" t="inlineStr">
        <is>
          <t>0                      HQ 0021000S  54</t>
        </is>
      </c>
      <c r="D1302" t="inlineStr">
        <is>
          <t>The goals of human sexuality.</t>
        </is>
      </c>
      <c r="F1302" t="inlineStr">
        <is>
          <t>No</t>
        </is>
      </c>
      <c r="G1302" t="inlineStr">
        <is>
          <t>1</t>
        </is>
      </c>
      <c r="H1302" t="inlineStr">
        <is>
          <t>Yes</t>
        </is>
      </c>
      <c r="I1302" t="inlineStr">
        <is>
          <t>No</t>
        </is>
      </c>
      <c r="J1302" t="inlineStr">
        <is>
          <t>0</t>
        </is>
      </c>
      <c r="K1302" t="inlineStr">
        <is>
          <t>Singer, Irving.</t>
        </is>
      </c>
      <c r="L1302" t="inlineStr">
        <is>
          <t>New York, Norton [1973]</t>
        </is>
      </c>
      <c r="M1302" t="inlineStr">
        <is>
          <t>1973</t>
        </is>
      </c>
      <c r="N1302" t="inlineStr">
        <is>
          <t>[1st ed.]</t>
        </is>
      </c>
      <c r="O1302" t="inlineStr">
        <is>
          <t>eng</t>
        </is>
      </c>
      <c r="P1302" t="inlineStr">
        <is>
          <t>nyu</t>
        </is>
      </c>
      <c r="R1302" t="inlineStr">
        <is>
          <t xml:space="preserve">HQ </t>
        </is>
      </c>
      <c r="S1302" t="n">
        <v>2</v>
      </c>
      <c r="T1302" t="n">
        <v>5</v>
      </c>
      <c r="U1302" t="inlineStr">
        <is>
          <t>1998-10-30</t>
        </is>
      </c>
      <c r="V1302" t="inlineStr">
        <is>
          <t>1998-10-30</t>
        </is>
      </c>
      <c r="W1302" t="inlineStr">
        <is>
          <t>1997-08-07</t>
        </is>
      </c>
      <c r="X1302" t="inlineStr">
        <is>
          <t>1997-08-07</t>
        </is>
      </c>
      <c r="Y1302" t="n">
        <v>351</v>
      </c>
      <c r="Z1302" t="n">
        <v>320</v>
      </c>
      <c r="AA1302" t="n">
        <v>353</v>
      </c>
      <c r="AB1302" t="n">
        <v>3</v>
      </c>
      <c r="AC1302" t="n">
        <v>3</v>
      </c>
      <c r="AD1302" t="n">
        <v>9</v>
      </c>
      <c r="AE1302" t="n">
        <v>9</v>
      </c>
      <c r="AF1302" t="n">
        <v>3</v>
      </c>
      <c r="AG1302" t="n">
        <v>3</v>
      </c>
      <c r="AH1302" t="n">
        <v>0</v>
      </c>
      <c r="AI1302" t="n">
        <v>0</v>
      </c>
      <c r="AJ1302" t="n">
        <v>7</v>
      </c>
      <c r="AK1302" t="n">
        <v>7</v>
      </c>
      <c r="AL1302" t="n">
        <v>1</v>
      </c>
      <c r="AM1302" t="n">
        <v>1</v>
      </c>
      <c r="AN1302" t="n">
        <v>0</v>
      </c>
      <c r="AO1302" t="n">
        <v>0</v>
      </c>
      <c r="AP1302" t="inlineStr">
        <is>
          <t>No</t>
        </is>
      </c>
      <c r="AQ1302" t="inlineStr">
        <is>
          <t>Yes</t>
        </is>
      </c>
      <c r="AR1302">
        <f>HYPERLINK("http://catalog.hathitrust.org/Record/001109828","HathiTrust Record")</f>
        <v/>
      </c>
      <c r="AS1302">
        <f>HYPERLINK("https://creighton-primo.hosted.exlibrisgroup.com/primo-explore/search?tab=default_tab&amp;search_scope=EVERYTHING&amp;vid=01CRU&amp;lang=en_US&amp;offset=0&amp;query=any,contains,991001766069702656","Catalog Record")</f>
        <v/>
      </c>
      <c r="AT1302">
        <f>HYPERLINK("http://www.worldcat.org/oclc/379431","WorldCat Record")</f>
        <v/>
      </c>
      <c r="AU1302" t="inlineStr">
        <is>
          <t>1481794:eng</t>
        </is>
      </c>
      <c r="AV1302" t="inlineStr">
        <is>
          <t>379431</t>
        </is>
      </c>
      <c r="AW1302" t="inlineStr">
        <is>
          <t>991001766069702656</t>
        </is>
      </c>
      <c r="AX1302" t="inlineStr">
        <is>
          <t>991001766069702656</t>
        </is>
      </c>
      <c r="AY1302" t="inlineStr">
        <is>
          <t>2265084180002656</t>
        </is>
      </c>
      <c r="AZ1302" t="inlineStr">
        <is>
          <t>BOOK</t>
        </is>
      </c>
      <c r="BB1302" t="inlineStr">
        <is>
          <t>9780393010718</t>
        </is>
      </c>
      <c r="BC1302" t="inlineStr">
        <is>
          <t>32285003087854</t>
        </is>
      </c>
      <c r="BD1302" t="inlineStr">
        <is>
          <t>893256498</t>
        </is>
      </c>
    </row>
    <row r="1303">
      <c r="A1303" t="inlineStr">
        <is>
          <t>No</t>
        </is>
      </c>
      <c r="B1303" t="inlineStr">
        <is>
          <t>HQ21 .S78 1983</t>
        </is>
      </c>
      <c r="C1303" t="inlineStr">
        <is>
          <t>0                      HQ 0021000S  78          1983</t>
        </is>
      </c>
      <c r="D1303" t="inlineStr">
        <is>
          <t>The sexual dimension : a guide for the helping professional / Herbert S. Strean.</t>
        </is>
      </c>
      <c r="F1303" t="inlineStr">
        <is>
          <t>No</t>
        </is>
      </c>
      <c r="G1303" t="inlineStr">
        <is>
          <t>1</t>
        </is>
      </c>
      <c r="H1303" t="inlineStr">
        <is>
          <t>No</t>
        </is>
      </c>
      <c r="I1303" t="inlineStr">
        <is>
          <t>No</t>
        </is>
      </c>
      <c r="J1303" t="inlineStr">
        <is>
          <t>0</t>
        </is>
      </c>
      <c r="K1303" t="inlineStr">
        <is>
          <t>Strean, Herbert S.</t>
        </is>
      </c>
      <c r="L1303" t="inlineStr">
        <is>
          <t>New York : Free Press ; London : Collier Macmillan, c1983.</t>
        </is>
      </c>
      <c r="M1303" t="inlineStr">
        <is>
          <t>1983</t>
        </is>
      </c>
      <c r="O1303" t="inlineStr">
        <is>
          <t>eng</t>
        </is>
      </c>
      <c r="P1303" t="inlineStr">
        <is>
          <t>nyu</t>
        </is>
      </c>
      <c r="R1303" t="inlineStr">
        <is>
          <t xml:space="preserve">HQ </t>
        </is>
      </c>
      <c r="S1303" t="n">
        <v>2</v>
      </c>
      <c r="T1303" t="n">
        <v>2</v>
      </c>
      <c r="U1303" t="inlineStr">
        <is>
          <t>2002-04-28</t>
        </is>
      </c>
      <c r="V1303" t="inlineStr">
        <is>
          <t>2002-04-28</t>
        </is>
      </c>
      <c r="W1303" t="inlineStr">
        <is>
          <t>1990-07-24</t>
        </is>
      </c>
      <c r="X1303" t="inlineStr">
        <is>
          <t>1990-07-24</t>
        </is>
      </c>
      <c r="Y1303" t="n">
        <v>303</v>
      </c>
      <c r="Z1303" t="n">
        <v>256</v>
      </c>
      <c r="AA1303" t="n">
        <v>263</v>
      </c>
      <c r="AB1303" t="n">
        <v>3</v>
      </c>
      <c r="AC1303" t="n">
        <v>3</v>
      </c>
      <c r="AD1303" t="n">
        <v>16</v>
      </c>
      <c r="AE1303" t="n">
        <v>16</v>
      </c>
      <c r="AF1303" t="n">
        <v>6</v>
      </c>
      <c r="AG1303" t="n">
        <v>6</v>
      </c>
      <c r="AH1303" t="n">
        <v>4</v>
      </c>
      <c r="AI1303" t="n">
        <v>4</v>
      </c>
      <c r="AJ1303" t="n">
        <v>10</v>
      </c>
      <c r="AK1303" t="n">
        <v>10</v>
      </c>
      <c r="AL1303" t="n">
        <v>2</v>
      </c>
      <c r="AM1303" t="n">
        <v>2</v>
      </c>
      <c r="AN1303" t="n">
        <v>0</v>
      </c>
      <c r="AO1303" t="n">
        <v>0</v>
      </c>
      <c r="AP1303" t="inlineStr">
        <is>
          <t>No</t>
        </is>
      </c>
      <c r="AQ1303" t="inlineStr">
        <is>
          <t>Yes</t>
        </is>
      </c>
      <c r="AR1303">
        <f>HYPERLINK("http://catalog.hathitrust.org/Record/000157423","HathiTrust Record")</f>
        <v/>
      </c>
      <c r="AS1303">
        <f>HYPERLINK("https://creighton-primo.hosted.exlibrisgroup.com/primo-explore/search?tab=default_tab&amp;search_scope=EVERYTHING&amp;vid=01CRU&amp;lang=en_US&amp;offset=0&amp;query=any,contains,991000189859702656","Catalog Record")</f>
        <v/>
      </c>
      <c r="AT1303">
        <f>HYPERLINK("http://www.worldcat.org/oclc/9411935","WorldCat Record")</f>
        <v/>
      </c>
      <c r="AU1303" t="inlineStr">
        <is>
          <t>836720841:eng</t>
        </is>
      </c>
      <c r="AV1303" t="inlineStr">
        <is>
          <t>9411935</t>
        </is>
      </c>
      <c r="AW1303" t="inlineStr">
        <is>
          <t>991000189859702656</t>
        </is>
      </c>
      <c r="AX1303" t="inlineStr">
        <is>
          <t>991000189859702656</t>
        </is>
      </c>
      <c r="AY1303" t="inlineStr">
        <is>
          <t>2261114340002656</t>
        </is>
      </c>
      <c r="AZ1303" t="inlineStr">
        <is>
          <t>BOOK</t>
        </is>
      </c>
      <c r="BB1303" t="inlineStr">
        <is>
          <t>9780029321706</t>
        </is>
      </c>
      <c r="BC1303" t="inlineStr">
        <is>
          <t>32285000248152</t>
        </is>
      </c>
      <c r="BD1303" t="inlineStr">
        <is>
          <t>893333288</t>
        </is>
      </c>
    </row>
    <row r="1304">
      <c r="A1304" t="inlineStr">
        <is>
          <t>No</t>
        </is>
      </c>
      <c r="B1304" t="inlineStr">
        <is>
          <t>HQ21 .T46 1987</t>
        </is>
      </c>
      <c r="C1304" t="inlineStr">
        <is>
          <t>0                      HQ 0021000T  46          1987</t>
        </is>
      </c>
      <c r="D1304" t="inlineStr">
        <is>
          <t>Theories of human sexuality / edited by James H. Geer and William T. O'Donohue.</t>
        </is>
      </c>
      <c r="F1304" t="inlineStr">
        <is>
          <t>No</t>
        </is>
      </c>
      <c r="G1304" t="inlineStr">
        <is>
          <t>1</t>
        </is>
      </c>
      <c r="H1304" t="inlineStr">
        <is>
          <t>No</t>
        </is>
      </c>
      <c r="I1304" t="inlineStr">
        <is>
          <t>No</t>
        </is>
      </c>
      <c r="J1304" t="inlineStr">
        <is>
          <t>0</t>
        </is>
      </c>
      <c r="L1304" t="inlineStr">
        <is>
          <t>New York : Plenum Press, c1987.</t>
        </is>
      </c>
      <c r="M1304" t="inlineStr">
        <is>
          <t>1987</t>
        </is>
      </c>
      <c r="O1304" t="inlineStr">
        <is>
          <t>eng</t>
        </is>
      </c>
      <c r="P1304" t="inlineStr">
        <is>
          <t>nyu</t>
        </is>
      </c>
      <c r="Q1304" t="inlineStr">
        <is>
          <t>Perspectives in sexuality</t>
        </is>
      </c>
      <c r="R1304" t="inlineStr">
        <is>
          <t xml:space="preserve">HQ </t>
        </is>
      </c>
      <c r="S1304" t="n">
        <v>19</v>
      </c>
      <c r="T1304" t="n">
        <v>19</v>
      </c>
      <c r="U1304" t="inlineStr">
        <is>
          <t>2006-11-18</t>
        </is>
      </c>
      <c r="V1304" t="inlineStr">
        <is>
          <t>2006-11-18</t>
        </is>
      </c>
      <c r="W1304" t="inlineStr">
        <is>
          <t>1990-07-24</t>
        </is>
      </c>
      <c r="X1304" t="inlineStr">
        <is>
          <t>1990-07-24</t>
        </is>
      </c>
      <c r="Y1304" t="n">
        <v>424</v>
      </c>
      <c r="Z1304" t="n">
        <v>326</v>
      </c>
      <c r="AA1304" t="n">
        <v>328</v>
      </c>
      <c r="AB1304" t="n">
        <v>4</v>
      </c>
      <c r="AC1304" t="n">
        <v>4</v>
      </c>
      <c r="AD1304" t="n">
        <v>19</v>
      </c>
      <c r="AE1304" t="n">
        <v>19</v>
      </c>
      <c r="AF1304" t="n">
        <v>7</v>
      </c>
      <c r="AG1304" t="n">
        <v>7</v>
      </c>
      <c r="AH1304" t="n">
        <v>5</v>
      </c>
      <c r="AI1304" t="n">
        <v>5</v>
      </c>
      <c r="AJ1304" t="n">
        <v>9</v>
      </c>
      <c r="AK1304" t="n">
        <v>9</v>
      </c>
      <c r="AL1304" t="n">
        <v>3</v>
      </c>
      <c r="AM1304" t="n">
        <v>3</v>
      </c>
      <c r="AN1304" t="n">
        <v>0</v>
      </c>
      <c r="AO1304" t="n">
        <v>0</v>
      </c>
      <c r="AP1304" t="inlineStr">
        <is>
          <t>No</t>
        </is>
      </c>
      <c r="AQ1304" t="inlineStr">
        <is>
          <t>Yes</t>
        </is>
      </c>
      <c r="AR1304">
        <f>HYPERLINK("http://catalog.hathitrust.org/Record/000840181","HathiTrust Record")</f>
        <v/>
      </c>
      <c r="AS1304">
        <f>HYPERLINK("https://creighton-primo.hosted.exlibrisgroup.com/primo-explore/search?tab=default_tab&amp;search_scope=EVERYTHING&amp;vid=01CRU&amp;lang=en_US&amp;offset=0&amp;query=any,contains,991001052229702656","Catalog Record")</f>
        <v/>
      </c>
      <c r="AT1304">
        <f>HYPERLINK("http://www.worldcat.org/oclc/15657981","WorldCat Record")</f>
        <v/>
      </c>
      <c r="AU1304" t="inlineStr">
        <is>
          <t>351841408:eng</t>
        </is>
      </c>
      <c r="AV1304" t="inlineStr">
        <is>
          <t>15657981</t>
        </is>
      </c>
      <c r="AW1304" t="inlineStr">
        <is>
          <t>991001052229702656</t>
        </is>
      </c>
      <c r="AX1304" t="inlineStr">
        <is>
          <t>991001052229702656</t>
        </is>
      </c>
      <c r="AY1304" t="inlineStr">
        <is>
          <t>2264438330002656</t>
        </is>
      </c>
      <c r="AZ1304" t="inlineStr">
        <is>
          <t>BOOK</t>
        </is>
      </c>
      <c r="BB1304" t="inlineStr">
        <is>
          <t>9780306424595</t>
        </is>
      </c>
      <c r="BC1304" t="inlineStr">
        <is>
          <t>32285000248160</t>
        </is>
      </c>
      <c r="BD1304" t="inlineStr">
        <is>
          <t>893413914</t>
        </is>
      </c>
    </row>
    <row r="1305">
      <c r="A1305" t="inlineStr">
        <is>
          <t>No</t>
        </is>
      </c>
      <c r="B1305" t="inlineStr">
        <is>
          <t>HQ21 .T833</t>
        </is>
      </c>
      <c r="C1305" t="inlineStr">
        <is>
          <t>0                      HQ 0021000T  833</t>
        </is>
      </c>
      <c r="D1305" t="inlineStr">
        <is>
          <t>Healthy attitudes towards love and sex [by] C.J. Trimbos. Illustrated by Ted Schaap. Translated by Edward Fitzgerald.</t>
        </is>
      </c>
      <c r="F1305" t="inlineStr">
        <is>
          <t>No</t>
        </is>
      </c>
      <c r="G1305" t="inlineStr">
        <is>
          <t>1</t>
        </is>
      </c>
      <c r="H1305" t="inlineStr">
        <is>
          <t>No</t>
        </is>
      </c>
      <c r="I1305" t="inlineStr">
        <is>
          <t>No</t>
        </is>
      </c>
      <c r="J1305" t="inlineStr">
        <is>
          <t>0</t>
        </is>
      </c>
      <c r="K1305" t="inlineStr">
        <is>
          <t>Trimbos, C.</t>
        </is>
      </c>
      <c r="L1305" t="inlineStr">
        <is>
          <t>New York, P.J. Kenedy [1964]</t>
        </is>
      </c>
      <c r="M1305" t="inlineStr">
        <is>
          <t>1964</t>
        </is>
      </c>
      <c r="O1305" t="inlineStr">
        <is>
          <t>eng</t>
        </is>
      </c>
      <c r="P1305" t="inlineStr">
        <is>
          <t xml:space="preserve">xx </t>
        </is>
      </c>
      <c r="R1305" t="inlineStr">
        <is>
          <t xml:space="preserve">HQ </t>
        </is>
      </c>
      <c r="S1305" t="n">
        <v>1</v>
      </c>
      <c r="T1305" t="n">
        <v>1</v>
      </c>
      <c r="U1305" t="inlineStr">
        <is>
          <t>2000-12-09</t>
        </is>
      </c>
      <c r="V1305" t="inlineStr">
        <is>
          <t>2000-12-09</t>
        </is>
      </c>
      <c r="W1305" t="inlineStr">
        <is>
          <t>1997-08-07</t>
        </is>
      </c>
      <c r="X1305" t="inlineStr">
        <is>
          <t>1997-08-07</t>
        </is>
      </c>
      <c r="Y1305" t="n">
        <v>119</v>
      </c>
      <c r="Z1305" t="n">
        <v>112</v>
      </c>
      <c r="AA1305" t="n">
        <v>112</v>
      </c>
      <c r="AB1305" t="n">
        <v>1</v>
      </c>
      <c r="AC1305" t="n">
        <v>1</v>
      </c>
      <c r="AD1305" t="n">
        <v>15</v>
      </c>
      <c r="AE1305" t="n">
        <v>15</v>
      </c>
      <c r="AF1305" t="n">
        <v>4</v>
      </c>
      <c r="AG1305" t="n">
        <v>4</v>
      </c>
      <c r="AH1305" t="n">
        <v>2</v>
      </c>
      <c r="AI1305" t="n">
        <v>2</v>
      </c>
      <c r="AJ1305" t="n">
        <v>12</v>
      </c>
      <c r="AK1305" t="n">
        <v>12</v>
      </c>
      <c r="AL1305" t="n">
        <v>0</v>
      </c>
      <c r="AM1305" t="n">
        <v>0</v>
      </c>
      <c r="AN1305" t="n">
        <v>0</v>
      </c>
      <c r="AO1305" t="n">
        <v>0</v>
      </c>
      <c r="AP1305" t="inlineStr">
        <is>
          <t>No</t>
        </is>
      </c>
      <c r="AQ1305" t="inlineStr">
        <is>
          <t>No</t>
        </is>
      </c>
      <c r="AS1305">
        <f>HYPERLINK("https://creighton-primo.hosted.exlibrisgroup.com/primo-explore/search?tab=default_tab&amp;search_scope=EVERYTHING&amp;vid=01CRU&amp;lang=en_US&amp;offset=0&amp;query=any,contains,991003687979702656","Catalog Record")</f>
        <v/>
      </c>
      <c r="AT1305">
        <f>HYPERLINK("http://www.worldcat.org/oclc/1317015","WorldCat Record")</f>
        <v/>
      </c>
      <c r="AU1305" t="inlineStr">
        <is>
          <t>2192614:eng</t>
        </is>
      </c>
      <c r="AV1305" t="inlineStr">
        <is>
          <t>1317015</t>
        </is>
      </c>
      <c r="AW1305" t="inlineStr">
        <is>
          <t>991003687979702656</t>
        </is>
      </c>
      <c r="AX1305" t="inlineStr">
        <is>
          <t>991003687979702656</t>
        </is>
      </c>
      <c r="AY1305" t="inlineStr">
        <is>
          <t>2269217360002656</t>
        </is>
      </c>
      <c r="AZ1305" t="inlineStr">
        <is>
          <t>BOOK</t>
        </is>
      </c>
      <c r="BC1305" t="inlineStr">
        <is>
          <t>32285003087862</t>
        </is>
      </c>
      <c r="BD1305" t="inlineStr">
        <is>
          <t>893518761</t>
        </is>
      </c>
    </row>
    <row r="1306">
      <c r="A1306" t="inlineStr">
        <is>
          <t>No</t>
        </is>
      </c>
      <c r="B1306" t="inlineStr">
        <is>
          <t>HQ21 .V416 1965</t>
        </is>
      </c>
      <c r="C1306" t="inlineStr">
        <is>
          <t>0                      HQ 0021000V  416         1965</t>
        </is>
      </c>
      <c r="D1306" t="inlineStr">
        <is>
          <t>Ideal marriage; its physiology and technique. Translated by Atella Browne.</t>
        </is>
      </c>
      <c r="F1306" t="inlineStr">
        <is>
          <t>No</t>
        </is>
      </c>
      <c r="G1306" t="inlineStr">
        <is>
          <t>1</t>
        </is>
      </c>
      <c r="H1306" t="inlineStr">
        <is>
          <t>No</t>
        </is>
      </c>
      <c r="I1306" t="inlineStr">
        <is>
          <t>No</t>
        </is>
      </c>
      <c r="J1306" t="inlineStr">
        <is>
          <t>0</t>
        </is>
      </c>
      <c r="K1306" t="inlineStr">
        <is>
          <t>Velde, Theodoor H. van de (Theodoor Hendrik), 1873-1937.</t>
        </is>
      </c>
      <c r="L1306" t="inlineStr">
        <is>
          <t>New York, Random House [1968, c1965]</t>
        </is>
      </c>
      <c r="M1306" t="inlineStr">
        <is>
          <t>1968</t>
        </is>
      </c>
      <c r="N1306" t="inlineStr">
        <is>
          <t>Rev. ed.</t>
        </is>
      </c>
      <c r="O1306" t="inlineStr">
        <is>
          <t>eng</t>
        </is>
      </c>
      <c r="P1306" t="inlineStr">
        <is>
          <t>nyu</t>
        </is>
      </c>
      <c r="Q1306" t="inlineStr">
        <is>
          <t>Random House lifetime library</t>
        </is>
      </c>
      <c r="R1306" t="inlineStr">
        <is>
          <t xml:space="preserve">HQ </t>
        </is>
      </c>
      <c r="S1306" t="n">
        <v>4</v>
      </c>
      <c r="T1306" t="n">
        <v>4</v>
      </c>
      <c r="U1306" t="inlineStr">
        <is>
          <t>2007-05-09</t>
        </is>
      </c>
      <c r="V1306" t="inlineStr">
        <is>
          <t>2007-05-09</t>
        </is>
      </c>
      <c r="W1306" t="inlineStr">
        <is>
          <t>1997-08-07</t>
        </is>
      </c>
      <c r="X1306" t="inlineStr">
        <is>
          <t>1997-08-07</t>
        </is>
      </c>
      <c r="Y1306" t="n">
        <v>123</v>
      </c>
      <c r="Z1306" t="n">
        <v>118</v>
      </c>
      <c r="AA1306" t="n">
        <v>946</v>
      </c>
      <c r="AB1306" t="n">
        <v>2</v>
      </c>
      <c r="AC1306" t="n">
        <v>11</v>
      </c>
      <c r="AD1306" t="n">
        <v>4</v>
      </c>
      <c r="AE1306" t="n">
        <v>33</v>
      </c>
      <c r="AF1306" t="n">
        <v>1</v>
      </c>
      <c r="AG1306" t="n">
        <v>12</v>
      </c>
      <c r="AH1306" t="n">
        <v>0</v>
      </c>
      <c r="AI1306" t="n">
        <v>4</v>
      </c>
      <c r="AJ1306" t="n">
        <v>2</v>
      </c>
      <c r="AK1306" t="n">
        <v>12</v>
      </c>
      <c r="AL1306" t="n">
        <v>1</v>
      </c>
      <c r="AM1306" t="n">
        <v>8</v>
      </c>
      <c r="AN1306" t="n">
        <v>0</v>
      </c>
      <c r="AO1306" t="n">
        <v>0</v>
      </c>
      <c r="AP1306" t="inlineStr">
        <is>
          <t>No</t>
        </is>
      </c>
      <c r="AQ1306" t="inlineStr">
        <is>
          <t>Yes</t>
        </is>
      </c>
      <c r="AR1306">
        <f>HYPERLINK("http://catalog.hathitrust.org/Record/000965644","HathiTrust Record")</f>
        <v/>
      </c>
      <c r="AS1306">
        <f>HYPERLINK("https://creighton-primo.hosted.exlibrisgroup.com/primo-explore/search?tab=default_tab&amp;search_scope=EVERYTHING&amp;vid=01CRU&amp;lang=en_US&amp;offset=0&amp;query=any,contains,991004632649702656","Catalog Record")</f>
        <v/>
      </c>
      <c r="AT1306">
        <f>HYPERLINK("http://www.worldcat.org/oclc/4383481","WorldCat Record")</f>
        <v/>
      </c>
      <c r="AU1306" t="inlineStr">
        <is>
          <t>10177893885:eng</t>
        </is>
      </c>
      <c r="AV1306" t="inlineStr">
        <is>
          <t>4383481</t>
        </is>
      </c>
      <c r="AW1306" t="inlineStr">
        <is>
          <t>991004632649702656</t>
        </is>
      </c>
      <c r="AX1306" t="inlineStr">
        <is>
          <t>991004632649702656</t>
        </is>
      </c>
      <c r="AY1306" t="inlineStr">
        <is>
          <t>2260398500002656</t>
        </is>
      </c>
      <c r="AZ1306" t="inlineStr">
        <is>
          <t>BOOK</t>
        </is>
      </c>
      <c r="BC1306" t="inlineStr">
        <is>
          <t>32285003087870</t>
        </is>
      </c>
      <c r="BD1306" t="inlineStr">
        <is>
          <t>893869927</t>
        </is>
      </c>
    </row>
    <row r="1307">
      <c r="A1307" t="inlineStr">
        <is>
          <t>No</t>
        </is>
      </c>
      <c r="B1307" t="inlineStr">
        <is>
          <t>HQ21 .W855 1975</t>
        </is>
      </c>
      <c r="C1307" t="inlineStr">
        <is>
          <t>0                      HQ 0021000W  855         1975</t>
        </is>
      </c>
      <c r="D1307" t="inlineStr">
        <is>
          <t>Human sexuality in health and illness / Nancy Fugate Woods ; with a chapter by James S. Woods.</t>
        </is>
      </c>
      <c r="F1307" t="inlineStr">
        <is>
          <t>No</t>
        </is>
      </c>
      <c r="G1307" t="inlineStr">
        <is>
          <t>1</t>
        </is>
      </c>
      <c r="H1307" t="inlineStr">
        <is>
          <t>No</t>
        </is>
      </c>
      <c r="I1307" t="inlineStr">
        <is>
          <t>Yes</t>
        </is>
      </c>
      <c r="J1307" t="inlineStr">
        <is>
          <t>0</t>
        </is>
      </c>
      <c r="K1307" t="inlineStr">
        <is>
          <t>Woods, Nancy Fugate.</t>
        </is>
      </c>
      <c r="L1307" t="inlineStr">
        <is>
          <t>Saint Louis : Mosby, 1975.</t>
        </is>
      </c>
      <c r="M1307" t="inlineStr">
        <is>
          <t>1975</t>
        </is>
      </c>
      <c r="O1307" t="inlineStr">
        <is>
          <t>eng</t>
        </is>
      </c>
      <c r="P1307" t="inlineStr">
        <is>
          <t>mou</t>
        </is>
      </c>
      <c r="R1307" t="inlineStr">
        <is>
          <t xml:space="preserve">HQ </t>
        </is>
      </c>
      <c r="S1307" t="n">
        <v>3</v>
      </c>
      <c r="T1307" t="n">
        <v>3</v>
      </c>
      <c r="U1307" t="inlineStr">
        <is>
          <t>1993-06-30</t>
        </is>
      </c>
      <c r="V1307" t="inlineStr">
        <is>
          <t>1993-06-30</t>
        </is>
      </c>
      <c r="W1307" t="inlineStr">
        <is>
          <t>1992-10-16</t>
        </is>
      </c>
      <c r="X1307" t="inlineStr">
        <is>
          <t>1992-10-16</t>
        </is>
      </c>
      <c r="Y1307" t="n">
        <v>399</v>
      </c>
      <c r="Z1307" t="n">
        <v>346</v>
      </c>
      <c r="AA1307" t="n">
        <v>736</v>
      </c>
      <c r="AB1307" t="n">
        <v>5</v>
      </c>
      <c r="AC1307" t="n">
        <v>10</v>
      </c>
      <c r="AD1307" t="n">
        <v>16</v>
      </c>
      <c r="AE1307" t="n">
        <v>34</v>
      </c>
      <c r="AF1307" t="n">
        <v>4</v>
      </c>
      <c r="AG1307" t="n">
        <v>14</v>
      </c>
      <c r="AH1307" t="n">
        <v>2</v>
      </c>
      <c r="AI1307" t="n">
        <v>6</v>
      </c>
      <c r="AJ1307" t="n">
        <v>7</v>
      </c>
      <c r="AK1307" t="n">
        <v>13</v>
      </c>
      <c r="AL1307" t="n">
        <v>4</v>
      </c>
      <c r="AM1307" t="n">
        <v>7</v>
      </c>
      <c r="AN1307" t="n">
        <v>0</v>
      </c>
      <c r="AO1307" t="n">
        <v>0</v>
      </c>
      <c r="AP1307" t="inlineStr">
        <is>
          <t>No</t>
        </is>
      </c>
      <c r="AQ1307" t="inlineStr">
        <is>
          <t>Yes</t>
        </is>
      </c>
      <c r="AR1307">
        <f>HYPERLINK("http://catalog.hathitrust.org/Record/000027508","HathiTrust Record")</f>
        <v/>
      </c>
      <c r="AS1307">
        <f>HYPERLINK("https://creighton-primo.hosted.exlibrisgroup.com/primo-explore/search?tab=default_tab&amp;search_scope=EVERYTHING&amp;vid=01CRU&amp;lang=en_US&amp;offset=0&amp;query=any,contains,991005254629702656","Catalog Record")</f>
        <v/>
      </c>
      <c r="AT1307">
        <f>HYPERLINK("http://www.worldcat.org/oclc/1085727","WorldCat Record")</f>
        <v/>
      </c>
      <c r="AU1307" t="inlineStr">
        <is>
          <t>2052108:eng</t>
        </is>
      </c>
      <c r="AV1307" t="inlineStr">
        <is>
          <t>1085727</t>
        </is>
      </c>
      <c r="AW1307" t="inlineStr">
        <is>
          <t>991005254629702656</t>
        </is>
      </c>
      <c r="AX1307" t="inlineStr">
        <is>
          <t>991005254629702656</t>
        </is>
      </c>
      <c r="AY1307" t="inlineStr">
        <is>
          <t>2269531840002656</t>
        </is>
      </c>
      <c r="AZ1307" t="inlineStr">
        <is>
          <t>BOOK</t>
        </is>
      </c>
      <c r="BB1307" t="inlineStr">
        <is>
          <t>9780801656200</t>
        </is>
      </c>
      <c r="BC1307" t="inlineStr">
        <is>
          <t>32285001358067</t>
        </is>
      </c>
      <c r="BD1307" t="inlineStr">
        <is>
          <t>893870770</t>
        </is>
      </c>
    </row>
    <row r="1308">
      <c r="A1308" t="inlineStr">
        <is>
          <t>No</t>
        </is>
      </c>
      <c r="B1308" t="inlineStr">
        <is>
          <t>HQ23 .P86 1987</t>
        </is>
      </c>
      <c r="C1308" t="inlineStr">
        <is>
          <t>0                      HQ 0023000P  86          1987</t>
        </is>
      </c>
      <c r="D1308" t="inlineStr">
        <is>
          <t>The Punch book of sex &amp; marriage / compiled by Susan Jeffreys. Foreword by Maureen Lipman.</t>
        </is>
      </c>
      <c r="F1308" t="inlineStr">
        <is>
          <t>No</t>
        </is>
      </c>
      <c r="G1308" t="inlineStr">
        <is>
          <t>1</t>
        </is>
      </c>
      <c r="H1308" t="inlineStr">
        <is>
          <t>No</t>
        </is>
      </c>
      <c r="I1308" t="inlineStr">
        <is>
          <t>No</t>
        </is>
      </c>
      <c r="J1308" t="inlineStr">
        <is>
          <t>0</t>
        </is>
      </c>
      <c r="L1308" t="inlineStr">
        <is>
          <t>London : Grafton, 1987.</t>
        </is>
      </c>
      <c r="M1308" t="inlineStr">
        <is>
          <t>1987</t>
        </is>
      </c>
      <c r="O1308" t="inlineStr">
        <is>
          <t>eng</t>
        </is>
      </c>
      <c r="P1308" t="inlineStr">
        <is>
          <t>enk</t>
        </is>
      </c>
      <c r="R1308" t="inlineStr">
        <is>
          <t xml:space="preserve">HQ </t>
        </is>
      </c>
      <c r="S1308" t="n">
        <v>3</v>
      </c>
      <c r="T1308" t="n">
        <v>3</v>
      </c>
      <c r="U1308" t="inlineStr">
        <is>
          <t>1992-12-02</t>
        </is>
      </c>
      <c r="V1308" t="inlineStr">
        <is>
          <t>1992-12-02</t>
        </is>
      </c>
      <c r="W1308" t="inlineStr">
        <is>
          <t>1992-10-16</t>
        </is>
      </c>
      <c r="X1308" t="inlineStr">
        <is>
          <t>1992-10-16</t>
        </is>
      </c>
      <c r="Y1308" t="n">
        <v>39</v>
      </c>
      <c r="Z1308" t="n">
        <v>4</v>
      </c>
      <c r="AA1308" t="n">
        <v>4</v>
      </c>
      <c r="AB1308" t="n">
        <v>1</v>
      </c>
      <c r="AC1308" t="n">
        <v>1</v>
      </c>
      <c r="AD1308" t="n">
        <v>0</v>
      </c>
      <c r="AE1308" t="n">
        <v>0</v>
      </c>
      <c r="AF1308" t="n">
        <v>0</v>
      </c>
      <c r="AG1308" t="n">
        <v>0</v>
      </c>
      <c r="AH1308" t="n">
        <v>0</v>
      </c>
      <c r="AI1308" t="n">
        <v>0</v>
      </c>
      <c r="AJ1308" t="n">
        <v>0</v>
      </c>
      <c r="AK1308" t="n">
        <v>0</v>
      </c>
      <c r="AL1308" t="n">
        <v>0</v>
      </c>
      <c r="AM1308" t="n">
        <v>0</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HYPERLINK("https://creighton-primo.hosted.exlibrisgroup.com/primo-explore/search?tab=default_tab&amp;search_scope=EVERYTHING&amp;vid=01CRU&amp;lang=en_US&amp;offset=0&amp;query=any,contains,991001077759702656","Catalog Record")</f>
        <v/>
      </c>
      <c r="AT1308">
        <f>HYPERLINK("http://www.worldcat.org/oclc/59781946","WorldCat Record")</f>
        <v/>
      </c>
      <c r="AU1308" t="inlineStr">
        <is>
          <t>20913097:eng</t>
        </is>
      </c>
      <c r="AV1308" t="inlineStr">
        <is>
          <t>59781946</t>
        </is>
      </c>
      <c r="AW1308" t="inlineStr">
        <is>
          <t>991001077759702656</t>
        </is>
      </c>
      <c r="AX1308" t="inlineStr">
        <is>
          <t>991001077759702656</t>
        </is>
      </c>
      <c r="AY1308" t="inlineStr">
        <is>
          <t>2272095790002656</t>
        </is>
      </c>
      <c r="AZ1308" t="inlineStr">
        <is>
          <t>BOOK</t>
        </is>
      </c>
      <c r="BB1308" t="inlineStr">
        <is>
          <t>9780246132383</t>
        </is>
      </c>
      <c r="BC1308" t="inlineStr">
        <is>
          <t>32285001358075</t>
        </is>
      </c>
      <c r="BD1308" t="inlineStr">
        <is>
          <t>893720917</t>
        </is>
      </c>
    </row>
    <row r="1309">
      <c r="A1309" t="inlineStr">
        <is>
          <t>No</t>
        </is>
      </c>
      <c r="B1309" t="inlineStr">
        <is>
          <t>HQ23 .S45 2003</t>
        </is>
      </c>
      <c r="C1309" t="inlineStr">
        <is>
          <t>0                      HQ 0023000S  45          2003</t>
        </is>
      </c>
      <c r="D1309" t="inlineStr">
        <is>
          <t>Sex, time, and power : how women's sexuality shaped human evolution / Leonard Shlain.</t>
        </is>
      </c>
      <c r="F1309" t="inlineStr">
        <is>
          <t>No</t>
        </is>
      </c>
      <c r="G1309" t="inlineStr">
        <is>
          <t>1</t>
        </is>
      </c>
      <c r="H1309" t="inlineStr">
        <is>
          <t>No</t>
        </is>
      </c>
      <c r="I1309" t="inlineStr">
        <is>
          <t>No</t>
        </is>
      </c>
      <c r="J1309" t="inlineStr">
        <is>
          <t>0</t>
        </is>
      </c>
      <c r="K1309" t="inlineStr">
        <is>
          <t>Shlain, Leonard.</t>
        </is>
      </c>
      <c r="L1309" t="inlineStr">
        <is>
          <t>New York : Viking, 2003.</t>
        </is>
      </c>
      <c r="M1309" t="inlineStr">
        <is>
          <t>2003</t>
        </is>
      </c>
      <c r="O1309" t="inlineStr">
        <is>
          <t>eng</t>
        </is>
      </c>
      <c r="P1309" t="inlineStr">
        <is>
          <t>nyu</t>
        </is>
      </c>
      <c r="R1309" t="inlineStr">
        <is>
          <t xml:space="preserve">HQ </t>
        </is>
      </c>
      <c r="S1309" t="n">
        <v>5</v>
      </c>
      <c r="T1309" t="n">
        <v>5</v>
      </c>
      <c r="U1309" t="inlineStr">
        <is>
          <t>2007-02-10</t>
        </is>
      </c>
      <c r="V1309" t="inlineStr">
        <is>
          <t>2007-02-10</t>
        </is>
      </c>
      <c r="W1309" t="inlineStr">
        <is>
          <t>2003-10-02</t>
        </is>
      </c>
      <c r="X1309" t="inlineStr">
        <is>
          <t>2003-10-02</t>
        </is>
      </c>
      <c r="Y1309" t="n">
        <v>927</v>
      </c>
      <c r="Z1309" t="n">
        <v>848</v>
      </c>
      <c r="AA1309" t="n">
        <v>1001</v>
      </c>
      <c r="AB1309" t="n">
        <v>9</v>
      </c>
      <c r="AC1309" t="n">
        <v>10</v>
      </c>
      <c r="AD1309" t="n">
        <v>32</v>
      </c>
      <c r="AE1309" t="n">
        <v>35</v>
      </c>
      <c r="AF1309" t="n">
        <v>13</v>
      </c>
      <c r="AG1309" t="n">
        <v>14</v>
      </c>
      <c r="AH1309" t="n">
        <v>6</v>
      </c>
      <c r="AI1309" t="n">
        <v>7</v>
      </c>
      <c r="AJ1309" t="n">
        <v>15</v>
      </c>
      <c r="AK1309" t="n">
        <v>16</v>
      </c>
      <c r="AL1309" t="n">
        <v>6</v>
      </c>
      <c r="AM1309" t="n">
        <v>7</v>
      </c>
      <c r="AN1309" t="n">
        <v>0</v>
      </c>
      <c r="AO1309" t="n">
        <v>0</v>
      </c>
      <c r="AP1309" t="inlineStr">
        <is>
          <t>No</t>
        </is>
      </c>
      <c r="AQ1309" t="inlineStr">
        <is>
          <t>No</t>
        </is>
      </c>
      <c r="AS1309">
        <f>HYPERLINK("https://creighton-primo.hosted.exlibrisgroup.com/primo-explore/search?tab=default_tab&amp;search_scope=EVERYTHING&amp;vid=01CRU&amp;lang=en_US&amp;offset=0&amp;query=any,contains,991004149969702656","Catalog Record")</f>
        <v/>
      </c>
      <c r="AT1309">
        <f>HYPERLINK("http://www.worldcat.org/oclc/51241979","WorldCat Record")</f>
        <v/>
      </c>
      <c r="AU1309" t="inlineStr">
        <is>
          <t>793997509:eng</t>
        </is>
      </c>
      <c r="AV1309" t="inlineStr">
        <is>
          <t>51241979</t>
        </is>
      </c>
      <c r="AW1309" t="inlineStr">
        <is>
          <t>991004149969702656</t>
        </is>
      </c>
      <c r="AX1309" t="inlineStr">
        <is>
          <t>991004149969702656</t>
        </is>
      </c>
      <c r="AY1309" t="inlineStr">
        <is>
          <t>2265920540002656</t>
        </is>
      </c>
      <c r="AZ1309" t="inlineStr">
        <is>
          <t>BOOK</t>
        </is>
      </c>
      <c r="BB1309" t="inlineStr">
        <is>
          <t>9780670032334</t>
        </is>
      </c>
      <c r="BC1309" t="inlineStr">
        <is>
          <t>32285004792858</t>
        </is>
      </c>
      <c r="BD1309" t="inlineStr">
        <is>
          <t>893806727</t>
        </is>
      </c>
    </row>
    <row r="1310">
      <c r="A1310" t="inlineStr">
        <is>
          <t>No</t>
        </is>
      </c>
      <c r="B1310" t="inlineStr">
        <is>
          <t>HQ23 .S457 2010</t>
        </is>
      </c>
      <c r="C1310" t="inlineStr">
        <is>
          <t>0                      HQ 0023000S  457         2010</t>
        </is>
      </c>
      <c r="D1310" t="inlineStr">
        <is>
          <t>Queer questions, clear answers : the contemporary debates on sexual orientation / Thomas S. Serwatka.</t>
        </is>
      </c>
      <c r="F1310" t="inlineStr">
        <is>
          <t>No</t>
        </is>
      </c>
      <c r="G1310" t="inlineStr">
        <is>
          <t>1</t>
        </is>
      </c>
      <c r="H1310" t="inlineStr">
        <is>
          <t>No</t>
        </is>
      </c>
      <c r="I1310" t="inlineStr">
        <is>
          <t>No</t>
        </is>
      </c>
      <c r="J1310" t="inlineStr">
        <is>
          <t>0</t>
        </is>
      </c>
      <c r="K1310" t="inlineStr">
        <is>
          <t>Serwatka, Thomas S.</t>
        </is>
      </c>
      <c r="L1310" t="inlineStr">
        <is>
          <t>Santa Barbara, Calif. : Praeger, c2010.</t>
        </is>
      </c>
      <c r="M1310" t="inlineStr">
        <is>
          <t>2010</t>
        </is>
      </c>
      <c r="O1310" t="inlineStr">
        <is>
          <t>eng</t>
        </is>
      </c>
      <c r="P1310" t="inlineStr">
        <is>
          <t>cau</t>
        </is>
      </c>
      <c r="R1310" t="inlineStr">
        <is>
          <t xml:space="preserve">HQ </t>
        </is>
      </c>
      <c r="S1310" t="n">
        <v>1</v>
      </c>
      <c r="T1310" t="n">
        <v>1</v>
      </c>
      <c r="U1310" t="inlineStr">
        <is>
          <t>2010-12-06</t>
        </is>
      </c>
      <c r="V1310" t="inlineStr">
        <is>
          <t>2010-12-06</t>
        </is>
      </c>
      <c r="W1310" t="inlineStr">
        <is>
          <t>2010-12-06</t>
        </is>
      </c>
      <c r="X1310" t="inlineStr">
        <is>
          <t>2010-12-06</t>
        </is>
      </c>
      <c r="Y1310" t="n">
        <v>833</v>
      </c>
      <c r="Z1310" t="n">
        <v>760</v>
      </c>
      <c r="AA1310" t="n">
        <v>787</v>
      </c>
      <c r="AB1310" t="n">
        <v>8</v>
      </c>
      <c r="AC1310" t="n">
        <v>8</v>
      </c>
      <c r="AD1310" t="n">
        <v>28</v>
      </c>
      <c r="AE1310" t="n">
        <v>28</v>
      </c>
      <c r="AF1310" t="n">
        <v>11</v>
      </c>
      <c r="AG1310" t="n">
        <v>11</v>
      </c>
      <c r="AH1310" t="n">
        <v>6</v>
      </c>
      <c r="AI1310" t="n">
        <v>6</v>
      </c>
      <c r="AJ1310" t="n">
        <v>12</v>
      </c>
      <c r="AK1310" t="n">
        <v>12</v>
      </c>
      <c r="AL1310" t="n">
        <v>7</v>
      </c>
      <c r="AM1310" t="n">
        <v>7</v>
      </c>
      <c r="AN1310" t="n">
        <v>0</v>
      </c>
      <c r="AO1310" t="n">
        <v>0</v>
      </c>
      <c r="AP1310" t="inlineStr">
        <is>
          <t>No</t>
        </is>
      </c>
      <c r="AQ1310" t="inlineStr">
        <is>
          <t>Yes</t>
        </is>
      </c>
      <c r="AR1310">
        <f>HYPERLINK("http://catalog.hathitrust.org/Record/008461458","HathiTrust Record")</f>
        <v/>
      </c>
      <c r="AS1310">
        <f>HYPERLINK("https://creighton-primo.hosted.exlibrisgroup.com/primo-explore/search?tab=default_tab&amp;search_scope=EVERYTHING&amp;vid=01CRU&amp;lang=en_US&amp;offset=0&amp;query=any,contains,991000214149702656","Catalog Record")</f>
        <v/>
      </c>
      <c r="AT1310">
        <f>HYPERLINK("http://www.worldcat.org/oclc/503073104","WorldCat Record")</f>
        <v/>
      </c>
      <c r="AU1310" t="inlineStr">
        <is>
          <t>792129948:eng</t>
        </is>
      </c>
      <c r="AV1310" t="inlineStr">
        <is>
          <t>503073104</t>
        </is>
      </c>
      <c r="AW1310" t="inlineStr">
        <is>
          <t>991000214149702656</t>
        </is>
      </c>
      <c r="AX1310" t="inlineStr">
        <is>
          <t>991000214149702656</t>
        </is>
      </c>
      <c r="AY1310" t="inlineStr">
        <is>
          <t>2259502480002656</t>
        </is>
      </c>
      <c r="AZ1310" t="inlineStr">
        <is>
          <t>BOOK</t>
        </is>
      </c>
      <c r="BB1310" t="inlineStr">
        <is>
          <t>9780313386121</t>
        </is>
      </c>
      <c r="BC1310" t="inlineStr">
        <is>
          <t>32285005608319</t>
        </is>
      </c>
      <c r="BD1310" t="inlineStr">
        <is>
          <t>893243082</t>
        </is>
      </c>
    </row>
    <row r="1311">
      <c r="A1311" t="inlineStr">
        <is>
          <t>No</t>
        </is>
      </c>
      <c r="B1311" t="inlineStr">
        <is>
          <t>HQ23 .W48 1982</t>
        </is>
      </c>
      <c r="C1311" t="inlineStr">
        <is>
          <t>0                      HQ 0023000W  48          1982</t>
        </is>
      </c>
      <c r="D1311" t="inlineStr">
        <is>
          <t>The Coolidge effect : an evolutionary account of human sexuality / Glenn Wilson.</t>
        </is>
      </c>
      <c r="F1311" t="inlineStr">
        <is>
          <t>No</t>
        </is>
      </c>
      <c r="G1311" t="inlineStr">
        <is>
          <t>1</t>
        </is>
      </c>
      <c r="H1311" t="inlineStr">
        <is>
          <t>No</t>
        </is>
      </c>
      <c r="I1311" t="inlineStr">
        <is>
          <t>No</t>
        </is>
      </c>
      <c r="J1311" t="inlineStr">
        <is>
          <t>0</t>
        </is>
      </c>
      <c r="K1311" t="inlineStr">
        <is>
          <t>Wilson, Glenn D. (Glenn Daniel)</t>
        </is>
      </c>
      <c r="L1311" t="inlineStr">
        <is>
          <t>New York : Morrow, 1982, c1981.</t>
        </is>
      </c>
      <c r="M1311" t="inlineStr">
        <is>
          <t>1982</t>
        </is>
      </c>
      <c r="N1311" t="inlineStr">
        <is>
          <t>1st U.S. ed.</t>
        </is>
      </c>
      <c r="O1311" t="inlineStr">
        <is>
          <t>eng</t>
        </is>
      </c>
      <c r="P1311" t="inlineStr">
        <is>
          <t>nyu</t>
        </is>
      </c>
      <c r="R1311" t="inlineStr">
        <is>
          <t xml:space="preserve">HQ </t>
        </is>
      </c>
      <c r="S1311" t="n">
        <v>5</v>
      </c>
      <c r="T1311" t="n">
        <v>5</v>
      </c>
      <c r="U1311" t="inlineStr">
        <is>
          <t>1998-11-10</t>
        </is>
      </c>
      <c r="V1311" t="inlineStr">
        <is>
          <t>1998-11-10</t>
        </is>
      </c>
      <c r="W1311" t="inlineStr">
        <is>
          <t>1992-10-16</t>
        </is>
      </c>
      <c r="X1311" t="inlineStr">
        <is>
          <t>1992-10-16</t>
        </is>
      </c>
      <c r="Y1311" t="n">
        <v>257</v>
      </c>
      <c r="Z1311" t="n">
        <v>241</v>
      </c>
      <c r="AA1311" t="n">
        <v>247</v>
      </c>
      <c r="AB1311" t="n">
        <v>3</v>
      </c>
      <c r="AC1311" t="n">
        <v>3</v>
      </c>
      <c r="AD1311" t="n">
        <v>2</v>
      </c>
      <c r="AE1311" t="n">
        <v>2</v>
      </c>
      <c r="AF1311" t="n">
        <v>0</v>
      </c>
      <c r="AG1311" t="n">
        <v>0</v>
      </c>
      <c r="AH1311" t="n">
        <v>0</v>
      </c>
      <c r="AI1311" t="n">
        <v>0</v>
      </c>
      <c r="AJ1311" t="n">
        <v>1</v>
      </c>
      <c r="AK1311" t="n">
        <v>1</v>
      </c>
      <c r="AL1311" t="n">
        <v>1</v>
      </c>
      <c r="AM1311" t="n">
        <v>1</v>
      </c>
      <c r="AN1311" t="n">
        <v>0</v>
      </c>
      <c r="AO1311" t="n">
        <v>0</v>
      </c>
      <c r="AP1311" t="inlineStr">
        <is>
          <t>No</t>
        </is>
      </c>
      <c r="AQ1311" t="inlineStr">
        <is>
          <t>Yes</t>
        </is>
      </c>
      <c r="AR1311">
        <f>HYPERLINK("http://catalog.hathitrust.org/Record/101893489","HathiTrust Record")</f>
        <v/>
      </c>
      <c r="AS1311">
        <f>HYPERLINK("https://creighton-primo.hosted.exlibrisgroup.com/primo-explore/search?tab=default_tab&amp;search_scope=EVERYTHING&amp;vid=01CRU&amp;lang=en_US&amp;offset=0&amp;query=any,contains,991005168829702656","Catalog Record")</f>
        <v/>
      </c>
      <c r="AT1311">
        <f>HYPERLINK("http://www.worldcat.org/oclc/7837649","WorldCat Record")</f>
        <v/>
      </c>
      <c r="AU1311" t="inlineStr">
        <is>
          <t>29778368:eng</t>
        </is>
      </c>
      <c r="AV1311" t="inlineStr">
        <is>
          <t>7837649</t>
        </is>
      </c>
      <c r="AW1311" t="inlineStr">
        <is>
          <t>991005168829702656</t>
        </is>
      </c>
      <c r="AX1311" t="inlineStr">
        <is>
          <t>991005168829702656</t>
        </is>
      </c>
      <c r="AY1311" t="inlineStr">
        <is>
          <t>2256939650002656</t>
        </is>
      </c>
      <c r="AZ1311" t="inlineStr">
        <is>
          <t>BOOK</t>
        </is>
      </c>
      <c r="BB1311" t="inlineStr">
        <is>
          <t>9780688010232</t>
        </is>
      </c>
      <c r="BC1311" t="inlineStr">
        <is>
          <t>32285001358083</t>
        </is>
      </c>
      <c r="BD1311" t="inlineStr">
        <is>
          <t>893719904</t>
        </is>
      </c>
    </row>
    <row r="1312">
      <c r="A1312" t="inlineStr">
        <is>
          <t>No</t>
        </is>
      </c>
      <c r="B1312" t="inlineStr">
        <is>
          <t>HQ23 .W48 1983</t>
        </is>
      </c>
      <c r="C1312" t="inlineStr">
        <is>
          <t>0                      HQ 0023000W  48          1983</t>
        </is>
      </c>
      <c r="D1312" t="inlineStr">
        <is>
          <t>Love and instinct : an evolutionary account of human sexuality / Glenn Wilson.</t>
        </is>
      </c>
      <c r="F1312" t="inlineStr">
        <is>
          <t>No</t>
        </is>
      </c>
      <c r="G1312" t="inlineStr">
        <is>
          <t>1</t>
        </is>
      </c>
      <c r="H1312" t="inlineStr">
        <is>
          <t>No</t>
        </is>
      </c>
      <c r="I1312" t="inlineStr">
        <is>
          <t>No</t>
        </is>
      </c>
      <c r="J1312" t="inlineStr">
        <is>
          <t>0</t>
        </is>
      </c>
      <c r="K1312" t="inlineStr">
        <is>
          <t>Wilson, Glenn D. (Glenn Daniel)</t>
        </is>
      </c>
      <c r="L1312" t="inlineStr">
        <is>
          <t>New York : Quill, 1983.</t>
        </is>
      </c>
      <c r="M1312" t="inlineStr">
        <is>
          <t>1983</t>
        </is>
      </c>
      <c r="N1312" t="inlineStr">
        <is>
          <t>1st Quill ed.</t>
        </is>
      </c>
      <c r="O1312" t="inlineStr">
        <is>
          <t>eng</t>
        </is>
      </c>
      <c r="P1312" t="inlineStr">
        <is>
          <t>nyu</t>
        </is>
      </c>
      <c r="R1312" t="inlineStr">
        <is>
          <t xml:space="preserve">HQ </t>
        </is>
      </c>
      <c r="S1312" t="n">
        <v>19</v>
      </c>
      <c r="T1312" t="n">
        <v>19</v>
      </c>
      <c r="U1312" t="inlineStr">
        <is>
          <t>1998-11-10</t>
        </is>
      </c>
      <c r="V1312" t="inlineStr">
        <is>
          <t>1998-11-10</t>
        </is>
      </c>
      <c r="W1312" t="inlineStr">
        <is>
          <t>1990-02-13</t>
        </is>
      </c>
      <c r="X1312" t="inlineStr">
        <is>
          <t>1990-02-13</t>
        </is>
      </c>
      <c r="Y1312" t="n">
        <v>19</v>
      </c>
      <c r="Z1312" t="n">
        <v>18</v>
      </c>
      <c r="AA1312" t="n">
        <v>52</v>
      </c>
      <c r="AB1312" t="n">
        <v>1</v>
      </c>
      <c r="AC1312" t="n">
        <v>1</v>
      </c>
      <c r="AD1312" t="n">
        <v>0</v>
      </c>
      <c r="AE1312" t="n">
        <v>0</v>
      </c>
      <c r="AF1312" t="n">
        <v>0</v>
      </c>
      <c r="AG1312" t="n">
        <v>0</v>
      </c>
      <c r="AH1312" t="n">
        <v>0</v>
      </c>
      <c r="AI1312" t="n">
        <v>0</v>
      </c>
      <c r="AJ1312" t="n">
        <v>0</v>
      </c>
      <c r="AK1312" t="n">
        <v>0</v>
      </c>
      <c r="AL1312" t="n">
        <v>0</v>
      </c>
      <c r="AM1312" t="n">
        <v>0</v>
      </c>
      <c r="AN1312" t="n">
        <v>0</v>
      </c>
      <c r="AO1312" t="n">
        <v>0</v>
      </c>
      <c r="AP1312" t="inlineStr">
        <is>
          <t>No</t>
        </is>
      </c>
      <c r="AQ1312" t="inlineStr">
        <is>
          <t>No</t>
        </is>
      </c>
      <c r="AS1312">
        <f>HYPERLINK("https://creighton-primo.hosted.exlibrisgroup.com/primo-explore/search?tab=default_tab&amp;search_scope=EVERYTHING&amp;vid=01CRU&amp;lang=en_US&amp;offset=0&amp;query=any,contains,991000150329702656","Catalog Record")</f>
        <v/>
      </c>
      <c r="AT1312">
        <f>HYPERLINK("http://www.worldcat.org/oclc/9198013","WorldCat Record")</f>
        <v/>
      </c>
      <c r="AU1312" t="inlineStr">
        <is>
          <t>1150988950:eng</t>
        </is>
      </c>
      <c r="AV1312" t="inlineStr">
        <is>
          <t>9198013</t>
        </is>
      </c>
      <c r="AW1312" t="inlineStr">
        <is>
          <t>991000150329702656</t>
        </is>
      </c>
      <c r="AX1312" t="inlineStr">
        <is>
          <t>991000150329702656</t>
        </is>
      </c>
      <c r="AY1312" t="inlineStr">
        <is>
          <t>2263038160002656</t>
        </is>
      </c>
      <c r="AZ1312" t="inlineStr">
        <is>
          <t>BOOK</t>
        </is>
      </c>
      <c r="BB1312" t="inlineStr">
        <is>
          <t>9780688018993</t>
        </is>
      </c>
      <c r="BC1312" t="inlineStr">
        <is>
          <t>32285000050897</t>
        </is>
      </c>
      <c r="BD1312" t="inlineStr">
        <is>
          <t>893406975</t>
        </is>
      </c>
    </row>
    <row r="1313">
      <c r="A1313" t="inlineStr">
        <is>
          <t>No</t>
        </is>
      </c>
      <c r="B1313" t="inlineStr">
        <is>
          <t>HQ232.A5 Y313 1999</t>
        </is>
      </c>
      <c r="C1313" t="inlineStr">
        <is>
          <t>0                      HQ 0232000A  5                  Y  313         1999</t>
        </is>
      </c>
      <c r="D1313" t="inlineStr">
        <is>
          <t>Sandakan brothel no. 8 : an episode in the history of lower-class Japanese women / Yamazaki Tomoko ; translated by Karen Colligan-Taylor.</t>
        </is>
      </c>
      <c r="F1313" t="inlineStr">
        <is>
          <t>No</t>
        </is>
      </c>
      <c r="G1313" t="inlineStr">
        <is>
          <t>1</t>
        </is>
      </c>
      <c r="H1313" t="inlineStr">
        <is>
          <t>No</t>
        </is>
      </c>
      <c r="I1313" t="inlineStr">
        <is>
          <t>No</t>
        </is>
      </c>
      <c r="J1313" t="inlineStr">
        <is>
          <t>0</t>
        </is>
      </c>
      <c r="K1313" t="inlineStr">
        <is>
          <t>Yamazaki, Tomoko, 1932-2018.</t>
        </is>
      </c>
      <c r="L1313" t="inlineStr">
        <is>
          <t>Armonk, N.Y. : M.E. Sharpe, c1999.</t>
        </is>
      </c>
      <c r="M1313" t="inlineStr">
        <is>
          <t>1999</t>
        </is>
      </c>
      <c r="O1313" t="inlineStr">
        <is>
          <t>eng</t>
        </is>
      </c>
      <c r="P1313" t="inlineStr">
        <is>
          <t>nyu</t>
        </is>
      </c>
      <c r="R1313" t="inlineStr">
        <is>
          <t xml:space="preserve">HQ </t>
        </is>
      </c>
      <c r="S1313" t="n">
        <v>4</v>
      </c>
      <c r="T1313" t="n">
        <v>4</v>
      </c>
      <c r="U1313" t="inlineStr">
        <is>
          <t>2002-10-23</t>
        </is>
      </c>
      <c r="V1313" t="inlineStr">
        <is>
          <t>2002-10-23</t>
        </is>
      </c>
      <c r="W1313" t="inlineStr">
        <is>
          <t>1999-12-07</t>
        </is>
      </c>
      <c r="X1313" t="inlineStr">
        <is>
          <t>1999-12-07</t>
        </is>
      </c>
      <c r="Y1313" t="n">
        <v>421</v>
      </c>
      <c r="Z1313" t="n">
        <v>345</v>
      </c>
      <c r="AA1313" t="n">
        <v>366</v>
      </c>
      <c r="AB1313" t="n">
        <v>3</v>
      </c>
      <c r="AC1313" t="n">
        <v>3</v>
      </c>
      <c r="AD1313" t="n">
        <v>15</v>
      </c>
      <c r="AE1313" t="n">
        <v>15</v>
      </c>
      <c r="AF1313" t="n">
        <v>6</v>
      </c>
      <c r="AG1313" t="n">
        <v>6</v>
      </c>
      <c r="AH1313" t="n">
        <v>5</v>
      </c>
      <c r="AI1313" t="n">
        <v>5</v>
      </c>
      <c r="AJ1313" t="n">
        <v>6</v>
      </c>
      <c r="AK1313" t="n">
        <v>6</v>
      </c>
      <c r="AL1313" t="n">
        <v>2</v>
      </c>
      <c r="AM1313" t="n">
        <v>2</v>
      </c>
      <c r="AN1313" t="n">
        <v>0</v>
      </c>
      <c r="AO1313" t="n">
        <v>0</v>
      </c>
      <c r="AP1313" t="inlineStr">
        <is>
          <t>No</t>
        </is>
      </c>
      <c r="AQ1313" t="inlineStr">
        <is>
          <t>Yes</t>
        </is>
      </c>
      <c r="AR1313">
        <f>HYPERLINK("http://catalog.hathitrust.org/Record/004013770","HathiTrust Record")</f>
        <v/>
      </c>
      <c r="AS1313">
        <f>HYPERLINK("https://creighton-primo.hosted.exlibrisgroup.com/primo-explore/search?tab=default_tab&amp;search_scope=EVERYTHING&amp;vid=01CRU&amp;lang=en_US&amp;offset=0&amp;query=any,contains,991002942469702656","Catalog Record")</f>
        <v/>
      </c>
      <c r="AT1313">
        <f>HYPERLINK("http://www.worldcat.org/oclc/39181539","WorldCat Record")</f>
        <v/>
      </c>
      <c r="AU1313" t="inlineStr">
        <is>
          <t>28531808:eng</t>
        </is>
      </c>
      <c r="AV1313" t="inlineStr">
        <is>
          <t>39181539</t>
        </is>
      </c>
      <c r="AW1313" t="inlineStr">
        <is>
          <t>991002942469702656</t>
        </is>
      </c>
      <c r="AX1313" t="inlineStr">
        <is>
          <t>991002942469702656</t>
        </is>
      </c>
      <c r="AY1313" t="inlineStr">
        <is>
          <t>2272520790002656</t>
        </is>
      </c>
      <c r="AZ1313" t="inlineStr">
        <is>
          <t>BOOK</t>
        </is>
      </c>
      <c r="BB1313" t="inlineStr">
        <is>
          <t>9780765603531</t>
        </is>
      </c>
      <c r="BC1313" t="inlineStr">
        <is>
          <t>32285003628871</t>
        </is>
      </c>
      <c r="BD1313" t="inlineStr">
        <is>
          <t>893227472</t>
        </is>
      </c>
    </row>
    <row r="1314">
      <c r="A1314" t="inlineStr">
        <is>
          <t>No</t>
        </is>
      </c>
      <c r="B1314" t="inlineStr">
        <is>
          <t>HQ27 .A36 1993</t>
        </is>
      </c>
      <c r="C1314" t="inlineStr">
        <is>
          <t>0                      HQ 0027000A  36          1993</t>
        </is>
      </c>
      <c r="D1314" t="inlineStr">
        <is>
          <t>Adolescent sexuality / edited by Thomas P. Gullotta, Gerald R. Adams, Raymond Montemayor.</t>
        </is>
      </c>
      <c r="F1314" t="inlineStr">
        <is>
          <t>No</t>
        </is>
      </c>
      <c r="G1314" t="inlineStr">
        <is>
          <t>1</t>
        </is>
      </c>
      <c r="H1314" t="inlineStr">
        <is>
          <t>No</t>
        </is>
      </c>
      <c r="I1314" t="inlineStr">
        <is>
          <t>No</t>
        </is>
      </c>
      <c r="J1314" t="inlineStr">
        <is>
          <t>0</t>
        </is>
      </c>
      <c r="L1314" t="inlineStr">
        <is>
          <t>Newbury Park, Calif. : Sage Publications, c1993.</t>
        </is>
      </c>
      <c r="M1314" t="inlineStr">
        <is>
          <t>1993</t>
        </is>
      </c>
      <c r="O1314" t="inlineStr">
        <is>
          <t>eng</t>
        </is>
      </c>
      <c r="P1314" t="inlineStr">
        <is>
          <t>cau</t>
        </is>
      </c>
      <c r="Q1314" t="inlineStr">
        <is>
          <t>Advances in adolescent development ; v. 5</t>
        </is>
      </c>
      <c r="R1314" t="inlineStr">
        <is>
          <t xml:space="preserve">HQ </t>
        </is>
      </c>
      <c r="S1314" t="n">
        <v>46</v>
      </c>
      <c r="T1314" t="n">
        <v>46</v>
      </c>
      <c r="U1314" t="inlineStr">
        <is>
          <t>2005-04-19</t>
        </is>
      </c>
      <c r="V1314" t="inlineStr">
        <is>
          <t>2005-04-19</t>
        </is>
      </c>
      <c r="W1314" t="inlineStr">
        <is>
          <t>1993-01-13</t>
        </is>
      </c>
      <c r="X1314" t="inlineStr">
        <is>
          <t>1993-01-13</t>
        </is>
      </c>
      <c r="Y1314" t="n">
        <v>336</v>
      </c>
      <c r="Z1314" t="n">
        <v>252</v>
      </c>
      <c r="AA1314" t="n">
        <v>258</v>
      </c>
      <c r="AB1314" t="n">
        <v>3</v>
      </c>
      <c r="AC1314" t="n">
        <v>3</v>
      </c>
      <c r="AD1314" t="n">
        <v>15</v>
      </c>
      <c r="AE1314" t="n">
        <v>15</v>
      </c>
      <c r="AF1314" t="n">
        <v>5</v>
      </c>
      <c r="AG1314" t="n">
        <v>5</v>
      </c>
      <c r="AH1314" t="n">
        <v>4</v>
      </c>
      <c r="AI1314" t="n">
        <v>4</v>
      </c>
      <c r="AJ1314" t="n">
        <v>10</v>
      </c>
      <c r="AK1314" t="n">
        <v>10</v>
      </c>
      <c r="AL1314" t="n">
        <v>2</v>
      </c>
      <c r="AM1314" t="n">
        <v>2</v>
      </c>
      <c r="AN1314" t="n">
        <v>0</v>
      </c>
      <c r="AO1314" t="n">
        <v>0</v>
      </c>
      <c r="AP1314" t="inlineStr">
        <is>
          <t>No</t>
        </is>
      </c>
      <c r="AQ1314" t="inlineStr">
        <is>
          <t>Yes</t>
        </is>
      </c>
      <c r="AR1314">
        <f>HYPERLINK("http://catalog.hathitrust.org/Record/007110825","HathiTrust Record")</f>
        <v/>
      </c>
      <c r="AS1314">
        <f>HYPERLINK("https://creighton-primo.hosted.exlibrisgroup.com/primo-explore/search?tab=default_tab&amp;search_scope=EVERYTHING&amp;vid=01CRU&amp;lang=en_US&amp;offset=0&amp;query=any,contains,991002097879702656","Catalog Record")</f>
        <v/>
      </c>
      <c r="AT1314">
        <f>HYPERLINK("http://www.worldcat.org/oclc/28510308","WorldCat Record")</f>
        <v/>
      </c>
      <c r="AU1314" t="inlineStr">
        <is>
          <t>352303787:eng</t>
        </is>
      </c>
      <c r="AV1314" t="inlineStr">
        <is>
          <t>28510308</t>
        </is>
      </c>
      <c r="AW1314" t="inlineStr">
        <is>
          <t>991002097879702656</t>
        </is>
      </c>
      <c r="AX1314" t="inlineStr">
        <is>
          <t>991002097879702656</t>
        </is>
      </c>
      <c r="AY1314" t="inlineStr">
        <is>
          <t>2257519400002656</t>
        </is>
      </c>
      <c r="AZ1314" t="inlineStr">
        <is>
          <t>BOOK</t>
        </is>
      </c>
      <c r="BB1314" t="inlineStr">
        <is>
          <t>9780803947726</t>
        </is>
      </c>
      <c r="BC1314" t="inlineStr">
        <is>
          <t>32285001445377</t>
        </is>
      </c>
      <c r="BD1314" t="inlineStr">
        <is>
          <t>893892144</t>
        </is>
      </c>
    </row>
    <row r="1315">
      <c r="A1315" t="inlineStr">
        <is>
          <t>No</t>
        </is>
      </c>
      <c r="B1315" t="inlineStr">
        <is>
          <t>HQ27 .A365 1983</t>
        </is>
      </c>
      <c r="C1315" t="inlineStr">
        <is>
          <t>0                      HQ 0027000A  365         1983</t>
        </is>
      </c>
      <c r="D1315" t="inlineStr">
        <is>
          <t>Adolescents, sex, and contraception / edited by Donn Byrne, William A. Fisher.</t>
        </is>
      </c>
      <c r="F1315" t="inlineStr">
        <is>
          <t>No</t>
        </is>
      </c>
      <c r="G1315" t="inlineStr">
        <is>
          <t>1</t>
        </is>
      </c>
      <c r="H1315" t="inlineStr">
        <is>
          <t>No</t>
        </is>
      </c>
      <c r="I1315" t="inlineStr">
        <is>
          <t>No</t>
        </is>
      </c>
      <c r="J1315" t="inlineStr">
        <is>
          <t>0</t>
        </is>
      </c>
      <c r="L1315" t="inlineStr">
        <is>
          <t>Hillsdale, N.J. : L. Erlbaum Associates, 1983.</t>
        </is>
      </c>
      <c r="M1315" t="inlineStr">
        <is>
          <t>1982</t>
        </is>
      </c>
      <c r="O1315" t="inlineStr">
        <is>
          <t>eng</t>
        </is>
      </c>
      <c r="P1315" t="inlineStr">
        <is>
          <t>nju</t>
        </is>
      </c>
      <c r="R1315" t="inlineStr">
        <is>
          <t xml:space="preserve">HQ </t>
        </is>
      </c>
      <c r="S1315" t="n">
        <v>38</v>
      </c>
      <c r="T1315" t="n">
        <v>38</v>
      </c>
      <c r="U1315" t="inlineStr">
        <is>
          <t>2007-12-03</t>
        </is>
      </c>
      <c r="V1315" t="inlineStr">
        <is>
          <t>2007-12-03</t>
        </is>
      </c>
      <c r="W1315" t="inlineStr">
        <is>
          <t>1990-07-24</t>
        </is>
      </c>
      <c r="X1315" t="inlineStr">
        <is>
          <t>1990-07-24</t>
        </is>
      </c>
      <c r="Y1315" t="n">
        <v>545</v>
      </c>
      <c r="Z1315" t="n">
        <v>462</v>
      </c>
      <c r="AA1315" t="n">
        <v>466</v>
      </c>
      <c r="AB1315" t="n">
        <v>3</v>
      </c>
      <c r="AC1315" t="n">
        <v>3</v>
      </c>
      <c r="AD1315" t="n">
        <v>15</v>
      </c>
      <c r="AE1315" t="n">
        <v>15</v>
      </c>
      <c r="AF1315" t="n">
        <v>8</v>
      </c>
      <c r="AG1315" t="n">
        <v>8</v>
      </c>
      <c r="AH1315" t="n">
        <v>2</v>
      </c>
      <c r="AI1315" t="n">
        <v>2</v>
      </c>
      <c r="AJ1315" t="n">
        <v>8</v>
      </c>
      <c r="AK1315" t="n">
        <v>8</v>
      </c>
      <c r="AL1315" t="n">
        <v>1</v>
      </c>
      <c r="AM1315" t="n">
        <v>1</v>
      </c>
      <c r="AN1315" t="n">
        <v>0</v>
      </c>
      <c r="AO1315" t="n">
        <v>0</v>
      </c>
      <c r="AP1315" t="inlineStr">
        <is>
          <t>No</t>
        </is>
      </c>
      <c r="AQ1315" t="inlineStr">
        <is>
          <t>Yes</t>
        </is>
      </c>
      <c r="AR1315">
        <f>HYPERLINK("http://catalog.hathitrust.org/Record/000107059","HathiTrust Record")</f>
        <v/>
      </c>
      <c r="AS1315">
        <f>HYPERLINK("https://creighton-primo.hosted.exlibrisgroup.com/primo-explore/search?tab=default_tab&amp;search_scope=EVERYTHING&amp;vid=01CRU&amp;lang=en_US&amp;offset=0&amp;query=any,contains,991000086229702656","Catalog Record")</f>
        <v/>
      </c>
      <c r="AT1315">
        <f>HYPERLINK("http://www.worldcat.org/oclc/8865894","WorldCat Record")</f>
        <v/>
      </c>
      <c r="AU1315" t="inlineStr">
        <is>
          <t>431580625:eng</t>
        </is>
      </c>
      <c r="AV1315" t="inlineStr">
        <is>
          <t>8865894</t>
        </is>
      </c>
      <c r="AW1315" t="inlineStr">
        <is>
          <t>991000086229702656</t>
        </is>
      </c>
      <c r="AX1315" t="inlineStr">
        <is>
          <t>991000086229702656</t>
        </is>
      </c>
      <c r="AY1315" t="inlineStr">
        <is>
          <t>2260729770002656</t>
        </is>
      </c>
      <c r="AZ1315" t="inlineStr">
        <is>
          <t>BOOK</t>
        </is>
      </c>
      <c r="BB1315" t="inlineStr">
        <is>
          <t>9780898592177</t>
        </is>
      </c>
      <c r="BC1315" t="inlineStr">
        <is>
          <t>32285000248186</t>
        </is>
      </c>
      <c r="BD1315" t="inlineStr">
        <is>
          <t>893877790</t>
        </is>
      </c>
    </row>
    <row r="1316">
      <c r="A1316" t="inlineStr">
        <is>
          <t>No</t>
        </is>
      </c>
      <c r="B1316" t="inlineStr">
        <is>
          <t>HQ27 .A66</t>
        </is>
      </c>
      <c r="C1316" t="inlineStr">
        <is>
          <t>0                      HQ 0027000A  66</t>
        </is>
      </c>
      <c r="D1316" t="inlineStr">
        <is>
          <t>Adolescent sexuality : a study of attitudes and behavior / Helen F. Antonovsky, with Sophie Kav-venaki ... [et al.].</t>
        </is>
      </c>
      <c r="F1316" t="inlineStr">
        <is>
          <t>No</t>
        </is>
      </c>
      <c r="G1316" t="inlineStr">
        <is>
          <t>1</t>
        </is>
      </c>
      <c r="H1316" t="inlineStr">
        <is>
          <t>No</t>
        </is>
      </c>
      <c r="I1316" t="inlineStr">
        <is>
          <t>No</t>
        </is>
      </c>
      <c r="J1316" t="inlineStr">
        <is>
          <t>0</t>
        </is>
      </c>
      <c r="K1316" t="inlineStr">
        <is>
          <t>Antonovsky, Helen F.</t>
        </is>
      </c>
      <c r="L1316" t="inlineStr">
        <is>
          <t>Lexington, Mass. : Lexington Books, D.C. Heath, c1980.</t>
        </is>
      </c>
      <c r="M1316" t="inlineStr">
        <is>
          <t>1980</t>
        </is>
      </c>
      <c r="O1316" t="inlineStr">
        <is>
          <t>eng</t>
        </is>
      </c>
      <c r="P1316" t="inlineStr">
        <is>
          <t>mau</t>
        </is>
      </c>
      <c r="R1316" t="inlineStr">
        <is>
          <t xml:space="preserve">HQ </t>
        </is>
      </c>
      <c r="S1316" t="n">
        <v>10</v>
      </c>
      <c r="T1316" t="n">
        <v>10</v>
      </c>
      <c r="U1316" t="inlineStr">
        <is>
          <t>1998-04-06</t>
        </is>
      </c>
      <c r="V1316" t="inlineStr">
        <is>
          <t>1998-04-06</t>
        </is>
      </c>
      <c r="W1316" t="inlineStr">
        <is>
          <t>1990-07-24</t>
        </is>
      </c>
      <c r="X1316" t="inlineStr">
        <is>
          <t>1990-07-24</t>
        </is>
      </c>
      <c r="Y1316" t="n">
        <v>317</v>
      </c>
      <c r="Z1316" t="n">
        <v>255</v>
      </c>
      <c r="AA1316" t="n">
        <v>262</v>
      </c>
      <c r="AB1316" t="n">
        <v>2</v>
      </c>
      <c r="AC1316" t="n">
        <v>2</v>
      </c>
      <c r="AD1316" t="n">
        <v>7</v>
      </c>
      <c r="AE1316" t="n">
        <v>7</v>
      </c>
      <c r="AF1316" t="n">
        <v>3</v>
      </c>
      <c r="AG1316" t="n">
        <v>3</v>
      </c>
      <c r="AH1316" t="n">
        <v>3</v>
      </c>
      <c r="AI1316" t="n">
        <v>3</v>
      </c>
      <c r="AJ1316" t="n">
        <v>3</v>
      </c>
      <c r="AK1316" t="n">
        <v>3</v>
      </c>
      <c r="AL1316" t="n">
        <v>1</v>
      </c>
      <c r="AM1316" t="n">
        <v>1</v>
      </c>
      <c r="AN1316" t="n">
        <v>0</v>
      </c>
      <c r="AO1316" t="n">
        <v>0</v>
      </c>
      <c r="AP1316" t="inlineStr">
        <is>
          <t>No</t>
        </is>
      </c>
      <c r="AQ1316" t="inlineStr">
        <is>
          <t>Yes</t>
        </is>
      </c>
      <c r="AR1316">
        <f>HYPERLINK("http://catalog.hathitrust.org/Record/000129273","HathiTrust Record")</f>
        <v/>
      </c>
      <c r="AS1316">
        <f>HYPERLINK("https://creighton-primo.hosted.exlibrisgroup.com/primo-explore/search?tab=default_tab&amp;search_scope=EVERYTHING&amp;vid=01CRU&amp;lang=en_US&amp;offset=0&amp;query=any,contains,991005037319702656","Catalog Record")</f>
        <v/>
      </c>
      <c r="AT1316">
        <f>HYPERLINK("http://www.worldcat.org/oclc/6762576","WorldCat Record")</f>
        <v/>
      </c>
      <c r="AU1316" t="inlineStr">
        <is>
          <t>12001565:eng</t>
        </is>
      </c>
      <c r="AV1316" t="inlineStr">
        <is>
          <t>6762576</t>
        </is>
      </c>
      <c r="AW1316" t="inlineStr">
        <is>
          <t>991005037319702656</t>
        </is>
      </c>
      <c r="AX1316" t="inlineStr">
        <is>
          <t>991005037319702656</t>
        </is>
      </c>
      <c r="AY1316" t="inlineStr">
        <is>
          <t>2262863740002656</t>
        </is>
      </c>
      <c r="AZ1316" t="inlineStr">
        <is>
          <t>BOOK</t>
        </is>
      </c>
      <c r="BB1316" t="inlineStr">
        <is>
          <t>9780669040302</t>
        </is>
      </c>
      <c r="BC1316" t="inlineStr">
        <is>
          <t>32285000248194</t>
        </is>
      </c>
      <c r="BD1316" t="inlineStr">
        <is>
          <t>893248253</t>
        </is>
      </c>
    </row>
    <row r="1317">
      <c r="A1317" t="inlineStr">
        <is>
          <t>No</t>
        </is>
      </c>
      <c r="B1317" t="inlineStr">
        <is>
          <t>HQ27 .B64</t>
        </is>
      </c>
      <c r="C1317" t="inlineStr">
        <is>
          <t>0                      HQ 0027000B  64</t>
        </is>
      </c>
      <c r="D1317" t="inlineStr">
        <is>
          <t>The pregnant adolescent : problems of premature parenthood / Frank G. Bolton, Jr., with the research assistance of S. P. Kane.</t>
        </is>
      </c>
      <c r="F1317" t="inlineStr">
        <is>
          <t>No</t>
        </is>
      </c>
      <c r="G1317" t="inlineStr">
        <is>
          <t>1</t>
        </is>
      </c>
      <c r="H1317" t="inlineStr">
        <is>
          <t>Yes</t>
        </is>
      </c>
      <c r="I1317" t="inlineStr">
        <is>
          <t>No</t>
        </is>
      </c>
      <c r="J1317" t="inlineStr">
        <is>
          <t>0</t>
        </is>
      </c>
      <c r="K1317" t="inlineStr">
        <is>
          <t>Bolton, Frank G.</t>
        </is>
      </c>
      <c r="L1317" t="inlineStr">
        <is>
          <t>Beverly Hills : Sage Publications, c1980.</t>
        </is>
      </c>
      <c r="M1317" t="inlineStr">
        <is>
          <t>1980</t>
        </is>
      </c>
      <c r="O1317" t="inlineStr">
        <is>
          <t>eng</t>
        </is>
      </c>
      <c r="P1317" t="inlineStr">
        <is>
          <t>cau</t>
        </is>
      </c>
      <c r="Q1317" t="inlineStr">
        <is>
          <t>Sage library of social research ; v. 100</t>
        </is>
      </c>
      <c r="R1317" t="inlineStr">
        <is>
          <t xml:space="preserve">HQ </t>
        </is>
      </c>
      <c r="S1317" t="n">
        <v>20</v>
      </c>
      <c r="T1317" t="n">
        <v>24</v>
      </c>
      <c r="U1317" t="inlineStr">
        <is>
          <t>1995-10-24</t>
        </is>
      </c>
      <c r="V1317" t="inlineStr">
        <is>
          <t>1996-11-10</t>
        </is>
      </c>
      <c r="W1317" t="inlineStr">
        <is>
          <t>1995-05-01</t>
        </is>
      </c>
      <c r="X1317" t="inlineStr">
        <is>
          <t>1995-05-01</t>
        </is>
      </c>
      <c r="Y1317" t="n">
        <v>577</v>
      </c>
      <c r="Z1317" t="n">
        <v>484</v>
      </c>
      <c r="AA1317" t="n">
        <v>495</v>
      </c>
      <c r="AB1317" t="n">
        <v>8</v>
      </c>
      <c r="AC1317" t="n">
        <v>8</v>
      </c>
      <c r="AD1317" t="n">
        <v>19</v>
      </c>
      <c r="AE1317" t="n">
        <v>19</v>
      </c>
      <c r="AF1317" t="n">
        <v>6</v>
      </c>
      <c r="AG1317" t="n">
        <v>6</v>
      </c>
      <c r="AH1317" t="n">
        <v>4</v>
      </c>
      <c r="AI1317" t="n">
        <v>4</v>
      </c>
      <c r="AJ1317" t="n">
        <v>9</v>
      </c>
      <c r="AK1317" t="n">
        <v>9</v>
      </c>
      <c r="AL1317" t="n">
        <v>4</v>
      </c>
      <c r="AM1317" t="n">
        <v>4</v>
      </c>
      <c r="AN1317" t="n">
        <v>0</v>
      </c>
      <c r="AO1317" t="n">
        <v>0</v>
      </c>
      <c r="AP1317" t="inlineStr">
        <is>
          <t>No</t>
        </is>
      </c>
      <c r="AQ1317" t="inlineStr">
        <is>
          <t>Yes</t>
        </is>
      </c>
      <c r="AR1317">
        <f>HYPERLINK("http://catalog.hathitrust.org/Record/004398873","HathiTrust Record")</f>
        <v/>
      </c>
      <c r="AS1317">
        <f>HYPERLINK("https://creighton-primo.hosted.exlibrisgroup.com/primo-explore/search?tab=default_tab&amp;search_scope=EVERYTHING&amp;vid=01CRU&amp;lang=en_US&amp;offset=0&amp;query=any,contains,991001772909702656","Catalog Record")</f>
        <v/>
      </c>
      <c r="AT1317">
        <f>HYPERLINK("http://www.worldcat.org/oclc/5892848","WorldCat Record")</f>
        <v/>
      </c>
      <c r="AU1317" t="inlineStr">
        <is>
          <t>138546:eng</t>
        </is>
      </c>
      <c r="AV1317" t="inlineStr">
        <is>
          <t>5892848</t>
        </is>
      </c>
      <c r="AW1317" t="inlineStr">
        <is>
          <t>991001772909702656</t>
        </is>
      </c>
      <c r="AX1317" t="inlineStr">
        <is>
          <t>991001772909702656</t>
        </is>
      </c>
      <c r="AY1317" t="inlineStr">
        <is>
          <t>2264726170002656</t>
        </is>
      </c>
      <c r="AZ1317" t="inlineStr">
        <is>
          <t>BOOK</t>
        </is>
      </c>
      <c r="BB1317" t="inlineStr">
        <is>
          <t>9780803914339</t>
        </is>
      </c>
      <c r="BC1317" t="inlineStr">
        <is>
          <t>32285002020740</t>
        </is>
      </c>
      <c r="BD1317" t="inlineStr">
        <is>
          <t>893590625</t>
        </is>
      </c>
    </row>
    <row r="1318">
      <c r="A1318" t="inlineStr">
        <is>
          <t>No</t>
        </is>
      </c>
      <c r="B1318" t="inlineStr">
        <is>
          <t>HQ27 .C48 1983</t>
        </is>
      </c>
      <c r="C1318" t="inlineStr">
        <is>
          <t>0                      HQ 0027000C  48          1983</t>
        </is>
      </c>
      <c r="D1318" t="inlineStr">
        <is>
          <t>Adolescent sexuality in a changing American society : social and psychological perspectives for the human services professions / Catherine S. Chilman ; with contributions by Margaret Feldman ... [et al.].</t>
        </is>
      </c>
      <c r="F1318" t="inlineStr">
        <is>
          <t>No</t>
        </is>
      </c>
      <c r="G1318" t="inlineStr">
        <is>
          <t>1</t>
        </is>
      </c>
      <c r="H1318" t="inlineStr">
        <is>
          <t>Yes</t>
        </is>
      </c>
      <c r="I1318" t="inlineStr">
        <is>
          <t>No</t>
        </is>
      </c>
      <c r="J1318" t="inlineStr">
        <is>
          <t>0</t>
        </is>
      </c>
      <c r="K1318" t="inlineStr">
        <is>
          <t>Chilman, Catherine S.</t>
        </is>
      </c>
      <c r="L1318" t="inlineStr">
        <is>
          <t>New York : Wiley, c1983.</t>
        </is>
      </c>
      <c r="M1318" t="inlineStr">
        <is>
          <t>1983</t>
        </is>
      </c>
      <c r="N1318" t="inlineStr">
        <is>
          <t>2nd ed.</t>
        </is>
      </c>
      <c r="O1318" t="inlineStr">
        <is>
          <t>eng</t>
        </is>
      </c>
      <c r="P1318" t="inlineStr">
        <is>
          <t>nyu</t>
        </is>
      </c>
      <c r="Q1318" t="inlineStr">
        <is>
          <t>Wiley series on personality processes, 0195-4008</t>
        </is>
      </c>
      <c r="R1318" t="inlineStr">
        <is>
          <t xml:space="preserve">HQ </t>
        </is>
      </c>
      <c r="S1318" t="n">
        <v>25</v>
      </c>
      <c r="T1318" t="n">
        <v>31</v>
      </c>
      <c r="U1318" t="inlineStr">
        <is>
          <t>2007-11-09</t>
        </is>
      </c>
      <c r="V1318" t="inlineStr">
        <is>
          <t>2007-11-09</t>
        </is>
      </c>
      <c r="W1318" t="inlineStr">
        <is>
          <t>1990-03-08</t>
        </is>
      </c>
      <c r="X1318" t="inlineStr">
        <is>
          <t>1990-03-08</t>
        </is>
      </c>
      <c r="Y1318" t="n">
        <v>452</v>
      </c>
      <c r="Z1318" t="n">
        <v>397</v>
      </c>
      <c r="AA1318" t="n">
        <v>405</v>
      </c>
      <c r="AB1318" t="n">
        <v>5</v>
      </c>
      <c r="AC1318" t="n">
        <v>5</v>
      </c>
      <c r="AD1318" t="n">
        <v>20</v>
      </c>
      <c r="AE1318" t="n">
        <v>20</v>
      </c>
      <c r="AF1318" t="n">
        <v>6</v>
      </c>
      <c r="AG1318" t="n">
        <v>6</v>
      </c>
      <c r="AH1318" t="n">
        <v>3</v>
      </c>
      <c r="AI1318" t="n">
        <v>3</v>
      </c>
      <c r="AJ1318" t="n">
        <v>13</v>
      </c>
      <c r="AK1318" t="n">
        <v>13</v>
      </c>
      <c r="AL1318" t="n">
        <v>3</v>
      </c>
      <c r="AM1318" t="n">
        <v>3</v>
      </c>
      <c r="AN1318" t="n">
        <v>0</v>
      </c>
      <c r="AO1318" t="n">
        <v>0</v>
      </c>
      <c r="AP1318" t="inlineStr">
        <is>
          <t>No</t>
        </is>
      </c>
      <c r="AQ1318" t="inlineStr">
        <is>
          <t>Yes</t>
        </is>
      </c>
      <c r="AR1318">
        <f>HYPERLINK("http://catalog.hathitrust.org/Record/000239312","HathiTrust Record")</f>
        <v/>
      </c>
      <c r="AS1318">
        <f>HYPERLINK("https://creighton-primo.hosted.exlibrisgroup.com/primo-explore/search?tab=default_tab&amp;search_scope=EVERYTHING&amp;vid=01CRU&amp;lang=en_US&amp;offset=0&amp;query=any,contains,991001772819702656","Catalog Record")</f>
        <v/>
      </c>
      <c r="AT1318">
        <f>HYPERLINK("http://www.worldcat.org/oclc/8928310","WorldCat Record")</f>
        <v/>
      </c>
      <c r="AU1318" t="inlineStr">
        <is>
          <t>13593140:eng</t>
        </is>
      </c>
      <c r="AV1318" t="inlineStr">
        <is>
          <t>8928310</t>
        </is>
      </c>
      <c r="AW1318" t="inlineStr">
        <is>
          <t>991001772819702656</t>
        </is>
      </c>
      <c r="AX1318" t="inlineStr">
        <is>
          <t>991001772819702656</t>
        </is>
      </c>
      <c r="AY1318" t="inlineStr">
        <is>
          <t>2264306560002656</t>
        </is>
      </c>
      <c r="AZ1318" t="inlineStr">
        <is>
          <t>BOOK</t>
        </is>
      </c>
      <c r="BB1318" t="inlineStr">
        <is>
          <t>9780471091622</t>
        </is>
      </c>
      <c r="BC1318" t="inlineStr">
        <is>
          <t>32285000078682</t>
        </is>
      </c>
      <c r="BD1318" t="inlineStr">
        <is>
          <t>893879159</t>
        </is>
      </c>
    </row>
    <row r="1319">
      <c r="A1319" t="inlineStr">
        <is>
          <t>No</t>
        </is>
      </c>
      <c r="B1319" t="inlineStr">
        <is>
          <t>HQ27 .C65 1985</t>
        </is>
      </c>
      <c r="C1319" t="inlineStr">
        <is>
          <t>0                      HQ 0027000C  65          1985</t>
        </is>
      </c>
      <c r="D1319" t="inlineStr">
        <is>
          <t>Sex and the American teenager / Robert Coles, Geoffrey Stokes.</t>
        </is>
      </c>
      <c r="F1319" t="inlineStr">
        <is>
          <t>No</t>
        </is>
      </c>
      <c r="G1319" t="inlineStr">
        <is>
          <t>1</t>
        </is>
      </c>
      <c r="H1319" t="inlineStr">
        <is>
          <t>No</t>
        </is>
      </c>
      <c r="I1319" t="inlineStr">
        <is>
          <t>No</t>
        </is>
      </c>
      <c r="J1319" t="inlineStr">
        <is>
          <t>0</t>
        </is>
      </c>
      <c r="K1319" t="inlineStr">
        <is>
          <t>Coles, Robert.</t>
        </is>
      </c>
      <c r="L1319" t="inlineStr">
        <is>
          <t>New York : Harper &amp; Row, c1985.</t>
        </is>
      </c>
      <c r="M1319" t="inlineStr">
        <is>
          <t>1985</t>
        </is>
      </c>
      <c r="N1319" t="inlineStr">
        <is>
          <t>1st ed.</t>
        </is>
      </c>
      <c r="O1319" t="inlineStr">
        <is>
          <t>eng</t>
        </is>
      </c>
      <c r="P1319" t="inlineStr">
        <is>
          <t>nyu</t>
        </is>
      </c>
      <c r="R1319" t="inlineStr">
        <is>
          <t xml:space="preserve">HQ </t>
        </is>
      </c>
      <c r="S1319" t="n">
        <v>29</v>
      </c>
      <c r="T1319" t="n">
        <v>29</v>
      </c>
      <c r="U1319" t="inlineStr">
        <is>
          <t>1998-11-21</t>
        </is>
      </c>
      <c r="V1319" t="inlineStr">
        <is>
          <t>1998-11-21</t>
        </is>
      </c>
      <c r="W1319" t="inlineStr">
        <is>
          <t>1990-07-24</t>
        </is>
      </c>
      <c r="X1319" t="inlineStr">
        <is>
          <t>1990-07-24</t>
        </is>
      </c>
      <c r="Y1319" t="n">
        <v>716</v>
      </c>
      <c r="Z1319" t="n">
        <v>671</v>
      </c>
      <c r="AA1319" t="n">
        <v>673</v>
      </c>
      <c r="AB1319" t="n">
        <v>5</v>
      </c>
      <c r="AC1319" t="n">
        <v>5</v>
      </c>
      <c r="AD1319" t="n">
        <v>14</v>
      </c>
      <c r="AE1319" t="n">
        <v>14</v>
      </c>
      <c r="AF1319" t="n">
        <v>6</v>
      </c>
      <c r="AG1319" t="n">
        <v>6</v>
      </c>
      <c r="AH1319" t="n">
        <v>2</v>
      </c>
      <c r="AI1319" t="n">
        <v>2</v>
      </c>
      <c r="AJ1319" t="n">
        <v>8</v>
      </c>
      <c r="AK1319" t="n">
        <v>8</v>
      </c>
      <c r="AL1319" t="n">
        <v>1</v>
      </c>
      <c r="AM1319" t="n">
        <v>1</v>
      </c>
      <c r="AN1319" t="n">
        <v>0</v>
      </c>
      <c r="AO1319" t="n">
        <v>0</v>
      </c>
      <c r="AP1319" t="inlineStr">
        <is>
          <t>No</t>
        </is>
      </c>
      <c r="AQ1319" t="inlineStr">
        <is>
          <t>Yes</t>
        </is>
      </c>
      <c r="AR1319">
        <f>HYPERLINK("http://catalog.hathitrust.org/Record/000369111","HathiTrust Record")</f>
        <v/>
      </c>
      <c r="AS1319">
        <f>HYPERLINK("https://creighton-primo.hosted.exlibrisgroup.com/primo-explore/search?tab=default_tab&amp;search_scope=EVERYTHING&amp;vid=01CRU&amp;lang=en_US&amp;offset=0&amp;query=any,contains,991000506909702656","Catalog Record")</f>
        <v/>
      </c>
      <c r="AT1319">
        <f>HYPERLINK("http://www.worldcat.org/oclc/11211748","WorldCat Record")</f>
        <v/>
      </c>
      <c r="AU1319" t="inlineStr">
        <is>
          <t>3840133:eng</t>
        </is>
      </c>
      <c r="AV1319" t="inlineStr">
        <is>
          <t>11211748</t>
        </is>
      </c>
      <c r="AW1319" t="inlineStr">
        <is>
          <t>991000506909702656</t>
        </is>
      </c>
      <c r="AX1319" t="inlineStr">
        <is>
          <t>991000506909702656</t>
        </is>
      </c>
      <c r="AY1319" t="inlineStr">
        <is>
          <t>2255235930002656</t>
        </is>
      </c>
      <c r="AZ1319" t="inlineStr">
        <is>
          <t>BOOK</t>
        </is>
      </c>
      <c r="BB1319" t="inlineStr">
        <is>
          <t>9780060960025</t>
        </is>
      </c>
      <c r="BC1319" t="inlineStr">
        <is>
          <t>32285000248202</t>
        </is>
      </c>
      <c r="BD1319" t="inlineStr">
        <is>
          <t>893595605</t>
        </is>
      </c>
    </row>
    <row r="1320">
      <c r="A1320" t="inlineStr">
        <is>
          <t>No</t>
        </is>
      </c>
      <c r="B1320" t="inlineStr">
        <is>
          <t>HQ27 .D39</t>
        </is>
      </c>
      <c r="C1320" t="inlineStr">
        <is>
          <t>0                      HQ 0027000D  39</t>
        </is>
      </c>
      <c r="D1320" t="inlineStr">
        <is>
          <t>Premarital sexuality : attitudes, relationships, behavior / John DeLamater, Patricia MacCorquodale.</t>
        </is>
      </c>
      <c r="F1320" t="inlineStr">
        <is>
          <t>No</t>
        </is>
      </c>
      <c r="G1320" t="inlineStr">
        <is>
          <t>1</t>
        </is>
      </c>
      <c r="H1320" t="inlineStr">
        <is>
          <t>No</t>
        </is>
      </c>
      <c r="I1320" t="inlineStr">
        <is>
          <t>No</t>
        </is>
      </c>
      <c r="J1320" t="inlineStr">
        <is>
          <t>0</t>
        </is>
      </c>
      <c r="K1320" t="inlineStr">
        <is>
          <t>DeLamater, John.</t>
        </is>
      </c>
      <c r="L1320" t="inlineStr">
        <is>
          <t>Madison : University of Wisconsin Press, 1979.</t>
        </is>
      </c>
      <c r="M1320" t="inlineStr">
        <is>
          <t>1979</t>
        </is>
      </c>
      <c r="O1320" t="inlineStr">
        <is>
          <t>eng</t>
        </is>
      </c>
      <c r="P1320" t="inlineStr">
        <is>
          <t>wiu</t>
        </is>
      </c>
      <c r="R1320" t="inlineStr">
        <is>
          <t xml:space="preserve">HQ </t>
        </is>
      </c>
      <c r="S1320" t="n">
        <v>31</v>
      </c>
      <c r="T1320" t="n">
        <v>31</v>
      </c>
      <c r="U1320" t="inlineStr">
        <is>
          <t>1998-04-06</t>
        </is>
      </c>
      <c r="V1320" t="inlineStr">
        <is>
          <t>1998-04-06</t>
        </is>
      </c>
      <c r="W1320" t="inlineStr">
        <is>
          <t>1990-04-03</t>
        </is>
      </c>
      <c r="X1320" t="inlineStr">
        <is>
          <t>1990-04-03</t>
        </is>
      </c>
      <c r="Y1320" t="n">
        <v>521</v>
      </c>
      <c r="Z1320" t="n">
        <v>454</v>
      </c>
      <c r="AA1320" t="n">
        <v>461</v>
      </c>
      <c r="AB1320" t="n">
        <v>7</v>
      </c>
      <c r="AC1320" t="n">
        <v>7</v>
      </c>
      <c r="AD1320" t="n">
        <v>21</v>
      </c>
      <c r="AE1320" t="n">
        <v>21</v>
      </c>
      <c r="AF1320" t="n">
        <v>6</v>
      </c>
      <c r="AG1320" t="n">
        <v>6</v>
      </c>
      <c r="AH1320" t="n">
        <v>4</v>
      </c>
      <c r="AI1320" t="n">
        <v>4</v>
      </c>
      <c r="AJ1320" t="n">
        <v>10</v>
      </c>
      <c r="AK1320" t="n">
        <v>10</v>
      </c>
      <c r="AL1320" t="n">
        <v>5</v>
      </c>
      <c r="AM1320" t="n">
        <v>5</v>
      </c>
      <c r="AN1320" t="n">
        <v>0</v>
      </c>
      <c r="AO1320" t="n">
        <v>0</v>
      </c>
      <c r="AP1320" t="inlineStr">
        <is>
          <t>No</t>
        </is>
      </c>
      <c r="AQ1320" t="inlineStr">
        <is>
          <t>Yes</t>
        </is>
      </c>
      <c r="AR1320">
        <f>HYPERLINK("http://catalog.hathitrust.org/Record/000754053","HathiTrust Record")</f>
        <v/>
      </c>
      <c r="AS1320">
        <f>HYPERLINK("https://creighton-primo.hosted.exlibrisgroup.com/primo-explore/search?tab=default_tab&amp;search_scope=EVERYTHING&amp;vid=01CRU&amp;lang=en_US&amp;offset=0&amp;query=any,contains,991004783749702656","Catalog Record")</f>
        <v/>
      </c>
      <c r="AT1320">
        <f>HYPERLINK("http://www.worldcat.org/oclc/5126554","WorldCat Record")</f>
        <v/>
      </c>
      <c r="AU1320" t="inlineStr">
        <is>
          <t>434365:eng</t>
        </is>
      </c>
      <c r="AV1320" t="inlineStr">
        <is>
          <t>5126554</t>
        </is>
      </c>
      <c r="AW1320" t="inlineStr">
        <is>
          <t>991004783749702656</t>
        </is>
      </c>
      <c r="AX1320" t="inlineStr">
        <is>
          <t>991004783749702656</t>
        </is>
      </c>
      <c r="AY1320" t="inlineStr">
        <is>
          <t>2267993190002656</t>
        </is>
      </c>
      <c r="AZ1320" t="inlineStr">
        <is>
          <t>BOOK</t>
        </is>
      </c>
      <c r="BB1320" t="inlineStr">
        <is>
          <t>9780299078409</t>
        </is>
      </c>
      <c r="BC1320" t="inlineStr">
        <is>
          <t>32285000108224</t>
        </is>
      </c>
      <c r="BD1320" t="inlineStr">
        <is>
          <t>893418015</t>
        </is>
      </c>
    </row>
    <row r="1321">
      <c r="A1321" t="inlineStr">
        <is>
          <t>No</t>
        </is>
      </c>
      <c r="B1321" t="inlineStr">
        <is>
          <t>HQ27 .L43 1997</t>
        </is>
      </c>
      <c r="C1321" t="inlineStr">
        <is>
          <t>0                      HQ 0027000L  43          1997</t>
        </is>
      </c>
      <c r="D1321" t="inlineStr">
        <is>
          <t>Sex and sexuality : risk and relationships in the age of AIDS / Dana Lear.</t>
        </is>
      </c>
      <c r="F1321" t="inlineStr">
        <is>
          <t>No</t>
        </is>
      </c>
      <c r="G1321" t="inlineStr">
        <is>
          <t>1</t>
        </is>
      </c>
      <c r="H1321" t="inlineStr">
        <is>
          <t>No</t>
        </is>
      </c>
      <c r="I1321" t="inlineStr">
        <is>
          <t>No</t>
        </is>
      </c>
      <c r="J1321" t="inlineStr">
        <is>
          <t>0</t>
        </is>
      </c>
      <c r="K1321" t="inlineStr">
        <is>
          <t>Lear, Dana.</t>
        </is>
      </c>
      <c r="L1321" t="inlineStr">
        <is>
          <t>Thousand Oaks, Calif. : Sage Publications, c1997.</t>
        </is>
      </c>
      <c r="M1321" t="inlineStr">
        <is>
          <t>1997</t>
        </is>
      </c>
      <c r="O1321" t="inlineStr">
        <is>
          <t>eng</t>
        </is>
      </c>
      <c r="P1321" t="inlineStr">
        <is>
          <t>cau</t>
        </is>
      </c>
      <c r="R1321" t="inlineStr">
        <is>
          <t xml:space="preserve">HQ </t>
        </is>
      </c>
      <c r="S1321" t="n">
        <v>13</v>
      </c>
      <c r="T1321" t="n">
        <v>13</v>
      </c>
      <c r="U1321" t="inlineStr">
        <is>
          <t>2009-12-05</t>
        </is>
      </c>
      <c r="V1321" t="inlineStr">
        <is>
          <t>2009-12-05</t>
        </is>
      </c>
      <c r="W1321" t="inlineStr">
        <is>
          <t>1998-11-02</t>
        </is>
      </c>
      <c r="X1321" t="inlineStr">
        <is>
          <t>1998-11-02</t>
        </is>
      </c>
      <c r="Y1321" t="n">
        <v>352</v>
      </c>
      <c r="Z1321" t="n">
        <v>247</v>
      </c>
      <c r="AA1321" t="n">
        <v>248</v>
      </c>
      <c r="AB1321" t="n">
        <v>2</v>
      </c>
      <c r="AC1321" t="n">
        <v>2</v>
      </c>
      <c r="AD1321" t="n">
        <v>10</v>
      </c>
      <c r="AE1321" t="n">
        <v>10</v>
      </c>
      <c r="AF1321" t="n">
        <v>4</v>
      </c>
      <c r="AG1321" t="n">
        <v>4</v>
      </c>
      <c r="AH1321" t="n">
        <v>1</v>
      </c>
      <c r="AI1321" t="n">
        <v>1</v>
      </c>
      <c r="AJ1321" t="n">
        <v>7</v>
      </c>
      <c r="AK1321" t="n">
        <v>7</v>
      </c>
      <c r="AL1321" t="n">
        <v>1</v>
      </c>
      <c r="AM1321" t="n">
        <v>1</v>
      </c>
      <c r="AN1321" t="n">
        <v>0</v>
      </c>
      <c r="AO1321" t="n">
        <v>0</v>
      </c>
      <c r="AP1321" t="inlineStr">
        <is>
          <t>No</t>
        </is>
      </c>
      <c r="AQ1321" t="inlineStr">
        <is>
          <t>No</t>
        </is>
      </c>
      <c r="AS1321">
        <f>HYPERLINK("https://creighton-primo.hosted.exlibrisgroup.com/primo-explore/search?tab=default_tab&amp;search_scope=EVERYTHING&amp;vid=01CRU&amp;lang=en_US&amp;offset=0&amp;query=any,contains,991002765409702656","Catalog Record")</f>
        <v/>
      </c>
      <c r="AT1321">
        <f>HYPERLINK("http://www.worldcat.org/oclc/36284502","WorldCat Record")</f>
        <v/>
      </c>
      <c r="AU1321" t="inlineStr">
        <is>
          <t>590241:eng</t>
        </is>
      </c>
      <c r="AV1321" t="inlineStr">
        <is>
          <t>36284502</t>
        </is>
      </c>
      <c r="AW1321" t="inlineStr">
        <is>
          <t>991002765409702656</t>
        </is>
      </c>
      <c r="AX1321" t="inlineStr">
        <is>
          <t>991002765409702656</t>
        </is>
      </c>
      <c r="AY1321" t="inlineStr">
        <is>
          <t>2271031050002656</t>
        </is>
      </c>
      <c r="AZ1321" t="inlineStr">
        <is>
          <t>BOOK</t>
        </is>
      </c>
      <c r="BB1321" t="inlineStr">
        <is>
          <t>9780761904779</t>
        </is>
      </c>
      <c r="BC1321" t="inlineStr">
        <is>
          <t>32285003479226</t>
        </is>
      </c>
      <c r="BD1321" t="inlineStr">
        <is>
          <t>893335685</t>
        </is>
      </c>
    </row>
    <row r="1322">
      <c r="A1322" t="inlineStr">
        <is>
          <t>No</t>
        </is>
      </c>
      <c r="B1322" t="inlineStr">
        <is>
          <t>HQ27 .S67</t>
        </is>
      </c>
      <c r="C1322" t="inlineStr">
        <is>
          <t>0                      HQ 0027000S  67</t>
        </is>
      </c>
      <c r="D1322" t="inlineStr">
        <is>
          <t>Adolescent sexuality in contemporary America: personal values and sexual behavior, ages, thirteen to nineteen [by] Robert C. Sorensen. Introd. by Paul Moore, Jr. A note on the methodology by Jiri Nehnevajsa.</t>
        </is>
      </c>
      <c r="F1322" t="inlineStr">
        <is>
          <t>No</t>
        </is>
      </c>
      <c r="G1322" t="inlineStr">
        <is>
          <t>1</t>
        </is>
      </c>
      <c r="H1322" t="inlineStr">
        <is>
          <t>No</t>
        </is>
      </c>
      <c r="I1322" t="inlineStr">
        <is>
          <t>No</t>
        </is>
      </c>
      <c r="J1322" t="inlineStr">
        <is>
          <t>0</t>
        </is>
      </c>
      <c r="K1322" t="inlineStr">
        <is>
          <t>Sorensen, Robert C.</t>
        </is>
      </c>
      <c r="L1322" t="inlineStr">
        <is>
          <t>New York, World Pub. [1973]</t>
        </is>
      </c>
      <c r="M1322" t="inlineStr">
        <is>
          <t>1973</t>
        </is>
      </c>
      <c r="O1322" t="inlineStr">
        <is>
          <t>eng</t>
        </is>
      </c>
      <c r="P1322" t="inlineStr">
        <is>
          <t>nyu</t>
        </is>
      </c>
      <c r="R1322" t="inlineStr">
        <is>
          <t xml:space="preserve">HQ </t>
        </is>
      </c>
      <c r="S1322" t="n">
        <v>18</v>
      </c>
      <c r="T1322" t="n">
        <v>18</v>
      </c>
      <c r="U1322" t="inlineStr">
        <is>
          <t>1998-11-21</t>
        </is>
      </c>
      <c r="V1322" t="inlineStr">
        <is>
          <t>1998-11-21</t>
        </is>
      </c>
      <c r="W1322" t="inlineStr">
        <is>
          <t>1995-05-01</t>
        </is>
      </c>
      <c r="X1322" t="inlineStr">
        <is>
          <t>1995-05-01</t>
        </is>
      </c>
      <c r="Y1322" t="n">
        <v>753</v>
      </c>
      <c r="Z1322" t="n">
        <v>695</v>
      </c>
      <c r="AA1322" t="n">
        <v>702</v>
      </c>
      <c r="AB1322" t="n">
        <v>6</v>
      </c>
      <c r="AC1322" t="n">
        <v>6</v>
      </c>
      <c r="AD1322" t="n">
        <v>26</v>
      </c>
      <c r="AE1322" t="n">
        <v>26</v>
      </c>
      <c r="AF1322" t="n">
        <v>13</v>
      </c>
      <c r="AG1322" t="n">
        <v>13</v>
      </c>
      <c r="AH1322" t="n">
        <v>3</v>
      </c>
      <c r="AI1322" t="n">
        <v>3</v>
      </c>
      <c r="AJ1322" t="n">
        <v>14</v>
      </c>
      <c r="AK1322" t="n">
        <v>14</v>
      </c>
      <c r="AL1322" t="n">
        <v>3</v>
      </c>
      <c r="AM1322" t="n">
        <v>3</v>
      </c>
      <c r="AN1322" t="n">
        <v>0</v>
      </c>
      <c r="AO1322" t="n">
        <v>0</v>
      </c>
      <c r="AP1322" t="inlineStr">
        <is>
          <t>No</t>
        </is>
      </c>
      <c r="AQ1322" t="inlineStr">
        <is>
          <t>Yes</t>
        </is>
      </c>
      <c r="AR1322">
        <f>HYPERLINK("http://catalog.hathitrust.org/Record/001109833","HathiTrust Record")</f>
        <v/>
      </c>
      <c r="AS1322">
        <f>HYPERLINK("https://creighton-primo.hosted.exlibrisgroup.com/primo-explore/search?tab=default_tab&amp;search_scope=EVERYTHING&amp;vid=01CRU&amp;lang=en_US&amp;offset=0&amp;query=any,contains,991002865219702656","Catalog Record")</f>
        <v/>
      </c>
      <c r="AT1322">
        <f>HYPERLINK("http://www.worldcat.org/oclc/495318","WorldCat Record")</f>
        <v/>
      </c>
      <c r="AU1322" t="inlineStr">
        <is>
          <t>1589264:eng</t>
        </is>
      </c>
      <c r="AV1322" t="inlineStr">
        <is>
          <t>495318</t>
        </is>
      </c>
      <c r="AW1322" t="inlineStr">
        <is>
          <t>991002865219702656</t>
        </is>
      </c>
      <c r="AX1322" t="inlineStr">
        <is>
          <t>991002865219702656</t>
        </is>
      </c>
      <c r="AY1322" t="inlineStr">
        <is>
          <t>2256800850002656</t>
        </is>
      </c>
      <c r="AZ1322" t="inlineStr">
        <is>
          <t>BOOK</t>
        </is>
      </c>
      <c r="BB1322" t="inlineStr">
        <is>
          <t>9780529048202</t>
        </is>
      </c>
      <c r="BC1322" t="inlineStr">
        <is>
          <t>32285002021235</t>
        </is>
      </c>
      <c r="BD1322" t="inlineStr">
        <is>
          <t>893780332</t>
        </is>
      </c>
    </row>
    <row r="1323">
      <c r="A1323" t="inlineStr">
        <is>
          <t>No</t>
        </is>
      </c>
      <c r="B1323" t="inlineStr">
        <is>
          <t>HQ27.5 .N38 1991</t>
        </is>
      </c>
      <c r="C1323" t="inlineStr">
        <is>
          <t>0                      HQ 0027500N  38          1991</t>
        </is>
      </c>
      <c r="D1323" t="inlineStr">
        <is>
          <t>Dangerous passage : the social control of sexuality in women's adolescence / Constance A. Nathanson.</t>
        </is>
      </c>
      <c r="F1323" t="inlineStr">
        <is>
          <t>No</t>
        </is>
      </c>
      <c r="G1323" t="inlineStr">
        <is>
          <t>1</t>
        </is>
      </c>
      <c r="H1323" t="inlineStr">
        <is>
          <t>No</t>
        </is>
      </c>
      <c r="I1323" t="inlineStr">
        <is>
          <t>No</t>
        </is>
      </c>
      <c r="J1323" t="inlineStr">
        <is>
          <t>0</t>
        </is>
      </c>
      <c r="K1323" t="inlineStr">
        <is>
          <t>Nathanson, Constance A.</t>
        </is>
      </c>
      <c r="L1323" t="inlineStr">
        <is>
          <t>Philadelphia : Temple University Press, 1991.</t>
        </is>
      </c>
      <c r="M1323" t="inlineStr">
        <is>
          <t>1991</t>
        </is>
      </c>
      <c r="O1323" t="inlineStr">
        <is>
          <t>eng</t>
        </is>
      </c>
      <c r="P1323" t="inlineStr">
        <is>
          <t>pau</t>
        </is>
      </c>
      <c r="Q1323" t="inlineStr">
        <is>
          <t>Health, society, and policy</t>
        </is>
      </c>
      <c r="R1323" t="inlineStr">
        <is>
          <t xml:space="preserve">HQ </t>
        </is>
      </c>
      <c r="S1323" t="n">
        <v>23</v>
      </c>
      <c r="T1323" t="n">
        <v>23</v>
      </c>
      <c r="U1323" t="inlineStr">
        <is>
          <t>1997-04-03</t>
        </is>
      </c>
      <c r="V1323" t="inlineStr">
        <is>
          <t>1997-04-03</t>
        </is>
      </c>
      <c r="W1323" t="inlineStr">
        <is>
          <t>1992-01-03</t>
        </is>
      </c>
      <c r="X1323" t="inlineStr">
        <is>
          <t>1992-01-03</t>
        </is>
      </c>
      <c r="Y1323" t="n">
        <v>551</v>
      </c>
      <c r="Z1323" t="n">
        <v>475</v>
      </c>
      <c r="AA1323" t="n">
        <v>480</v>
      </c>
      <c r="AB1323" t="n">
        <v>5</v>
      </c>
      <c r="AC1323" t="n">
        <v>5</v>
      </c>
      <c r="AD1323" t="n">
        <v>34</v>
      </c>
      <c r="AE1323" t="n">
        <v>34</v>
      </c>
      <c r="AF1323" t="n">
        <v>13</v>
      </c>
      <c r="AG1323" t="n">
        <v>13</v>
      </c>
      <c r="AH1323" t="n">
        <v>9</v>
      </c>
      <c r="AI1323" t="n">
        <v>9</v>
      </c>
      <c r="AJ1323" t="n">
        <v>17</v>
      </c>
      <c r="AK1323" t="n">
        <v>17</v>
      </c>
      <c r="AL1323" t="n">
        <v>4</v>
      </c>
      <c r="AM1323" t="n">
        <v>4</v>
      </c>
      <c r="AN1323" t="n">
        <v>1</v>
      </c>
      <c r="AO1323" t="n">
        <v>1</v>
      </c>
      <c r="AP1323" t="inlineStr">
        <is>
          <t>No</t>
        </is>
      </c>
      <c r="AQ1323" t="inlineStr">
        <is>
          <t>No</t>
        </is>
      </c>
      <c r="AS1323">
        <f>HYPERLINK("https://creighton-primo.hosted.exlibrisgroup.com/primo-explore/search?tab=default_tab&amp;search_scope=EVERYTHING&amp;vid=01CRU&amp;lang=en_US&amp;offset=0&amp;query=any,contains,991001794049702656","Catalog Record")</f>
        <v/>
      </c>
      <c r="AT1323">
        <f>HYPERLINK("http://www.worldcat.org/oclc/22593005","WorldCat Record")</f>
        <v/>
      </c>
      <c r="AU1323" t="inlineStr">
        <is>
          <t>476042593:eng</t>
        </is>
      </c>
      <c r="AV1323" t="inlineStr">
        <is>
          <t>22593005</t>
        </is>
      </c>
      <c r="AW1323" t="inlineStr">
        <is>
          <t>991001794049702656</t>
        </is>
      </c>
      <c r="AX1323" t="inlineStr">
        <is>
          <t>991001794049702656</t>
        </is>
      </c>
      <c r="AY1323" t="inlineStr">
        <is>
          <t>2263126350002656</t>
        </is>
      </c>
      <c r="AZ1323" t="inlineStr">
        <is>
          <t>BOOK</t>
        </is>
      </c>
      <c r="BB1323" t="inlineStr">
        <is>
          <t>9780877228240</t>
        </is>
      </c>
      <c r="BC1323" t="inlineStr">
        <is>
          <t>32285000863067</t>
        </is>
      </c>
      <c r="BD1323" t="inlineStr">
        <is>
          <t>893898069</t>
        </is>
      </c>
    </row>
    <row r="1324">
      <c r="A1324" t="inlineStr">
        <is>
          <t>No</t>
        </is>
      </c>
      <c r="B1324" t="inlineStr">
        <is>
          <t>HQ28 .F68 2006</t>
        </is>
      </c>
      <c r="C1324" t="inlineStr">
        <is>
          <t>0                      HQ 0028000F  68          2006</t>
        </is>
      </c>
      <c r="D1324" t="inlineStr">
        <is>
          <t>Sex and the eighteenth-century man : Massachusetts and the history of sexuality in America / Thomas A. Foster.</t>
        </is>
      </c>
      <c r="F1324" t="inlineStr">
        <is>
          <t>No</t>
        </is>
      </c>
      <c r="G1324" t="inlineStr">
        <is>
          <t>1</t>
        </is>
      </c>
      <c r="H1324" t="inlineStr">
        <is>
          <t>No</t>
        </is>
      </c>
      <c r="I1324" t="inlineStr">
        <is>
          <t>No</t>
        </is>
      </c>
      <c r="J1324" t="inlineStr">
        <is>
          <t>0</t>
        </is>
      </c>
      <c r="K1324" t="inlineStr">
        <is>
          <t>Foster, Thomas A.</t>
        </is>
      </c>
      <c r="L1324" t="inlineStr">
        <is>
          <t>Boston : Beacon Press, c2006.</t>
        </is>
      </c>
      <c r="M1324" t="inlineStr">
        <is>
          <t>2006</t>
        </is>
      </c>
      <c r="O1324" t="inlineStr">
        <is>
          <t>eng</t>
        </is>
      </c>
      <c r="P1324" t="inlineStr">
        <is>
          <t>mau</t>
        </is>
      </c>
      <c r="R1324" t="inlineStr">
        <is>
          <t xml:space="preserve">HQ </t>
        </is>
      </c>
      <c r="S1324" t="n">
        <v>2</v>
      </c>
      <c r="T1324" t="n">
        <v>2</v>
      </c>
      <c r="U1324" t="inlineStr">
        <is>
          <t>2007-09-13</t>
        </is>
      </c>
      <c r="V1324" t="inlineStr">
        <is>
          <t>2007-09-13</t>
        </is>
      </c>
      <c r="W1324" t="inlineStr">
        <is>
          <t>2006-09-05</t>
        </is>
      </c>
      <c r="X1324" t="inlineStr">
        <is>
          <t>2006-09-05</t>
        </is>
      </c>
      <c r="Y1324" t="n">
        <v>442</v>
      </c>
      <c r="Z1324" t="n">
        <v>403</v>
      </c>
      <c r="AA1324" t="n">
        <v>430</v>
      </c>
      <c r="AB1324" t="n">
        <v>2</v>
      </c>
      <c r="AC1324" t="n">
        <v>2</v>
      </c>
      <c r="AD1324" t="n">
        <v>18</v>
      </c>
      <c r="AE1324" t="n">
        <v>19</v>
      </c>
      <c r="AF1324" t="n">
        <v>6</v>
      </c>
      <c r="AG1324" t="n">
        <v>7</v>
      </c>
      <c r="AH1324" t="n">
        <v>6</v>
      </c>
      <c r="AI1324" t="n">
        <v>6</v>
      </c>
      <c r="AJ1324" t="n">
        <v>9</v>
      </c>
      <c r="AK1324" t="n">
        <v>9</v>
      </c>
      <c r="AL1324" t="n">
        <v>1</v>
      </c>
      <c r="AM1324" t="n">
        <v>1</v>
      </c>
      <c r="AN1324" t="n">
        <v>0</v>
      </c>
      <c r="AO1324" t="n">
        <v>0</v>
      </c>
      <c r="AP1324" t="inlineStr">
        <is>
          <t>No</t>
        </is>
      </c>
      <c r="AQ1324" t="inlineStr">
        <is>
          <t>Yes</t>
        </is>
      </c>
      <c r="AR1324">
        <f>HYPERLINK("http://catalog.hathitrust.org/Record/005345444","HathiTrust Record")</f>
        <v/>
      </c>
      <c r="AS1324">
        <f>HYPERLINK("https://creighton-primo.hosted.exlibrisgroup.com/primo-explore/search?tab=default_tab&amp;search_scope=EVERYTHING&amp;vid=01CRU&amp;lang=en_US&amp;offset=0&amp;query=any,contains,991004904129702656","Catalog Record")</f>
        <v/>
      </c>
      <c r="AT1324">
        <f>HYPERLINK("http://www.worldcat.org/oclc/67727958","WorldCat Record")</f>
        <v/>
      </c>
      <c r="AU1324" t="inlineStr">
        <is>
          <t>802253025:eng</t>
        </is>
      </c>
      <c r="AV1324" t="inlineStr">
        <is>
          <t>67727958</t>
        </is>
      </c>
      <c r="AW1324" t="inlineStr">
        <is>
          <t>991004904129702656</t>
        </is>
      </c>
      <c r="AX1324" t="inlineStr">
        <is>
          <t>991004904129702656</t>
        </is>
      </c>
      <c r="AY1324" t="inlineStr">
        <is>
          <t>2271030550002656</t>
        </is>
      </c>
      <c r="AZ1324" t="inlineStr">
        <is>
          <t>BOOK</t>
        </is>
      </c>
      <c r="BB1324" t="inlineStr">
        <is>
          <t>9780807050385</t>
        </is>
      </c>
      <c r="BC1324" t="inlineStr">
        <is>
          <t>32285005221568</t>
        </is>
      </c>
      <c r="BD1324" t="inlineStr">
        <is>
          <t>893338258</t>
        </is>
      </c>
    </row>
    <row r="1325">
      <c r="A1325" t="inlineStr">
        <is>
          <t>No</t>
        </is>
      </c>
      <c r="B1325" t="inlineStr">
        <is>
          <t>HQ28 .H57 1981</t>
        </is>
      </c>
      <c r="C1325" t="inlineStr">
        <is>
          <t>0                      HQ 0028000H  57          1981</t>
        </is>
      </c>
      <c r="D1325" t="inlineStr">
        <is>
          <t>The Hite report on male sexuality / Shere Hite.</t>
        </is>
      </c>
      <c r="F1325" t="inlineStr">
        <is>
          <t>No</t>
        </is>
      </c>
      <c r="G1325" t="inlineStr">
        <is>
          <t>1</t>
        </is>
      </c>
      <c r="H1325" t="inlineStr">
        <is>
          <t>No</t>
        </is>
      </c>
      <c r="I1325" t="inlineStr">
        <is>
          <t>No</t>
        </is>
      </c>
      <c r="J1325" t="inlineStr">
        <is>
          <t>0</t>
        </is>
      </c>
      <c r="K1325" t="inlineStr">
        <is>
          <t>Hite, Shere.</t>
        </is>
      </c>
      <c r="L1325" t="inlineStr">
        <is>
          <t>New York : Knopf : Distributed by Random House, 1981.</t>
        </is>
      </c>
      <c r="M1325" t="inlineStr">
        <is>
          <t>1981</t>
        </is>
      </c>
      <c r="N1325" t="inlineStr">
        <is>
          <t>1st ed.</t>
        </is>
      </c>
      <c r="O1325" t="inlineStr">
        <is>
          <t>eng</t>
        </is>
      </c>
      <c r="P1325" t="inlineStr">
        <is>
          <t>nyu</t>
        </is>
      </c>
      <c r="R1325" t="inlineStr">
        <is>
          <t xml:space="preserve">HQ </t>
        </is>
      </c>
      <c r="S1325" t="n">
        <v>47</v>
      </c>
      <c r="T1325" t="n">
        <v>47</v>
      </c>
      <c r="U1325" t="inlineStr">
        <is>
          <t>2005-12-11</t>
        </is>
      </c>
      <c r="V1325" t="inlineStr">
        <is>
          <t>2005-12-11</t>
        </is>
      </c>
      <c r="W1325" t="inlineStr">
        <is>
          <t>1994-08-30</t>
        </is>
      </c>
      <c r="X1325" t="inlineStr">
        <is>
          <t>1994-08-30</t>
        </is>
      </c>
      <c r="Y1325" t="n">
        <v>1078</v>
      </c>
      <c r="Z1325" t="n">
        <v>975</v>
      </c>
      <c r="AA1325" t="n">
        <v>1158</v>
      </c>
      <c r="AB1325" t="n">
        <v>8</v>
      </c>
      <c r="AC1325" t="n">
        <v>8</v>
      </c>
      <c r="AD1325" t="n">
        <v>24</v>
      </c>
      <c r="AE1325" t="n">
        <v>28</v>
      </c>
      <c r="AF1325" t="n">
        <v>7</v>
      </c>
      <c r="AG1325" t="n">
        <v>10</v>
      </c>
      <c r="AH1325" t="n">
        <v>5</v>
      </c>
      <c r="AI1325" t="n">
        <v>6</v>
      </c>
      <c r="AJ1325" t="n">
        <v>11</v>
      </c>
      <c r="AK1325" t="n">
        <v>12</v>
      </c>
      <c r="AL1325" t="n">
        <v>5</v>
      </c>
      <c r="AM1325" t="n">
        <v>5</v>
      </c>
      <c r="AN1325" t="n">
        <v>1</v>
      </c>
      <c r="AO1325" t="n">
        <v>1</v>
      </c>
      <c r="AP1325" t="inlineStr">
        <is>
          <t>No</t>
        </is>
      </c>
      <c r="AQ1325" t="inlineStr">
        <is>
          <t>Yes</t>
        </is>
      </c>
      <c r="AR1325">
        <f>HYPERLINK("http://catalog.hathitrust.org/Record/000141021","HathiTrust Record")</f>
        <v/>
      </c>
      <c r="AS1325">
        <f>HYPERLINK("https://creighton-primo.hosted.exlibrisgroup.com/primo-explore/search?tab=default_tab&amp;search_scope=EVERYTHING&amp;vid=01CRU&amp;lang=en_US&amp;offset=0&amp;query=any,contains,991005095199702656","Catalog Record")</f>
        <v/>
      </c>
      <c r="AT1325">
        <f>HYPERLINK("http://www.worldcat.org/oclc/7272300","WorldCat Record")</f>
        <v/>
      </c>
      <c r="AU1325" t="inlineStr">
        <is>
          <t>12223428:eng</t>
        </is>
      </c>
      <c r="AV1325" t="inlineStr">
        <is>
          <t>7272300</t>
        </is>
      </c>
      <c r="AW1325" t="inlineStr">
        <is>
          <t>991005095199702656</t>
        </is>
      </c>
      <c r="AX1325" t="inlineStr">
        <is>
          <t>991005095199702656</t>
        </is>
      </c>
      <c r="AY1325" t="inlineStr">
        <is>
          <t>2261345260002656</t>
        </is>
      </c>
      <c r="AZ1325" t="inlineStr">
        <is>
          <t>BOOK</t>
        </is>
      </c>
      <c r="BB1325" t="inlineStr">
        <is>
          <t>9780394413921</t>
        </is>
      </c>
      <c r="BC1325" t="inlineStr">
        <is>
          <t>32285001777837</t>
        </is>
      </c>
      <c r="BD1325" t="inlineStr">
        <is>
          <t>893625437</t>
        </is>
      </c>
    </row>
    <row r="1326">
      <c r="A1326" t="inlineStr">
        <is>
          <t>No</t>
        </is>
      </c>
      <c r="B1326" t="inlineStr">
        <is>
          <t>HQ28 .P54 1977</t>
        </is>
      </c>
      <c r="C1326" t="inlineStr">
        <is>
          <t>0                      HQ 0028000P  54          1977</t>
        </is>
      </c>
      <c r="D1326" t="inlineStr">
        <is>
          <t>Beyond the male myth : what women want to know about men's sexuality : a nationwide survey / Anthony Pietropinto and Jacqueline Simenauer.</t>
        </is>
      </c>
      <c r="F1326" t="inlineStr">
        <is>
          <t>No</t>
        </is>
      </c>
      <c r="G1326" t="inlineStr">
        <is>
          <t>1</t>
        </is>
      </c>
      <c r="H1326" t="inlineStr">
        <is>
          <t>No</t>
        </is>
      </c>
      <c r="I1326" t="inlineStr">
        <is>
          <t>No</t>
        </is>
      </c>
      <c r="J1326" t="inlineStr">
        <is>
          <t>0</t>
        </is>
      </c>
      <c r="K1326" t="inlineStr">
        <is>
          <t>Pietropinto, Anthony.</t>
        </is>
      </c>
      <c r="L1326" t="inlineStr">
        <is>
          <t>New York : Times Books, c1977.</t>
        </is>
      </c>
      <c r="M1326" t="inlineStr">
        <is>
          <t>1977</t>
        </is>
      </c>
      <c r="O1326" t="inlineStr">
        <is>
          <t>eng</t>
        </is>
      </c>
      <c r="P1326" t="inlineStr">
        <is>
          <t>nyu</t>
        </is>
      </c>
      <c r="R1326" t="inlineStr">
        <is>
          <t xml:space="preserve">HQ </t>
        </is>
      </c>
      <c r="S1326" t="n">
        <v>6</v>
      </c>
      <c r="T1326" t="n">
        <v>6</v>
      </c>
      <c r="U1326" t="inlineStr">
        <is>
          <t>1998-04-06</t>
        </is>
      </c>
      <c r="V1326" t="inlineStr">
        <is>
          <t>1998-04-06</t>
        </is>
      </c>
      <c r="W1326" t="inlineStr">
        <is>
          <t>1993-06-08</t>
        </is>
      </c>
      <c r="X1326" t="inlineStr">
        <is>
          <t>1993-06-08</t>
        </is>
      </c>
      <c r="Y1326" t="n">
        <v>765</v>
      </c>
      <c r="Z1326" t="n">
        <v>692</v>
      </c>
      <c r="AA1326" t="n">
        <v>750</v>
      </c>
      <c r="AB1326" t="n">
        <v>5</v>
      </c>
      <c r="AC1326" t="n">
        <v>6</v>
      </c>
      <c r="AD1326" t="n">
        <v>13</v>
      </c>
      <c r="AE1326" t="n">
        <v>16</v>
      </c>
      <c r="AF1326" t="n">
        <v>4</v>
      </c>
      <c r="AG1326" t="n">
        <v>5</v>
      </c>
      <c r="AH1326" t="n">
        <v>2</v>
      </c>
      <c r="AI1326" t="n">
        <v>2</v>
      </c>
      <c r="AJ1326" t="n">
        <v>7</v>
      </c>
      <c r="AK1326" t="n">
        <v>8</v>
      </c>
      <c r="AL1326" t="n">
        <v>3</v>
      </c>
      <c r="AM1326" t="n">
        <v>4</v>
      </c>
      <c r="AN1326" t="n">
        <v>0</v>
      </c>
      <c r="AO1326" t="n">
        <v>0</v>
      </c>
      <c r="AP1326" t="inlineStr">
        <is>
          <t>No</t>
        </is>
      </c>
      <c r="AQ1326" t="inlineStr">
        <is>
          <t>Yes</t>
        </is>
      </c>
      <c r="AR1326">
        <f>HYPERLINK("http://catalog.hathitrust.org/Record/003985083","HathiTrust Record")</f>
        <v/>
      </c>
      <c r="AS1326">
        <f>HYPERLINK("https://creighton-primo.hosted.exlibrisgroup.com/primo-explore/search?tab=default_tab&amp;search_scope=EVERYTHING&amp;vid=01CRU&amp;lang=en_US&amp;offset=0&amp;query=any,contains,991004424689702656","Catalog Record")</f>
        <v/>
      </c>
      <c r="AT1326">
        <f>HYPERLINK("http://www.worldcat.org/oclc/3396578","WorldCat Record")</f>
        <v/>
      </c>
      <c r="AU1326" t="inlineStr">
        <is>
          <t>3901033135:eng</t>
        </is>
      </c>
      <c r="AV1326" t="inlineStr">
        <is>
          <t>3396578</t>
        </is>
      </c>
      <c r="AW1326" t="inlineStr">
        <is>
          <t>991004424689702656</t>
        </is>
      </c>
      <c r="AX1326" t="inlineStr">
        <is>
          <t>991004424689702656</t>
        </is>
      </c>
      <c r="AY1326" t="inlineStr">
        <is>
          <t>2267293570002656</t>
        </is>
      </c>
      <c r="AZ1326" t="inlineStr">
        <is>
          <t>BOOK</t>
        </is>
      </c>
      <c r="BB1326" t="inlineStr">
        <is>
          <t>9780812907261</t>
        </is>
      </c>
      <c r="BC1326" t="inlineStr">
        <is>
          <t>32285001719664</t>
        </is>
      </c>
      <c r="BD1326" t="inlineStr">
        <is>
          <t>893810504</t>
        </is>
      </c>
    </row>
    <row r="1327">
      <c r="A1327" t="inlineStr">
        <is>
          <t>No</t>
        </is>
      </c>
      <c r="B1327" t="inlineStr">
        <is>
          <t>HQ28 .Y3 1979</t>
        </is>
      </c>
      <c r="C1327" t="inlineStr">
        <is>
          <t>0                      HQ 0028000Y  3           1979</t>
        </is>
      </c>
      <c r="D1327" t="inlineStr">
        <is>
          <t>The extra-sex factor : why over half of America's married men play around / Lewis Yablonsky.</t>
        </is>
      </c>
      <c r="F1327" t="inlineStr">
        <is>
          <t>No</t>
        </is>
      </c>
      <c r="G1327" t="inlineStr">
        <is>
          <t>1</t>
        </is>
      </c>
      <c r="H1327" t="inlineStr">
        <is>
          <t>No</t>
        </is>
      </c>
      <c r="I1327" t="inlineStr">
        <is>
          <t>No</t>
        </is>
      </c>
      <c r="J1327" t="inlineStr">
        <is>
          <t>0</t>
        </is>
      </c>
      <c r="K1327" t="inlineStr">
        <is>
          <t>Yablonsky, Lewis.</t>
        </is>
      </c>
      <c r="L1327" t="inlineStr">
        <is>
          <t>New York : Times Books, c1979.</t>
        </is>
      </c>
      <c r="M1327" t="inlineStr">
        <is>
          <t>1979</t>
        </is>
      </c>
      <c r="O1327" t="inlineStr">
        <is>
          <t>eng</t>
        </is>
      </c>
      <c r="P1327" t="inlineStr">
        <is>
          <t>nyu</t>
        </is>
      </c>
      <c r="R1327" t="inlineStr">
        <is>
          <t xml:space="preserve">HQ </t>
        </is>
      </c>
      <c r="S1327" t="n">
        <v>12</v>
      </c>
      <c r="T1327" t="n">
        <v>12</v>
      </c>
      <c r="U1327" t="inlineStr">
        <is>
          <t>2000-05-31</t>
        </is>
      </c>
      <c r="V1327" t="inlineStr">
        <is>
          <t>2000-05-31</t>
        </is>
      </c>
      <c r="W1327" t="inlineStr">
        <is>
          <t>1990-07-24</t>
        </is>
      </c>
      <c r="X1327" t="inlineStr">
        <is>
          <t>1990-07-24</t>
        </is>
      </c>
      <c r="Y1327" t="n">
        <v>280</v>
      </c>
      <c r="Z1327" t="n">
        <v>266</v>
      </c>
      <c r="AA1327" t="n">
        <v>268</v>
      </c>
      <c r="AB1327" t="n">
        <v>1</v>
      </c>
      <c r="AC1327" t="n">
        <v>1</v>
      </c>
      <c r="AD1327" t="n">
        <v>7</v>
      </c>
      <c r="AE1327" t="n">
        <v>7</v>
      </c>
      <c r="AF1327" t="n">
        <v>3</v>
      </c>
      <c r="AG1327" t="n">
        <v>3</v>
      </c>
      <c r="AH1327" t="n">
        <v>1</v>
      </c>
      <c r="AI1327" t="n">
        <v>1</v>
      </c>
      <c r="AJ1327" t="n">
        <v>4</v>
      </c>
      <c r="AK1327" t="n">
        <v>4</v>
      </c>
      <c r="AL1327" t="n">
        <v>0</v>
      </c>
      <c r="AM1327" t="n">
        <v>0</v>
      </c>
      <c r="AN1327" t="n">
        <v>0</v>
      </c>
      <c r="AO1327" t="n">
        <v>0</v>
      </c>
      <c r="AP1327" t="inlineStr">
        <is>
          <t>No</t>
        </is>
      </c>
      <c r="AQ1327" t="inlineStr">
        <is>
          <t>Yes</t>
        </is>
      </c>
      <c r="AR1327">
        <f>HYPERLINK("http://catalog.hathitrust.org/Record/101981533","HathiTrust Record")</f>
        <v/>
      </c>
      <c r="AS1327">
        <f>HYPERLINK("https://creighton-primo.hosted.exlibrisgroup.com/primo-explore/search?tab=default_tab&amp;search_scope=EVERYTHING&amp;vid=01CRU&amp;lang=en_US&amp;offset=0&amp;query=any,contains,991005372149702656","Catalog Record")</f>
        <v/>
      </c>
      <c r="AT1327">
        <f>HYPERLINK("http://www.worldcat.org/oclc/4135940","WorldCat Record")</f>
        <v/>
      </c>
      <c r="AU1327" t="inlineStr">
        <is>
          <t>293958575:eng</t>
        </is>
      </c>
      <c r="AV1327" t="inlineStr">
        <is>
          <t>4135940</t>
        </is>
      </c>
      <c r="AW1327" t="inlineStr">
        <is>
          <t>991005372149702656</t>
        </is>
      </c>
      <c r="AX1327" t="inlineStr">
        <is>
          <t>991005372149702656</t>
        </is>
      </c>
      <c r="AY1327" t="inlineStr">
        <is>
          <t>2254810150002656</t>
        </is>
      </c>
      <c r="AZ1327" t="inlineStr">
        <is>
          <t>BOOK</t>
        </is>
      </c>
      <c r="BB1327" t="inlineStr">
        <is>
          <t>9780812907964</t>
        </is>
      </c>
      <c r="BC1327" t="inlineStr">
        <is>
          <t>32285000248228</t>
        </is>
      </c>
      <c r="BD1327" t="inlineStr">
        <is>
          <t>893351175</t>
        </is>
      </c>
    </row>
    <row r="1328">
      <c r="A1328" t="inlineStr">
        <is>
          <t>No</t>
        </is>
      </c>
      <c r="B1328" t="inlineStr">
        <is>
          <t>HQ281 .B325 1984</t>
        </is>
      </c>
      <c r="C1328" t="inlineStr">
        <is>
          <t>0                      HQ 0281000B  325         1984</t>
        </is>
      </c>
      <c r="D1328" t="inlineStr">
        <is>
          <t>Female sexual slavery / Kathleen Barry.</t>
        </is>
      </c>
      <c r="F1328" t="inlineStr">
        <is>
          <t>No</t>
        </is>
      </c>
      <c r="G1328" t="inlineStr">
        <is>
          <t>1</t>
        </is>
      </c>
      <c r="H1328" t="inlineStr">
        <is>
          <t>No</t>
        </is>
      </c>
      <c r="I1328" t="inlineStr">
        <is>
          <t>No</t>
        </is>
      </c>
      <c r="J1328" t="inlineStr">
        <is>
          <t>0</t>
        </is>
      </c>
      <c r="K1328" t="inlineStr">
        <is>
          <t>Barry, Kathleen.</t>
        </is>
      </c>
      <c r="L1328" t="inlineStr">
        <is>
          <t>New York ; London : New York University Press, 1984, c1979.</t>
        </is>
      </c>
      <c r="M1328" t="inlineStr">
        <is>
          <t>1984</t>
        </is>
      </c>
      <c r="O1328" t="inlineStr">
        <is>
          <t>eng</t>
        </is>
      </c>
      <c r="P1328" t="inlineStr">
        <is>
          <t>nyu</t>
        </is>
      </c>
      <c r="R1328" t="inlineStr">
        <is>
          <t xml:space="preserve">HQ </t>
        </is>
      </c>
      <c r="S1328" t="n">
        <v>33</v>
      </c>
      <c r="T1328" t="n">
        <v>33</v>
      </c>
      <c r="U1328" t="inlineStr">
        <is>
          <t>2010-10-04</t>
        </is>
      </c>
      <c r="V1328" t="inlineStr">
        <is>
          <t>2010-10-04</t>
        </is>
      </c>
      <c r="W1328" t="inlineStr">
        <is>
          <t>1990-02-20</t>
        </is>
      </c>
      <c r="X1328" t="inlineStr">
        <is>
          <t>1990-02-20</t>
        </is>
      </c>
      <c r="Y1328" t="n">
        <v>481</v>
      </c>
      <c r="Z1328" t="n">
        <v>387</v>
      </c>
      <c r="AA1328" t="n">
        <v>761</v>
      </c>
      <c r="AB1328" t="n">
        <v>2</v>
      </c>
      <c r="AC1328" t="n">
        <v>4</v>
      </c>
      <c r="AD1328" t="n">
        <v>16</v>
      </c>
      <c r="AE1328" t="n">
        <v>24</v>
      </c>
      <c r="AF1328" t="n">
        <v>6</v>
      </c>
      <c r="AG1328" t="n">
        <v>7</v>
      </c>
      <c r="AH1328" t="n">
        <v>4</v>
      </c>
      <c r="AI1328" t="n">
        <v>7</v>
      </c>
      <c r="AJ1328" t="n">
        <v>8</v>
      </c>
      <c r="AK1328" t="n">
        <v>9</v>
      </c>
      <c r="AL1328" t="n">
        <v>1</v>
      </c>
      <c r="AM1328" t="n">
        <v>3</v>
      </c>
      <c r="AN1328" t="n">
        <v>2</v>
      </c>
      <c r="AO1328" t="n">
        <v>4</v>
      </c>
      <c r="AP1328" t="inlineStr">
        <is>
          <t>No</t>
        </is>
      </c>
      <c r="AQ1328" t="inlineStr">
        <is>
          <t>No</t>
        </is>
      </c>
      <c r="AS1328">
        <f>HYPERLINK("https://creighton-primo.hosted.exlibrisgroup.com/primo-explore/search?tab=default_tab&amp;search_scope=EVERYTHING&amp;vid=01CRU&amp;lang=en_US&amp;offset=0&amp;query=any,contains,991000476449702656","Catalog Record")</f>
        <v/>
      </c>
      <c r="AT1328">
        <f>HYPERLINK("http://www.worldcat.org/oclc/11030216","WorldCat Record")</f>
        <v/>
      </c>
      <c r="AU1328" t="inlineStr">
        <is>
          <t>3876477:eng</t>
        </is>
      </c>
      <c r="AV1328" t="inlineStr">
        <is>
          <t>11030216</t>
        </is>
      </c>
      <c r="AW1328" t="inlineStr">
        <is>
          <t>991000476449702656</t>
        </is>
      </c>
      <c r="AX1328" t="inlineStr">
        <is>
          <t>991000476449702656</t>
        </is>
      </c>
      <c r="AY1328" t="inlineStr">
        <is>
          <t>2259982480002656</t>
        </is>
      </c>
      <c r="AZ1328" t="inlineStr">
        <is>
          <t>BOOK</t>
        </is>
      </c>
      <c r="BB1328" t="inlineStr">
        <is>
          <t>9780814710692</t>
        </is>
      </c>
      <c r="BC1328" t="inlineStr">
        <is>
          <t>32285000056399</t>
        </is>
      </c>
      <c r="BD1328" t="inlineStr">
        <is>
          <t>893777964</t>
        </is>
      </c>
    </row>
    <row r="1329">
      <c r="A1329" t="inlineStr">
        <is>
          <t>No</t>
        </is>
      </c>
      <c r="B1329" t="inlineStr">
        <is>
          <t>HQ281 .J37 1988</t>
        </is>
      </c>
      <c r="C1329" t="inlineStr">
        <is>
          <t>0                      HQ 0281000J  37          1988</t>
        </is>
      </c>
      <c r="D1329" t="inlineStr">
        <is>
          <t>Concubines and bondservants : a social history / Maria Jaschok.</t>
        </is>
      </c>
      <c r="F1329" t="inlineStr">
        <is>
          <t>No</t>
        </is>
      </c>
      <c r="G1329" t="inlineStr">
        <is>
          <t>1</t>
        </is>
      </c>
      <c r="H1329" t="inlineStr">
        <is>
          <t>No</t>
        </is>
      </c>
      <c r="I1329" t="inlineStr">
        <is>
          <t>No</t>
        </is>
      </c>
      <c r="J1329" t="inlineStr">
        <is>
          <t>0</t>
        </is>
      </c>
      <c r="K1329" t="inlineStr">
        <is>
          <t>Jaschok, Maria.</t>
        </is>
      </c>
      <c r="L1329" t="inlineStr">
        <is>
          <t>London ; [Atlantic Highlands] N.J. : Zed Books, 1988.</t>
        </is>
      </c>
      <c r="M1329" t="inlineStr">
        <is>
          <t>1988</t>
        </is>
      </c>
      <c r="O1329" t="inlineStr">
        <is>
          <t>eng</t>
        </is>
      </c>
      <c r="P1329" t="inlineStr">
        <is>
          <t>enk</t>
        </is>
      </c>
      <c r="R1329" t="inlineStr">
        <is>
          <t xml:space="preserve">HQ </t>
        </is>
      </c>
      <c r="S1329" t="n">
        <v>8</v>
      </c>
      <c r="T1329" t="n">
        <v>8</v>
      </c>
      <c r="U1329" t="inlineStr">
        <is>
          <t>2010-03-03</t>
        </is>
      </c>
      <c r="V1329" t="inlineStr">
        <is>
          <t>2010-03-03</t>
        </is>
      </c>
      <c r="W1329" t="inlineStr">
        <is>
          <t>1993-12-30</t>
        </is>
      </c>
      <c r="X1329" t="inlineStr">
        <is>
          <t>1993-12-30</t>
        </is>
      </c>
      <c r="Y1329" t="n">
        <v>395</v>
      </c>
      <c r="Z1329" t="n">
        <v>273</v>
      </c>
      <c r="AA1329" t="n">
        <v>446</v>
      </c>
      <c r="AB1329" t="n">
        <v>1</v>
      </c>
      <c r="AC1329" t="n">
        <v>4</v>
      </c>
      <c r="AD1329" t="n">
        <v>13</v>
      </c>
      <c r="AE1329" t="n">
        <v>24</v>
      </c>
      <c r="AF1329" t="n">
        <v>6</v>
      </c>
      <c r="AG1329" t="n">
        <v>9</v>
      </c>
      <c r="AH1329" t="n">
        <v>6</v>
      </c>
      <c r="AI1329" t="n">
        <v>8</v>
      </c>
      <c r="AJ1329" t="n">
        <v>5</v>
      </c>
      <c r="AK1329" t="n">
        <v>10</v>
      </c>
      <c r="AL1329" t="n">
        <v>0</v>
      </c>
      <c r="AM1329" t="n">
        <v>3</v>
      </c>
      <c r="AN1329" t="n">
        <v>0</v>
      </c>
      <c r="AO1329" t="n">
        <v>0</v>
      </c>
      <c r="AP1329" t="inlineStr">
        <is>
          <t>No</t>
        </is>
      </c>
      <c r="AQ1329" t="inlineStr">
        <is>
          <t>Yes</t>
        </is>
      </c>
      <c r="AR1329">
        <f>HYPERLINK("http://catalog.hathitrust.org/Record/007107019","HathiTrust Record")</f>
        <v/>
      </c>
      <c r="AS1329">
        <f>HYPERLINK("https://creighton-primo.hosted.exlibrisgroup.com/primo-explore/search?tab=default_tab&amp;search_scope=EVERYTHING&amp;vid=01CRU&amp;lang=en_US&amp;offset=0&amp;query=any,contains,991001368769702656","Catalog Record")</f>
        <v/>
      </c>
      <c r="AT1329">
        <f>HYPERLINK("http://www.worldcat.org/oclc/18560335","WorldCat Record")</f>
        <v/>
      </c>
      <c r="AU1329" t="inlineStr">
        <is>
          <t>836729510:eng</t>
        </is>
      </c>
      <c r="AV1329" t="inlineStr">
        <is>
          <t>18560335</t>
        </is>
      </c>
      <c r="AW1329" t="inlineStr">
        <is>
          <t>991001368769702656</t>
        </is>
      </c>
      <c r="AX1329" t="inlineStr">
        <is>
          <t>991001368769702656</t>
        </is>
      </c>
      <c r="AY1329" t="inlineStr">
        <is>
          <t>2271429720002656</t>
        </is>
      </c>
      <c r="AZ1329" t="inlineStr">
        <is>
          <t>BOOK</t>
        </is>
      </c>
      <c r="BB1329" t="inlineStr">
        <is>
          <t>9780862327835</t>
        </is>
      </c>
      <c r="BC1329" t="inlineStr">
        <is>
          <t>32285001818912</t>
        </is>
      </c>
      <c r="BD1329" t="inlineStr">
        <is>
          <t>893408063</t>
        </is>
      </c>
    </row>
    <row r="1330">
      <c r="A1330" t="inlineStr">
        <is>
          <t>No</t>
        </is>
      </c>
      <c r="B1330" t="inlineStr">
        <is>
          <t>HQ281 .K44 2009</t>
        </is>
      </c>
      <c r="C1330" t="inlineStr">
        <is>
          <t>0                      HQ 0281000K  44          2009</t>
        </is>
      </c>
      <c r="D1330" t="inlineStr">
        <is>
          <t>The snakehead : an epic tale of the Chinatown underworld and the American dream / Patrick Radden Keefe.</t>
        </is>
      </c>
      <c r="F1330" t="inlineStr">
        <is>
          <t>No</t>
        </is>
      </c>
      <c r="G1330" t="inlineStr">
        <is>
          <t>1</t>
        </is>
      </c>
      <c r="H1330" t="inlineStr">
        <is>
          <t>No</t>
        </is>
      </c>
      <c r="I1330" t="inlineStr">
        <is>
          <t>No</t>
        </is>
      </c>
      <c r="J1330" t="inlineStr">
        <is>
          <t>0</t>
        </is>
      </c>
      <c r="K1330" t="inlineStr">
        <is>
          <t>Keefe, Patrick Radden, 1976-</t>
        </is>
      </c>
      <c r="L1330" t="inlineStr">
        <is>
          <t>New York : Doubleday, c2009.</t>
        </is>
      </c>
      <c r="M1330" t="inlineStr">
        <is>
          <t>2009</t>
        </is>
      </c>
      <c r="N1330" t="inlineStr">
        <is>
          <t>1st ed.</t>
        </is>
      </c>
      <c r="O1330" t="inlineStr">
        <is>
          <t>eng</t>
        </is>
      </c>
      <c r="P1330" t="inlineStr">
        <is>
          <t>nyu</t>
        </is>
      </c>
      <c r="R1330" t="inlineStr">
        <is>
          <t xml:space="preserve">HQ </t>
        </is>
      </c>
      <c r="S1330" t="n">
        <v>2</v>
      </c>
      <c r="T1330" t="n">
        <v>2</v>
      </c>
      <c r="U1330" t="inlineStr">
        <is>
          <t>2010-02-16</t>
        </is>
      </c>
      <c r="V1330" t="inlineStr">
        <is>
          <t>2010-02-16</t>
        </is>
      </c>
      <c r="W1330" t="inlineStr">
        <is>
          <t>2010-02-16</t>
        </is>
      </c>
      <c r="X1330" t="inlineStr">
        <is>
          <t>2010-02-16</t>
        </is>
      </c>
      <c r="Y1330" t="n">
        <v>923</v>
      </c>
      <c r="Z1330" t="n">
        <v>890</v>
      </c>
      <c r="AA1330" t="n">
        <v>996</v>
      </c>
      <c r="AB1330" t="n">
        <v>10</v>
      </c>
      <c r="AC1330" t="n">
        <v>11</v>
      </c>
      <c r="AD1330" t="n">
        <v>20</v>
      </c>
      <c r="AE1330" t="n">
        <v>22</v>
      </c>
      <c r="AF1330" t="n">
        <v>6</v>
      </c>
      <c r="AG1330" t="n">
        <v>8</v>
      </c>
      <c r="AH1330" t="n">
        <v>3</v>
      </c>
      <c r="AI1330" t="n">
        <v>3</v>
      </c>
      <c r="AJ1330" t="n">
        <v>9</v>
      </c>
      <c r="AK1330" t="n">
        <v>10</v>
      </c>
      <c r="AL1330" t="n">
        <v>5</v>
      </c>
      <c r="AM1330" t="n">
        <v>5</v>
      </c>
      <c r="AN1330" t="n">
        <v>0</v>
      </c>
      <c r="AO1330" t="n">
        <v>0</v>
      </c>
      <c r="AP1330" t="inlineStr">
        <is>
          <t>No</t>
        </is>
      </c>
      <c r="AQ1330" t="inlineStr">
        <is>
          <t>No</t>
        </is>
      </c>
      <c r="AS1330">
        <f>HYPERLINK("https://creighton-primo.hosted.exlibrisgroup.com/primo-explore/search?tab=default_tab&amp;search_scope=EVERYTHING&amp;vid=01CRU&amp;lang=en_US&amp;offset=0&amp;query=any,contains,991005365809702656","Catalog Record")</f>
        <v/>
      </c>
      <c r="AT1330">
        <f>HYPERLINK("http://www.worldcat.org/oclc/264044131","WorldCat Record")</f>
        <v/>
      </c>
      <c r="AU1330" t="inlineStr">
        <is>
          <t>197213309:eng</t>
        </is>
      </c>
      <c r="AV1330" t="inlineStr">
        <is>
          <t>264044131</t>
        </is>
      </c>
      <c r="AW1330" t="inlineStr">
        <is>
          <t>991005365809702656</t>
        </is>
      </c>
      <c r="AX1330" t="inlineStr">
        <is>
          <t>991005365809702656</t>
        </is>
      </c>
      <c r="AY1330" t="inlineStr">
        <is>
          <t>2258163050002656</t>
        </is>
      </c>
      <c r="AZ1330" t="inlineStr">
        <is>
          <t>BOOK</t>
        </is>
      </c>
      <c r="BB1330" t="inlineStr">
        <is>
          <t>9780385521307</t>
        </is>
      </c>
      <c r="BC1330" t="inlineStr">
        <is>
          <t>32285005574222</t>
        </is>
      </c>
      <c r="BD1330" t="inlineStr">
        <is>
          <t>893811046</t>
        </is>
      </c>
    </row>
    <row r="1331">
      <c r="A1331" t="inlineStr">
        <is>
          <t>No</t>
        </is>
      </c>
      <c r="B1331" t="inlineStr">
        <is>
          <t>HQ29 .A3613 1984</t>
        </is>
      </c>
      <c r="C1331" t="inlineStr">
        <is>
          <t>0                      HQ 0029000A  3613        1984</t>
        </is>
      </c>
      <c r="D1331" t="inlineStr">
        <is>
          <t>Woman in the Muslim unconscious / Fatna A. Sabbah ; translated by Mary Jo Lakeland.</t>
        </is>
      </c>
      <c r="F1331" t="inlineStr">
        <is>
          <t>No</t>
        </is>
      </c>
      <c r="G1331" t="inlineStr">
        <is>
          <t>1</t>
        </is>
      </c>
      <c r="H1331" t="inlineStr">
        <is>
          <t>Yes</t>
        </is>
      </c>
      <c r="I1331" t="inlineStr">
        <is>
          <t>No</t>
        </is>
      </c>
      <c r="J1331" t="inlineStr">
        <is>
          <t>0</t>
        </is>
      </c>
      <c r="K1331" t="inlineStr">
        <is>
          <t>Aït Sabbah, Fatna.</t>
        </is>
      </c>
      <c r="L1331" t="inlineStr">
        <is>
          <t>New York : Pergamon Press, c1984, 1988 printing.</t>
        </is>
      </c>
      <c r="M1331" t="inlineStr">
        <is>
          <t>1984</t>
        </is>
      </c>
      <c r="O1331" t="inlineStr">
        <is>
          <t>eng</t>
        </is>
      </c>
      <c r="P1331" t="inlineStr">
        <is>
          <t>nyu</t>
        </is>
      </c>
      <c r="Q1331" t="inlineStr">
        <is>
          <t>The Athene series</t>
        </is>
      </c>
      <c r="R1331" t="inlineStr">
        <is>
          <t xml:space="preserve">HQ </t>
        </is>
      </c>
      <c r="S1331" t="n">
        <v>18</v>
      </c>
      <c r="T1331" t="n">
        <v>24</v>
      </c>
      <c r="U1331" t="inlineStr">
        <is>
          <t>1999-11-11</t>
        </is>
      </c>
      <c r="V1331" t="inlineStr">
        <is>
          <t>1999-11-11</t>
        </is>
      </c>
      <c r="W1331" t="inlineStr">
        <is>
          <t>1989-11-29</t>
        </is>
      </c>
      <c r="X1331" t="inlineStr">
        <is>
          <t>1989-11-29</t>
        </is>
      </c>
      <c r="Y1331" t="n">
        <v>531</v>
      </c>
      <c r="Z1331" t="n">
        <v>397</v>
      </c>
      <c r="AA1331" t="n">
        <v>403</v>
      </c>
      <c r="AB1331" t="n">
        <v>5</v>
      </c>
      <c r="AC1331" t="n">
        <v>5</v>
      </c>
      <c r="AD1331" t="n">
        <v>19</v>
      </c>
      <c r="AE1331" t="n">
        <v>19</v>
      </c>
      <c r="AF1331" t="n">
        <v>6</v>
      </c>
      <c r="AG1331" t="n">
        <v>6</v>
      </c>
      <c r="AH1331" t="n">
        <v>6</v>
      </c>
      <c r="AI1331" t="n">
        <v>6</v>
      </c>
      <c r="AJ1331" t="n">
        <v>9</v>
      </c>
      <c r="AK1331" t="n">
        <v>9</v>
      </c>
      <c r="AL1331" t="n">
        <v>3</v>
      </c>
      <c r="AM1331" t="n">
        <v>3</v>
      </c>
      <c r="AN1331" t="n">
        <v>0</v>
      </c>
      <c r="AO1331" t="n">
        <v>0</v>
      </c>
      <c r="AP1331" t="inlineStr">
        <is>
          <t>No</t>
        </is>
      </c>
      <c r="AQ1331" t="inlineStr">
        <is>
          <t>No</t>
        </is>
      </c>
      <c r="AS1331">
        <f>HYPERLINK("https://creighton-primo.hosted.exlibrisgroup.com/primo-explore/search?tab=default_tab&amp;search_scope=EVERYTHING&amp;vid=01CRU&amp;lang=en_US&amp;offset=0&amp;query=any,contains,991001795029702656","Catalog Record")</f>
        <v/>
      </c>
      <c r="AT1331">
        <f>HYPERLINK("http://www.worldcat.org/oclc/10778084","WorldCat Record")</f>
        <v/>
      </c>
      <c r="AU1331" t="inlineStr">
        <is>
          <t>4494933002:eng</t>
        </is>
      </c>
      <c r="AV1331" t="inlineStr">
        <is>
          <t>10778084</t>
        </is>
      </c>
      <c r="AW1331" t="inlineStr">
        <is>
          <t>991001795029702656</t>
        </is>
      </c>
      <c r="AX1331" t="inlineStr">
        <is>
          <t>991001795029702656</t>
        </is>
      </c>
      <c r="AY1331" t="inlineStr">
        <is>
          <t>2267831030002656</t>
        </is>
      </c>
      <c r="AZ1331" t="inlineStr">
        <is>
          <t>BOOK</t>
        </is>
      </c>
      <c r="BB1331" t="inlineStr">
        <is>
          <t>9780080316253</t>
        </is>
      </c>
      <c r="BC1331" t="inlineStr">
        <is>
          <t>32285000016187</t>
        </is>
      </c>
      <c r="BD1331" t="inlineStr">
        <is>
          <t>893809186</t>
        </is>
      </c>
    </row>
    <row r="1332">
      <c r="A1332" t="inlineStr">
        <is>
          <t>No</t>
        </is>
      </c>
      <c r="B1332" t="inlineStr">
        <is>
          <t>HQ29 .E93 1997</t>
        </is>
      </c>
      <c r="C1332" t="inlineStr">
        <is>
          <t>0                      HQ 0029000E  93          1997</t>
        </is>
      </c>
      <c r="D1332" t="inlineStr">
        <is>
          <t>Women and sexuality in China : female sexuality and gender since 1949 / Harriet Evans.</t>
        </is>
      </c>
      <c r="F1332" t="inlineStr">
        <is>
          <t>No</t>
        </is>
      </c>
      <c r="G1332" t="inlineStr">
        <is>
          <t>1</t>
        </is>
      </c>
      <c r="H1332" t="inlineStr">
        <is>
          <t>No</t>
        </is>
      </c>
      <c r="I1332" t="inlineStr">
        <is>
          <t>No</t>
        </is>
      </c>
      <c r="J1332" t="inlineStr">
        <is>
          <t>0</t>
        </is>
      </c>
      <c r="K1332" t="inlineStr">
        <is>
          <t>Evans, Harriet.</t>
        </is>
      </c>
      <c r="L1332" t="inlineStr">
        <is>
          <t>New York : Continuum, c1997.</t>
        </is>
      </c>
      <c r="M1332" t="inlineStr">
        <is>
          <t>1997</t>
        </is>
      </c>
      <c r="O1332" t="inlineStr">
        <is>
          <t>eng</t>
        </is>
      </c>
      <c r="P1332" t="inlineStr">
        <is>
          <t>nyu</t>
        </is>
      </c>
      <c r="R1332" t="inlineStr">
        <is>
          <t xml:space="preserve">HQ </t>
        </is>
      </c>
      <c r="S1332" t="n">
        <v>18</v>
      </c>
      <c r="T1332" t="n">
        <v>18</v>
      </c>
      <c r="U1332" t="inlineStr">
        <is>
          <t>2009-12-12</t>
        </is>
      </c>
      <c r="V1332" t="inlineStr">
        <is>
          <t>2009-12-12</t>
        </is>
      </c>
      <c r="W1332" t="inlineStr">
        <is>
          <t>1997-12-02</t>
        </is>
      </c>
      <c r="X1332" t="inlineStr">
        <is>
          <t>1997-12-02</t>
        </is>
      </c>
      <c r="Y1332" t="n">
        <v>380</v>
      </c>
      <c r="Z1332" t="n">
        <v>315</v>
      </c>
      <c r="AA1332" t="n">
        <v>340</v>
      </c>
      <c r="AB1332" t="n">
        <v>3</v>
      </c>
      <c r="AC1332" t="n">
        <v>4</v>
      </c>
      <c r="AD1332" t="n">
        <v>21</v>
      </c>
      <c r="AE1332" t="n">
        <v>22</v>
      </c>
      <c r="AF1332" t="n">
        <v>8</v>
      </c>
      <c r="AG1332" t="n">
        <v>8</v>
      </c>
      <c r="AH1332" t="n">
        <v>6</v>
      </c>
      <c r="AI1332" t="n">
        <v>6</v>
      </c>
      <c r="AJ1332" t="n">
        <v>12</v>
      </c>
      <c r="AK1332" t="n">
        <v>12</v>
      </c>
      <c r="AL1332" t="n">
        <v>2</v>
      </c>
      <c r="AM1332" t="n">
        <v>3</v>
      </c>
      <c r="AN1332" t="n">
        <v>0</v>
      </c>
      <c r="AO1332" t="n">
        <v>0</v>
      </c>
      <c r="AP1332" t="inlineStr">
        <is>
          <t>No</t>
        </is>
      </c>
      <c r="AQ1332" t="inlineStr">
        <is>
          <t>Yes</t>
        </is>
      </c>
      <c r="AR1332">
        <f>HYPERLINK("http://catalog.hathitrust.org/Record/003151383","HathiTrust Record")</f>
        <v/>
      </c>
      <c r="AS1332">
        <f>HYPERLINK("https://creighton-primo.hosted.exlibrisgroup.com/primo-explore/search?tab=default_tab&amp;search_scope=EVERYTHING&amp;vid=01CRU&amp;lang=en_US&amp;offset=0&amp;query=any,contains,991002639669702656","Catalog Record")</f>
        <v/>
      </c>
      <c r="AT1332">
        <f>HYPERLINK("http://www.worldcat.org/oclc/34558005","WorldCat Record")</f>
        <v/>
      </c>
      <c r="AU1332" t="inlineStr">
        <is>
          <t>2288075662:eng</t>
        </is>
      </c>
      <c r="AV1332" t="inlineStr">
        <is>
          <t>34558005</t>
        </is>
      </c>
      <c r="AW1332" t="inlineStr">
        <is>
          <t>991002639669702656</t>
        </is>
      </c>
      <c r="AX1332" t="inlineStr">
        <is>
          <t>991002639669702656</t>
        </is>
      </c>
      <c r="AY1332" t="inlineStr">
        <is>
          <t>2256530960002656</t>
        </is>
      </c>
      <c r="AZ1332" t="inlineStr">
        <is>
          <t>BOOK</t>
        </is>
      </c>
      <c r="BB1332" t="inlineStr">
        <is>
          <t>9780826409225</t>
        </is>
      </c>
      <c r="BC1332" t="inlineStr">
        <is>
          <t>32285003280483</t>
        </is>
      </c>
      <c r="BD1332" t="inlineStr">
        <is>
          <t>893262388</t>
        </is>
      </c>
    </row>
    <row r="1333">
      <c r="A1333" t="inlineStr">
        <is>
          <t>No</t>
        </is>
      </c>
      <c r="B1333" t="inlineStr">
        <is>
          <t>HQ29 .H57</t>
        </is>
      </c>
      <c r="C1333" t="inlineStr">
        <is>
          <t>0                      HQ 0029000H  57</t>
        </is>
      </c>
      <c r="D1333" t="inlineStr">
        <is>
          <t>The Hite report : a nationwide study on female sexuality / Shere Hite.</t>
        </is>
      </c>
      <c r="F1333" t="inlineStr">
        <is>
          <t>No</t>
        </is>
      </c>
      <c r="G1333" t="inlineStr">
        <is>
          <t>1</t>
        </is>
      </c>
      <c r="H1333" t="inlineStr">
        <is>
          <t>No</t>
        </is>
      </c>
      <c r="I1333" t="inlineStr">
        <is>
          <t>No</t>
        </is>
      </c>
      <c r="J1333" t="inlineStr">
        <is>
          <t>0</t>
        </is>
      </c>
      <c r="K1333" t="inlineStr">
        <is>
          <t>Hite, Shere.</t>
        </is>
      </c>
      <c r="L1333" t="inlineStr">
        <is>
          <t>New York : Macmillan, c1976.</t>
        </is>
      </c>
      <c r="M1333" t="inlineStr">
        <is>
          <t>1976</t>
        </is>
      </c>
      <c r="O1333" t="inlineStr">
        <is>
          <t>eng</t>
        </is>
      </c>
      <c r="P1333" t="inlineStr">
        <is>
          <t>nyu</t>
        </is>
      </c>
      <c r="R1333" t="inlineStr">
        <is>
          <t xml:space="preserve">HQ </t>
        </is>
      </c>
      <c r="S1333" t="n">
        <v>23</v>
      </c>
      <c r="T1333" t="n">
        <v>23</v>
      </c>
      <c r="U1333" t="inlineStr">
        <is>
          <t>2002-04-28</t>
        </is>
      </c>
      <c r="V1333" t="inlineStr">
        <is>
          <t>2002-04-28</t>
        </is>
      </c>
      <c r="W1333" t="inlineStr">
        <is>
          <t>1993-08-09</t>
        </is>
      </c>
      <c r="X1333" t="inlineStr">
        <is>
          <t>1993-08-09</t>
        </is>
      </c>
      <c r="Y1333" t="n">
        <v>1361</v>
      </c>
      <c r="Z1333" t="n">
        <v>1239</v>
      </c>
      <c r="AA1333" t="n">
        <v>1668</v>
      </c>
      <c r="AB1333" t="n">
        <v>9</v>
      </c>
      <c r="AC1333" t="n">
        <v>11</v>
      </c>
      <c r="AD1333" t="n">
        <v>26</v>
      </c>
      <c r="AE1333" t="n">
        <v>38</v>
      </c>
      <c r="AF1333" t="n">
        <v>11</v>
      </c>
      <c r="AG1333" t="n">
        <v>17</v>
      </c>
      <c r="AH1333" t="n">
        <v>6</v>
      </c>
      <c r="AI1333" t="n">
        <v>7</v>
      </c>
      <c r="AJ1333" t="n">
        <v>10</v>
      </c>
      <c r="AK1333" t="n">
        <v>17</v>
      </c>
      <c r="AL1333" t="n">
        <v>4</v>
      </c>
      <c r="AM1333" t="n">
        <v>5</v>
      </c>
      <c r="AN1333" t="n">
        <v>0</v>
      </c>
      <c r="AO1333" t="n">
        <v>0</v>
      </c>
      <c r="AP1333" t="inlineStr">
        <is>
          <t>No</t>
        </is>
      </c>
      <c r="AQ1333" t="inlineStr">
        <is>
          <t>Yes</t>
        </is>
      </c>
      <c r="AR1333">
        <f>HYPERLINK("http://catalog.hathitrust.org/Record/000727285","HathiTrust Record")</f>
        <v/>
      </c>
      <c r="AS1333">
        <f>HYPERLINK("https://creighton-primo.hosted.exlibrisgroup.com/primo-explore/search?tab=default_tab&amp;search_scope=EVERYTHING&amp;vid=01CRU&amp;lang=en_US&amp;offset=0&amp;query=any,contains,991004011009702656","Catalog Record")</f>
        <v/>
      </c>
      <c r="AT1333">
        <f>HYPERLINK("http://www.worldcat.org/oclc/2091480","WorldCat Record")</f>
        <v/>
      </c>
      <c r="AU1333" t="inlineStr">
        <is>
          <t>364536041:eng</t>
        </is>
      </c>
      <c r="AV1333" t="inlineStr">
        <is>
          <t>2091480</t>
        </is>
      </c>
      <c r="AW1333" t="inlineStr">
        <is>
          <t>991004011009702656</t>
        </is>
      </c>
      <c r="AX1333" t="inlineStr">
        <is>
          <t>991004011009702656</t>
        </is>
      </c>
      <c r="AY1333" t="inlineStr">
        <is>
          <t>2269271300002656</t>
        </is>
      </c>
      <c r="AZ1333" t="inlineStr">
        <is>
          <t>BOOK</t>
        </is>
      </c>
      <c r="BB1333" t="inlineStr">
        <is>
          <t>9780025518513</t>
        </is>
      </c>
      <c r="BC1333" t="inlineStr">
        <is>
          <t>32285001751444</t>
        </is>
      </c>
      <c r="BD1333" t="inlineStr">
        <is>
          <t>893881935</t>
        </is>
      </c>
    </row>
    <row r="1334">
      <c r="A1334" t="inlineStr">
        <is>
          <t>No</t>
        </is>
      </c>
      <c r="B1334" t="inlineStr">
        <is>
          <t>HQ29 .I34 1987</t>
        </is>
      </c>
      <c r="C1334" t="inlineStr">
        <is>
          <t>0                      HQ 0029000I  34          1987</t>
        </is>
      </c>
      <c r="D1334" t="inlineStr">
        <is>
          <t>The Ideology of conduct : essays on literature and the history of sexuality / edited by Nancy Armstrong, Leonard Tennenhouse.</t>
        </is>
      </c>
      <c r="F1334" t="inlineStr">
        <is>
          <t>No</t>
        </is>
      </c>
      <c r="G1334" t="inlineStr">
        <is>
          <t>1</t>
        </is>
      </c>
      <c r="H1334" t="inlineStr">
        <is>
          <t>No</t>
        </is>
      </c>
      <c r="I1334" t="inlineStr">
        <is>
          <t>No</t>
        </is>
      </c>
      <c r="J1334" t="inlineStr">
        <is>
          <t>0</t>
        </is>
      </c>
      <c r="L1334" t="inlineStr">
        <is>
          <t>New York : Methuen, 1987.</t>
        </is>
      </c>
      <c r="M1334" t="inlineStr">
        <is>
          <t>1987</t>
        </is>
      </c>
      <c r="O1334" t="inlineStr">
        <is>
          <t>eng</t>
        </is>
      </c>
      <c r="P1334" t="inlineStr">
        <is>
          <t>nyu</t>
        </is>
      </c>
      <c r="Q1334" t="inlineStr">
        <is>
          <t>Essays in literature and society</t>
        </is>
      </c>
      <c r="R1334" t="inlineStr">
        <is>
          <t xml:space="preserve">HQ </t>
        </is>
      </c>
      <c r="S1334" t="n">
        <v>5</v>
      </c>
      <c r="T1334" t="n">
        <v>5</v>
      </c>
      <c r="U1334" t="inlineStr">
        <is>
          <t>2008-09-02</t>
        </is>
      </c>
      <c r="V1334" t="inlineStr">
        <is>
          <t>2008-09-02</t>
        </is>
      </c>
      <c r="W1334" t="inlineStr">
        <is>
          <t>1993-11-02</t>
        </is>
      </c>
      <c r="X1334" t="inlineStr">
        <is>
          <t>1993-11-02</t>
        </is>
      </c>
      <c r="Y1334" t="n">
        <v>464</v>
      </c>
      <c r="Z1334" t="n">
        <v>310</v>
      </c>
      <c r="AA1334" t="n">
        <v>331</v>
      </c>
      <c r="AB1334" t="n">
        <v>3</v>
      </c>
      <c r="AC1334" t="n">
        <v>3</v>
      </c>
      <c r="AD1334" t="n">
        <v>18</v>
      </c>
      <c r="AE1334" t="n">
        <v>18</v>
      </c>
      <c r="AF1334" t="n">
        <v>4</v>
      </c>
      <c r="AG1334" t="n">
        <v>4</v>
      </c>
      <c r="AH1334" t="n">
        <v>8</v>
      </c>
      <c r="AI1334" t="n">
        <v>8</v>
      </c>
      <c r="AJ1334" t="n">
        <v>9</v>
      </c>
      <c r="AK1334" t="n">
        <v>9</v>
      </c>
      <c r="AL1334" t="n">
        <v>2</v>
      </c>
      <c r="AM1334" t="n">
        <v>2</v>
      </c>
      <c r="AN1334" t="n">
        <v>0</v>
      </c>
      <c r="AO1334" t="n">
        <v>0</v>
      </c>
      <c r="AP1334" t="inlineStr">
        <is>
          <t>No</t>
        </is>
      </c>
      <c r="AQ1334" t="inlineStr">
        <is>
          <t>No</t>
        </is>
      </c>
      <c r="AS1334">
        <f>HYPERLINK("https://creighton-primo.hosted.exlibrisgroup.com/primo-explore/search?tab=default_tab&amp;search_scope=EVERYTHING&amp;vid=01CRU&amp;lang=en_US&amp;offset=0&amp;query=any,contains,991000952199702656","Catalog Record")</f>
        <v/>
      </c>
      <c r="AT1334">
        <f>HYPERLINK("http://www.worldcat.org/oclc/14691946","WorldCat Record")</f>
        <v/>
      </c>
      <c r="AU1334" t="inlineStr">
        <is>
          <t>837064796:eng</t>
        </is>
      </c>
      <c r="AV1334" t="inlineStr">
        <is>
          <t>14691946</t>
        </is>
      </c>
      <c r="AW1334" t="inlineStr">
        <is>
          <t>991000952199702656</t>
        </is>
      </c>
      <c r="AX1334" t="inlineStr">
        <is>
          <t>991000952199702656</t>
        </is>
      </c>
      <c r="AY1334" t="inlineStr">
        <is>
          <t>2254775620002656</t>
        </is>
      </c>
      <c r="AZ1334" t="inlineStr">
        <is>
          <t>BOOK</t>
        </is>
      </c>
      <c r="BB1334" t="inlineStr">
        <is>
          <t>9780416385908</t>
        </is>
      </c>
      <c r="BC1334" t="inlineStr">
        <is>
          <t>32285001795912</t>
        </is>
      </c>
      <c r="BD1334" t="inlineStr">
        <is>
          <t>893891172</t>
        </is>
      </c>
    </row>
    <row r="1335">
      <c r="A1335" t="inlineStr">
        <is>
          <t>No</t>
        </is>
      </c>
      <c r="B1335" t="inlineStr">
        <is>
          <t>HQ29 .L38 1981</t>
        </is>
      </c>
      <c r="C1335" t="inlineStr">
        <is>
          <t>0                      HQ 0029000L  38          1981</t>
        </is>
      </c>
      <c r="D1335" t="inlineStr">
        <is>
          <t>Sexual scripts : the social construction of female sexuality / Judith Long Laws, Pepper Schwartz.</t>
        </is>
      </c>
      <c r="F1335" t="inlineStr">
        <is>
          <t>No</t>
        </is>
      </c>
      <c r="G1335" t="inlineStr">
        <is>
          <t>1</t>
        </is>
      </c>
      <c r="H1335" t="inlineStr">
        <is>
          <t>No</t>
        </is>
      </c>
      <c r="I1335" t="inlineStr">
        <is>
          <t>No</t>
        </is>
      </c>
      <c r="J1335" t="inlineStr">
        <is>
          <t>0</t>
        </is>
      </c>
      <c r="K1335" t="inlineStr">
        <is>
          <t>Laws, Judith Long.</t>
        </is>
      </c>
      <c r="L1335" t="inlineStr">
        <is>
          <t>Washington, D.C. : University Press of America, [c1981]</t>
        </is>
      </c>
      <c r="M1335" t="inlineStr">
        <is>
          <t>1981</t>
        </is>
      </c>
      <c r="O1335" t="inlineStr">
        <is>
          <t>eng</t>
        </is>
      </c>
      <c r="P1335" t="inlineStr">
        <is>
          <t>dcu</t>
        </is>
      </c>
      <c r="R1335" t="inlineStr">
        <is>
          <t xml:space="preserve">HQ </t>
        </is>
      </c>
      <c r="S1335" t="n">
        <v>8</v>
      </c>
      <c r="T1335" t="n">
        <v>8</v>
      </c>
      <c r="U1335" t="inlineStr">
        <is>
          <t>2004-03-27</t>
        </is>
      </c>
      <c r="V1335" t="inlineStr">
        <is>
          <t>2004-03-27</t>
        </is>
      </c>
      <c r="W1335" t="inlineStr">
        <is>
          <t>1990-07-24</t>
        </is>
      </c>
      <c r="X1335" t="inlineStr">
        <is>
          <t>1990-07-24</t>
        </is>
      </c>
      <c r="Y1335" t="n">
        <v>96</v>
      </c>
      <c r="Z1335" t="n">
        <v>88</v>
      </c>
      <c r="AA1335" t="n">
        <v>344</v>
      </c>
      <c r="AB1335" t="n">
        <v>1</v>
      </c>
      <c r="AC1335" t="n">
        <v>2</v>
      </c>
      <c r="AD1335" t="n">
        <v>3</v>
      </c>
      <c r="AE1335" t="n">
        <v>12</v>
      </c>
      <c r="AF1335" t="n">
        <v>2</v>
      </c>
      <c r="AG1335" t="n">
        <v>7</v>
      </c>
      <c r="AH1335" t="n">
        <v>0</v>
      </c>
      <c r="AI1335" t="n">
        <v>2</v>
      </c>
      <c r="AJ1335" t="n">
        <v>3</v>
      </c>
      <c r="AK1335" t="n">
        <v>7</v>
      </c>
      <c r="AL1335" t="n">
        <v>0</v>
      </c>
      <c r="AM1335" t="n">
        <v>1</v>
      </c>
      <c r="AN1335" t="n">
        <v>0</v>
      </c>
      <c r="AO1335" t="n">
        <v>0</v>
      </c>
      <c r="AP1335" t="inlineStr">
        <is>
          <t>No</t>
        </is>
      </c>
      <c r="AQ1335" t="inlineStr">
        <is>
          <t>Yes</t>
        </is>
      </c>
      <c r="AR1335">
        <f>HYPERLINK("http://catalog.hathitrust.org/Record/000381329","HathiTrust Record")</f>
        <v/>
      </c>
      <c r="AS1335">
        <f>HYPERLINK("https://creighton-primo.hosted.exlibrisgroup.com/primo-explore/search?tab=default_tab&amp;search_scope=EVERYTHING&amp;vid=01CRU&amp;lang=en_US&amp;offset=0&amp;query=any,contains,991005159019702656","Catalog Record")</f>
        <v/>
      </c>
      <c r="AT1335">
        <f>HYPERLINK("http://www.worldcat.org/oclc/7772775","WorldCat Record")</f>
        <v/>
      </c>
      <c r="AU1335" t="inlineStr">
        <is>
          <t>401022:eng</t>
        </is>
      </c>
      <c r="AV1335" t="inlineStr">
        <is>
          <t>7772775</t>
        </is>
      </c>
      <c r="AW1335" t="inlineStr">
        <is>
          <t>991005159019702656</t>
        </is>
      </c>
      <c r="AX1335" t="inlineStr">
        <is>
          <t>991005159019702656</t>
        </is>
      </c>
      <c r="AY1335" t="inlineStr">
        <is>
          <t>2270904220002656</t>
        </is>
      </c>
      <c r="AZ1335" t="inlineStr">
        <is>
          <t>BOOK</t>
        </is>
      </c>
      <c r="BB1335" t="inlineStr">
        <is>
          <t>9780819118592</t>
        </is>
      </c>
      <c r="BC1335" t="inlineStr">
        <is>
          <t>32285000248236</t>
        </is>
      </c>
      <c r="BD1335" t="inlineStr">
        <is>
          <t>893613227</t>
        </is>
      </c>
    </row>
    <row r="1336">
      <c r="A1336" t="inlineStr">
        <is>
          <t>No</t>
        </is>
      </c>
      <c r="B1336" t="inlineStr">
        <is>
          <t>HQ29 .M6</t>
        </is>
      </c>
      <c r="C1336" t="inlineStr">
        <is>
          <t>0                      HQ 0029000M  6</t>
        </is>
      </c>
      <c r="D1336" t="inlineStr">
        <is>
          <t>Modern woman, her psychology and sexuality / compiled and edited by George D. Goldman and Donald S. Milman.</t>
        </is>
      </c>
      <c r="F1336" t="inlineStr">
        <is>
          <t>No</t>
        </is>
      </c>
      <c r="G1336" t="inlineStr">
        <is>
          <t>1</t>
        </is>
      </c>
      <c r="H1336" t="inlineStr">
        <is>
          <t>No</t>
        </is>
      </c>
      <c r="I1336" t="inlineStr">
        <is>
          <t>No</t>
        </is>
      </c>
      <c r="J1336" t="inlineStr">
        <is>
          <t>0</t>
        </is>
      </c>
      <c r="L1336" t="inlineStr">
        <is>
          <t>Springfield, Ill. : C. C. Thomas, [1969]</t>
        </is>
      </c>
      <c r="M1336" t="inlineStr">
        <is>
          <t>1969</t>
        </is>
      </c>
      <c r="O1336" t="inlineStr">
        <is>
          <t>eng</t>
        </is>
      </c>
      <c r="P1336" t="inlineStr">
        <is>
          <t>ilu</t>
        </is>
      </c>
      <c r="Q1336" t="inlineStr">
        <is>
          <t>Adelphi University Postdoctoral Program in Psychotherapy conference series</t>
        </is>
      </c>
      <c r="R1336" t="inlineStr">
        <is>
          <t xml:space="preserve">HQ </t>
        </is>
      </c>
      <c r="S1336" t="n">
        <v>4</v>
      </c>
      <c r="T1336" t="n">
        <v>4</v>
      </c>
      <c r="U1336" t="inlineStr">
        <is>
          <t>1998-04-06</t>
        </is>
      </c>
      <c r="V1336" t="inlineStr">
        <is>
          <t>1998-04-06</t>
        </is>
      </c>
      <c r="W1336" t="inlineStr">
        <is>
          <t>1994-12-08</t>
        </is>
      </c>
      <c r="X1336" t="inlineStr">
        <is>
          <t>1994-12-08</t>
        </is>
      </c>
      <c r="Y1336" t="n">
        <v>457</v>
      </c>
      <c r="Z1336" t="n">
        <v>391</v>
      </c>
      <c r="AA1336" t="n">
        <v>398</v>
      </c>
      <c r="AB1336" t="n">
        <v>2</v>
      </c>
      <c r="AC1336" t="n">
        <v>2</v>
      </c>
      <c r="AD1336" t="n">
        <v>15</v>
      </c>
      <c r="AE1336" t="n">
        <v>15</v>
      </c>
      <c r="AF1336" t="n">
        <v>4</v>
      </c>
      <c r="AG1336" t="n">
        <v>4</v>
      </c>
      <c r="AH1336" t="n">
        <v>2</v>
      </c>
      <c r="AI1336" t="n">
        <v>2</v>
      </c>
      <c r="AJ1336" t="n">
        <v>11</v>
      </c>
      <c r="AK1336" t="n">
        <v>11</v>
      </c>
      <c r="AL1336" t="n">
        <v>1</v>
      </c>
      <c r="AM1336" t="n">
        <v>1</v>
      </c>
      <c r="AN1336" t="n">
        <v>0</v>
      </c>
      <c r="AO1336" t="n">
        <v>0</v>
      </c>
      <c r="AP1336" t="inlineStr">
        <is>
          <t>No</t>
        </is>
      </c>
      <c r="AQ1336" t="inlineStr">
        <is>
          <t>Yes</t>
        </is>
      </c>
      <c r="AR1336">
        <f>HYPERLINK("http://catalog.hathitrust.org/Record/001109835","HathiTrust Record")</f>
        <v/>
      </c>
      <c r="AS1336">
        <f>HYPERLINK("https://creighton-primo.hosted.exlibrisgroup.com/primo-explore/search?tab=default_tab&amp;search_scope=EVERYTHING&amp;vid=01CRU&amp;lang=en_US&amp;offset=0&amp;query=any,contains,991000001169702656","Catalog Record")</f>
        <v/>
      </c>
      <c r="AT1336">
        <f>HYPERLINK("http://www.worldcat.org/oclc/10218","WorldCat Record")</f>
        <v/>
      </c>
      <c r="AU1336" t="inlineStr">
        <is>
          <t>1133394:eng</t>
        </is>
      </c>
      <c r="AV1336" t="inlineStr">
        <is>
          <t>10218</t>
        </is>
      </c>
      <c r="AW1336" t="inlineStr">
        <is>
          <t>991000001169702656</t>
        </is>
      </c>
      <c r="AX1336" t="inlineStr">
        <is>
          <t>991000001169702656</t>
        </is>
      </c>
      <c r="AY1336" t="inlineStr">
        <is>
          <t>2268192760002656</t>
        </is>
      </c>
      <c r="AZ1336" t="inlineStr">
        <is>
          <t>BOOK</t>
        </is>
      </c>
      <c r="BC1336" t="inlineStr">
        <is>
          <t>32285001981173</t>
        </is>
      </c>
      <c r="BD1336" t="inlineStr">
        <is>
          <t>893689313</t>
        </is>
      </c>
    </row>
    <row r="1337">
      <c r="A1337" t="inlineStr">
        <is>
          <t>No</t>
        </is>
      </c>
      <c r="B1337" t="inlineStr">
        <is>
          <t>HQ29 .M67 1980</t>
        </is>
      </c>
      <c r="C1337" t="inlineStr">
        <is>
          <t>0                      HQ 0029000M  67          1980</t>
        </is>
      </c>
      <c r="D1337" t="inlineStr">
        <is>
          <t>The Mosher survey : sexual attitudes of 45 Victorian women / Clelia Duel Mosher ; edited by James MaHood &amp; Kristine Wenburg ; introd. by Carl N. Degler.</t>
        </is>
      </c>
      <c r="F1337" t="inlineStr">
        <is>
          <t>No</t>
        </is>
      </c>
      <c r="G1337" t="inlineStr">
        <is>
          <t>1</t>
        </is>
      </c>
      <c r="H1337" t="inlineStr">
        <is>
          <t>No</t>
        </is>
      </c>
      <c r="I1337" t="inlineStr">
        <is>
          <t>No</t>
        </is>
      </c>
      <c r="J1337" t="inlineStr">
        <is>
          <t>0</t>
        </is>
      </c>
      <c r="K1337" t="inlineStr">
        <is>
          <t>Mosher, Clelia Duel, 1863-1940.</t>
        </is>
      </c>
      <c r="L1337" t="inlineStr">
        <is>
          <t>New York : Arno Press, 1980.</t>
        </is>
      </c>
      <c r="M1337" t="inlineStr">
        <is>
          <t>1980</t>
        </is>
      </c>
      <c r="O1337" t="inlineStr">
        <is>
          <t>eng</t>
        </is>
      </c>
      <c r="P1337" t="inlineStr">
        <is>
          <t>nyu</t>
        </is>
      </c>
      <c r="R1337" t="inlineStr">
        <is>
          <t xml:space="preserve">HQ </t>
        </is>
      </c>
      <c r="S1337" t="n">
        <v>8</v>
      </c>
      <c r="T1337" t="n">
        <v>8</v>
      </c>
      <c r="U1337" t="inlineStr">
        <is>
          <t>1996-11-11</t>
        </is>
      </c>
      <c r="V1337" t="inlineStr">
        <is>
          <t>1996-11-11</t>
        </is>
      </c>
      <c r="W1337" t="inlineStr">
        <is>
          <t>1990-03-20</t>
        </is>
      </c>
      <c r="X1337" t="inlineStr">
        <is>
          <t>1990-03-20</t>
        </is>
      </c>
      <c r="Y1337" t="n">
        <v>331</v>
      </c>
      <c r="Z1337" t="n">
        <v>294</v>
      </c>
      <c r="AA1337" t="n">
        <v>302</v>
      </c>
      <c r="AB1337" t="n">
        <v>2</v>
      </c>
      <c r="AC1337" t="n">
        <v>2</v>
      </c>
      <c r="AD1337" t="n">
        <v>13</v>
      </c>
      <c r="AE1337" t="n">
        <v>13</v>
      </c>
      <c r="AF1337" t="n">
        <v>5</v>
      </c>
      <c r="AG1337" t="n">
        <v>5</v>
      </c>
      <c r="AH1337" t="n">
        <v>3</v>
      </c>
      <c r="AI1337" t="n">
        <v>3</v>
      </c>
      <c r="AJ1337" t="n">
        <v>6</v>
      </c>
      <c r="AK1337" t="n">
        <v>6</v>
      </c>
      <c r="AL1337" t="n">
        <v>1</v>
      </c>
      <c r="AM1337" t="n">
        <v>1</v>
      </c>
      <c r="AN1337" t="n">
        <v>0</v>
      </c>
      <c r="AO1337" t="n">
        <v>0</v>
      </c>
      <c r="AP1337" t="inlineStr">
        <is>
          <t>No</t>
        </is>
      </c>
      <c r="AQ1337" t="inlineStr">
        <is>
          <t>Yes</t>
        </is>
      </c>
      <c r="AR1337">
        <f>HYPERLINK("http://catalog.hathitrust.org/Record/101932844","HathiTrust Record")</f>
        <v/>
      </c>
      <c r="AS1337">
        <f>HYPERLINK("https://creighton-primo.hosted.exlibrisgroup.com/primo-explore/search?tab=default_tab&amp;search_scope=EVERYTHING&amp;vid=01CRU&amp;lang=en_US&amp;offset=0&amp;query=any,contains,991004925449702656","Catalog Record")</f>
        <v/>
      </c>
      <c r="AT1337">
        <f>HYPERLINK("http://www.worldcat.org/oclc/6085606","WorldCat Record")</f>
        <v/>
      </c>
      <c r="AU1337" t="inlineStr">
        <is>
          <t>846330171:eng</t>
        </is>
      </c>
      <c r="AV1337" t="inlineStr">
        <is>
          <t>6085606</t>
        </is>
      </c>
      <c r="AW1337" t="inlineStr">
        <is>
          <t>991004925449702656</t>
        </is>
      </c>
      <c r="AX1337" t="inlineStr">
        <is>
          <t>991004925449702656</t>
        </is>
      </c>
      <c r="AY1337" t="inlineStr">
        <is>
          <t>2261067320002656</t>
        </is>
      </c>
      <c r="AZ1337" t="inlineStr">
        <is>
          <t>BOOK</t>
        </is>
      </c>
      <c r="BB1337" t="inlineStr">
        <is>
          <t>9780405130908</t>
        </is>
      </c>
      <c r="BC1337" t="inlineStr">
        <is>
          <t>32285000087196</t>
        </is>
      </c>
      <c r="BD1337" t="inlineStr">
        <is>
          <t>893612917</t>
        </is>
      </c>
    </row>
    <row r="1338">
      <c r="A1338" t="inlineStr">
        <is>
          <t>No</t>
        </is>
      </c>
      <c r="B1338" t="inlineStr">
        <is>
          <t>HQ29 .T38</t>
        </is>
      </c>
      <c r="C1338" t="inlineStr">
        <is>
          <t>0                      HQ 0029000T  38</t>
        </is>
      </c>
      <c r="D1338" t="inlineStr">
        <is>
          <t>The Redbook report on female sexuality : 100,000 married women disclose the good news about sex / Carol Tavris and Susan Sadd.</t>
        </is>
      </c>
      <c r="F1338" t="inlineStr">
        <is>
          <t>No</t>
        </is>
      </c>
      <c r="G1338" t="inlineStr">
        <is>
          <t>1</t>
        </is>
      </c>
      <c r="H1338" t="inlineStr">
        <is>
          <t>No</t>
        </is>
      </c>
      <c r="I1338" t="inlineStr">
        <is>
          <t>No</t>
        </is>
      </c>
      <c r="J1338" t="inlineStr">
        <is>
          <t>0</t>
        </is>
      </c>
      <c r="K1338" t="inlineStr">
        <is>
          <t>Tavris, Carol.</t>
        </is>
      </c>
      <c r="L1338" t="inlineStr">
        <is>
          <t>New York : Delacorte Press, c1977.</t>
        </is>
      </c>
      <c r="M1338" t="inlineStr">
        <is>
          <t>1977</t>
        </is>
      </c>
      <c r="O1338" t="inlineStr">
        <is>
          <t>eng</t>
        </is>
      </c>
      <c r="P1338" t="inlineStr">
        <is>
          <t>nyu</t>
        </is>
      </c>
      <c r="R1338" t="inlineStr">
        <is>
          <t xml:space="preserve">HQ </t>
        </is>
      </c>
      <c r="S1338" t="n">
        <v>2</v>
      </c>
      <c r="T1338" t="n">
        <v>2</v>
      </c>
      <c r="U1338" t="inlineStr">
        <is>
          <t>2002-04-28</t>
        </is>
      </c>
      <c r="V1338" t="inlineStr">
        <is>
          <t>2002-04-28</t>
        </is>
      </c>
      <c r="W1338" t="inlineStr">
        <is>
          <t>1997-08-07</t>
        </is>
      </c>
      <c r="X1338" t="inlineStr">
        <is>
          <t>1997-08-07</t>
        </is>
      </c>
      <c r="Y1338" t="n">
        <v>521</v>
      </c>
      <c r="Z1338" t="n">
        <v>483</v>
      </c>
      <c r="AA1338" t="n">
        <v>524</v>
      </c>
      <c r="AB1338" t="n">
        <v>3</v>
      </c>
      <c r="AC1338" t="n">
        <v>3</v>
      </c>
      <c r="AD1338" t="n">
        <v>11</v>
      </c>
      <c r="AE1338" t="n">
        <v>16</v>
      </c>
      <c r="AF1338" t="n">
        <v>5</v>
      </c>
      <c r="AG1338" t="n">
        <v>9</v>
      </c>
      <c r="AH1338" t="n">
        <v>1</v>
      </c>
      <c r="AI1338" t="n">
        <v>2</v>
      </c>
      <c r="AJ1338" t="n">
        <v>6</v>
      </c>
      <c r="AK1338" t="n">
        <v>7</v>
      </c>
      <c r="AL1338" t="n">
        <v>2</v>
      </c>
      <c r="AM1338" t="n">
        <v>2</v>
      </c>
      <c r="AN1338" t="n">
        <v>0</v>
      </c>
      <c r="AO1338" t="n">
        <v>0</v>
      </c>
      <c r="AP1338" t="inlineStr">
        <is>
          <t>No</t>
        </is>
      </c>
      <c r="AQ1338" t="inlineStr">
        <is>
          <t>No</t>
        </is>
      </c>
      <c r="AS1338">
        <f>HYPERLINK("https://creighton-primo.hosted.exlibrisgroup.com/primo-explore/search?tab=default_tab&amp;search_scope=EVERYTHING&amp;vid=01CRU&amp;lang=en_US&amp;offset=0&amp;query=any,contains,991004369939702656","Catalog Record")</f>
        <v/>
      </c>
      <c r="AT1338">
        <f>HYPERLINK("http://www.worldcat.org/oclc/3186536","WorldCat Record")</f>
        <v/>
      </c>
      <c r="AU1338" t="inlineStr">
        <is>
          <t>9380975608:eng</t>
        </is>
      </c>
      <c r="AV1338" t="inlineStr">
        <is>
          <t>3186536</t>
        </is>
      </c>
      <c r="AW1338" t="inlineStr">
        <is>
          <t>991004369939702656</t>
        </is>
      </c>
      <c r="AX1338" t="inlineStr">
        <is>
          <t>991004369939702656</t>
        </is>
      </c>
      <c r="AY1338" t="inlineStr">
        <is>
          <t>2259953730002656</t>
        </is>
      </c>
      <c r="AZ1338" t="inlineStr">
        <is>
          <t>BOOK</t>
        </is>
      </c>
      <c r="BB1338" t="inlineStr">
        <is>
          <t>9780440075608</t>
        </is>
      </c>
      <c r="BC1338" t="inlineStr">
        <is>
          <t>32285003087896</t>
        </is>
      </c>
      <c r="BD1338" t="inlineStr">
        <is>
          <t>893810485</t>
        </is>
      </c>
    </row>
    <row r="1339">
      <c r="A1339" t="inlineStr">
        <is>
          <t>No</t>
        </is>
      </c>
      <c r="B1339" t="inlineStr">
        <is>
          <t>HQ29 .W667</t>
        </is>
      </c>
      <c r="C1339" t="inlineStr">
        <is>
          <t>0                      HQ 0029000W  667</t>
        </is>
      </c>
      <c r="D1339" t="inlineStr">
        <is>
          <t>Women--sex and sexuality / edited by Catharine R. Stimpson and Ethel Spector Person.</t>
        </is>
      </c>
      <c r="F1339" t="inlineStr">
        <is>
          <t>No</t>
        </is>
      </c>
      <c r="G1339" t="inlineStr">
        <is>
          <t>1</t>
        </is>
      </c>
      <c r="H1339" t="inlineStr">
        <is>
          <t>No</t>
        </is>
      </c>
      <c r="I1339" t="inlineStr">
        <is>
          <t>No</t>
        </is>
      </c>
      <c r="J1339" t="inlineStr">
        <is>
          <t>0</t>
        </is>
      </c>
      <c r="L1339" t="inlineStr">
        <is>
          <t>Chicago : University of Chicago Press, 1980.</t>
        </is>
      </c>
      <c r="M1339" t="inlineStr">
        <is>
          <t>1980</t>
        </is>
      </c>
      <c r="O1339" t="inlineStr">
        <is>
          <t>eng</t>
        </is>
      </c>
      <c r="P1339" t="inlineStr">
        <is>
          <t>ilu</t>
        </is>
      </c>
      <c r="R1339" t="inlineStr">
        <is>
          <t xml:space="preserve">HQ </t>
        </is>
      </c>
      <c r="S1339" t="n">
        <v>6</v>
      </c>
      <c r="T1339" t="n">
        <v>6</v>
      </c>
      <c r="U1339" t="inlineStr">
        <is>
          <t>2005-02-28</t>
        </is>
      </c>
      <c r="V1339" t="inlineStr">
        <is>
          <t>2005-02-28</t>
        </is>
      </c>
      <c r="W1339" t="inlineStr">
        <is>
          <t>1990-07-24</t>
        </is>
      </c>
      <c r="X1339" t="inlineStr">
        <is>
          <t>1990-07-24</t>
        </is>
      </c>
      <c r="Y1339" t="n">
        <v>511</v>
      </c>
      <c r="Z1339" t="n">
        <v>398</v>
      </c>
      <c r="AA1339" t="n">
        <v>408</v>
      </c>
      <c r="AB1339" t="n">
        <v>3</v>
      </c>
      <c r="AC1339" t="n">
        <v>3</v>
      </c>
      <c r="AD1339" t="n">
        <v>12</v>
      </c>
      <c r="AE1339" t="n">
        <v>12</v>
      </c>
      <c r="AF1339" t="n">
        <v>6</v>
      </c>
      <c r="AG1339" t="n">
        <v>6</v>
      </c>
      <c r="AH1339" t="n">
        <v>4</v>
      </c>
      <c r="AI1339" t="n">
        <v>4</v>
      </c>
      <c r="AJ1339" t="n">
        <v>3</v>
      </c>
      <c r="AK1339" t="n">
        <v>3</v>
      </c>
      <c r="AL1339" t="n">
        <v>1</v>
      </c>
      <c r="AM1339" t="n">
        <v>1</v>
      </c>
      <c r="AN1339" t="n">
        <v>0</v>
      </c>
      <c r="AO1339" t="n">
        <v>0</v>
      </c>
      <c r="AP1339" t="inlineStr">
        <is>
          <t>No</t>
        </is>
      </c>
      <c r="AQ1339" t="inlineStr">
        <is>
          <t>No</t>
        </is>
      </c>
      <c r="AS1339">
        <f>HYPERLINK("https://creighton-primo.hosted.exlibrisgroup.com/primo-explore/search?tab=default_tab&amp;search_scope=EVERYTHING&amp;vid=01CRU&amp;lang=en_US&amp;offset=0&amp;query=any,contains,991005037659702656","Catalog Record")</f>
        <v/>
      </c>
      <c r="AT1339">
        <f>HYPERLINK("http://www.worldcat.org/oclc/6762693","WorldCat Record")</f>
        <v/>
      </c>
      <c r="AU1339" t="inlineStr">
        <is>
          <t>375069293:eng</t>
        </is>
      </c>
      <c r="AV1339" t="inlineStr">
        <is>
          <t>6762693</t>
        </is>
      </c>
      <c r="AW1339" t="inlineStr">
        <is>
          <t>991005037659702656</t>
        </is>
      </c>
      <c r="AX1339" t="inlineStr">
        <is>
          <t>991005037659702656</t>
        </is>
      </c>
      <c r="AY1339" t="inlineStr">
        <is>
          <t>2262840240002656</t>
        </is>
      </c>
      <c r="AZ1339" t="inlineStr">
        <is>
          <t>BOOK</t>
        </is>
      </c>
      <c r="BB1339" t="inlineStr">
        <is>
          <t>9780226774763</t>
        </is>
      </c>
      <c r="BC1339" t="inlineStr">
        <is>
          <t>32285000227271</t>
        </is>
      </c>
      <c r="BD1339" t="inlineStr">
        <is>
          <t>893782935</t>
        </is>
      </c>
    </row>
    <row r="1340">
      <c r="A1340" t="inlineStr">
        <is>
          <t>No</t>
        </is>
      </c>
      <c r="B1340" t="inlineStr">
        <is>
          <t>HQ29 .W675 1982</t>
        </is>
      </c>
      <c r="C1340" t="inlineStr">
        <is>
          <t>0                      HQ 0029000W  675         1982</t>
        </is>
      </c>
      <c r="D1340" t="inlineStr">
        <is>
          <t>Women's sexual experience : explorations of the dark continent / edited by Martha Kirkpatrick.</t>
        </is>
      </c>
      <c r="F1340" t="inlineStr">
        <is>
          <t>No</t>
        </is>
      </c>
      <c r="G1340" t="inlineStr">
        <is>
          <t>1</t>
        </is>
      </c>
      <c r="H1340" t="inlineStr">
        <is>
          <t>No</t>
        </is>
      </c>
      <c r="I1340" t="inlineStr">
        <is>
          <t>No</t>
        </is>
      </c>
      <c r="J1340" t="inlineStr">
        <is>
          <t>0</t>
        </is>
      </c>
      <c r="L1340" t="inlineStr">
        <is>
          <t>New York : Plenum Press, c1982.</t>
        </is>
      </c>
      <c r="M1340" t="inlineStr">
        <is>
          <t>1982</t>
        </is>
      </c>
      <c r="O1340" t="inlineStr">
        <is>
          <t>eng</t>
        </is>
      </c>
      <c r="P1340" t="inlineStr">
        <is>
          <t>nyu</t>
        </is>
      </c>
      <c r="Q1340" t="inlineStr">
        <is>
          <t>Women in context</t>
        </is>
      </c>
      <c r="R1340" t="inlineStr">
        <is>
          <t xml:space="preserve">HQ </t>
        </is>
      </c>
      <c r="S1340" t="n">
        <v>29</v>
      </c>
      <c r="T1340" t="n">
        <v>29</v>
      </c>
      <c r="U1340" t="inlineStr">
        <is>
          <t>1993-03-15</t>
        </is>
      </c>
      <c r="V1340" t="inlineStr">
        <is>
          <t>1993-03-15</t>
        </is>
      </c>
      <c r="W1340" t="inlineStr">
        <is>
          <t>1990-03-19</t>
        </is>
      </c>
      <c r="X1340" t="inlineStr">
        <is>
          <t>1990-03-19</t>
        </is>
      </c>
      <c r="Y1340" t="n">
        <v>480</v>
      </c>
      <c r="Z1340" t="n">
        <v>408</v>
      </c>
      <c r="AA1340" t="n">
        <v>426</v>
      </c>
      <c r="AB1340" t="n">
        <v>2</v>
      </c>
      <c r="AC1340" t="n">
        <v>2</v>
      </c>
      <c r="AD1340" t="n">
        <v>13</v>
      </c>
      <c r="AE1340" t="n">
        <v>13</v>
      </c>
      <c r="AF1340" t="n">
        <v>5</v>
      </c>
      <c r="AG1340" t="n">
        <v>5</v>
      </c>
      <c r="AH1340" t="n">
        <v>4</v>
      </c>
      <c r="AI1340" t="n">
        <v>4</v>
      </c>
      <c r="AJ1340" t="n">
        <v>7</v>
      </c>
      <c r="AK1340" t="n">
        <v>7</v>
      </c>
      <c r="AL1340" t="n">
        <v>1</v>
      </c>
      <c r="AM1340" t="n">
        <v>1</v>
      </c>
      <c r="AN1340" t="n">
        <v>0</v>
      </c>
      <c r="AO1340" t="n">
        <v>0</v>
      </c>
      <c r="AP1340" t="inlineStr">
        <is>
          <t>No</t>
        </is>
      </c>
      <c r="AQ1340" t="inlineStr">
        <is>
          <t>No</t>
        </is>
      </c>
      <c r="AS1340">
        <f>HYPERLINK("https://creighton-primo.hosted.exlibrisgroup.com/primo-explore/search?tab=default_tab&amp;search_scope=EVERYTHING&amp;vid=01CRU&amp;lang=en_US&amp;offset=0&amp;query=any,contains,991005216469702656","Catalog Record")</f>
        <v/>
      </c>
      <c r="AT1340">
        <f>HYPERLINK("http://www.worldcat.org/oclc/8194950","WorldCat Record")</f>
        <v/>
      </c>
      <c r="AU1340" t="inlineStr">
        <is>
          <t>836685476:eng</t>
        </is>
      </c>
      <c r="AV1340" t="inlineStr">
        <is>
          <t>8194950</t>
        </is>
      </c>
      <c r="AW1340" t="inlineStr">
        <is>
          <t>991005216469702656</t>
        </is>
      </c>
      <c r="AX1340" t="inlineStr">
        <is>
          <t>991005216469702656</t>
        </is>
      </c>
      <c r="AY1340" t="inlineStr">
        <is>
          <t>2268688440002656</t>
        </is>
      </c>
      <c r="AZ1340" t="inlineStr">
        <is>
          <t>BOOK</t>
        </is>
      </c>
      <c r="BB1340" t="inlineStr">
        <is>
          <t>9780306407932</t>
        </is>
      </c>
      <c r="BC1340" t="inlineStr">
        <is>
          <t>32285000087949</t>
        </is>
      </c>
      <c r="BD1340" t="inlineStr">
        <is>
          <t>893619646</t>
        </is>
      </c>
    </row>
    <row r="1341">
      <c r="A1341" t="inlineStr">
        <is>
          <t>No</t>
        </is>
      </c>
      <c r="B1341" t="inlineStr">
        <is>
          <t>HQ30.5 .R33 1980</t>
        </is>
      </c>
      <c r="C1341" t="inlineStr">
        <is>
          <t>0                      HQ 0030500R  33          1980</t>
        </is>
      </c>
      <c r="D1341" t="inlineStr">
        <is>
          <t>The sensuous wheeler : sexual adjustment for the spinal cord injured / by Barry J. Rabin ; ill., Lena Walden.</t>
        </is>
      </c>
      <c r="F1341" t="inlineStr">
        <is>
          <t>No</t>
        </is>
      </c>
      <c r="G1341" t="inlineStr">
        <is>
          <t>1</t>
        </is>
      </c>
      <c r="H1341" t="inlineStr">
        <is>
          <t>No</t>
        </is>
      </c>
      <c r="I1341" t="inlineStr">
        <is>
          <t>No</t>
        </is>
      </c>
      <c r="J1341" t="inlineStr">
        <is>
          <t>0</t>
        </is>
      </c>
      <c r="K1341" t="inlineStr">
        <is>
          <t>Rabin, Barry J.</t>
        </is>
      </c>
      <c r="L1341" t="inlineStr">
        <is>
          <t>San Francisco : Multi Media Resource Center, c1980.</t>
        </is>
      </c>
      <c r="M1341" t="inlineStr">
        <is>
          <t>1980</t>
        </is>
      </c>
      <c r="O1341" t="inlineStr">
        <is>
          <t>eng</t>
        </is>
      </c>
      <c r="P1341" t="inlineStr">
        <is>
          <t>cau</t>
        </is>
      </c>
      <c r="R1341" t="inlineStr">
        <is>
          <t xml:space="preserve">HQ </t>
        </is>
      </c>
      <c r="S1341" t="n">
        <v>6</v>
      </c>
      <c r="T1341" t="n">
        <v>6</v>
      </c>
      <c r="U1341" t="inlineStr">
        <is>
          <t>1992-09-09</t>
        </is>
      </c>
      <c r="V1341" t="inlineStr">
        <is>
          <t>1992-09-09</t>
        </is>
      </c>
      <c r="W1341" t="inlineStr">
        <is>
          <t>1992-09-09</t>
        </is>
      </c>
      <c r="X1341" t="inlineStr">
        <is>
          <t>1992-09-09</t>
        </is>
      </c>
      <c r="Y1341" t="n">
        <v>70</v>
      </c>
      <c r="Z1341" t="n">
        <v>64</v>
      </c>
      <c r="AA1341" t="n">
        <v>81</v>
      </c>
      <c r="AB1341" t="n">
        <v>1</v>
      </c>
      <c r="AC1341" t="n">
        <v>1</v>
      </c>
      <c r="AD1341" t="n">
        <v>2</v>
      </c>
      <c r="AE1341" t="n">
        <v>2</v>
      </c>
      <c r="AF1341" t="n">
        <v>1</v>
      </c>
      <c r="AG1341" t="n">
        <v>1</v>
      </c>
      <c r="AH1341" t="n">
        <v>0</v>
      </c>
      <c r="AI1341" t="n">
        <v>0</v>
      </c>
      <c r="AJ1341" t="n">
        <v>2</v>
      </c>
      <c r="AK1341" t="n">
        <v>2</v>
      </c>
      <c r="AL1341" t="n">
        <v>0</v>
      </c>
      <c r="AM1341" t="n">
        <v>0</v>
      </c>
      <c r="AN1341" t="n">
        <v>0</v>
      </c>
      <c r="AO1341" t="n">
        <v>0</v>
      </c>
      <c r="AP1341" t="inlineStr">
        <is>
          <t>No</t>
        </is>
      </c>
      <c r="AQ1341" t="inlineStr">
        <is>
          <t>Yes</t>
        </is>
      </c>
      <c r="AR1341">
        <f>HYPERLINK("http://catalog.hathitrust.org/Record/000716604","HathiTrust Record")</f>
        <v/>
      </c>
      <c r="AS1341">
        <f>HYPERLINK("https://creighton-primo.hosted.exlibrisgroup.com/primo-explore/search?tab=default_tab&amp;search_scope=EVERYTHING&amp;vid=01CRU&amp;lang=en_US&amp;offset=0&amp;query=any,contains,991005057089702656","Catalog Record")</f>
        <v/>
      </c>
      <c r="AT1341">
        <f>HYPERLINK("http://www.worldcat.org/oclc/11112583","WorldCat Record")</f>
        <v/>
      </c>
      <c r="AU1341" t="inlineStr">
        <is>
          <t>565801:eng</t>
        </is>
      </c>
      <c r="AV1341" t="inlineStr">
        <is>
          <t>11112583</t>
        </is>
      </c>
      <c r="AW1341" t="inlineStr">
        <is>
          <t>991005057089702656</t>
        </is>
      </c>
      <c r="AX1341" t="inlineStr">
        <is>
          <t>991005057089702656</t>
        </is>
      </c>
      <c r="AY1341" t="inlineStr">
        <is>
          <t>2261751120002656</t>
        </is>
      </c>
      <c r="AZ1341" t="inlineStr">
        <is>
          <t>BOOK</t>
        </is>
      </c>
      <c r="BB1341" t="inlineStr">
        <is>
          <t>9780960396801</t>
        </is>
      </c>
      <c r="BC1341" t="inlineStr">
        <is>
          <t>32285001293397</t>
        </is>
      </c>
      <c r="BD1341" t="inlineStr">
        <is>
          <t>893350633</t>
        </is>
      </c>
    </row>
    <row r="1342">
      <c r="A1342" t="inlineStr">
        <is>
          <t>No</t>
        </is>
      </c>
      <c r="B1342" t="inlineStr">
        <is>
          <t>HQ31 .A89 1982</t>
        </is>
      </c>
      <c r="C1342" t="inlineStr">
        <is>
          <t>0                      HQ 0031000A  89          1982</t>
        </is>
      </c>
      <c r="D1342" t="inlineStr">
        <is>
          <t>Sexuality, a Christian view : toward formation of mature values / Gennaro P. Avvento ; foreword by Bernard Häring.</t>
        </is>
      </c>
      <c r="F1342" t="inlineStr">
        <is>
          <t>No</t>
        </is>
      </c>
      <c r="G1342" t="inlineStr">
        <is>
          <t>1</t>
        </is>
      </c>
      <c r="H1342" t="inlineStr">
        <is>
          <t>No</t>
        </is>
      </c>
      <c r="I1342" t="inlineStr">
        <is>
          <t>No</t>
        </is>
      </c>
      <c r="J1342" t="inlineStr">
        <is>
          <t>0</t>
        </is>
      </c>
      <c r="K1342" t="inlineStr">
        <is>
          <t>Avvento, Gennaro P.</t>
        </is>
      </c>
      <c r="L1342" t="inlineStr">
        <is>
          <t>Mystic, Conn. : Twenty-Third Publications, c1982.</t>
        </is>
      </c>
      <c r="M1342" t="inlineStr">
        <is>
          <t>1982</t>
        </is>
      </c>
      <c r="O1342" t="inlineStr">
        <is>
          <t>eng</t>
        </is>
      </c>
      <c r="P1342" t="inlineStr">
        <is>
          <t>ctu</t>
        </is>
      </c>
      <c r="R1342" t="inlineStr">
        <is>
          <t xml:space="preserve">HQ </t>
        </is>
      </c>
      <c r="S1342" t="n">
        <v>6</v>
      </c>
      <c r="T1342" t="n">
        <v>6</v>
      </c>
      <c r="U1342" t="inlineStr">
        <is>
          <t>2010-04-07</t>
        </is>
      </c>
      <c r="V1342" t="inlineStr">
        <is>
          <t>2010-04-07</t>
        </is>
      </c>
      <c r="W1342" t="inlineStr">
        <is>
          <t>1990-07-24</t>
        </is>
      </c>
      <c r="X1342" t="inlineStr">
        <is>
          <t>1990-07-24</t>
        </is>
      </c>
      <c r="Y1342" t="n">
        <v>213</v>
      </c>
      <c r="Z1342" t="n">
        <v>175</v>
      </c>
      <c r="AA1342" t="n">
        <v>177</v>
      </c>
      <c r="AB1342" t="n">
        <v>3</v>
      </c>
      <c r="AC1342" t="n">
        <v>3</v>
      </c>
      <c r="AD1342" t="n">
        <v>23</v>
      </c>
      <c r="AE1342" t="n">
        <v>23</v>
      </c>
      <c r="AF1342" t="n">
        <v>6</v>
      </c>
      <c r="AG1342" t="n">
        <v>6</v>
      </c>
      <c r="AH1342" t="n">
        <v>4</v>
      </c>
      <c r="AI1342" t="n">
        <v>4</v>
      </c>
      <c r="AJ1342" t="n">
        <v>15</v>
      </c>
      <c r="AK1342" t="n">
        <v>15</v>
      </c>
      <c r="AL1342" t="n">
        <v>1</v>
      </c>
      <c r="AM1342" t="n">
        <v>1</v>
      </c>
      <c r="AN1342" t="n">
        <v>0</v>
      </c>
      <c r="AO1342" t="n">
        <v>0</v>
      </c>
      <c r="AP1342" t="inlineStr">
        <is>
          <t>No</t>
        </is>
      </c>
      <c r="AQ1342" t="inlineStr">
        <is>
          <t>Yes</t>
        </is>
      </c>
      <c r="AR1342">
        <f>HYPERLINK("http://catalog.hathitrust.org/Record/006017082","HathiTrust Record")</f>
        <v/>
      </c>
      <c r="AS1342">
        <f>HYPERLINK("https://creighton-primo.hosted.exlibrisgroup.com/primo-explore/search?tab=default_tab&amp;search_scope=EVERYTHING&amp;vid=01CRU&amp;lang=en_US&amp;offset=0&amp;query=any,contains,991000110669702656","Catalog Record")</f>
        <v/>
      </c>
      <c r="AT1342">
        <f>HYPERLINK("http://www.worldcat.org/oclc/8995801","WorldCat Record")</f>
        <v/>
      </c>
      <c r="AU1342" t="inlineStr">
        <is>
          <t>898810688:eng</t>
        </is>
      </c>
      <c r="AV1342" t="inlineStr">
        <is>
          <t>8995801</t>
        </is>
      </c>
      <c r="AW1342" t="inlineStr">
        <is>
          <t>991000110669702656</t>
        </is>
      </c>
      <c r="AX1342" t="inlineStr">
        <is>
          <t>991000110669702656</t>
        </is>
      </c>
      <c r="AY1342" t="inlineStr">
        <is>
          <t>2257526850002656</t>
        </is>
      </c>
      <c r="AZ1342" t="inlineStr">
        <is>
          <t>BOOK</t>
        </is>
      </c>
      <c r="BB1342" t="inlineStr">
        <is>
          <t>9780896221581</t>
        </is>
      </c>
      <c r="BC1342" t="inlineStr">
        <is>
          <t>32285000248269</t>
        </is>
      </c>
      <c r="BD1342" t="inlineStr">
        <is>
          <t>893796426</t>
        </is>
      </c>
    </row>
    <row r="1343">
      <c r="A1343" t="inlineStr">
        <is>
          <t>No</t>
        </is>
      </c>
      <c r="B1343" t="inlineStr">
        <is>
          <t>HQ31 .B726 1985</t>
        </is>
      </c>
      <c r="C1343" t="inlineStr">
        <is>
          <t>0                      HQ 0031000B  726         1985</t>
        </is>
      </c>
      <c r="D1343" t="inlineStr">
        <is>
          <t>Is there sex after marriage? / by Carol Botwin ; foreword by Harold I. Lief.</t>
        </is>
      </c>
      <c r="F1343" t="inlineStr">
        <is>
          <t>No</t>
        </is>
      </c>
      <c r="G1343" t="inlineStr">
        <is>
          <t>1</t>
        </is>
      </c>
      <c r="H1343" t="inlineStr">
        <is>
          <t>No</t>
        </is>
      </c>
      <c r="I1343" t="inlineStr">
        <is>
          <t>No</t>
        </is>
      </c>
      <c r="J1343" t="inlineStr">
        <is>
          <t>0</t>
        </is>
      </c>
      <c r="K1343" t="inlineStr">
        <is>
          <t>Botwin, Carol.</t>
        </is>
      </c>
      <c r="L1343" t="inlineStr">
        <is>
          <t>Boston : Little, Brown and Co., c1985.</t>
        </is>
      </c>
      <c r="M1343" t="inlineStr">
        <is>
          <t>1985</t>
        </is>
      </c>
      <c r="N1343" t="inlineStr">
        <is>
          <t>1st ed.</t>
        </is>
      </c>
      <c r="O1343" t="inlineStr">
        <is>
          <t>eng</t>
        </is>
      </c>
      <c r="P1343" t="inlineStr">
        <is>
          <t>mau</t>
        </is>
      </c>
      <c r="R1343" t="inlineStr">
        <is>
          <t xml:space="preserve">HQ </t>
        </is>
      </c>
      <c r="S1343" t="n">
        <v>7</v>
      </c>
      <c r="T1343" t="n">
        <v>7</v>
      </c>
      <c r="U1343" t="inlineStr">
        <is>
          <t>2000-11-14</t>
        </is>
      </c>
      <c r="V1343" t="inlineStr">
        <is>
          <t>2000-11-14</t>
        </is>
      </c>
      <c r="W1343" t="inlineStr">
        <is>
          <t>1990-07-24</t>
        </is>
      </c>
      <c r="X1343" t="inlineStr">
        <is>
          <t>1990-07-24</t>
        </is>
      </c>
      <c r="Y1343" t="n">
        <v>328</v>
      </c>
      <c r="Z1343" t="n">
        <v>312</v>
      </c>
      <c r="AA1343" t="n">
        <v>457</v>
      </c>
      <c r="AB1343" t="n">
        <v>2</v>
      </c>
      <c r="AC1343" t="n">
        <v>3</v>
      </c>
      <c r="AD1343" t="n">
        <v>0</v>
      </c>
      <c r="AE1343" t="n">
        <v>4</v>
      </c>
      <c r="AF1343" t="n">
        <v>0</v>
      </c>
      <c r="AG1343" t="n">
        <v>3</v>
      </c>
      <c r="AH1343" t="n">
        <v>0</v>
      </c>
      <c r="AI1343" t="n">
        <v>1</v>
      </c>
      <c r="AJ1343" t="n">
        <v>0</v>
      </c>
      <c r="AK1343" t="n">
        <v>0</v>
      </c>
      <c r="AL1343" t="n">
        <v>0</v>
      </c>
      <c r="AM1343" t="n">
        <v>1</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HYPERLINK("https://creighton-primo.hosted.exlibrisgroup.com/primo-explore/search?tab=default_tab&amp;search_scope=EVERYTHING&amp;vid=01CRU&amp;lang=en_US&amp;offset=0&amp;query=any,contains,991000527459702656","Catalog Record")</f>
        <v/>
      </c>
      <c r="AT1343">
        <f>HYPERLINK("http://www.worldcat.org/oclc/11371687","WorldCat Record")</f>
        <v/>
      </c>
      <c r="AU1343" t="inlineStr">
        <is>
          <t>3927520:eng</t>
        </is>
      </c>
      <c r="AV1343" t="inlineStr">
        <is>
          <t>11371687</t>
        </is>
      </c>
      <c r="AW1343" t="inlineStr">
        <is>
          <t>991000527459702656</t>
        </is>
      </c>
      <c r="AX1343" t="inlineStr">
        <is>
          <t>991000527459702656</t>
        </is>
      </c>
      <c r="AY1343" t="inlineStr">
        <is>
          <t>2258772610002656</t>
        </is>
      </c>
      <c r="AZ1343" t="inlineStr">
        <is>
          <t>BOOK</t>
        </is>
      </c>
      <c r="BB1343" t="inlineStr">
        <is>
          <t>9780316103503</t>
        </is>
      </c>
      <c r="BC1343" t="inlineStr">
        <is>
          <t>32285000248285</t>
        </is>
      </c>
      <c r="BD1343" t="inlineStr">
        <is>
          <t>893425808</t>
        </is>
      </c>
    </row>
    <row r="1344">
      <c r="A1344" t="inlineStr">
        <is>
          <t>No</t>
        </is>
      </c>
      <c r="B1344" t="inlineStr">
        <is>
          <t>HQ31 .G433</t>
        </is>
      </c>
      <c r="C1344" t="inlineStr">
        <is>
          <t>0                      HQ 0031000G  433</t>
        </is>
      </c>
      <c r="D1344" t="inlineStr">
        <is>
          <t>Love in marriage; the meaning and practice of sexual love in Christian marriage. With an introd. by George A. Kelly. Translated from the French by André Humbert.</t>
        </is>
      </c>
      <c r="F1344" t="inlineStr">
        <is>
          <t>No</t>
        </is>
      </c>
      <c r="G1344" t="inlineStr">
        <is>
          <t>1</t>
        </is>
      </c>
      <c r="H1344" t="inlineStr">
        <is>
          <t>No</t>
        </is>
      </c>
      <c r="I1344" t="inlineStr">
        <is>
          <t>No</t>
        </is>
      </c>
      <c r="J1344" t="inlineStr">
        <is>
          <t>0</t>
        </is>
      </c>
      <c r="K1344" t="inlineStr">
        <is>
          <t>Gibert, Henri, 1920-</t>
        </is>
      </c>
      <c r="L1344" t="inlineStr">
        <is>
          <t>New York, Hawthorn Books [1964]</t>
        </is>
      </c>
      <c r="M1344" t="inlineStr">
        <is>
          <t>1964</t>
        </is>
      </c>
      <c r="N1344" t="inlineStr">
        <is>
          <t>[1st ed.]</t>
        </is>
      </c>
      <c r="O1344" t="inlineStr">
        <is>
          <t>eng</t>
        </is>
      </c>
      <c r="P1344" t="inlineStr">
        <is>
          <t>nyu</t>
        </is>
      </c>
      <c r="R1344" t="inlineStr">
        <is>
          <t xml:space="preserve">HQ </t>
        </is>
      </c>
      <c r="S1344" t="n">
        <v>2</v>
      </c>
      <c r="T1344" t="n">
        <v>2</v>
      </c>
      <c r="U1344" t="inlineStr">
        <is>
          <t>2002-03-27</t>
        </is>
      </c>
      <c r="V1344" t="inlineStr">
        <is>
          <t>2002-03-27</t>
        </is>
      </c>
      <c r="W1344" t="inlineStr">
        <is>
          <t>1997-08-07</t>
        </is>
      </c>
      <c r="X1344" t="inlineStr">
        <is>
          <t>1997-08-07</t>
        </is>
      </c>
      <c r="Y1344" t="n">
        <v>157</v>
      </c>
      <c r="Z1344" t="n">
        <v>134</v>
      </c>
      <c r="AA1344" t="n">
        <v>160</v>
      </c>
      <c r="AB1344" t="n">
        <v>2</v>
      </c>
      <c r="AC1344" t="n">
        <v>2</v>
      </c>
      <c r="AD1344" t="n">
        <v>20</v>
      </c>
      <c r="AE1344" t="n">
        <v>21</v>
      </c>
      <c r="AF1344" t="n">
        <v>5</v>
      </c>
      <c r="AG1344" t="n">
        <v>5</v>
      </c>
      <c r="AH1344" t="n">
        <v>3</v>
      </c>
      <c r="AI1344" t="n">
        <v>4</v>
      </c>
      <c r="AJ1344" t="n">
        <v>17</v>
      </c>
      <c r="AK1344" t="n">
        <v>18</v>
      </c>
      <c r="AL1344" t="n">
        <v>1</v>
      </c>
      <c r="AM1344" t="n">
        <v>1</v>
      </c>
      <c r="AN1344" t="n">
        <v>0</v>
      </c>
      <c r="AO1344" t="n">
        <v>0</v>
      </c>
      <c r="AP1344" t="inlineStr">
        <is>
          <t>No</t>
        </is>
      </c>
      <c r="AQ1344" t="inlineStr">
        <is>
          <t>No</t>
        </is>
      </c>
      <c r="AS1344">
        <f>HYPERLINK("https://creighton-primo.hosted.exlibrisgroup.com/primo-explore/search?tab=default_tab&amp;search_scope=EVERYTHING&amp;vid=01CRU&amp;lang=en_US&amp;offset=0&amp;query=any,contains,991003666379702656","Catalog Record")</f>
        <v/>
      </c>
      <c r="AT1344">
        <f>HYPERLINK("http://www.worldcat.org/oclc/1280037","WorldCat Record")</f>
        <v/>
      </c>
      <c r="AU1344" t="inlineStr">
        <is>
          <t>933790975:eng</t>
        </is>
      </c>
      <c r="AV1344" t="inlineStr">
        <is>
          <t>1280037</t>
        </is>
      </c>
      <c r="AW1344" t="inlineStr">
        <is>
          <t>991003666379702656</t>
        </is>
      </c>
      <c r="AX1344" t="inlineStr">
        <is>
          <t>991003666379702656</t>
        </is>
      </c>
      <c r="AY1344" t="inlineStr">
        <is>
          <t>2271387920002656</t>
        </is>
      </c>
      <c r="AZ1344" t="inlineStr">
        <is>
          <t>BOOK</t>
        </is>
      </c>
      <c r="BC1344" t="inlineStr">
        <is>
          <t>32285003087953</t>
        </is>
      </c>
      <c r="BD1344" t="inlineStr">
        <is>
          <t>893445770</t>
        </is>
      </c>
    </row>
    <row r="1345">
      <c r="A1345" t="inlineStr">
        <is>
          <t>No</t>
        </is>
      </c>
      <c r="B1345" t="inlineStr">
        <is>
          <t>HQ31 .G72 1980</t>
        </is>
      </c>
      <c r="C1345" t="inlineStr">
        <is>
          <t>0                      HQ 0031000G  72          1980</t>
        </is>
      </c>
      <c r="D1345" t="inlineStr">
        <is>
          <t>A joyful meeting : sexuality in marriage / by Mike &amp; Joyce Grace.</t>
        </is>
      </c>
      <c r="F1345" t="inlineStr">
        <is>
          <t>No</t>
        </is>
      </c>
      <c r="G1345" t="inlineStr">
        <is>
          <t>1</t>
        </is>
      </c>
      <c r="H1345" t="inlineStr">
        <is>
          <t>No</t>
        </is>
      </c>
      <c r="I1345" t="inlineStr">
        <is>
          <t>No</t>
        </is>
      </c>
      <c r="J1345" t="inlineStr">
        <is>
          <t>0</t>
        </is>
      </c>
      <c r="K1345" t="inlineStr">
        <is>
          <t>Grace, Mike.</t>
        </is>
      </c>
      <c r="L1345" t="inlineStr">
        <is>
          <t>St. Paul : National Marriage Encounter, c1980.</t>
        </is>
      </c>
      <c r="M1345" t="inlineStr">
        <is>
          <t>1980</t>
        </is>
      </c>
      <c r="O1345" t="inlineStr">
        <is>
          <t>eng</t>
        </is>
      </c>
      <c r="P1345" t="inlineStr">
        <is>
          <t>mnu</t>
        </is>
      </c>
      <c r="R1345" t="inlineStr">
        <is>
          <t xml:space="preserve">HQ </t>
        </is>
      </c>
      <c r="S1345" t="n">
        <v>13</v>
      </c>
      <c r="T1345" t="n">
        <v>13</v>
      </c>
      <c r="U1345" t="inlineStr">
        <is>
          <t>1996-11-13</t>
        </is>
      </c>
      <c r="V1345" t="inlineStr">
        <is>
          <t>1996-11-13</t>
        </is>
      </c>
      <c r="W1345" t="inlineStr">
        <is>
          <t>1990-11-26</t>
        </is>
      </c>
      <c r="X1345" t="inlineStr">
        <is>
          <t>1990-11-26</t>
        </is>
      </c>
      <c r="Y1345" t="n">
        <v>35</v>
      </c>
      <c r="Z1345" t="n">
        <v>31</v>
      </c>
      <c r="AA1345" t="n">
        <v>81</v>
      </c>
      <c r="AB1345" t="n">
        <v>2</v>
      </c>
      <c r="AC1345" t="n">
        <v>3</v>
      </c>
      <c r="AD1345" t="n">
        <v>4</v>
      </c>
      <c r="AE1345" t="n">
        <v>6</v>
      </c>
      <c r="AF1345" t="n">
        <v>1</v>
      </c>
      <c r="AG1345" t="n">
        <v>1</v>
      </c>
      <c r="AH1345" t="n">
        <v>1</v>
      </c>
      <c r="AI1345" t="n">
        <v>2</v>
      </c>
      <c r="AJ1345" t="n">
        <v>3</v>
      </c>
      <c r="AK1345" t="n">
        <v>3</v>
      </c>
      <c r="AL1345" t="n">
        <v>0</v>
      </c>
      <c r="AM1345" t="n">
        <v>1</v>
      </c>
      <c r="AN1345" t="n">
        <v>0</v>
      </c>
      <c r="AO1345" t="n">
        <v>0</v>
      </c>
      <c r="AP1345" t="inlineStr">
        <is>
          <t>No</t>
        </is>
      </c>
      <c r="AQ1345" t="inlineStr">
        <is>
          <t>No</t>
        </is>
      </c>
      <c r="AS1345">
        <f>HYPERLINK("https://creighton-primo.hosted.exlibrisgroup.com/primo-explore/search?tab=default_tab&amp;search_scope=EVERYTHING&amp;vid=01CRU&amp;lang=en_US&amp;offset=0&amp;query=any,contains,991005111369702656","Catalog Record")</f>
        <v/>
      </c>
      <c r="AT1345">
        <f>HYPERLINK("http://www.worldcat.org/oclc/7436832","WorldCat Record")</f>
        <v/>
      </c>
      <c r="AU1345" t="inlineStr">
        <is>
          <t>41023145:eng</t>
        </is>
      </c>
      <c r="AV1345" t="inlineStr">
        <is>
          <t>7436832</t>
        </is>
      </c>
      <c r="AW1345" t="inlineStr">
        <is>
          <t>991005111369702656</t>
        </is>
      </c>
      <c r="AX1345" t="inlineStr">
        <is>
          <t>991005111369702656</t>
        </is>
      </c>
      <c r="AY1345" t="inlineStr">
        <is>
          <t>2272296200002656</t>
        </is>
      </c>
      <c r="AZ1345" t="inlineStr">
        <is>
          <t>BOOK</t>
        </is>
      </c>
      <c r="BB1345" t="inlineStr">
        <is>
          <t>9780936098142</t>
        </is>
      </c>
      <c r="BC1345" t="inlineStr">
        <is>
          <t>32285000297332</t>
        </is>
      </c>
      <c r="BD1345" t="inlineStr">
        <is>
          <t>893514059</t>
        </is>
      </c>
    </row>
    <row r="1346">
      <c r="A1346" t="inlineStr">
        <is>
          <t>No</t>
        </is>
      </c>
      <c r="B1346" t="inlineStr">
        <is>
          <t>HQ31 .G943</t>
        </is>
      </c>
      <c r="C1346" t="inlineStr">
        <is>
          <t>0                      HQ 0031000G  943</t>
        </is>
      </c>
      <c r="D1346" t="inlineStr">
        <is>
          <t>The sexual language : an essay in moral theology / André Guindon.</t>
        </is>
      </c>
      <c r="F1346" t="inlineStr">
        <is>
          <t>No</t>
        </is>
      </c>
      <c r="G1346" t="inlineStr">
        <is>
          <t>1</t>
        </is>
      </c>
      <c r="H1346" t="inlineStr">
        <is>
          <t>No</t>
        </is>
      </c>
      <c r="I1346" t="inlineStr">
        <is>
          <t>No</t>
        </is>
      </c>
      <c r="J1346" t="inlineStr">
        <is>
          <t>0</t>
        </is>
      </c>
      <c r="K1346" t="inlineStr">
        <is>
          <t>Guindon, André, 1933-</t>
        </is>
      </c>
      <c r="L1346" t="inlineStr">
        <is>
          <t>[Toronto] : University of Ottawa Press, 1976, 1977 printing.</t>
        </is>
      </c>
      <c r="M1346" t="inlineStr">
        <is>
          <t>1976</t>
        </is>
      </c>
      <c r="O1346" t="inlineStr">
        <is>
          <t>eng</t>
        </is>
      </c>
      <c r="P1346" t="inlineStr">
        <is>
          <t>onc</t>
        </is>
      </c>
      <c r="R1346" t="inlineStr">
        <is>
          <t xml:space="preserve">HQ </t>
        </is>
      </c>
      <c r="S1346" t="n">
        <v>11</v>
      </c>
      <c r="T1346" t="n">
        <v>11</v>
      </c>
      <c r="U1346" t="inlineStr">
        <is>
          <t>2008-03-05</t>
        </is>
      </c>
      <c r="V1346" t="inlineStr">
        <is>
          <t>2008-03-05</t>
        </is>
      </c>
      <c r="W1346" t="inlineStr">
        <is>
          <t>1992-10-16</t>
        </is>
      </c>
      <c r="X1346" t="inlineStr">
        <is>
          <t>1992-10-16</t>
        </is>
      </c>
      <c r="Y1346" t="n">
        <v>212</v>
      </c>
      <c r="Z1346" t="n">
        <v>149</v>
      </c>
      <c r="AA1346" t="n">
        <v>179</v>
      </c>
      <c r="AB1346" t="n">
        <v>3</v>
      </c>
      <c r="AC1346" t="n">
        <v>3</v>
      </c>
      <c r="AD1346" t="n">
        <v>19</v>
      </c>
      <c r="AE1346" t="n">
        <v>23</v>
      </c>
      <c r="AF1346" t="n">
        <v>7</v>
      </c>
      <c r="AG1346" t="n">
        <v>8</v>
      </c>
      <c r="AH1346" t="n">
        <v>4</v>
      </c>
      <c r="AI1346" t="n">
        <v>6</v>
      </c>
      <c r="AJ1346" t="n">
        <v>14</v>
      </c>
      <c r="AK1346" t="n">
        <v>17</v>
      </c>
      <c r="AL1346" t="n">
        <v>1</v>
      </c>
      <c r="AM1346" t="n">
        <v>1</v>
      </c>
      <c r="AN1346" t="n">
        <v>0</v>
      </c>
      <c r="AO1346" t="n">
        <v>0</v>
      </c>
      <c r="AP1346" t="inlineStr">
        <is>
          <t>No</t>
        </is>
      </c>
      <c r="AQ1346" t="inlineStr">
        <is>
          <t>Yes</t>
        </is>
      </c>
      <c r="AR1346">
        <f>HYPERLINK("http://catalog.hathitrust.org/Record/000090172","HathiTrust Record")</f>
        <v/>
      </c>
      <c r="AS1346">
        <f>HYPERLINK("https://creighton-primo.hosted.exlibrisgroup.com/primo-explore/search?tab=default_tab&amp;search_scope=EVERYTHING&amp;vid=01CRU&amp;lang=en_US&amp;offset=0&amp;query=any,contains,991004464149702656","Catalog Record")</f>
        <v/>
      </c>
      <c r="AT1346">
        <f>HYPERLINK("http://www.worldcat.org/oclc/3559296","WorldCat Record")</f>
        <v/>
      </c>
      <c r="AU1346" t="inlineStr">
        <is>
          <t>10587358:eng</t>
        </is>
      </c>
      <c r="AV1346" t="inlineStr">
        <is>
          <t>3559296</t>
        </is>
      </c>
      <c r="AW1346" t="inlineStr">
        <is>
          <t>991004464149702656</t>
        </is>
      </c>
      <c r="AX1346" t="inlineStr">
        <is>
          <t>991004464149702656</t>
        </is>
      </c>
      <c r="AY1346" t="inlineStr">
        <is>
          <t>2264148650002656</t>
        </is>
      </c>
      <c r="AZ1346" t="inlineStr">
        <is>
          <t>BOOK</t>
        </is>
      </c>
      <c r="BB1346" t="inlineStr">
        <is>
          <t>9780776600505</t>
        </is>
      </c>
      <c r="BC1346" t="inlineStr">
        <is>
          <t>32285001358109</t>
        </is>
      </c>
      <c r="BD1346" t="inlineStr">
        <is>
          <t>893319251</t>
        </is>
      </c>
    </row>
    <row r="1347">
      <c r="A1347" t="inlineStr">
        <is>
          <t>No</t>
        </is>
      </c>
      <c r="B1347" t="inlineStr">
        <is>
          <t>HQ31 .H4746</t>
        </is>
      </c>
      <c r="C1347" t="inlineStr">
        <is>
          <t>0                      HQ 0031000H  4746</t>
        </is>
      </c>
      <c r="D1347" t="inlineStr">
        <is>
          <t>Living with sex : the student's dilemma / [by] Richard F. Hettlinger.</t>
        </is>
      </c>
      <c r="F1347" t="inlineStr">
        <is>
          <t>No</t>
        </is>
      </c>
      <c r="G1347" t="inlineStr">
        <is>
          <t>1</t>
        </is>
      </c>
      <c r="H1347" t="inlineStr">
        <is>
          <t>No</t>
        </is>
      </c>
      <c r="I1347" t="inlineStr">
        <is>
          <t>No</t>
        </is>
      </c>
      <c r="J1347" t="inlineStr">
        <is>
          <t>0</t>
        </is>
      </c>
      <c r="K1347" t="inlineStr">
        <is>
          <t>Hettlinger, Richard F. (Richard Frederick)</t>
        </is>
      </c>
      <c r="L1347" t="inlineStr">
        <is>
          <t>New York : Seabury Press, [1966]</t>
        </is>
      </c>
      <c r="M1347" t="inlineStr">
        <is>
          <t>1966</t>
        </is>
      </c>
      <c r="O1347" t="inlineStr">
        <is>
          <t>eng</t>
        </is>
      </c>
      <c r="P1347" t="inlineStr">
        <is>
          <t>nyu</t>
        </is>
      </c>
      <c r="R1347" t="inlineStr">
        <is>
          <t xml:space="preserve">HQ </t>
        </is>
      </c>
      <c r="S1347" t="n">
        <v>6</v>
      </c>
      <c r="T1347" t="n">
        <v>6</v>
      </c>
      <c r="U1347" t="inlineStr">
        <is>
          <t>2002-09-17</t>
        </is>
      </c>
      <c r="V1347" t="inlineStr">
        <is>
          <t>2002-09-17</t>
        </is>
      </c>
      <c r="W1347" t="inlineStr">
        <is>
          <t>1990-04-03</t>
        </is>
      </c>
      <c r="X1347" t="inlineStr">
        <is>
          <t>1990-04-03</t>
        </is>
      </c>
      <c r="Y1347" t="n">
        <v>551</v>
      </c>
      <c r="Z1347" t="n">
        <v>515</v>
      </c>
      <c r="AA1347" t="n">
        <v>567</v>
      </c>
      <c r="AB1347" t="n">
        <v>4</v>
      </c>
      <c r="AC1347" t="n">
        <v>4</v>
      </c>
      <c r="AD1347" t="n">
        <v>23</v>
      </c>
      <c r="AE1347" t="n">
        <v>26</v>
      </c>
      <c r="AF1347" t="n">
        <v>7</v>
      </c>
      <c r="AG1347" t="n">
        <v>9</v>
      </c>
      <c r="AH1347" t="n">
        <v>3</v>
      </c>
      <c r="AI1347" t="n">
        <v>3</v>
      </c>
      <c r="AJ1347" t="n">
        <v>14</v>
      </c>
      <c r="AK1347" t="n">
        <v>16</v>
      </c>
      <c r="AL1347" t="n">
        <v>3</v>
      </c>
      <c r="AM1347" t="n">
        <v>3</v>
      </c>
      <c r="AN1347" t="n">
        <v>0</v>
      </c>
      <c r="AO1347" t="n">
        <v>0</v>
      </c>
      <c r="AP1347" t="inlineStr">
        <is>
          <t>No</t>
        </is>
      </c>
      <c r="AQ1347" t="inlineStr">
        <is>
          <t>Yes</t>
        </is>
      </c>
      <c r="AR1347">
        <f>HYPERLINK("http://catalog.hathitrust.org/Record/000976896","HathiTrust Record")</f>
        <v/>
      </c>
      <c r="AS1347">
        <f>HYPERLINK("https://creighton-primo.hosted.exlibrisgroup.com/primo-explore/search?tab=default_tab&amp;search_scope=EVERYTHING&amp;vid=01CRU&amp;lang=en_US&amp;offset=0&amp;query=any,contains,991005254649702656","Catalog Record")</f>
        <v/>
      </c>
      <c r="AT1347">
        <f>HYPERLINK("http://www.worldcat.org/oclc/274977","WorldCat Record")</f>
        <v/>
      </c>
      <c r="AU1347" t="inlineStr">
        <is>
          <t>1409150:eng</t>
        </is>
      </c>
      <c r="AV1347" t="inlineStr">
        <is>
          <t>274977</t>
        </is>
      </c>
      <c r="AW1347" t="inlineStr">
        <is>
          <t>991005254649702656</t>
        </is>
      </c>
      <c r="AX1347" t="inlineStr">
        <is>
          <t>991005254649702656</t>
        </is>
      </c>
      <c r="AY1347" t="inlineStr">
        <is>
          <t>2263761260002656</t>
        </is>
      </c>
      <c r="AZ1347" t="inlineStr">
        <is>
          <t>BOOK</t>
        </is>
      </c>
      <c r="BC1347" t="inlineStr">
        <is>
          <t>32285000106137</t>
        </is>
      </c>
      <c r="BD1347" t="inlineStr">
        <is>
          <t>893896143</t>
        </is>
      </c>
    </row>
    <row r="1348">
      <c r="A1348" t="inlineStr">
        <is>
          <t>No</t>
        </is>
      </c>
      <c r="B1348" t="inlineStr">
        <is>
          <t>HQ31 .H994 1980a</t>
        </is>
      </c>
      <c r="C1348" t="inlineStr">
        <is>
          <t>0                      HQ 0031000H  994         1980a</t>
        </is>
      </c>
      <c r="D1348" t="inlineStr">
        <is>
          <t>Thinking about sex and love / J.F.M. Hunter.</t>
        </is>
      </c>
      <c r="F1348" t="inlineStr">
        <is>
          <t>No</t>
        </is>
      </c>
      <c r="G1348" t="inlineStr">
        <is>
          <t>1</t>
        </is>
      </c>
      <c r="H1348" t="inlineStr">
        <is>
          <t>No</t>
        </is>
      </c>
      <c r="I1348" t="inlineStr">
        <is>
          <t>No</t>
        </is>
      </c>
      <c r="J1348" t="inlineStr">
        <is>
          <t>0</t>
        </is>
      </c>
      <c r="K1348" t="inlineStr">
        <is>
          <t>Hunter, J. F. M.</t>
        </is>
      </c>
      <c r="L1348" t="inlineStr">
        <is>
          <t>Toronto : Macmillan, 1980.</t>
        </is>
      </c>
      <c r="M1348" t="inlineStr">
        <is>
          <t>1980</t>
        </is>
      </c>
      <c r="O1348" t="inlineStr">
        <is>
          <t>eng</t>
        </is>
      </c>
      <c r="P1348" t="inlineStr">
        <is>
          <t>cau</t>
        </is>
      </c>
      <c r="R1348" t="inlineStr">
        <is>
          <t xml:space="preserve">HQ </t>
        </is>
      </c>
      <c r="S1348" t="n">
        <v>11</v>
      </c>
      <c r="T1348" t="n">
        <v>11</v>
      </c>
      <c r="U1348" t="inlineStr">
        <is>
          <t>2000-11-26</t>
        </is>
      </c>
      <c r="V1348" t="inlineStr">
        <is>
          <t>2000-11-26</t>
        </is>
      </c>
      <c r="W1348" t="inlineStr">
        <is>
          <t>1993-06-24</t>
        </is>
      </c>
      <c r="X1348" t="inlineStr">
        <is>
          <t>1993-06-24</t>
        </is>
      </c>
      <c r="Y1348" t="n">
        <v>107</v>
      </c>
      <c r="Z1348" t="n">
        <v>72</v>
      </c>
      <c r="AA1348" t="n">
        <v>435</v>
      </c>
      <c r="AB1348" t="n">
        <v>1</v>
      </c>
      <c r="AC1348" t="n">
        <v>4</v>
      </c>
      <c r="AD1348" t="n">
        <v>5</v>
      </c>
      <c r="AE1348" t="n">
        <v>24</v>
      </c>
      <c r="AF1348" t="n">
        <v>3</v>
      </c>
      <c r="AG1348" t="n">
        <v>10</v>
      </c>
      <c r="AH1348" t="n">
        <v>2</v>
      </c>
      <c r="AI1348" t="n">
        <v>5</v>
      </c>
      <c r="AJ1348" t="n">
        <v>3</v>
      </c>
      <c r="AK1348" t="n">
        <v>14</v>
      </c>
      <c r="AL1348" t="n">
        <v>0</v>
      </c>
      <c r="AM1348" t="n">
        <v>2</v>
      </c>
      <c r="AN1348" t="n">
        <v>0</v>
      </c>
      <c r="AO1348" t="n">
        <v>0</v>
      </c>
      <c r="AP1348" t="inlineStr">
        <is>
          <t>No</t>
        </is>
      </c>
      <c r="AQ1348" t="inlineStr">
        <is>
          <t>No</t>
        </is>
      </c>
      <c r="AS1348">
        <f>HYPERLINK("https://creighton-primo.hosted.exlibrisgroup.com/primo-explore/search?tab=default_tab&amp;search_scope=EVERYTHING&amp;vid=01CRU&amp;lang=en_US&amp;offset=0&amp;query=any,contains,991000088329702656","Catalog Record")</f>
        <v/>
      </c>
      <c r="AT1348">
        <f>HYPERLINK("http://www.worldcat.org/oclc/8873055","WorldCat Record")</f>
        <v/>
      </c>
      <c r="AU1348" t="inlineStr">
        <is>
          <t>2288647745:eng</t>
        </is>
      </c>
      <c r="AV1348" t="inlineStr">
        <is>
          <t>8873055</t>
        </is>
      </c>
      <c r="AW1348" t="inlineStr">
        <is>
          <t>991000088329702656</t>
        </is>
      </c>
      <c r="AX1348" t="inlineStr">
        <is>
          <t>991000088329702656</t>
        </is>
      </c>
      <c r="AY1348" t="inlineStr">
        <is>
          <t>2266768490002656</t>
        </is>
      </c>
      <c r="AZ1348" t="inlineStr">
        <is>
          <t>BOOK</t>
        </is>
      </c>
      <c r="BB1348" t="inlineStr">
        <is>
          <t>9780771595264</t>
        </is>
      </c>
      <c r="BC1348" t="inlineStr">
        <is>
          <t>32285001732030</t>
        </is>
      </c>
      <c r="BD1348" t="inlineStr">
        <is>
          <t>893884094</t>
        </is>
      </c>
    </row>
    <row r="1349">
      <c r="A1349" t="inlineStr">
        <is>
          <t>No</t>
        </is>
      </c>
      <c r="B1349" t="inlineStr">
        <is>
          <t>HQ31 .M142 1971</t>
        </is>
      </c>
      <c r="C1349" t="inlineStr">
        <is>
          <t>0                      HQ 0031000M  142         1971</t>
        </is>
      </c>
      <c r="D1349" t="inlineStr">
        <is>
          <t>Sexual myths and fallacies.</t>
        </is>
      </c>
      <c r="F1349" t="inlineStr">
        <is>
          <t>No</t>
        </is>
      </c>
      <c r="G1349" t="inlineStr">
        <is>
          <t>1</t>
        </is>
      </c>
      <c r="H1349" t="inlineStr">
        <is>
          <t>No</t>
        </is>
      </c>
      <c r="I1349" t="inlineStr">
        <is>
          <t>No</t>
        </is>
      </c>
      <c r="J1349" t="inlineStr">
        <is>
          <t>0</t>
        </is>
      </c>
      <c r="K1349" t="inlineStr">
        <is>
          <t>McCary, James Leslie.</t>
        </is>
      </c>
      <c r="L1349" t="inlineStr">
        <is>
          <t>New York : Van Nostrand Reinhold Co., [1971]</t>
        </is>
      </c>
      <c r="M1349" t="inlineStr">
        <is>
          <t>1971</t>
        </is>
      </c>
      <c r="O1349" t="inlineStr">
        <is>
          <t>eng</t>
        </is>
      </c>
      <c r="P1349" t="inlineStr">
        <is>
          <t>nyu</t>
        </is>
      </c>
      <c r="R1349" t="inlineStr">
        <is>
          <t xml:space="preserve">HQ </t>
        </is>
      </c>
      <c r="S1349" t="n">
        <v>8</v>
      </c>
      <c r="T1349" t="n">
        <v>8</v>
      </c>
      <c r="U1349" t="inlineStr">
        <is>
          <t>1996-01-23</t>
        </is>
      </c>
      <c r="V1349" t="inlineStr">
        <is>
          <t>1996-01-23</t>
        </is>
      </c>
      <c r="W1349" t="inlineStr">
        <is>
          <t>1990-05-09</t>
        </is>
      </c>
      <c r="X1349" t="inlineStr">
        <is>
          <t>1990-05-09</t>
        </is>
      </c>
      <c r="Y1349" t="n">
        <v>309</v>
      </c>
      <c r="Z1349" t="n">
        <v>260</v>
      </c>
      <c r="AA1349" t="n">
        <v>301</v>
      </c>
      <c r="AB1349" t="n">
        <v>4</v>
      </c>
      <c r="AC1349" t="n">
        <v>4</v>
      </c>
      <c r="AD1349" t="n">
        <v>11</v>
      </c>
      <c r="AE1349" t="n">
        <v>12</v>
      </c>
      <c r="AF1349" t="n">
        <v>3</v>
      </c>
      <c r="AG1349" t="n">
        <v>3</v>
      </c>
      <c r="AH1349" t="n">
        <v>2</v>
      </c>
      <c r="AI1349" t="n">
        <v>3</v>
      </c>
      <c r="AJ1349" t="n">
        <v>6</v>
      </c>
      <c r="AK1349" t="n">
        <v>7</v>
      </c>
      <c r="AL1349" t="n">
        <v>3</v>
      </c>
      <c r="AM1349" t="n">
        <v>3</v>
      </c>
      <c r="AN1349" t="n">
        <v>0</v>
      </c>
      <c r="AO1349" t="n">
        <v>0</v>
      </c>
      <c r="AP1349" t="inlineStr">
        <is>
          <t>No</t>
        </is>
      </c>
      <c r="AQ1349" t="inlineStr">
        <is>
          <t>Yes</t>
        </is>
      </c>
      <c r="AR1349">
        <f>HYPERLINK("http://catalog.hathitrust.org/Record/000965629","HathiTrust Record")</f>
        <v/>
      </c>
      <c r="AS1349">
        <f>HYPERLINK("https://creighton-primo.hosted.exlibrisgroup.com/primo-explore/search?tab=default_tab&amp;search_scope=EVERYTHING&amp;vid=01CRU&amp;lang=en_US&amp;offset=0&amp;query=any,contains,991001073409702656","Catalog Record")</f>
        <v/>
      </c>
      <c r="AT1349">
        <f>HYPERLINK("http://www.worldcat.org/oclc/179188","WorldCat Record")</f>
        <v/>
      </c>
      <c r="AU1349" t="inlineStr">
        <is>
          <t>1318479:eng</t>
        </is>
      </c>
      <c r="AV1349" t="inlineStr">
        <is>
          <t>179188</t>
        </is>
      </c>
      <c r="AW1349" t="inlineStr">
        <is>
          <t>991001073409702656</t>
        </is>
      </c>
      <c r="AX1349" t="inlineStr">
        <is>
          <t>991001073409702656</t>
        </is>
      </c>
      <c r="AY1349" t="inlineStr">
        <is>
          <t>2265154160002656</t>
        </is>
      </c>
      <c r="AZ1349" t="inlineStr">
        <is>
          <t>BOOK</t>
        </is>
      </c>
      <c r="BC1349" t="inlineStr">
        <is>
          <t>32285000136936</t>
        </is>
      </c>
      <c r="BD1349" t="inlineStr">
        <is>
          <t>893243832</t>
        </is>
      </c>
    </row>
    <row r="1350">
      <c r="A1350" t="inlineStr">
        <is>
          <t>No</t>
        </is>
      </c>
      <c r="B1350" t="inlineStr">
        <is>
          <t>HQ31 .O6813</t>
        </is>
      </c>
      <c r="C1350" t="inlineStr">
        <is>
          <t>0                      HQ 0031000O  6813</t>
        </is>
      </c>
      <c r="D1350" t="inlineStr">
        <is>
          <t>The human mystery of sexuality.</t>
        </is>
      </c>
      <c r="F1350" t="inlineStr">
        <is>
          <t>No</t>
        </is>
      </c>
      <c r="G1350" t="inlineStr">
        <is>
          <t>1</t>
        </is>
      </c>
      <c r="H1350" t="inlineStr">
        <is>
          <t>Yes</t>
        </is>
      </c>
      <c r="I1350" t="inlineStr">
        <is>
          <t>No</t>
        </is>
      </c>
      <c r="J1350" t="inlineStr">
        <is>
          <t>0</t>
        </is>
      </c>
      <c r="K1350" t="inlineStr">
        <is>
          <t>Oraison, Marc.</t>
        </is>
      </c>
      <c r="L1350" t="inlineStr">
        <is>
          <t>New York, Sheed and Ward [1967]</t>
        </is>
      </c>
      <c r="M1350" t="inlineStr">
        <is>
          <t>1967</t>
        </is>
      </c>
      <c r="O1350" t="inlineStr">
        <is>
          <t>eng</t>
        </is>
      </c>
      <c r="P1350" t="inlineStr">
        <is>
          <t>nyu</t>
        </is>
      </c>
      <c r="R1350" t="inlineStr">
        <is>
          <t xml:space="preserve">HQ </t>
        </is>
      </c>
      <c r="S1350" t="n">
        <v>0</v>
      </c>
      <c r="T1350" t="n">
        <v>3</v>
      </c>
      <c r="V1350" t="inlineStr">
        <is>
          <t>2004-02-05</t>
        </is>
      </c>
      <c r="W1350" t="inlineStr">
        <is>
          <t>1997-08-07</t>
        </is>
      </c>
      <c r="X1350" t="inlineStr">
        <is>
          <t>1997-08-07</t>
        </is>
      </c>
      <c r="Y1350" t="n">
        <v>386</v>
      </c>
      <c r="Z1350" t="n">
        <v>339</v>
      </c>
      <c r="AA1350" t="n">
        <v>344</v>
      </c>
      <c r="AB1350" t="n">
        <v>4</v>
      </c>
      <c r="AC1350" t="n">
        <v>4</v>
      </c>
      <c r="AD1350" t="n">
        <v>25</v>
      </c>
      <c r="AE1350" t="n">
        <v>25</v>
      </c>
      <c r="AF1350" t="n">
        <v>7</v>
      </c>
      <c r="AG1350" t="n">
        <v>7</v>
      </c>
      <c r="AH1350" t="n">
        <v>5</v>
      </c>
      <c r="AI1350" t="n">
        <v>5</v>
      </c>
      <c r="AJ1350" t="n">
        <v>20</v>
      </c>
      <c r="AK1350" t="n">
        <v>20</v>
      </c>
      <c r="AL1350" t="n">
        <v>1</v>
      </c>
      <c r="AM1350" t="n">
        <v>1</v>
      </c>
      <c r="AN1350" t="n">
        <v>0</v>
      </c>
      <c r="AO1350" t="n">
        <v>0</v>
      </c>
      <c r="AP1350" t="inlineStr">
        <is>
          <t>No</t>
        </is>
      </c>
      <c r="AQ1350" t="inlineStr">
        <is>
          <t>No</t>
        </is>
      </c>
      <c r="AS1350">
        <f>HYPERLINK("https://creighton-primo.hosted.exlibrisgroup.com/primo-explore/search?tab=default_tab&amp;search_scope=EVERYTHING&amp;vid=01CRU&amp;lang=en_US&amp;offset=0&amp;query=any,contains,991001765959702656","Catalog Record")</f>
        <v/>
      </c>
      <c r="AT1350">
        <f>HYPERLINK("http://www.worldcat.org/oclc/561560","WorldCat Record")</f>
        <v/>
      </c>
      <c r="AU1350" t="inlineStr">
        <is>
          <t>1374184577:eng</t>
        </is>
      </c>
      <c r="AV1350" t="inlineStr">
        <is>
          <t>561560</t>
        </is>
      </c>
      <c r="AW1350" t="inlineStr">
        <is>
          <t>991001765959702656</t>
        </is>
      </c>
      <c r="AX1350" t="inlineStr">
        <is>
          <t>991001765959702656</t>
        </is>
      </c>
      <c r="AY1350" t="inlineStr">
        <is>
          <t>2255070130002656</t>
        </is>
      </c>
      <c r="AZ1350" t="inlineStr">
        <is>
          <t>BOOK</t>
        </is>
      </c>
      <c r="BC1350" t="inlineStr">
        <is>
          <t>32285003087961</t>
        </is>
      </c>
      <c r="BD1350" t="inlineStr">
        <is>
          <t>893602873</t>
        </is>
      </c>
    </row>
    <row r="1351">
      <c r="A1351" t="inlineStr">
        <is>
          <t>No</t>
        </is>
      </c>
      <c r="B1351" t="inlineStr">
        <is>
          <t>HQ31 .S12 1971</t>
        </is>
      </c>
      <c r="C1351" t="inlineStr">
        <is>
          <t>0                      HQ 0031000S  12          1971</t>
        </is>
      </c>
      <c r="D1351" t="inlineStr">
        <is>
          <t>Sexuality and human values : the personal dimension of sexual experience / edited by Mary S. Calderone.</t>
        </is>
      </c>
      <c r="F1351" t="inlineStr">
        <is>
          <t>No</t>
        </is>
      </c>
      <c r="G1351" t="inlineStr">
        <is>
          <t>1</t>
        </is>
      </c>
      <c r="H1351" t="inlineStr">
        <is>
          <t>No</t>
        </is>
      </c>
      <c r="I1351" t="inlineStr">
        <is>
          <t>No</t>
        </is>
      </c>
      <c r="J1351" t="inlineStr">
        <is>
          <t>0</t>
        </is>
      </c>
      <c r="K1351" t="inlineStr">
        <is>
          <t>SIECUS Conference on Religion and Sexuality (1971 : Saint Louis, Mo.)</t>
        </is>
      </c>
      <c r="L1351" t="inlineStr">
        <is>
          <t>New York : Association Press, [1974]</t>
        </is>
      </c>
      <c r="M1351" t="inlineStr">
        <is>
          <t>1974</t>
        </is>
      </c>
      <c r="O1351" t="inlineStr">
        <is>
          <t>eng</t>
        </is>
      </c>
      <c r="P1351" t="inlineStr">
        <is>
          <t>nyu</t>
        </is>
      </c>
      <c r="R1351" t="inlineStr">
        <is>
          <t xml:space="preserve">HQ </t>
        </is>
      </c>
      <c r="S1351" t="n">
        <v>2</v>
      </c>
      <c r="T1351" t="n">
        <v>2</v>
      </c>
      <c r="U1351" t="inlineStr">
        <is>
          <t>1998-04-06</t>
        </is>
      </c>
      <c r="V1351" t="inlineStr">
        <is>
          <t>1998-04-06</t>
        </is>
      </c>
      <c r="W1351" t="inlineStr">
        <is>
          <t>1997-08-07</t>
        </is>
      </c>
      <c r="X1351" t="inlineStr">
        <is>
          <t>1997-08-07</t>
        </is>
      </c>
      <c r="Y1351" t="n">
        <v>567</v>
      </c>
      <c r="Z1351" t="n">
        <v>515</v>
      </c>
      <c r="AA1351" t="n">
        <v>522</v>
      </c>
      <c r="AB1351" t="n">
        <v>6</v>
      </c>
      <c r="AC1351" t="n">
        <v>6</v>
      </c>
      <c r="AD1351" t="n">
        <v>26</v>
      </c>
      <c r="AE1351" t="n">
        <v>26</v>
      </c>
      <c r="AF1351" t="n">
        <v>9</v>
      </c>
      <c r="AG1351" t="n">
        <v>9</v>
      </c>
      <c r="AH1351" t="n">
        <v>5</v>
      </c>
      <c r="AI1351" t="n">
        <v>5</v>
      </c>
      <c r="AJ1351" t="n">
        <v>12</v>
      </c>
      <c r="AK1351" t="n">
        <v>12</v>
      </c>
      <c r="AL1351" t="n">
        <v>5</v>
      </c>
      <c r="AM1351" t="n">
        <v>5</v>
      </c>
      <c r="AN1351" t="n">
        <v>0</v>
      </c>
      <c r="AO1351" t="n">
        <v>0</v>
      </c>
      <c r="AP1351" t="inlineStr">
        <is>
          <t>No</t>
        </is>
      </c>
      <c r="AQ1351" t="inlineStr">
        <is>
          <t>Yes</t>
        </is>
      </c>
      <c r="AR1351">
        <f>HYPERLINK("http://catalog.hathitrust.org/Record/003830017","HathiTrust Record")</f>
        <v/>
      </c>
      <c r="AS1351">
        <f>HYPERLINK("https://creighton-primo.hosted.exlibrisgroup.com/primo-explore/search?tab=default_tab&amp;search_scope=EVERYTHING&amp;vid=01CRU&amp;lang=en_US&amp;offset=0&amp;query=any,contains,991003505649702656","Catalog Record")</f>
        <v/>
      </c>
      <c r="AT1351">
        <f>HYPERLINK("http://www.worldcat.org/oclc/1056947","WorldCat Record")</f>
        <v/>
      </c>
      <c r="AU1351" t="inlineStr">
        <is>
          <t>793848287:eng</t>
        </is>
      </c>
      <c r="AV1351" t="inlineStr">
        <is>
          <t>1056947</t>
        </is>
      </c>
      <c r="AW1351" t="inlineStr">
        <is>
          <t>991003505649702656</t>
        </is>
      </c>
      <c r="AX1351" t="inlineStr">
        <is>
          <t>991003505649702656</t>
        </is>
      </c>
      <c r="AY1351" t="inlineStr">
        <is>
          <t>2271941230002656</t>
        </is>
      </c>
      <c r="AZ1351" t="inlineStr">
        <is>
          <t>BOOK</t>
        </is>
      </c>
      <c r="BB1351" t="inlineStr">
        <is>
          <t>9780809618910</t>
        </is>
      </c>
      <c r="BC1351" t="inlineStr">
        <is>
          <t>32285003087979</t>
        </is>
      </c>
      <c r="BD1351" t="inlineStr">
        <is>
          <t>893531244</t>
        </is>
      </c>
    </row>
    <row r="1352">
      <c r="A1352" t="inlineStr">
        <is>
          <t>No</t>
        </is>
      </c>
      <c r="B1352" t="inlineStr">
        <is>
          <t>HQ31 .S51565</t>
        </is>
      </c>
      <c r="C1352" t="inlineStr">
        <is>
          <t>0                      HQ 0031000S  51565</t>
        </is>
      </c>
      <c r="D1352" t="inlineStr">
        <is>
          <t>Sexuality : a search for perspective : based on a colloquy held at Michigan State University / edited by Donald L. Grummon and Andrew M. Barclay with the assistance of Nancy K. Hammond.</t>
        </is>
      </c>
      <c r="F1352" t="inlineStr">
        <is>
          <t>No</t>
        </is>
      </c>
      <c r="G1352" t="inlineStr">
        <is>
          <t>1</t>
        </is>
      </c>
      <c r="H1352" t="inlineStr">
        <is>
          <t>No</t>
        </is>
      </c>
      <c r="I1352" t="inlineStr">
        <is>
          <t>No</t>
        </is>
      </c>
      <c r="J1352" t="inlineStr">
        <is>
          <t>0</t>
        </is>
      </c>
      <c r="L1352" t="inlineStr">
        <is>
          <t>New York : Van Nostrand Reinhold Co., [1971]</t>
        </is>
      </c>
      <c r="M1352" t="inlineStr">
        <is>
          <t>1971</t>
        </is>
      </c>
      <c r="O1352" t="inlineStr">
        <is>
          <t>eng</t>
        </is>
      </c>
      <c r="P1352" t="inlineStr">
        <is>
          <t>nyu</t>
        </is>
      </c>
      <c r="R1352" t="inlineStr">
        <is>
          <t xml:space="preserve">HQ </t>
        </is>
      </c>
      <c r="S1352" t="n">
        <v>8</v>
      </c>
      <c r="T1352" t="n">
        <v>8</v>
      </c>
      <c r="U1352" t="inlineStr">
        <is>
          <t>1997-04-06</t>
        </is>
      </c>
      <c r="V1352" t="inlineStr">
        <is>
          <t>1997-04-06</t>
        </is>
      </c>
      <c r="W1352" t="inlineStr">
        <is>
          <t>1992-11-05</t>
        </is>
      </c>
      <c r="X1352" t="inlineStr">
        <is>
          <t>1992-11-05</t>
        </is>
      </c>
      <c r="Y1352" t="n">
        <v>291</v>
      </c>
      <c r="Z1352" t="n">
        <v>230</v>
      </c>
      <c r="AA1352" t="n">
        <v>231</v>
      </c>
      <c r="AB1352" t="n">
        <v>2</v>
      </c>
      <c r="AC1352" t="n">
        <v>2</v>
      </c>
      <c r="AD1352" t="n">
        <v>7</v>
      </c>
      <c r="AE1352" t="n">
        <v>7</v>
      </c>
      <c r="AF1352" t="n">
        <v>2</v>
      </c>
      <c r="AG1352" t="n">
        <v>2</v>
      </c>
      <c r="AH1352" t="n">
        <v>2</v>
      </c>
      <c r="AI1352" t="n">
        <v>2</v>
      </c>
      <c r="AJ1352" t="n">
        <v>2</v>
      </c>
      <c r="AK1352" t="n">
        <v>2</v>
      </c>
      <c r="AL1352" t="n">
        <v>1</v>
      </c>
      <c r="AM1352" t="n">
        <v>1</v>
      </c>
      <c r="AN1352" t="n">
        <v>0</v>
      </c>
      <c r="AO1352" t="n">
        <v>0</v>
      </c>
      <c r="AP1352" t="inlineStr">
        <is>
          <t>No</t>
        </is>
      </c>
      <c r="AQ1352" t="inlineStr">
        <is>
          <t>Yes</t>
        </is>
      </c>
      <c r="AR1352">
        <f>HYPERLINK("http://catalog.hathitrust.org/Record/000976916","HathiTrust Record")</f>
        <v/>
      </c>
      <c r="AS1352">
        <f>HYPERLINK("https://creighton-primo.hosted.exlibrisgroup.com/primo-explore/search?tab=default_tab&amp;search_scope=EVERYTHING&amp;vid=01CRU&amp;lang=en_US&amp;offset=0&amp;query=any,contains,991000872819702656","Catalog Record")</f>
        <v/>
      </c>
      <c r="AT1352">
        <f>HYPERLINK("http://www.worldcat.org/oclc/151420","WorldCat Record")</f>
        <v/>
      </c>
      <c r="AU1352" t="inlineStr">
        <is>
          <t>2863991660:eng</t>
        </is>
      </c>
      <c r="AV1352" t="inlineStr">
        <is>
          <t>151420</t>
        </is>
      </c>
      <c r="AW1352" t="inlineStr">
        <is>
          <t>991000872819702656</t>
        </is>
      </c>
      <c r="AX1352" t="inlineStr">
        <is>
          <t>991000872819702656</t>
        </is>
      </c>
      <c r="AY1352" t="inlineStr">
        <is>
          <t>2272344140002656</t>
        </is>
      </c>
      <c r="AZ1352" t="inlineStr">
        <is>
          <t>BOOK</t>
        </is>
      </c>
      <c r="BC1352" t="inlineStr">
        <is>
          <t>32285001362572</t>
        </is>
      </c>
      <c r="BD1352" t="inlineStr">
        <is>
          <t>893708792</t>
        </is>
      </c>
    </row>
    <row r="1353">
      <c r="A1353" t="inlineStr">
        <is>
          <t>No</t>
        </is>
      </c>
      <c r="B1353" t="inlineStr">
        <is>
          <t>HQ31 .S79</t>
        </is>
      </c>
      <c r="C1353" t="inlineStr">
        <is>
          <t>0                      HQ 0031000S  79</t>
        </is>
      </c>
      <c r="D1353" t="inlineStr">
        <is>
          <t>The male dilemma : how to survive the sexual revolution / [by] Anne Steinmann [and] David J. Fox.</t>
        </is>
      </c>
      <c r="F1353" t="inlineStr">
        <is>
          <t>No</t>
        </is>
      </c>
      <c r="G1353" t="inlineStr">
        <is>
          <t>1</t>
        </is>
      </c>
      <c r="H1353" t="inlineStr">
        <is>
          <t>No</t>
        </is>
      </c>
      <c r="I1353" t="inlineStr">
        <is>
          <t>No</t>
        </is>
      </c>
      <c r="J1353" t="inlineStr">
        <is>
          <t>0</t>
        </is>
      </c>
      <c r="K1353" t="inlineStr">
        <is>
          <t>Steinmann, Anne.</t>
        </is>
      </c>
      <c r="L1353" t="inlineStr">
        <is>
          <t>New York : J. Aronson, [1974]</t>
        </is>
      </c>
      <c r="M1353" t="inlineStr">
        <is>
          <t>1974</t>
        </is>
      </c>
      <c r="O1353" t="inlineStr">
        <is>
          <t>eng</t>
        </is>
      </c>
      <c r="P1353" t="inlineStr">
        <is>
          <t>nyu</t>
        </is>
      </c>
      <c r="R1353" t="inlineStr">
        <is>
          <t xml:space="preserve">HQ </t>
        </is>
      </c>
      <c r="S1353" t="n">
        <v>5</v>
      </c>
      <c r="T1353" t="n">
        <v>5</v>
      </c>
      <c r="U1353" t="inlineStr">
        <is>
          <t>2000-09-11</t>
        </is>
      </c>
      <c r="V1353" t="inlineStr">
        <is>
          <t>2000-09-11</t>
        </is>
      </c>
      <c r="W1353" t="inlineStr">
        <is>
          <t>1990-04-03</t>
        </is>
      </c>
      <c r="X1353" t="inlineStr">
        <is>
          <t>1990-04-03</t>
        </is>
      </c>
      <c r="Y1353" t="n">
        <v>582</v>
      </c>
      <c r="Z1353" t="n">
        <v>519</v>
      </c>
      <c r="AA1353" t="n">
        <v>550</v>
      </c>
      <c r="AB1353" t="n">
        <v>3</v>
      </c>
      <c r="AC1353" t="n">
        <v>3</v>
      </c>
      <c r="AD1353" t="n">
        <v>18</v>
      </c>
      <c r="AE1353" t="n">
        <v>20</v>
      </c>
      <c r="AF1353" t="n">
        <v>7</v>
      </c>
      <c r="AG1353" t="n">
        <v>8</v>
      </c>
      <c r="AH1353" t="n">
        <v>4</v>
      </c>
      <c r="AI1353" t="n">
        <v>5</v>
      </c>
      <c r="AJ1353" t="n">
        <v>10</v>
      </c>
      <c r="AK1353" t="n">
        <v>10</v>
      </c>
      <c r="AL1353" t="n">
        <v>1</v>
      </c>
      <c r="AM1353" t="n">
        <v>1</v>
      </c>
      <c r="AN1353" t="n">
        <v>0</v>
      </c>
      <c r="AO1353" t="n">
        <v>0</v>
      </c>
      <c r="AP1353" t="inlineStr">
        <is>
          <t>No</t>
        </is>
      </c>
      <c r="AQ1353" t="inlineStr">
        <is>
          <t>Yes</t>
        </is>
      </c>
      <c r="AR1353">
        <f>HYPERLINK("http://catalog.hathitrust.org/Record/000011930","HathiTrust Record")</f>
        <v/>
      </c>
      <c r="AS1353">
        <f>HYPERLINK("https://creighton-primo.hosted.exlibrisgroup.com/primo-explore/search?tab=default_tab&amp;search_scope=EVERYTHING&amp;vid=01CRU&amp;lang=en_US&amp;offset=0&amp;query=any,contains,991003277469702656","Catalog Record")</f>
        <v/>
      </c>
      <c r="AT1353">
        <f>HYPERLINK("http://www.worldcat.org/oclc/800763","WorldCat Record")</f>
        <v/>
      </c>
      <c r="AU1353" t="inlineStr">
        <is>
          <t>1597892:eng</t>
        </is>
      </c>
      <c r="AV1353" t="inlineStr">
        <is>
          <t>800763</t>
        </is>
      </c>
      <c r="AW1353" t="inlineStr">
        <is>
          <t>991003277469702656</t>
        </is>
      </c>
      <c r="AX1353" t="inlineStr">
        <is>
          <t>991003277469702656</t>
        </is>
      </c>
      <c r="AY1353" t="inlineStr">
        <is>
          <t>2267032650002656</t>
        </is>
      </c>
      <c r="AZ1353" t="inlineStr">
        <is>
          <t>BOOK</t>
        </is>
      </c>
      <c r="BB1353" t="inlineStr">
        <is>
          <t>9780876680940</t>
        </is>
      </c>
      <c r="BC1353" t="inlineStr">
        <is>
          <t>32285000101229</t>
        </is>
      </c>
      <c r="BD1353" t="inlineStr">
        <is>
          <t>893686392</t>
        </is>
      </c>
    </row>
    <row r="1354">
      <c r="A1354" t="inlineStr">
        <is>
          <t>No</t>
        </is>
      </c>
      <c r="B1354" t="inlineStr">
        <is>
          <t>HQ31 .V66</t>
        </is>
      </c>
      <c r="C1354" t="inlineStr">
        <is>
          <t>0                      HQ 0031000V  66</t>
        </is>
      </c>
      <c r="D1354" t="inlineStr">
        <is>
          <t>The challenge of love : practical advice for married couples and those planning marriage / [by] José de Vinck [and] John T. Catoir.</t>
        </is>
      </c>
      <c r="F1354" t="inlineStr">
        <is>
          <t>No</t>
        </is>
      </c>
      <c r="G1354" t="inlineStr">
        <is>
          <t>1</t>
        </is>
      </c>
      <c r="H1354" t="inlineStr">
        <is>
          <t>No</t>
        </is>
      </c>
      <c r="I1354" t="inlineStr">
        <is>
          <t>No</t>
        </is>
      </c>
      <c r="J1354" t="inlineStr">
        <is>
          <t>0</t>
        </is>
      </c>
      <c r="K1354" t="inlineStr">
        <is>
          <t>De Vinck, José, 1912-</t>
        </is>
      </c>
      <c r="L1354" t="inlineStr">
        <is>
          <t>New York : Hawthorn Books, [1969]</t>
        </is>
      </c>
      <c r="M1354" t="inlineStr">
        <is>
          <t>1969</t>
        </is>
      </c>
      <c r="N1354" t="inlineStr">
        <is>
          <t>[1st ed.]</t>
        </is>
      </c>
      <c r="O1354" t="inlineStr">
        <is>
          <t>eng</t>
        </is>
      </c>
      <c r="P1354" t="inlineStr">
        <is>
          <t>nyu</t>
        </is>
      </c>
      <c r="R1354" t="inlineStr">
        <is>
          <t xml:space="preserve">HQ </t>
        </is>
      </c>
      <c r="S1354" t="n">
        <v>3</v>
      </c>
      <c r="T1354" t="n">
        <v>3</v>
      </c>
      <c r="U1354" t="inlineStr">
        <is>
          <t>1994-10-28</t>
        </is>
      </c>
      <c r="V1354" t="inlineStr">
        <is>
          <t>1994-10-28</t>
        </is>
      </c>
      <c r="W1354" t="inlineStr">
        <is>
          <t>1994-03-01</t>
        </is>
      </c>
      <c r="X1354" t="inlineStr">
        <is>
          <t>1994-03-01</t>
        </is>
      </c>
      <c r="Y1354" t="n">
        <v>126</v>
      </c>
      <c r="Z1354" t="n">
        <v>117</v>
      </c>
      <c r="AA1354" t="n">
        <v>125</v>
      </c>
      <c r="AB1354" t="n">
        <v>1</v>
      </c>
      <c r="AC1354" t="n">
        <v>1</v>
      </c>
      <c r="AD1354" t="n">
        <v>10</v>
      </c>
      <c r="AE1354" t="n">
        <v>10</v>
      </c>
      <c r="AF1354" t="n">
        <v>2</v>
      </c>
      <c r="AG1354" t="n">
        <v>2</v>
      </c>
      <c r="AH1354" t="n">
        <v>1</v>
      </c>
      <c r="AI1354" t="n">
        <v>1</v>
      </c>
      <c r="AJ1354" t="n">
        <v>9</v>
      </c>
      <c r="AK1354" t="n">
        <v>9</v>
      </c>
      <c r="AL1354" t="n">
        <v>0</v>
      </c>
      <c r="AM1354" t="n">
        <v>0</v>
      </c>
      <c r="AN1354" t="n">
        <v>0</v>
      </c>
      <c r="AO1354" t="n">
        <v>0</v>
      </c>
      <c r="AP1354" t="inlineStr">
        <is>
          <t>No</t>
        </is>
      </c>
      <c r="AQ1354" t="inlineStr">
        <is>
          <t>No</t>
        </is>
      </c>
      <c r="AS1354">
        <f>HYPERLINK("https://creighton-primo.hosted.exlibrisgroup.com/primo-explore/search?tab=default_tab&amp;search_scope=EVERYTHING&amp;vid=01CRU&amp;lang=en_US&amp;offset=0&amp;query=any,contains,991005438189702656","Catalog Record")</f>
        <v/>
      </c>
      <c r="AT1354">
        <f>HYPERLINK("http://www.worldcat.org/oclc/5897","WorldCat Record")</f>
        <v/>
      </c>
      <c r="AU1354" t="inlineStr">
        <is>
          <t>1129203:eng</t>
        </is>
      </c>
      <c r="AV1354" t="inlineStr">
        <is>
          <t>5897</t>
        </is>
      </c>
      <c r="AW1354" t="inlineStr">
        <is>
          <t>991005438189702656</t>
        </is>
      </c>
      <c r="AX1354" t="inlineStr">
        <is>
          <t>991005438189702656</t>
        </is>
      </c>
      <c r="AY1354" t="inlineStr">
        <is>
          <t>2264623290002656</t>
        </is>
      </c>
      <c r="AZ1354" t="inlineStr">
        <is>
          <t>BOOK</t>
        </is>
      </c>
      <c r="BC1354" t="inlineStr">
        <is>
          <t>32285001850980</t>
        </is>
      </c>
      <c r="BD1354" t="inlineStr">
        <is>
          <t>893261167</t>
        </is>
      </c>
    </row>
    <row r="1355">
      <c r="A1355" t="inlineStr">
        <is>
          <t>No</t>
        </is>
      </c>
      <c r="B1355" t="inlineStr">
        <is>
          <t>HQ316.N6 P6 1974</t>
        </is>
      </c>
      <c r="C1355" t="inlineStr">
        <is>
          <t>0                      HQ 0316000N  6                  P  6           1974</t>
        </is>
      </c>
      <c r="D1355" t="inlineStr">
        <is>
          <t>Ninety times guilty.</t>
        </is>
      </c>
      <c r="F1355" t="inlineStr">
        <is>
          <t>No</t>
        </is>
      </c>
      <c r="G1355" t="inlineStr">
        <is>
          <t>1</t>
        </is>
      </c>
      <c r="H1355" t="inlineStr">
        <is>
          <t>No</t>
        </is>
      </c>
      <c r="I1355" t="inlineStr">
        <is>
          <t>No</t>
        </is>
      </c>
      <c r="J1355" t="inlineStr">
        <is>
          <t>0</t>
        </is>
      </c>
      <c r="K1355" t="inlineStr">
        <is>
          <t>Powell, Hickman.</t>
        </is>
      </c>
      <c r="L1355" t="inlineStr">
        <is>
          <t>New York, Arno Press, 1974 [c1939]</t>
        </is>
      </c>
      <c r="M1355" t="inlineStr">
        <is>
          <t>1974</t>
        </is>
      </c>
      <c r="O1355" t="inlineStr">
        <is>
          <t>eng</t>
        </is>
      </c>
      <c r="P1355" t="inlineStr">
        <is>
          <t>nyu</t>
        </is>
      </c>
      <c r="Q1355" t="inlineStr">
        <is>
          <t>Metropolitan America</t>
        </is>
      </c>
      <c r="R1355" t="inlineStr">
        <is>
          <t xml:space="preserve">HQ </t>
        </is>
      </c>
      <c r="S1355" t="n">
        <v>2</v>
      </c>
      <c r="T1355" t="n">
        <v>2</v>
      </c>
      <c r="U1355" t="inlineStr">
        <is>
          <t>2000-09-08</t>
        </is>
      </c>
      <c r="V1355" t="inlineStr">
        <is>
          <t>2000-09-08</t>
        </is>
      </c>
      <c r="W1355" t="inlineStr">
        <is>
          <t>1997-08-08</t>
        </is>
      </c>
      <c r="X1355" t="inlineStr">
        <is>
          <t>1997-08-08</t>
        </is>
      </c>
      <c r="Y1355" t="n">
        <v>136</v>
      </c>
      <c r="Z1355" t="n">
        <v>126</v>
      </c>
      <c r="AA1355" t="n">
        <v>196</v>
      </c>
      <c r="AB1355" t="n">
        <v>3</v>
      </c>
      <c r="AC1355" t="n">
        <v>3</v>
      </c>
      <c r="AD1355" t="n">
        <v>4</v>
      </c>
      <c r="AE1355" t="n">
        <v>6</v>
      </c>
      <c r="AF1355" t="n">
        <v>0</v>
      </c>
      <c r="AG1355" t="n">
        <v>0</v>
      </c>
      <c r="AH1355" t="n">
        <v>1</v>
      </c>
      <c r="AI1355" t="n">
        <v>2</v>
      </c>
      <c r="AJ1355" t="n">
        <v>0</v>
      </c>
      <c r="AK1355" t="n">
        <v>2</v>
      </c>
      <c r="AL1355" t="n">
        <v>2</v>
      </c>
      <c r="AM1355" t="n">
        <v>2</v>
      </c>
      <c r="AN1355" t="n">
        <v>1</v>
      </c>
      <c r="AO1355" t="n">
        <v>1</v>
      </c>
      <c r="AP1355" t="inlineStr">
        <is>
          <t>No</t>
        </is>
      </c>
      <c r="AQ1355" t="inlineStr">
        <is>
          <t>No</t>
        </is>
      </c>
      <c r="AS1355">
        <f>HYPERLINK("https://creighton-primo.hosted.exlibrisgroup.com/primo-explore/search?tab=default_tab&amp;search_scope=EVERYTHING&amp;vid=01CRU&amp;lang=en_US&amp;offset=0&amp;query=any,contains,991003229369702656","Catalog Record")</f>
        <v/>
      </c>
      <c r="AT1355">
        <f>HYPERLINK("http://www.worldcat.org/oclc/754390","WorldCat Record")</f>
        <v/>
      </c>
      <c r="AU1355" t="inlineStr">
        <is>
          <t>1609318:eng</t>
        </is>
      </c>
      <c r="AV1355" t="inlineStr">
        <is>
          <t>754390</t>
        </is>
      </c>
      <c r="AW1355" t="inlineStr">
        <is>
          <t>991003229369702656</t>
        </is>
      </c>
      <c r="AX1355" t="inlineStr">
        <is>
          <t>991003229369702656</t>
        </is>
      </c>
      <c r="AY1355" t="inlineStr">
        <is>
          <t>2267604080002656</t>
        </is>
      </c>
      <c r="AZ1355" t="inlineStr">
        <is>
          <t>BOOK</t>
        </is>
      </c>
      <c r="BB1355" t="inlineStr">
        <is>
          <t>9780405054112</t>
        </is>
      </c>
      <c r="BC1355" t="inlineStr">
        <is>
          <t>32285003088464</t>
        </is>
      </c>
      <c r="BD1355" t="inlineStr">
        <is>
          <t>893317766</t>
        </is>
      </c>
    </row>
    <row r="1356">
      <c r="A1356" t="inlineStr">
        <is>
          <t>No</t>
        </is>
      </c>
      <c r="B1356" t="inlineStr">
        <is>
          <t>HQ32 .A44 1977</t>
        </is>
      </c>
      <c r="C1356" t="inlineStr">
        <is>
          <t>0                      HQ 0032000A  44          1977</t>
        </is>
      </c>
      <c r="D1356" t="inlineStr">
        <is>
          <t>Sexuality summary / William F. Allen.</t>
        </is>
      </c>
      <c r="F1356" t="inlineStr">
        <is>
          <t>No</t>
        </is>
      </c>
      <c r="G1356" t="inlineStr">
        <is>
          <t>1</t>
        </is>
      </c>
      <c r="H1356" t="inlineStr">
        <is>
          <t>No</t>
        </is>
      </c>
      <c r="I1356" t="inlineStr">
        <is>
          <t>No</t>
        </is>
      </c>
      <c r="J1356" t="inlineStr">
        <is>
          <t>0</t>
        </is>
      </c>
      <c r="K1356" t="inlineStr">
        <is>
          <t>Allen, William F.</t>
        </is>
      </c>
      <c r="L1356" t="inlineStr">
        <is>
          <t>Canfield, Ohio : Alba Books, c1977.</t>
        </is>
      </c>
      <c r="M1356" t="inlineStr">
        <is>
          <t>1977</t>
        </is>
      </c>
      <c r="O1356" t="inlineStr">
        <is>
          <t>eng</t>
        </is>
      </c>
      <c r="P1356" t="inlineStr">
        <is>
          <t>ohu</t>
        </is>
      </c>
      <c r="R1356" t="inlineStr">
        <is>
          <t xml:space="preserve">HQ </t>
        </is>
      </c>
      <c r="S1356" t="n">
        <v>16</v>
      </c>
      <c r="T1356" t="n">
        <v>16</v>
      </c>
      <c r="U1356" t="inlineStr">
        <is>
          <t>1993-11-28</t>
        </is>
      </c>
      <c r="V1356" t="inlineStr">
        <is>
          <t>1993-11-28</t>
        </is>
      </c>
      <c r="W1356" t="inlineStr">
        <is>
          <t>1990-11-01</t>
        </is>
      </c>
      <c r="X1356" t="inlineStr">
        <is>
          <t>1990-11-01</t>
        </is>
      </c>
      <c r="Y1356" t="n">
        <v>20</v>
      </c>
      <c r="Z1356" t="n">
        <v>18</v>
      </c>
      <c r="AA1356" t="n">
        <v>18</v>
      </c>
      <c r="AB1356" t="n">
        <v>2</v>
      </c>
      <c r="AC1356" t="n">
        <v>2</v>
      </c>
      <c r="AD1356" t="n">
        <v>3</v>
      </c>
      <c r="AE1356" t="n">
        <v>3</v>
      </c>
      <c r="AF1356" t="n">
        <v>0</v>
      </c>
      <c r="AG1356" t="n">
        <v>0</v>
      </c>
      <c r="AH1356" t="n">
        <v>0</v>
      </c>
      <c r="AI1356" t="n">
        <v>0</v>
      </c>
      <c r="AJ1356" t="n">
        <v>3</v>
      </c>
      <c r="AK1356" t="n">
        <v>3</v>
      </c>
      <c r="AL1356" t="n">
        <v>0</v>
      </c>
      <c r="AM1356" t="n">
        <v>0</v>
      </c>
      <c r="AN1356" t="n">
        <v>0</v>
      </c>
      <c r="AO1356" t="n">
        <v>0</v>
      </c>
      <c r="AP1356" t="inlineStr">
        <is>
          <t>No</t>
        </is>
      </c>
      <c r="AQ1356" t="inlineStr">
        <is>
          <t>No</t>
        </is>
      </c>
      <c r="AS1356">
        <f>HYPERLINK("https://creighton-primo.hosted.exlibrisgroup.com/primo-explore/search?tab=default_tab&amp;search_scope=EVERYTHING&amp;vid=01CRU&amp;lang=en_US&amp;offset=0&amp;query=any,contains,991004448949702656","Catalog Record")</f>
        <v/>
      </c>
      <c r="AT1356">
        <f>HYPERLINK("http://www.worldcat.org/oclc/3499430","WorldCat Record")</f>
        <v/>
      </c>
      <c r="AU1356" t="inlineStr">
        <is>
          <t>11007291:eng</t>
        </is>
      </c>
      <c r="AV1356" t="inlineStr">
        <is>
          <t>3499430</t>
        </is>
      </c>
      <c r="AW1356" t="inlineStr">
        <is>
          <t>991004448949702656</t>
        </is>
      </c>
      <c r="AX1356" t="inlineStr">
        <is>
          <t>991004448949702656</t>
        </is>
      </c>
      <c r="AY1356" t="inlineStr">
        <is>
          <t>2272217200002656</t>
        </is>
      </c>
      <c r="AZ1356" t="inlineStr">
        <is>
          <t>BOOK</t>
        </is>
      </c>
      <c r="BB1356" t="inlineStr">
        <is>
          <t>9780818911415</t>
        </is>
      </c>
      <c r="BC1356" t="inlineStr">
        <is>
          <t>32285000296458</t>
        </is>
      </c>
      <c r="BD1356" t="inlineStr">
        <is>
          <t>893446216</t>
        </is>
      </c>
    </row>
    <row r="1357">
      <c r="A1357" t="inlineStr">
        <is>
          <t>No</t>
        </is>
      </c>
      <c r="B1357" t="inlineStr">
        <is>
          <t>HQ32 .B65</t>
        </is>
      </c>
      <c r="C1357" t="inlineStr">
        <is>
          <t>0                      HQ 0032000B  65</t>
        </is>
      </c>
      <c r="D1357" t="inlineStr">
        <is>
          <t>Choosing a sex ethic; a Jewish inquiry [by] Eugene B. Borowitz.</t>
        </is>
      </c>
      <c r="F1357" t="inlineStr">
        <is>
          <t>No</t>
        </is>
      </c>
      <c r="G1357" t="inlineStr">
        <is>
          <t>1</t>
        </is>
      </c>
      <c r="H1357" t="inlineStr">
        <is>
          <t>No</t>
        </is>
      </c>
      <c r="I1357" t="inlineStr">
        <is>
          <t>No</t>
        </is>
      </c>
      <c r="J1357" t="inlineStr">
        <is>
          <t>0</t>
        </is>
      </c>
      <c r="K1357" t="inlineStr">
        <is>
          <t>Borowitz, Eugene B.</t>
        </is>
      </c>
      <c r="L1357" t="inlineStr">
        <is>
          <t>[New York] Published by Schocken Books for B'nai B'rith Hillel Foundations [1969]</t>
        </is>
      </c>
      <c r="M1357" t="inlineStr">
        <is>
          <t>1969</t>
        </is>
      </c>
      <c r="O1357" t="inlineStr">
        <is>
          <t>eng</t>
        </is>
      </c>
      <c r="P1357" t="inlineStr">
        <is>
          <t>nyu</t>
        </is>
      </c>
      <c r="Q1357" t="inlineStr">
        <is>
          <t>Hillel library series</t>
        </is>
      </c>
      <c r="R1357" t="inlineStr">
        <is>
          <t xml:space="preserve">HQ </t>
        </is>
      </c>
      <c r="S1357" t="n">
        <v>6</v>
      </c>
      <c r="T1357" t="n">
        <v>6</v>
      </c>
      <c r="U1357" t="inlineStr">
        <is>
          <t>2005-04-19</t>
        </is>
      </c>
      <c r="V1357" t="inlineStr">
        <is>
          <t>2005-04-19</t>
        </is>
      </c>
      <c r="W1357" t="inlineStr">
        <is>
          <t>1997-08-07</t>
        </is>
      </c>
      <c r="X1357" t="inlineStr">
        <is>
          <t>1997-08-07</t>
        </is>
      </c>
      <c r="Y1357" t="n">
        <v>440</v>
      </c>
      <c r="Z1357" t="n">
        <v>395</v>
      </c>
      <c r="AA1357" t="n">
        <v>399</v>
      </c>
      <c r="AB1357" t="n">
        <v>1</v>
      </c>
      <c r="AC1357" t="n">
        <v>1</v>
      </c>
      <c r="AD1357" t="n">
        <v>21</v>
      </c>
      <c r="AE1357" t="n">
        <v>21</v>
      </c>
      <c r="AF1357" t="n">
        <v>11</v>
      </c>
      <c r="AG1357" t="n">
        <v>11</v>
      </c>
      <c r="AH1357" t="n">
        <v>5</v>
      </c>
      <c r="AI1357" t="n">
        <v>5</v>
      </c>
      <c r="AJ1357" t="n">
        <v>14</v>
      </c>
      <c r="AK1357" t="n">
        <v>14</v>
      </c>
      <c r="AL1357" t="n">
        <v>0</v>
      </c>
      <c r="AM1357" t="n">
        <v>0</v>
      </c>
      <c r="AN1357" t="n">
        <v>0</v>
      </c>
      <c r="AO1357" t="n">
        <v>0</v>
      </c>
      <c r="AP1357" t="inlineStr">
        <is>
          <t>No</t>
        </is>
      </c>
      <c r="AQ1357" t="inlineStr">
        <is>
          <t>Yes</t>
        </is>
      </c>
      <c r="AR1357">
        <f>HYPERLINK("http://catalog.hathitrust.org/Record/000965645","HathiTrust Record")</f>
        <v/>
      </c>
      <c r="AS1357">
        <f>HYPERLINK("https://creighton-primo.hosted.exlibrisgroup.com/primo-explore/search?tab=default_tab&amp;search_scope=EVERYTHING&amp;vid=01CRU&amp;lang=en_US&amp;offset=0&amp;query=any,contains,991000070909702656","Catalog Record")</f>
        <v/>
      </c>
      <c r="AT1357">
        <f>HYPERLINK("http://www.worldcat.org/oclc/28227","WorldCat Record")</f>
        <v/>
      </c>
      <c r="AU1357" t="inlineStr">
        <is>
          <t>1171116:eng</t>
        </is>
      </c>
      <c r="AV1357" t="inlineStr">
        <is>
          <t>28227</t>
        </is>
      </c>
      <c r="AW1357" t="inlineStr">
        <is>
          <t>991000070909702656</t>
        </is>
      </c>
      <c r="AX1357" t="inlineStr">
        <is>
          <t>991000070909702656</t>
        </is>
      </c>
      <c r="AY1357" t="inlineStr">
        <is>
          <t>2264829130002656</t>
        </is>
      </c>
      <c r="AZ1357" t="inlineStr">
        <is>
          <t>BOOK</t>
        </is>
      </c>
      <c r="BC1357" t="inlineStr">
        <is>
          <t>32285003088001</t>
        </is>
      </c>
      <c r="BD1357" t="inlineStr">
        <is>
          <t>893249054</t>
        </is>
      </c>
    </row>
    <row r="1358">
      <c r="A1358" t="inlineStr">
        <is>
          <t>No</t>
        </is>
      </c>
      <c r="B1358" t="inlineStr">
        <is>
          <t>HQ32 .C64 1994</t>
        </is>
      </c>
      <c r="C1358" t="inlineStr">
        <is>
          <t>0                      HQ 0032000C  64          1994</t>
        </is>
      </c>
      <c r="D1358" t="inlineStr">
        <is>
          <t>Law, sexuality, and society : the enforcement of morals in classical Athens / David Cohen.</t>
        </is>
      </c>
      <c r="F1358" t="inlineStr">
        <is>
          <t>No</t>
        </is>
      </c>
      <c r="G1358" t="inlineStr">
        <is>
          <t>1</t>
        </is>
      </c>
      <c r="H1358" t="inlineStr">
        <is>
          <t>No</t>
        </is>
      </c>
      <c r="I1358" t="inlineStr">
        <is>
          <t>No</t>
        </is>
      </c>
      <c r="J1358" t="inlineStr">
        <is>
          <t>0</t>
        </is>
      </c>
      <c r="K1358" t="inlineStr">
        <is>
          <t>Cohen, David (David J.)</t>
        </is>
      </c>
      <c r="L1358" t="inlineStr">
        <is>
          <t>Cambridge [England] ; New York : Cambridge University Press, 1994.</t>
        </is>
      </c>
      <c r="M1358" t="inlineStr">
        <is>
          <t>1994</t>
        </is>
      </c>
      <c r="N1358" t="inlineStr">
        <is>
          <t>1st pbk. ed.</t>
        </is>
      </c>
      <c r="O1358" t="inlineStr">
        <is>
          <t>eng</t>
        </is>
      </c>
      <c r="P1358" t="inlineStr">
        <is>
          <t>enk</t>
        </is>
      </c>
      <c r="R1358" t="inlineStr">
        <is>
          <t xml:space="preserve">HQ </t>
        </is>
      </c>
      <c r="S1358" t="n">
        <v>7</v>
      </c>
      <c r="T1358" t="n">
        <v>7</v>
      </c>
      <c r="U1358" t="inlineStr">
        <is>
          <t>2004-11-01</t>
        </is>
      </c>
      <c r="V1358" t="inlineStr">
        <is>
          <t>2004-11-01</t>
        </is>
      </c>
      <c r="W1358" t="inlineStr">
        <is>
          <t>1997-03-12</t>
        </is>
      </c>
      <c r="X1358" t="inlineStr">
        <is>
          <t>1997-03-12</t>
        </is>
      </c>
      <c r="Y1358" t="n">
        <v>94</v>
      </c>
      <c r="Z1358" t="n">
        <v>66</v>
      </c>
      <c r="AA1358" t="n">
        <v>464</v>
      </c>
      <c r="AB1358" t="n">
        <v>1</v>
      </c>
      <c r="AC1358" t="n">
        <v>2</v>
      </c>
      <c r="AD1358" t="n">
        <v>1</v>
      </c>
      <c r="AE1358" t="n">
        <v>34</v>
      </c>
      <c r="AF1358" t="n">
        <v>0</v>
      </c>
      <c r="AG1358" t="n">
        <v>12</v>
      </c>
      <c r="AH1358" t="n">
        <v>1</v>
      </c>
      <c r="AI1358" t="n">
        <v>8</v>
      </c>
      <c r="AJ1358" t="n">
        <v>0</v>
      </c>
      <c r="AK1358" t="n">
        <v>14</v>
      </c>
      <c r="AL1358" t="n">
        <v>0</v>
      </c>
      <c r="AM1358" t="n">
        <v>1</v>
      </c>
      <c r="AN1358" t="n">
        <v>0</v>
      </c>
      <c r="AO1358" t="n">
        <v>8</v>
      </c>
      <c r="AP1358" t="inlineStr">
        <is>
          <t>No</t>
        </is>
      </c>
      <c r="AQ1358" t="inlineStr">
        <is>
          <t>Yes</t>
        </is>
      </c>
      <c r="AR1358">
        <f>HYPERLINK("http://catalog.hathitrust.org/Record/102324997","HathiTrust Record")</f>
        <v/>
      </c>
      <c r="AS1358">
        <f>HYPERLINK("https://creighton-primo.hosted.exlibrisgroup.com/primo-explore/search?tab=default_tab&amp;search_scope=EVERYTHING&amp;vid=01CRU&amp;lang=en_US&amp;offset=0&amp;query=any,contains,991002430259702656","Catalog Record")</f>
        <v/>
      </c>
      <c r="AT1358">
        <f>HYPERLINK("http://www.worldcat.org/oclc/31697062","WorldCat Record")</f>
        <v/>
      </c>
      <c r="AU1358" t="inlineStr">
        <is>
          <t>24584488:eng</t>
        </is>
      </c>
      <c r="AV1358" t="inlineStr">
        <is>
          <t>31697062</t>
        </is>
      </c>
      <c r="AW1358" t="inlineStr">
        <is>
          <t>991002430259702656</t>
        </is>
      </c>
      <c r="AX1358" t="inlineStr">
        <is>
          <t>991002430259702656</t>
        </is>
      </c>
      <c r="AY1358" t="inlineStr">
        <is>
          <t>2256152010002656</t>
        </is>
      </c>
      <c r="AZ1358" t="inlineStr">
        <is>
          <t>BOOK</t>
        </is>
      </c>
      <c r="BB1358" t="inlineStr">
        <is>
          <t>9780521466424</t>
        </is>
      </c>
      <c r="BC1358" t="inlineStr">
        <is>
          <t>32285002441607</t>
        </is>
      </c>
      <c r="BD1358" t="inlineStr">
        <is>
          <t>893415191</t>
        </is>
      </c>
    </row>
    <row r="1359">
      <c r="A1359" t="inlineStr">
        <is>
          <t>No</t>
        </is>
      </c>
      <c r="B1359" t="inlineStr">
        <is>
          <t>HQ32 .F69 1995</t>
        </is>
      </c>
      <c r="C1359" t="inlineStr">
        <is>
          <t>0                      HQ 0032000F  69          1995</t>
        </is>
      </c>
      <c r="D1359" t="inlineStr">
        <is>
          <t>Love does no harm : sexual ethics for the rest of us / Marie M. Fortune ; foreword by M. Joycelyn Elders ; preface by James B. Nelson.</t>
        </is>
      </c>
      <c r="F1359" t="inlineStr">
        <is>
          <t>No</t>
        </is>
      </c>
      <c r="G1359" t="inlineStr">
        <is>
          <t>1</t>
        </is>
      </c>
      <c r="H1359" t="inlineStr">
        <is>
          <t>No</t>
        </is>
      </c>
      <c r="I1359" t="inlineStr">
        <is>
          <t>No</t>
        </is>
      </c>
      <c r="J1359" t="inlineStr">
        <is>
          <t>0</t>
        </is>
      </c>
      <c r="K1359" t="inlineStr">
        <is>
          <t>Fortune, Marie M.</t>
        </is>
      </c>
      <c r="L1359" t="inlineStr">
        <is>
          <t>New York : Continuum, 1995.</t>
        </is>
      </c>
      <c r="M1359" t="inlineStr">
        <is>
          <t>1995</t>
        </is>
      </c>
      <c r="O1359" t="inlineStr">
        <is>
          <t>eng</t>
        </is>
      </c>
      <c r="P1359" t="inlineStr">
        <is>
          <t>nyu</t>
        </is>
      </c>
      <c r="R1359" t="inlineStr">
        <is>
          <t xml:space="preserve">HQ </t>
        </is>
      </c>
      <c r="S1359" t="n">
        <v>2</v>
      </c>
      <c r="T1359" t="n">
        <v>2</v>
      </c>
      <c r="U1359" t="inlineStr">
        <is>
          <t>1998-11-09</t>
        </is>
      </c>
      <c r="V1359" t="inlineStr">
        <is>
          <t>1998-11-09</t>
        </is>
      </c>
      <c r="W1359" t="inlineStr">
        <is>
          <t>1998-10-06</t>
        </is>
      </c>
      <c r="X1359" t="inlineStr">
        <is>
          <t>1998-10-06</t>
        </is>
      </c>
      <c r="Y1359" t="n">
        <v>285</v>
      </c>
      <c r="Z1359" t="n">
        <v>254</v>
      </c>
      <c r="AA1359" t="n">
        <v>284</v>
      </c>
      <c r="AB1359" t="n">
        <v>2</v>
      </c>
      <c r="AC1359" t="n">
        <v>2</v>
      </c>
      <c r="AD1359" t="n">
        <v>17</v>
      </c>
      <c r="AE1359" t="n">
        <v>17</v>
      </c>
      <c r="AF1359" t="n">
        <v>5</v>
      </c>
      <c r="AG1359" t="n">
        <v>5</v>
      </c>
      <c r="AH1359" t="n">
        <v>3</v>
      </c>
      <c r="AI1359" t="n">
        <v>3</v>
      </c>
      <c r="AJ1359" t="n">
        <v>14</v>
      </c>
      <c r="AK1359" t="n">
        <v>14</v>
      </c>
      <c r="AL1359" t="n">
        <v>1</v>
      </c>
      <c r="AM1359" t="n">
        <v>1</v>
      </c>
      <c r="AN1359" t="n">
        <v>0</v>
      </c>
      <c r="AO1359" t="n">
        <v>0</v>
      </c>
      <c r="AP1359" t="inlineStr">
        <is>
          <t>No</t>
        </is>
      </c>
      <c r="AQ1359" t="inlineStr">
        <is>
          <t>No</t>
        </is>
      </c>
      <c r="AS1359">
        <f>HYPERLINK("https://creighton-primo.hosted.exlibrisgroup.com/primo-explore/search?tab=default_tab&amp;search_scope=EVERYTHING&amp;vid=01CRU&amp;lang=en_US&amp;offset=0&amp;query=any,contains,991002450669702656","Catalog Record")</f>
        <v/>
      </c>
      <c r="AT1359">
        <f>HYPERLINK("http://www.worldcat.org/oclc/31969221","WorldCat Record")</f>
        <v/>
      </c>
      <c r="AU1359" t="inlineStr">
        <is>
          <t>836995610:eng</t>
        </is>
      </c>
      <c r="AV1359" t="inlineStr">
        <is>
          <t>31969221</t>
        </is>
      </c>
      <c r="AW1359" t="inlineStr">
        <is>
          <t>991002450669702656</t>
        </is>
      </c>
      <c r="AX1359" t="inlineStr">
        <is>
          <t>991002450669702656</t>
        </is>
      </c>
      <c r="AY1359" t="inlineStr">
        <is>
          <t>2263099050002656</t>
        </is>
      </c>
      <c r="AZ1359" t="inlineStr">
        <is>
          <t>BOOK</t>
        </is>
      </c>
      <c r="BB1359" t="inlineStr">
        <is>
          <t>9780826408204</t>
        </is>
      </c>
      <c r="BC1359" t="inlineStr">
        <is>
          <t>32285003472098</t>
        </is>
      </c>
      <c r="BD1359" t="inlineStr">
        <is>
          <t>893226850</t>
        </is>
      </c>
    </row>
    <row r="1360">
      <c r="A1360" t="inlineStr">
        <is>
          <t>No</t>
        </is>
      </c>
      <c r="B1360" t="inlineStr">
        <is>
          <t>HQ32 .H35 1982</t>
        </is>
      </c>
      <c r="C1360" t="inlineStr">
        <is>
          <t>0                      HQ 0032000H  35          1982</t>
        </is>
      </c>
      <c r="D1360" t="inlineStr">
        <is>
          <t>What are they saying about sexual morality? / James P. Hanigan.</t>
        </is>
      </c>
      <c r="F1360" t="inlineStr">
        <is>
          <t>No</t>
        </is>
      </c>
      <c r="G1360" t="inlineStr">
        <is>
          <t>1</t>
        </is>
      </c>
      <c r="H1360" t="inlineStr">
        <is>
          <t>No</t>
        </is>
      </c>
      <c r="I1360" t="inlineStr">
        <is>
          <t>No</t>
        </is>
      </c>
      <c r="J1360" t="inlineStr">
        <is>
          <t>0</t>
        </is>
      </c>
      <c r="K1360" t="inlineStr">
        <is>
          <t>Hanigan, James P.</t>
        </is>
      </c>
      <c r="L1360" t="inlineStr">
        <is>
          <t>New York : Paulist Press, c1982.</t>
        </is>
      </c>
      <c r="M1360" t="inlineStr">
        <is>
          <t>1982</t>
        </is>
      </c>
      <c r="O1360" t="inlineStr">
        <is>
          <t>eng</t>
        </is>
      </c>
      <c r="P1360" t="inlineStr">
        <is>
          <t>nyu</t>
        </is>
      </c>
      <c r="R1360" t="inlineStr">
        <is>
          <t xml:space="preserve">HQ </t>
        </is>
      </c>
      <c r="S1360" t="n">
        <v>16</v>
      </c>
      <c r="T1360" t="n">
        <v>16</v>
      </c>
      <c r="U1360" t="inlineStr">
        <is>
          <t>2010-04-21</t>
        </is>
      </c>
      <c r="V1360" t="inlineStr">
        <is>
          <t>2010-04-21</t>
        </is>
      </c>
      <c r="W1360" t="inlineStr">
        <is>
          <t>1993-10-12</t>
        </is>
      </c>
      <c r="X1360" t="inlineStr">
        <is>
          <t>1993-10-12</t>
        </is>
      </c>
      <c r="Y1360" t="n">
        <v>374</v>
      </c>
      <c r="Z1360" t="n">
        <v>308</v>
      </c>
      <c r="AA1360" t="n">
        <v>313</v>
      </c>
      <c r="AB1360" t="n">
        <v>2</v>
      </c>
      <c r="AC1360" t="n">
        <v>2</v>
      </c>
      <c r="AD1360" t="n">
        <v>32</v>
      </c>
      <c r="AE1360" t="n">
        <v>32</v>
      </c>
      <c r="AF1360" t="n">
        <v>15</v>
      </c>
      <c r="AG1360" t="n">
        <v>15</v>
      </c>
      <c r="AH1360" t="n">
        <v>6</v>
      </c>
      <c r="AI1360" t="n">
        <v>6</v>
      </c>
      <c r="AJ1360" t="n">
        <v>22</v>
      </c>
      <c r="AK1360" t="n">
        <v>22</v>
      </c>
      <c r="AL1360" t="n">
        <v>0</v>
      </c>
      <c r="AM1360" t="n">
        <v>0</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HYPERLINK("https://creighton-primo.hosted.exlibrisgroup.com/primo-explore/search?tab=default_tab&amp;search_scope=EVERYTHING&amp;vid=01CRU&amp;lang=en_US&amp;offset=0&amp;query=any,contains,991005250609702656","Catalog Record")</f>
        <v/>
      </c>
      <c r="AT1360">
        <f>HYPERLINK("http://www.worldcat.org/oclc/8491334","WorldCat Record")</f>
        <v/>
      </c>
      <c r="AU1360" t="inlineStr">
        <is>
          <t>466357:eng</t>
        </is>
      </c>
      <c r="AV1360" t="inlineStr">
        <is>
          <t>8491334</t>
        </is>
      </c>
      <c r="AW1360" t="inlineStr">
        <is>
          <t>991005250609702656</t>
        </is>
      </c>
      <c r="AX1360" t="inlineStr">
        <is>
          <t>991005250609702656</t>
        </is>
      </c>
      <c r="AY1360" t="inlineStr">
        <is>
          <t>2268643930002656</t>
        </is>
      </c>
      <c r="AZ1360" t="inlineStr">
        <is>
          <t>BOOK</t>
        </is>
      </c>
      <c r="BB1360" t="inlineStr">
        <is>
          <t>9780809124510</t>
        </is>
      </c>
      <c r="BC1360" t="inlineStr">
        <is>
          <t>32285001785681</t>
        </is>
      </c>
      <c r="BD1360" t="inlineStr">
        <is>
          <t>893412565</t>
        </is>
      </c>
    </row>
    <row r="1361">
      <c r="A1361" t="inlineStr">
        <is>
          <t>No</t>
        </is>
      </c>
      <c r="B1361" t="inlineStr">
        <is>
          <t>HQ32 .H822 1977</t>
        </is>
      </c>
      <c r="C1361" t="inlineStr">
        <is>
          <t>0                      HQ 0032000H  822         1977</t>
        </is>
      </c>
      <c r="D1361" t="inlineStr">
        <is>
          <t>Human sexuality, new directions in American Catholic thought : a study / commissioned by the Catholic Theological Society of America ; Anthony Kosnik, chairperson ... [et al.].</t>
        </is>
      </c>
      <c r="F1361" t="inlineStr">
        <is>
          <t>No</t>
        </is>
      </c>
      <c r="G1361" t="inlineStr">
        <is>
          <t>1</t>
        </is>
      </c>
      <c r="H1361" t="inlineStr">
        <is>
          <t>Yes</t>
        </is>
      </c>
      <c r="I1361" t="inlineStr">
        <is>
          <t>No</t>
        </is>
      </c>
      <c r="J1361" t="inlineStr">
        <is>
          <t>0</t>
        </is>
      </c>
      <c r="L1361" t="inlineStr">
        <is>
          <t>New York : Paulist Press, c1977.</t>
        </is>
      </c>
      <c r="M1361" t="inlineStr">
        <is>
          <t>1977</t>
        </is>
      </c>
      <c r="O1361" t="inlineStr">
        <is>
          <t>eng</t>
        </is>
      </c>
      <c r="P1361" t="inlineStr">
        <is>
          <t>nyu</t>
        </is>
      </c>
      <c r="R1361" t="inlineStr">
        <is>
          <t xml:space="preserve">HQ </t>
        </is>
      </c>
      <c r="S1361" t="n">
        <v>21</v>
      </c>
      <c r="T1361" t="n">
        <v>21</v>
      </c>
      <c r="U1361" t="inlineStr">
        <is>
          <t>2002-10-28</t>
        </is>
      </c>
      <c r="V1361" t="inlineStr">
        <is>
          <t>2002-10-28</t>
        </is>
      </c>
      <c r="W1361" t="inlineStr">
        <is>
          <t>1990-03-08</t>
        </is>
      </c>
      <c r="X1361" t="inlineStr">
        <is>
          <t>1990-03-08</t>
        </is>
      </c>
      <c r="Y1361" t="n">
        <v>925</v>
      </c>
      <c r="Z1361" t="n">
        <v>831</v>
      </c>
      <c r="AA1361" t="n">
        <v>853</v>
      </c>
      <c r="AB1361" t="n">
        <v>7</v>
      </c>
      <c r="AC1361" t="n">
        <v>7</v>
      </c>
      <c r="AD1361" t="n">
        <v>48</v>
      </c>
      <c r="AE1361" t="n">
        <v>49</v>
      </c>
      <c r="AF1361" t="n">
        <v>20</v>
      </c>
      <c r="AG1361" t="n">
        <v>20</v>
      </c>
      <c r="AH1361" t="n">
        <v>10</v>
      </c>
      <c r="AI1361" t="n">
        <v>11</v>
      </c>
      <c r="AJ1361" t="n">
        <v>26</v>
      </c>
      <c r="AK1361" t="n">
        <v>27</v>
      </c>
      <c r="AL1361" t="n">
        <v>4</v>
      </c>
      <c r="AM1361" t="n">
        <v>4</v>
      </c>
      <c r="AN1361" t="n">
        <v>1</v>
      </c>
      <c r="AO1361" t="n">
        <v>1</v>
      </c>
      <c r="AP1361" t="inlineStr">
        <is>
          <t>No</t>
        </is>
      </c>
      <c r="AQ1361" t="inlineStr">
        <is>
          <t>Yes</t>
        </is>
      </c>
      <c r="AR1361">
        <f>HYPERLINK("http://catalog.hathitrust.org/Record/000295007","HathiTrust Record")</f>
        <v/>
      </c>
      <c r="AS1361">
        <f>HYPERLINK("https://creighton-primo.hosted.exlibrisgroup.com/primo-explore/search?tab=default_tab&amp;search_scope=EVERYTHING&amp;vid=01CRU&amp;lang=en_US&amp;offset=0&amp;query=any,contains,991001763759702656","Catalog Record")</f>
        <v/>
      </c>
      <c r="AT1361">
        <f>HYPERLINK("http://www.worldcat.org/oclc/3205323","WorldCat Record")</f>
        <v/>
      </c>
      <c r="AU1361" t="inlineStr">
        <is>
          <t>466021:eng</t>
        </is>
      </c>
      <c r="AV1361" t="inlineStr">
        <is>
          <t>3205323</t>
        </is>
      </c>
      <c r="AW1361" t="inlineStr">
        <is>
          <t>991001763759702656</t>
        </is>
      </c>
      <c r="AX1361" t="inlineStr">
        <is>
          <t>991001763759702656</t>
        </is>
      </c>
      <c r="AY1361" t="inlineStr">
        <is>
          <t>2269273170002656</t>
        </is>
      </c>
      <c r="AZ1361" t="inlineStr">
        <is>
          <t>BOOK</t>
        </is>
      </c>
      <c r="BB1361" t="inlineStr">
        <is>
          <t>9780809102235</t>
        </is>
      </c>
      <c r="BC1361" t="inlineStr">
        <is>
          <t>32285000078716</t>
        </is>
      </c>
      <c r="BD1361" t="inlineStr">
        <is>
          <t>893328353</t>
        </is>
      </c>
    </row>
    <row r="1362">
      <c r="A1362" t="inlineStr">
        <is>
          <t>No</t>
        </is>
      </c>
      <c r="B1362" t="inlineStr">
        <is>
          <t>HQ32 .L42 1986</t>
        </is>
      </c>
      <c r="C1362" t="inlineStr">
        <is>
          <t>0                      HQ 0032000L  42          1986</t>
        </is>
      </c>
      <c r="D1362" t="inlineStr">
        <is>
          <t>The Puritan conscience and modern sexuality / Edmund Leites.</t>
        </is>
      </c>
      <c r="F1362" t="inlineStr">
        <is>
          <t>No</t>
        </is>
      </c>
      <c r="G1362" t="inlineStr">
        <is>
          <t>1</t>
        </is>
      </c>
      <c r="H1362" t="inlineStr">
        <is>
          <t>No</t>
        </is>
      </c>
      <c r="I1362" t="inlineStr">
        <is>
          <t>No</t>
        </is>
      </c>
      <c r="J1362" t="inlineStr">
        <is>
          <t>0</t>
        </is>
      </c>
      <c r="K1362" t="inlineStr">
        <is>
          <t>Leites, Edmund, 1939-</t>
        </is>
      </c>
      <c r="L1362" t="inlineStr">
        <is>
          <t>New Haven : Yale University Press, c1986.</t>
        </is>
      </c>
      <c r="M1362" t="inlineStr">
        <is>
          <t>1986</t>
        </is>
      </c>
      <c r="O1362" t="inlineStr">
        <is>
          <t>eng</t>
        </is>
      </c>
      <c r="P1362" t="inlineStr">
        <is>
          <t>ctu</t>
        </is>
      </c>
      <c r="R1362" t="inlineStr">
        <is>
          <t xml:space="preserve">HQ </t>
        </is>
      </c>
      <c r="S1362" t="n">
        <v>4</v>
      </c>
      <c r="T1362" t="n">
        <v>4</v>
      </c>
      <c r="U1362" t="inlineStr">
        <is>
          <t>2002-06-20</t>
        </is>
      </c>
      <c r="V1362" t="inlineStr">
        <is>
          <t>2002-06-20</t>
        </is>
      </c>
      <c r="W1362" t="inlineStr">
        <is>
          <t>1992-10-16</t>
        </is>
      </c>
      <c r="X1362" t="inlineStr">
        <is>
          <t>1992-10-16</t>
        </is>
      </c>
      <c r="Y1362" t="n">
        <v>667</v>
      </c>
      <c r="Z1362" t="n">
        <v>566</v>
      </c>
      <c r="AA1362" t="n">
        <v>710</v>
      </c>
      <c r="AB1362" t="n">
        <v>3</v>
      </c>
      <c r="AC1362" t="n">
        <v>3</v>
      </c>
      <c r="AD1362" t="n">
        <v>30</v>
      </c>
      <c r="AE1362" t="n">
        <v>35</v>
      </c>
      <c r="AF1362" t="n">
        <v>12</v>
      </c>
      <c r="AG1362" t="n">
        <v>16</v>
      </c>
      <c r="AH1362" t="n">
        <v>8</v>
      </c>
      <c r="AI1362" t="n">
        <v>10</v>
      </c>
      <c r="AJ1362" t="n">
        <v>18</v>
      </c>
      <c r="AK1362" t="n">
        <v>19</v>
      </c>
      <c r="AL1362" t="n">
        <v>2</v>
      </c>
      <c r="AM1362" t="n">
        <v>2</v>
      </c>
      <c r="AN1362" t="n">
        <v>0</v>
      </c>
      <c r="AO1362" t="n">
        <v>0</v>
      </c>
      <c r="AP1362" t="inlineStr">
        <is>
          <t>No</t>
        </is>
      </c>
      <c r="AQ1362" t="inlineStr">
        <is>
          <t>No</t>
        </is>
      </c>
      <c r="AS1362">
        <f>HYPERLINK("https://creighton-primo.hosted.exlibrisgroup.com/primo-explore/search?tab=default_tab&amp;search_scope=EVERYTHING&amp;vid=01CRU&amp;lang=en_US&amp;offset=0&amp;query=any,contains,991000702559702656","Catalog Record")</f>
        <v/>
      </c>
      <c r="AT1362">
        <f>HYPERLINK("http://www.worldcat.org/oclc/12552232","WorldCat Record")</f>
        <v/>
      </c>
      <c r="AU1362" t="inlineStr">
        <is>
          <t>4863999:eng</t>
        </is>
      </c>
      <c r="AV1362" t="inlineStr">
        <is>
          <t>12552232</t>
        </is>
      </c>
      <c r="AW1362" t="inlineStr">
        <is>
          <t>991000702559702656</t>
        </is>
      </c>
      <c r="AX1362" t="inlineStr">
        <is>
          <t>991000702559702656</t>
        </is>
      </c>
      <c r="AY1362" t="inlineStr">
        <is>
          <t>2256499740002656</t>
        </is>
      </c>
      <c r="AZ1362" t="inlineStr">
        <is>
          <t>BOOK</t>
        </is>
      </c>
      <c r="BB1362" t="inlineStr">
        <is>
          <t>9780300034905</t>
        </is>
      </c>
      <c r="BC1362" t="inlineStr">
        <is>
          <t>32285001358158</t>
        </is>
      </c>
      <c r="BD1362" t="inlineStr">
        <is>
          <t>893683681</t>
        </is>
      </c>
    </row>
    <row r="1363">
      <c r="A1363" t="inlineStr">
        <is>
          <t>No</t>
        </is>
      </c>
      <c r="B1363" t="inlineStr">
        <is>
          <t>HQ32 .P75 1999</t>
        </is>
      </c>
      <c r="C1363" t="inlineStr">
        <is>
          <t>0                      HQ 0032000P  75          1999</t>
        </is>
      </c>
      <c r="D1363" t="inlineStr">
        <is>
          <t>Ethics and sex / Igor Primoratz.</t>
        </is>
      </c>
      <c r="F1363" t="inlineStr">
        <is>
          <t>No</t>
        </is>
      </c>
      <c r="G1363" t="inlineStr">
        <is>
          <t>1</t>
        </is>
      </c>
      <c r="H1363" t="inlineStr">
        <is>
          <t>No</t>
        </is>
      </c>
      <c r="I1363" t="inlineStr">
        <is>
          <t>No</t>
        </is>
      </c>
      <c r="J1363" t="inlineStr">
        <is>
          <t>0</t>
        </is>
      </c>
      <c r="K1363" t="inlineStr">
        <is>
          <t>Primoratz, Igor.</t>
        </is>
      </c>
      <c r="L1363" t="inlineStr">
        <is>
          <t>London ; New York : Routledge, 1999.</t>
        </is>
      </c>
      <c r="M1363" t="inlineStr">
        <is>
          <t>1999</t>
        </is>
      </c>
      <c r="O1363" t="inlineStr">
        <is>
          <t>eng</t>
        </is>
      </c>
      <c r="P1363" t="inlineStr">
        <is>
          <t>enk</t>
        </is>
      </c>
      <c r="R1363" t="inlineStr">
        <is>
          <t xml:space="preserve">HQ </t>
        </is>
      </c>
      <c r="S1363" t="n">
        <v>5</v>
      </c>
      <c r="T1363" t="n">
        <v>5</v>
      </c>
      <c r="U1363" t="inlineStr">
        <is>
          <t>2008-03-05</t>
        </is>
      </c>
      <c r="V1363" t="inlineStr">
        <is>
          <t>2008-03-05</t>
        </is>
      </c>
      <c r="W1363" t="inlineStr">
        <is>
          <t>2002-09-30</t>
        </is>
      </c>
      <c r="X1363" t="inlineStr">
        <is>
          <t>2002-09-30</t>
        </is>
      </c>
      <c r="Y1363" t="n">
        <v>451</v>
      </c>
      <c r="Z1363" t="n">
        <v>335</v>
      </c>
      <c r="AA1363" t="n">
        <v>375</v>
      </c>
      <c r="AB1363" t="n">
        <v>2</v>
      </c>
      <c r="AC1363" t="n">
        <v>2</v>
      </c>
      <c r="AD1363" t="n">
        <v>19</v>
      </c>
      <c r="AE1363" t="n">
        <v>19</v>
      </c>
      <c r="AF1363" t="n">
        <v>7</v>
      </c>
      <c r="AG1363" t="n">
        <v>7</v>
      </c>
      <c r="AH1363" t="n">
        <v>6</v>
      </c>
      <c r="AI1363" t="n">
        <v>6</v>
      </c>
      <c r="AJ1363" t="n">
        <v>10</v>
      </c>
      <c r="AK1363" t="n">
        <v>10</v>
      </c>
      <c r="AL1363" t="n">
        <v>1</v>
      </c>
      <c r="AM1363" t="n">
        <v>1</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HYPERLINK("https://creighton-primo.hosted.exlibrisgroup.com/primo-explore/search?tab=default_tab&amp;search_scope=EVERYTHING&amp;vid=01CRU&amp;lang=en_US&amp;offset=0&amp;query=any,contains,991003876569702656","Catalog Record")</f>
        <v/>
      </c>
      <c r="AT1363">
        <f>HYPERLINK("http://www.worldcat.org/oclc/40159108","WorldCat Record")</f>
        <v/>
      </c>
      <c r="AU1363" t="inlineStr">
        <is>
          <t>15347435:eng</t>
        </is>
      </c>
      <c r="AV1363" t="inlineStr">
        <is>
          <t>40159108</t>
        </is>
      </c>
      <c r="AW1363" t="inlineStr">
        <is>
          <t>991003876569702656</t>
        </is>
      </c>
      <c r="AX1363" t="inlineStr">
        <is>
          <t>991003876569702656</t>
        </is>
      </c>
      <c r="AY1363" t="inlineStr">
        <is>
          <t>2261452350002656</t>
        </is>
      </c>
      <c r="AZ1363" t="inlineStr">
        <is>
          <t>BOOK</t>
        </is>
      </c>
      <c r="BB1363" t="inlineStr">
        <is>
          <t>9780415093330</t>
        </is>
      </c>
      <c r="BC1363" t="inlineStr">
        <is>
          <t>32285004650312</t>
        </is>
      </c>
      <c r="BD1363" t="inlineStr">
        <is>
          <t>893718166</t>
        </is>
      </c>
    </row>
    <row r="1364">
      <c r="A1364" t="inlineStr">
        <is>
          <t>No</t>
        </is>
      </c>
      <c r="B1364" t="inlineStr">
        <is>
          <t>HQ32 .R43 1991</t>
        </is>
      </c>
      <c r="C1364" t="inlineStr">
        <is>
          <t>0                      HQ 0032000R  43          1991</t>
        </is>
      </c>
      <c r="D1364" t="inlineStr">
        <is>
          <t>Redefining sexual ethics : a sourcebook of essays, stories, and poems / edited by Susan E. Davies, Eleanor H. Haney.</t>
        </is>
      </c>
      <c r="F1364" t="inlineStr">
        <is>
          <t>No</t>
        </is>
      </c>
      <c r="G1364" t="inlineStr">
        <is>
          <t>1</t>
        </is>
      </c>
      <c r="H1364" t="inlineStr">
        <is>
          <t>No</t>
        </is>
      </c>
      <c r="I1364" t="inlineStr">
        <is>
          <t>No</t>
        </is>
      </c>
      <c r="J1364" t="inlineStr">
        <is>
          <t>0</t>
        </is>
      </c>
      <c r="L1364" t="inlineStr">
        <is>
          <t>Cleveland, Ohio : Pilgrim Press, c1991.</t>
        </is>
      </c>
      <c r="M1364" t="inlineStr">
        <is>
          <t>1991</t>
        </is>
      </c>
      <c r="O1364" t="inlineStr">
        <is>
          <t>eng</t>
        </is>
      </c>
      <c r="P1364" t="inlineStr">
        <is>
          <t>ohu</t>
        </is>
      </c>
      <c r="R1364" t="inlineStr">
        <is>
          <t xml:space="preserve">HQ </t>
        </is>
      </c>
      <c r="S1364" t="n">
        <v>23</v>
      </c>
      <c r="T1364" t="n">
        <v>23</v>
      </c>
      <c r="U1364" t="inlineStr">
        <is>
          <t>2004-02-17</t>
        </is>
      </c>
      <c r="V1364" t="inlineStr">
        <is>
          <t>2004-02-17</t>
        </is>
      </c>
      <c r="W1364" t="inlineStr">
        <is>
          <t>1995-01-17</t>
        </is>
      </c>
      <c r="X1364" t="inlineStr">
        <is>
          <t>1995-01-17</t>
        </is>
      </c>
      <c r="Y1364" t="n">
        <v>195</v>
      </c>
      <c r="Z1364" t="n">
        <v>169</v>
      </c>
      <c r="AA1364" t="n">
        <v>174</v>
      </c>
      <c r="AB1364" t="n">
        <v>2</v>
      </c>
      <c r="AC1364" t="n">
        <v>2</v>
      </c>
      <c r="AD1364" t="n">
        <v>16</v>
      </c>
      <c r="AE1364" t="n">
        <v>16</v>
      </c>
      <c r="AF1364" t="n">
        <v>7</v>
      </c>
      <c r="AG1364" t="n">
        <v>7</v>
      </c>
      <c r="AH1364" t="n">
        <v>2</v>
      </c>
      <c r="AI1364" t="n">
        <v>2</v>
      </c>
      <c r="AJ1364" t="n">
        <v>10</v>
      </c>
      <c r="AK1364" t="n">
        <v>10</v>
      </c>
      <c r="AL1364" t="n">
        <v>1</v>
      </c>
      <c r="AM1364" t="n">
        <v>1</v>
      </c>
      <c r="AN1364" t="n">
        <v>0</v>
      </c>
      <c r="AO1364" t="n">
        <v>0</v>
      </c>
      <c r="AP1364" t="inlineStr">
        <is>
          <t>No</t>
        </is>
      </c>
      <c r="AQ1364" t="inlineStr">
        <is>
          <t>No</t>
        </is>
      </c>
      <c r="AS1364">
        <f>HYPERLINK("https://creighton-primo.hosted.exlibrisgroup.com/primo-explore/search?tab=default_tab&amp;search_scope=EVERYTHING&amp;vid=01CRU&amp;lang=en_US&amp;offset=0&amp;query=any,contains,991001938639702656","Catalog Record")</f>
        <v/>
      </c>
      <c r="AT1364">
        <f>HYPERLINK("http://www.worldcat.org/oclc/24501500","WorldCat Record")</f>
        <v/>
      </c>
      <c r="AU1364" t="inlineStr">
        <is>
          <t>25973765:eng</t>
        </is>
      </c>
      <c r="AV1364" t="inlineStr">
        <is>
          <t>24501500</t>
        </is>
      </c>
      <c r="AW1364" t="inlineStr">
        <is>
          <t>991001938639702656</t>
        </is>
      </c>
      <c r="AX1364" t="inlineStr">
        <is>
          <t>991001938639702656</t>
        </is>
      </c>
      <c r="AY1364" t="inlineStr">
        <is>
          <t>2268549850002656</t>
        </is>
      </c>
      <c r="AZ1364" t="inlineStr">
        <is>
          <t>BOOK</t>
        </is>
      </c>
      <c r="BB1364" t="inlineStr">
        <is>
          <t>9780829809121</t>
        </is>
      </c>
      <c r="BC1364" t="inlineStr">
        <is>
          <t>32285001992741</t>
        </is>
      </c>
      <c r="BD1364" t="inlineStr">
        <is>
          <t>893256655</t>
        </is>
      </c>
    </row>
    <row r="1365">
      <c r="A1365" t="inlineStr">
        <is>
          <t>No</t>
        </is>
      </c>
      <c r="B1365" t="inlineStr">
        <is>
          <t>HQ32 .S4</t>
        </is>
      </c>
      <c r="C1365" t="inlineStr">
        <is>
          <t>0                      HQ 0032000S  4</t>
        </is>
      </c>
      <c r="D1365" t="inlineStr">
        <is>
          <t>Sexual ethics and Christian responsibility; some divergent views. Edited by John Charles Wynn.</t>
        </is>
      </c>
      <c r="F1365" t="inlineStr">
        <is>
          <t>No</t>
        </is>
      </c>
      <c r="G1365" t="inlineStr">
        <is>
          <t>1</t>
        </is>
      </c>
      <c r="H1365" t="inlineStr">
        <is>
          <t>No</t>
        </is>
      </c>
      <c r="I1365" t="inlineStr">
        <is>
          <t>No</t>
        </is>
      </c>
      <c r="J1365" t="inlineStr">
        <is>
          <t>0</t>
        </is>
      </c>
      <c r="L1365" t="inlineStr">
        <is>
          <t>New York, Association Press [1970]</t>
        </is>
      </c>
      <c r="M1365" t="inlineStr">
        <is>
          <t>1970</t>
        </is>
      </c>
      <c r="O1365" t="inlineStr">
        <is>
          <t>eng</t>
        </is>
      </c>
      <c r="P1365" t="inlineStr">
        <is>
          <t>nyu</t>
        </is>
      </c>
      <c r="R1365" t="inlineStr">
        <is>
          <t xml:space="preserve">HQ </t>
        </is>
      </c>
      <c r="S1365" t="n">
        <v>2</v>
      </c>
      <c r="T1365" t="n">
        <v>2</v>
      </c>
      <c r="U1365" t="inlineStr">
        <is>
          <t>2003-10-16</t>
        </is>
      </c>
      <c r="V1365" t="inlineStr">
        <is>
          <t>2003-10-16</t>
        </is>
      </c>
      <c r="W1365" t="inlineStr">
        <is>
          <t>1997-08-07</t>
        </is>
      </c>
      <c r="X1365" t="inlineStr">
        <is>
          <t>1997-08-07</t>
        </is>
      </c>
      <c r="Y1365" t="n">
        <v>618</v>
      </c>
      <c r="Z1365" t="n">
        <v>559</v>
      </c>
      <c r="AA1365" t="n">
        <v>565</v>
      </c>
      <c r="AB1365" t="n">
        <v>7</v>
      </c>
      <c r="AC1365" t="n">
        <v>7</v>
      </c>
      <c r="AD1365" t="n">
        <v>26</v>
      </c>
      <c r="AE1365" t="n">
        <v>26</v>
      </c>
      <c r="AF1365" t="n">
        <v>9</v>
      </c>
      <c r="AG1365" t="n">
        <v>9</v>
      </c>
      <c r="AH1365" t="n">
        <v>5</v>
      </c>
      <c r="AI1365" t="n">
        <v>5</v>
      </c>
      <c r="AJ1365" t="n">
        <v>11</v>
      </c>
      <c r="AK1365" t="n">
        <v>11</v>
      </c>
      <c r="AL1365" t="n">
        <v>6</v>
      </c>
      <c r="AM1365" t="n">
        <v>6</v>
      </c>
      <c r="AN1365" t="n">
        <v>0</v>
      </c>
      <c r="AO1365" t="n">
        <v>0</v>
      </c>
      <c r="AP1365" t="inlineStr">
        <is>
          <t>No</t>
        </is>
      </c>
      <c r="AQ1365" t="inlineStr">
        <is>
          <t>Yes</t>
        </is>
      </c>
      <c r="AR1365">
        <f>HYPERLINK("http://catalog.hathitrust.org/Record/102068448","HathiTrust Record")</f>
        <v/>
      </c>
      <c r="AS1365">
        <f>HYPERLINK("https://creighton-primo.hosted.exlibrisgroup.com/primo-explore/search?tab=default_tab&amp;search_scope=EVERYTHING&amp;vid=01CRU&amp;lang=en_US&amp;offset=0&amp;query=any,contains,991000136929702656","Catalog Record")</f>
        <v/>
      </c>
      <c r="AT1365">
        <f>HYPERLINK("http://www.worldcat.org/oclc/56768","WorldCat Record")</f>
        <v/>
      </c>
      <c r="AU1365" t="inlineStr">
        <is>
          <t>4161488539:eng</t>
        </is>
      </c>
      <c r="AV1365" t="inlineStr">
        <is>
          <t>56768</t>
        </is>
      </c>
      <c r="AW1365" t="inlineStr">
        <is>
          <t>991000136929702656</t>
        </is>
      </c>
      <c r="AX1365" t="inlineStr">
        <is>
          <t>991000136929702656</t>
        </is>
      </c>
      <c r="AY1365" t="inlineStr">
        <is>
          <t>2261344450002656</t>
        </is>
      </c>
      <c r="AZ1365" t="inlineStr">
        <is>
          <t>BOOK</t>
        </is>
      </c>
      <c r="BB1365" t="inlineStr">
        <is>
          <t>9780809617586</t>
        </is>
      </c>
      <c r="BC1365" t="inlineStr">
        <is>
          <t>32285003088043</t>
        </is>
      </c>
      <c r="BD1365" t="inlineStr">
        <is>
          <t>893877838</t>
        </is>
      </c>
    </row>
    <row r="1366">
      <c r="A1366" t="inlineStr">
        <is>
          <t>No</t>
        </is>
      </c>
      <c r="B1366" t="inlineStr">
        <is>
          <t>HQ32 .T36</t>
        </is>
      </c>
      <c r="C1366" t="inlineStr">
        <is>
          <t>0                      HQ 0032000T  36</t>
        </is>
      </c>
      <c r="D1366" t="inlineStr">
        <is>
          <t>Sex: thoughts for contemporary Christians, edited by Michael J. Taylor.</t>
        </is>
      </c>
      <c r="F1366" t="inlineStr">
        <is>
          <t>No</t>
        </is>
      </c>
      <c r="G1366" t="inlineStr">
        <is>
          <t>1</t>
        </is>
      </c>
      <c r="H1366" t="inlineStr">
        <is>
          <t>No</t>
        </is>
      </c>
      <c r="I1366" t="inlineStr">
        <is>
          <t>No</t>
        </is>
      </c>
      <c r="J1366" t="inlineStr">
        <is>
          <t>0</t>
        </is>
      </c>
      <c r="K1366" t="inlineStr">
        <is>
          <t>Taylor, M. J., compiler.</t>
        </is>
      </c>
      <c r="L1366" t="inlineStr">
        <is>
          <t>Garden City, N.Y., Doubleday, 1972.</t>
        </is>
      </c>
      <c r="M1366" t="inlineStr">
        <is>
          <t>1972</t>
        </is>
      </c>
      <c r="N1366" t="inlineStr">
        <is>
          <t>[1st ed.]</t>
        </is>
      </c>
      <c r="O1366" t="inlineStr">
        <is>
          <t>eng</t>
        </is>
      </c>
      <c r="P1366" t="inlineStr">
        <is>
          <t>nyu</t>
        </is>
      </c>
      <c r="R1366" t="inlineStr">
        <is>
          <t xml:space="preserve">HQ </t>
        </is>
      </c>
      <c r="S1366" t="n">
        <v>34</v>
      </c>
      <c r="T1366" t="n">
        <v>34</v>
      </c>
      <c r="U1366" t="inlineStr">
        <is>
          <t>2007-11-26</t>
        </is>
      </c>
      <c r="V1366" t="inlineStr">
        <is>
          <t>2007-11-26</t>
        </is>
      </c>
      <c r="W1366" t="inlineStr">
        <is>
          <t>1990-02-15</t>
        </is>
      </c>
      <c r="X1366" t="inlineStr">
        <is>
          <t>1990-02-15</t>
        </is>
      </c>
      <c r="Y1366" t="n">
        <v>369</v>
      </c>
      <c r="Z1366" t="n">
        <v>332</v>
      </c>
      <c r="AA1366" t="n">
        <v>354</v>
      </c>
      <c r="AB1366" t="n">
        <v>5</v>
      </c>
      <c r="AC1366" t="n">
        <v>6</v>
      </c>
      <c r="AD1366" t="n">
        <v>29</v>
      </c>
      <c r="AE1366" t="n">
        <v>30</v>
      </c>
      <c r="AF1366" t="n">
        <v>9</v>
      </c>
      <c r="AG1366" t="n">
        <v>9</v>
      </c>
      <c r="AH1366" t="n">
        <v>7</v>
      </c>
      <c r="AI1366" t="n">
        <v>7</v>
      </c>
      <c r="AJ1366" t="n">
        <v>21</v>
      </c>
      <c r="AK1366" t="n">
        <v>21</v>
      </c>
      <c r="AL1366" t="n">
        <v>1</v>
      </c>
      <c r="AM1366" t="n">
        <v>2</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HYPERLINK("https://creighton-primo.hosted.exlibrisgroup.com/primo-explore/search?tab=default_tab&amp;search_scope=EVERYTHING&amp;vid=01CRU&amp;lang=en_US&amp;offset=0&amp;query=any,contains,991002055589702656","Catalog Record")</f>
        <v/>
      </c>
      <c r="AT1366">
        <f>HYPERLINK("http://www.worldcat.org/oclc/262181","WorldCat Record")</f>
        <v/>
      </c>
      <c r="AU1366" t="inlineStr">
        <is>
          <t>1372878:eng</t>
        </is>
      </c>
      <c r="AV1366" t="inlineStr">
        <is>
          <t>262181</t>
        </is>
      </c>
      <c r="AW1366" t="inlineStr">
        <is>
          <t>991002055589702656</t>
        </is>
      </c>
      <c r="AX1366" t="inlineStr">
        <is>
          <t>991002055589702656</t>
        </is>
      </c>
      <c r="AY1366" t="inlineStr">
        <is>
          <t>2266860810002656</t>
        </is>
      </c>
      <c r="AZ1366" t="inlineStr">
        <is>
          <t>BOOK</t>
        </is>
      </c>
      <c r="BC1366" t="inlineStr">
        <is>
          <t>32285000054063</t>
        </is>
      </c>
      <c r="BD1366" t="inlineStr">
        <is>
          <t>893232519</t>
        </is>
      </c>
    </row>
    <row r="1367">
      <c r="A1367" t="inlineStr">
        <is>
          <t>No</t>
        </is>
      </c>
      <c r="B1367" t="inlineStr">
        <is>
          <t>HQ32 .W44 1995</t>
        </is>
      </c>
      <c r="C1367" t="inlineStr">
        <is>
          <t>0                      HQ 0032000W  44          1995</t>
        </is>
      </c>
      <c r="D1367" t="inlineStr">
        <is>
          <t>Invented moralities : sexual values in an age of uncertainty / Jeffrey Weeks.</t>
        </is>
      </c>
      <c r="F1367" t="inlineStr">
        <is>
          <t>No</t>
        </is>
      </c>
      <c r="G1367" t="inlineStr">
        <is>
          <t>1</t>
        </is>
      </c>
      <c r="H1367" t="inlineStr">
        <is>
          <t>No</t>
        </is>
      </c>
      <c r="I1367" t="inlineStr">
        <is>
          <t>No</t>
        </is>
      </c>
      <c r="J1367" t="inlineStr">
        <is>
          <t>0</t>
        </is>
      </c>
      <c r="K1367" t="inlineStr">
        <is>
          <t>Weeks, Jeffrey, 1945-</t>
        </is>
      </c>
      <c r="L1367" t="inlineStr">
        <is>
          <t>New York : Columbia University Press, c1995.</t>
        </is>
      </c>
      <c r="M1367" t="inlineStr">
        <is>
          <t>1995</t>
        </is>
      </c>
      <c r="O1367" t="inlineStr">
        <is>
          <t>eng</t>
        </is>
      </c>
      <c r="P1367" t="inlineStr">
        <is>
          <t>nyu</t>
        </is>
      </c>
      <c r="R1367" t="inlineStr">
        <is>
          <t xml:space="preserve">HQ </t>
        </is>
      </c>
      <c r="S1367" t="n">
        <v>4</v>
      </c>
      <c r="T1367" t="n">
        <v>4</v>
      </c>
      <c r="U1367" t="inlineStr">
        <is>
          <t>2004-11-11</t>
        </is>
      </c>
      <c r="V1367" t="inlineStr">
        <is>
          <t>2004-11-11</t>
        </is>
      </c>
      <c r="W1367" t="inlineStr">
        <is>
          <t>1997-03-20</t>
        </is>
      </c>
      <c r="X1367" t="inlineStr">
        <is>
          <t>1997-03-20</t>
        </is>
      </c>
      <c r="Y1367" t="n">
        <v>447</v>
      </c>
      <c r="Z1367" t="n">
        <v>377</v>
      </c>
      <c r="AA1367" t="n">
        <v>416</v>
      </c>
      <c r="AB1367" t="n">
        <v>4</v>
      </c>
      <c r="AC1367" t="n">
        <v>4</v>
      </c>
      <c r="AD1367" t="n">
        <v>23</v>
      </c>
      <c r="AE1367" t="n">
        <v>24</v>
      </c>
      <c r="AF1367" t="n">
        <v>9</v>
      </c>
      <c r="AG1367" t="n">
        <v>10</v>
      </c>
      <c r="AH1367" t="n">
        <v>6</v>
      </c>
      <c r="AI1367" t="n">
        <v>7</v>
      </c>
      <c r="AJ1367" t="n">
        <v>11</v>
      </c>
      <c r="AK1367" t="n">
        <v>11</v>
      </c>
      <c r="AL1367" t="n">
        <v>3</v>
      </c>
      <c r="AM1367" t="n">
        <v>3</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HYPERLINK("https://creighton-primo.hosted.exlibrisgroup.com/primo-explore/search?tab=default_tab&amp;search_scope=EVERYTHING&amp;vid=01CRU&amp;lang=en_US&amp;offset=0&amp;query=any,contains,991002485849702656","Catalog Record")</f>
        <v/>
      </c>
      <c r="AT1367">
        <f>HYPERLINK("http://www.worldcat.org/oclc/32348228","WorldCat Record")</f>
        <v/>
      </c>
      <c r="AU1367" t="inlineStr">
        <is>
          <t>1062681:eng</t>
        </is>
      </c>
      <c r="AV1367" t="inlineStr">
        <is>
          <t>32348228</t>
        </is>
      </c>
      <c r="AW1367" t="inlineStr">
        <is>
          <t>991002485849702656</t>
        </is>
      </c>
      <c r="AX1367" t="inlineStr">
        <is>
          <t>991002485849702656</t>
        </is>
      </c>
      <c r="AY1367" t="inlineStr">
        <is>
          <t>2261835380002656</t>
        </is>
      </c>
      <c r="AZ1367" t="inlineStr">
        <is>
          <t>BOOK</t>
        </is>
      </c>
      <c r="BB1367" t="inlineStr">
        <is>
          <t>9780231104104</t>
        </is>
      </c>
      <c r="BC1367" t="inlineStr">
        <is>
          <t>32285002444924</t>
        </is>
      </c>
      <c r="BD1367" t="inlineStr">
        <is>
          <t>893591396</t>
        </is>
      </c>
    </row>
    <row r="1368">
      <c r="A1368" t="inlineStr">
        <is>
          <t>No</t>
        </is>
      </c>
      <c r="B1368" t="inlineStr">
        <is>
          <t>HQ35 .G3 1965</t>
        </is>
      </c>
      <c r="C1368" t="inlineStr">
        <is>
          <t>0                      HQ 0035000G  3           1965</t>
        </is>
      </c>
      <c r="D1368" t="inlineStr">
        <is>
          <t>Psychology of adolescence [by] Karl C. Garrison.</t>
        </is>
      </c>
      <c r="F1368" t="inlineStr">
        <is>
          <t>No</t>
        </is>
      </c>
      <c r="G1368" t="inlineStr">
        <is>
          <t>1</t>
        </is>
      </c>
      <c r="H1368" t="inlineStr">
        <is>
          <t>No</t>
        </is>
      </c>
      <c r="I1368" t="inlineStr">
        <is>
          <t>No</t>
        </is>
      </c>
      <c r="J1368" t="inlineStr">
        <is>
          <t>0</t>
        </is>
      </c>
      <c r="K1368" t="inlineStr">
        <is>
          <t>Garrison, Karl C. (Karl Claudius), 1900-1980.</t>
        </is>
      </c>
      <c r="L1368" t="inlineStr">
        <is>
          <t>Englewood Cliffs, N.J., Prentice-Hall [1965]</t>
        </is>
      </c>
      <c r="M1368" t="inlineStr">
        <is>
          <t>1965</t>
        </is>
      </c>
      <c r="N1368" t="inlineStr">
        <is>
          <t>6th ed.</t>
        </is>
      </c>
      <c r="O1368" t="inlineStr">
        <is>
          <t>eng</t>
        </is>
      </c>
      <c r="P1368" t="inlineStr">
        <is>
          <t>nju</t>
        </is>
      </c>
      <c r="R1368" t="inlineStr">
        <is>
          <t xml:space="preserve">HQ </t>
        </is>
      </c>
      <c r="S1368" t="n">
        <v>1</v>
      </c>
      <c r="T1368" t="n">
        <v>1</v>
      </c>
      <c r="U1368" t="inlineStr">
        <is>
          <t>2004-09-29</t>
        </is>
      </c>
      <c r="V1368" t="inlineStr">
        <is>
          <t>2004-09-29</t>
        </is>
      </c>
      <c r="W1368" t="inlineStr">
        <is>
          <t>1997-08-07</t>
        </is>
      </c>
      <c r="X1368" t="inlineStr">
        <is>
          <t>1997-08-07</t>
        </is>
      </c>
      <c r="Y1368" t="n">
        <v>472</v>
      </c>
      <c r="Z1368" t="n">
        <v>360</v>
      </c>
      <c r="AA1368" t="n">
        <v>842</v>
      </c>
      <c r="AB1368" t="n">
        <v>5</v>
      </c>
      <c r="AC1368" t="n">
        <v>7</v>
      </c>
      <c r="AD1368" t="n">
        <v>15</v>
      </c>
      <c r="AE1368" t="n">
        <v>32</v>
      </c>
      <c r="AF1368" t="n">
        <v>6</v>
      </c>
      <c r="AG1368" t="n">
        <v>12</v>
      </c>
      <c r="AH1368" t="n">
        <v>2</v>
      </c>
      <c r="AI1368" t="n">
        <v>5</v>
      </c>
      <c r="AJ1368" t="n">
        <v>7</v>
      </c>
      <c r="AK1368" t="n">
        <v>18</v>
      </c>
      <c r="AL1368" t="n">
        <v>3</v>
      </c>
      <c r="AM1368" t="n">
        <v>4</v>
      </c>
      <c r="AN1368" t="n">
        <v>0</v>
      </c>
      <c r="AO1368" t="n">
        <v>0</v>
      </c>
      <c r="AP1368" t="inlineStr">
        <is>
          <t>No</t>
        </is>
      </c>
      <c r="AQ1368" t="inlineStr">
        <is>
          <t>Yes</t>
        </is>
      </c>
      <c r="AR1368">
        <f>HYPERLINK("http://catalog.hathitrust.org/Record/000430951","HathiTrust Record")</f>
        <v/>
      </c>
      <c r="AS1368">
        <f>HYPERLINK("https://creighton-primo.hosted.exlibrisgroup.com/primo-explore/search?tab=default_tab&amp;search_scope=EVERYTHING&amp;vid=01CRU&amp;lang=en_US&amp;offset=0&amp;query=any,contains,991002887599702656","Catalog Record")</f>
        <v/>
      </c>
      <c r="AT1368">
        <f>HYPERLINK("http://www.worldcat.org/oclc/509594","WorldCat Record")</f>
        <v/>
      </c>
      <c r="AU1368" t="inlineStr">
        <is>
          <t>1365417:eng</t>
        </is>
      </c>
      <c r="AV1368" t="inlineStr">
        <is>
          <t>509594</t>
        </is>
      </c>
      <c r="AW1368" t="inlineStr">
        <is>
          <t>991002887599702656</t>
        </is>
      </c>
      <c r="AX1368" t="inlineStr">
        <is>
          <t>991002887599702656</t>
        </is>
      </c>
      <c r="AY1368" t="inlineStr">
        <is>
          <t>2261631150002656</t>
        </is>
      </c>
      <c r="AZ1368" t="inlineStr">
        <is>
          <t>BOOK</t>
        </is>
      </c>
      <c r="BC1368" t="inlineStr">
        <is>
          <t>32285003088084</t>
        </is>
      </c>
      <c r="BD1368" t="inlineStr">
        <is>
          <t>893805178</t>
        </is>
      </c>
    </row>
    <row r="1369">
      <c r="A1369" t="inlineStr">
        <is>
          <t>No</t>
        </is>
      </c>
      <c r="B1369" t="inlineStr">
        <is>
          <t>HQ35 .K46 1993</t>
        </is>
      </c>
      <c r="C1369" t="inlineStr">
        <is>
          <t>0                      HQ 0035000K  46          1993</t>
        </is>
      </c>
      <c r="D1369" t="inlineStr">
        <is>
          <t>Sex &amp; sense : a contemporary guide for teenagers / Gary F. Kelly.</t>
        </is>
      </c>
      <c r="F1369" t="inlineStr">
        <is>
          <t>No</t>
        </is>
      </c>
      <c r="G1369" t="inlineStr">
        <is>
          <t>1</t>
        </is>
      </c>
      <c r="H1369" t="inlineStr">
        <is>
          <t>No</t>
        </is>
      </c>
      <c r="I1369" t="inlineStr">
        <is>
          <t>No</t>
        </is>
      </c>
      <c r="J1369" t="inlineStr">
        <is>
          <t>0</t>
        </is>
      </c>
      <c r="K1369" t="inlineStr">
        <is>
          <t>Kelly, Gary F.</t>
        </is>
      </c>
      <c r="L1369" t="inlineStr">
        <is>
          <t>New York : Barron's, c1993.</t>
        </is>
      </c>
      <c r="M1369" t="inlineStr">
        <is>
          <t>1993</t>
        </is>
      </c>
      <c r="O1369" t="inlineStr">
        <is>
          <t>eng</t>
        </is>
      </c>
      <c r="P1369" t="inlineStr">
        <is>
          <t>nyu</t>
        </is>
      </c>
      <c r="R1369" t="inlineStr">
        <is>
          <t xml:space="preserve">HQ </t>
        </is>
      </c>
      <c r="S1369" t="n">
        <v>9</v>
      </c>
      <c r="T1369" t="n">
        <v>9</v>
      </c>
      <c r="U1369" t="inlineStr">
        <is>
          <t>2007-11-26</t>
        </is>
      </c>
      <c r="V1369" t="inlineStr">
        <is>
          <t>2007-11-26</t>
        </is>
      </c>
      <c r="W1369" t="inlineStr">
        <is>
          <t>1998-08-06</t>
        </is>
      </c>
      <c r="X1369" t="inlineStr">
        <is>
          <t>1998-08-06</t>
        </is>
      </c>
      <c r="Y1369" t="n">
        <v>122</v>
      </c>
      <c r="Z1369" t="n">
        <v>114</v>
      </c>
      <c r="AA1369" t="n">
        <v>117</v>
      </c>
      <c r="AB1369" t="n">
        <v>1</v>
      </c>
      <c r="AC1369" t="n">
        <v>1</v>
      </c>
      <c r="AD1369" t="n">
        <v>0</v>
      </c>
      <c r="AE1369" t="n">
        <v>0</v>
      </c>
      <c r="AF1369" t="n">
        <v>0</v>
      </c>
      <c r="AG1369" t="n">
        <v>0</v>
      </c>
      <c r="AH1369" t="n">
        <v>0</v>
      </c>
      <c r="AI1369" t="n">
        <v>0</v>
      </c>
      <c r="AJ1369" t="n">
        <v>0</v>
      </c>
      <c r="AK1369" t="n">
        <v>0</v>
      </c>
      <c r="AL1369" t="n">
        <v>0</v>
      </c>
      <c r="AM1369" t="n">
        <v>0</v>
      </c>
      <c r="AN1369" t="n">
        <v>0</v>
      </c>
      <c r="AO1369" t="n">
        <v>0</v>
      </c>
      <c r="AP1369" t="inlineStr">
        <is>
          <t>No</t>
        </is>
      </c>
      <c r="AQ1369" t="inlineStr">
        <is>
          <t>Yes</t>
        </is>
      </c>
      <c r="AR1369">
        <f>HYPERLINK("http://catalog.hathitrust.org/Record/009922379","HathiTrust Record")</f>
        <v/>
      </c>
      <c r="AS1369">
        <f>HYPERLINK("https://creighton-primo.hosted.exlibrisgroup.com/primo-explore/search?tab=default_tab&amp;search_scope=EVERYTHING&amp;vid=01CRU&amp;lang=en_US&amp;offset=0&amp;query=any,contains,991002122529702656","Catalog Record")</f>
        <v/>
      </c>
      <c r="AT1369">
        <f>HYPERLINK("http://www.worldcat.org/oclc/27186813","WorldCat Record")</f>
        <v/>
      </c>
      <c r="AU1369" t="inlineStr">
        <is>
          <t>1028228078:eng</t>
        </is>
      </c>
      <c r="AV1369" t="inlineStr">
        <is>
          <t>27186813</t>
        </is>
      </c>
      <c r="AW1369" t="inlineStr">
        <is>
          <t>991002122529702656</t>
        </is>
      </c>
      <c r="AX1369" t="inlineStr">
        <is>
          <t>991002122529702656</t>
        </is>
      </c>
      <c r="AY1369" t="inlineStr">
        <is>
          <t>2270386660002656</t>
        </is>
      </c>
      <c r="AZ1369" t="inlineStr">
        <is>
          <t>BOOK</t>
        </is>
      </c>
      <c r="BB1369" t="inlineStr">
        <is>
          <t>9780812014464</t>
        </is>
      </c>
      <c r="BC1369" t="inlineStr">
        <is>
          <t>32285003449849</t>
        </is>
      </c>
      <c r="BD1369" t="inlineStr">
        <is>
          <t>893226486</t>
        </is>
      </c>
    </row>
    <row r="1370">
      <c r="A1370" t="inlineStr">
        <is>
          <t>No</t>
        </is>
      </c>
      <c r="B1370" t="inlineStr">
        <is>
          <t>HQ35 .S49 1982</t>
        </is>
      </c>
      <c r="C1370" t="inlineStr">
        <is>
          <t>0                      HQ 0035000S  49          1982</t>
        </is>
      </c>
      <c r="D1370" t="inlineStr">
        <is>
          <t>Sex education : teacher's guide and resource manual / by Steven Bignell. Edited by Jane Hiatt, Mary Nelson.</t>
        </is>
      </c>
      <c r="F1370" t="inlineStr">
        <is>
          <t>No</t>
        </is>
      </c>
      <c r="G1370" t="inlineStr">
        <is>
          <t>1</t>
        </is>
      </c>
      <c r="H1370" t="inlineStr">
        <is>
          <t>No</t>
        </is>
      </c>
      <c r="I1370" t="inlineStr">
        <is>
          <t>No</t>
        </is>
      </c>
      <c r="J1370" t="inlineStr">
        <is>
          <t>0</t>
        </is>
      </c>
      <c r="L1370" t="inlineStr">
        <is>
          <t>Santa Cruz, Calif. : Network Publications, 1982.</t>
        </is>
      </c>
      <c r="M1370" t="inlineStr">
        <is>
          <t>1982</t>
        </is>
      </c>
      <c r="N1370" t="inlineStr">
        <is>
          <t>Revised edition.</t>
        </is>
      </c>
      <c r="O1370" t="inlineStr">
        <is>
          <t>eng</t>
        </is>
      </c>
      <c r="P1370" t="inlineStr">
        <is>
          <t>cau</t>
        </is>
      </c>
      <c r="R1370" t="inlineStr">
        <is>
          <t xml:space="preserve">HQ </t>
        </is>
      </c>
      <c r="S1370" t="n">
        <v>2</v>
      </c>
      <c r="T1370" t="n">
        <v>2</v>
      </c>
      <c r="U1370" t="inlineStr">
        <is>
          <t>1993-03-29</t>
        </is>
      </c>
      <c r="V1370" t="inlineStr">
        <is>
          <t>1993-03-29</t>
        </is>
      </c>
      <c r="W1370" t="inlineStr">
        <is>
          <t>1992-10-22</t>
        </is>
      </c>
      <c r="X1370" t="inlineStr">
        <is>
          <t>1992-10-22</t>
        </is>
      </c>
      <c r="Y1370" t="n">
        <v>43</v>
      </c>
      <c r="Z1370" t="n">
        <v>38</v>
      </c>
      <c r="AA1370" t="n">
        <v>43</v>
      </c>
      <c r="AB1370" t="n">
        <v>1</v>
      </c>
      <c r="AC1370" t="n">
        <v>1</v>
      </c>
      <c r="AD1370" t="n">
        <v>0</v>
      </c>
      <c r="AE1370" t="n">
        <v>0</v>
      </c>
      <c r="AF1370" t="n">
        <v>0</v>
      </c>
      <c r="AG1370" t="n">
        <v>0</v>
      </c>
      <c r="AH1370" t="n">
        <v>0</v>
      </c>
      <c r="AI1370" t="n">
        <v>0</v>
      </c>
      <c r="AJ1370" t="n">
        <v>0</v>
      </c>
      <c r="AK1370" t="n">
        <v>0</v>
      </c>
      <c r="AL1370" t="n">
        <v>0</v>
      </c>
      <c r="AM1370" t="n">
        <v>0</v>
      </c>
      <c r="AN1370" t="n">
        <v>0</v>
      </c>
      <c r="AO1370" t="n">
        <v>0</v>
      </c>
      <c r="AP1370" t="inlineStr">
        <is>
          <t>No</t>
        </is>
      </c>
      <c r="AQ1370" t="inlineStr">
        <is>
          <t>No</t>
        </is>
      </c>
      <c r="AS1370">
        <f>HYPERLINK("https://creighton-primo.hosted.exlibrisgroup.com/primo-explore/search?tab=default_tab&amp;search_scope=EVERYTHING&amp;vid=01CRU&amp;lang=en_US&amp;offset=0&amp;query=any,contains,991000272619702656","Catalog Record")</f>
        <v/>
      </c>
      <c r="AT1370">
        <f>HYPERLINK("http://www.worldcat.org/oclc/9879081","WorldCat Record")</f>
        <v/>
      </c>
      <c r="AU1370" t="inlineStr">
        <is>
          <t>1882099810:eng</t>
        </is>
      </c>
      <c r="AV1370" t="inlineStr">
        <is>
          <t>9879081</t>
        </is>
      </c>
      <c r="AW1370" t="inlineStr">
        <is>
          <t>991000272619702656</t>
        </is>
      </c>
      <c r="AX1370" t="inlineStr">
        <is>
          <t>991000272619702656</t>
        </is>
      </c>
      <c r="AY1370" t="inlineStr">
        <is>
          <t>2256576140002656</t>
        </is>
      </c>
      <c r="AZ1370" t="inlineStr">
        <is>
          <t>BOOK</t>
        </is>
      </c>
      <c r="BC1370" t="inlineStr">
        <is>
          <t>32285001358182</t>
        </is>
      </c>
      <c r="BD1370" t="inlineStr">
        <is>
          <t>893620345</t>
        </is>
      </c>
    </row>
    <row r="1371">
      <c r="A1371" t="inlineStr">
        <is>
          <t>No</t>
        </is>
      </c>
      <c r="B1371" t="inlineStr">
        <is>
          <t>HQ35.2 .H47</t>
        </is>
      </c>
      <c r="C1371" t="inlineStr">
        <is>
          <t>0                      HQ 0035200H  47</t>
        </is>
      </c>
      <c r="D1371" t="inlineStr">
        <is>
          <t>Sex isn't that simple : the new sexuality on campus / [by] Richard Hettlinger.</t>
        </is>
      </c>
      <c r="F1371" t="inlineStr">
        <is>
          <t>No</t>
        </is>
      </c>
      <c r="G1371" t="inlineStr">
        <is>
          <t>1</t>
        </is>
      </c>
      <c r="H1371" t="inlineStr">
        <is>
          <t>No</t>
        </is>
      </c>
      <c r="I1371" t="inlineStr">
        <is>
          <t>No</t>
        </is>
      </c>
      <c r="J1371" t="inlineStr">
        <is>
          <t>0</t>
        </is>
      </c>
      <c r="K1371" t="inlineStr">
        <is>
          <t>Hettlinger, Richard F. (Richard Frederick)</t>
        </is>
      </c>
      <c r="L1371" t="inlineStr">
        <is>
          <t>New York : Seabury Press, [1974]</t>
        </is>
      </c>
      <c r="M1371" t="inlineStr">
        <is>
          <t>1974</t>
        </is>
      </c>
      <c r="O1371" t="inlineStr">
        <is>
          <t>eng</t>
        </is>
      </c>
      <c r="P1371" t="inlineStr">
        <is>
          <t>nyu</t>
        </is>
      </c>
      <c r="Q1371" t="inlineStr">
        <is>
          <t>A Continuum book</t>
        </is>
      </c>
      <c r="R1371" t="inlineStr">
        <is>
          <t xml:space="preserve">HQ </t>
        </is>
      </c>
      <c r="S1371" t="n">
        <v>5</v>
      </c>
      <c r="T1371" t="n">
        <v>5</v>
      </c>
      <c r="U1371" t="inlineStr">
        <is>
          <t>2002-09-17</t>
        </is>
      </c>
      <c r="V1371" t="inlineStr">
        <is>
          <t>2002-09-17</t>
        </is>
      </c>
      <c r="W1371" t="inlineStr">
        <is>
          <t>1993-04-03</t>
        </is>
      </c>
      <c r="X1371" t="inlineStr">
        <is>
          <t>1993-04-03</t>
        </is>
      </c>
      <c r="Y1371" t="n">
        <v>422</v>
      </c>
      <c r="Z1371" t="n">
        <v>388</v>
      </c>
      <c r="AA1371" t="n">
        <v>390</v>
      </c>
      <c r="AB1371" t="n">
        <v>4</v>
      </c>
      <c r="AC1371" t="n">
        <v>4</v>
      </c>
      <c r="AD1371" t="n">
        <v>15</v>
      </c>
      <c r="AE1371" t="n">
        <v>15</v>
      </c>
      <c r="AF1371" t="n">
        <v>4</v>
      </c>
      <c r="AG1371" t="n">
        <v>4</v>
      </c>
      <c r="AH1371" t="n">
        <v>4</v>
      </c>
      <c r="AI1371" t="n">
        <v>4</v>
      </c>
      <c r="AJ1371" t="n">
        <v>6</v>
      </c>
      <c r="AK1371" t="n">
        <v>6</v>
      </c>
      <c r="AL1371" t="n">
        <v>3</v>
      </c>
      <c r="AM1371" t="n">
        <v>3</v>
      </c>
      <c r="AN1371" t="n">
        <v>0</v>
      </c>
      <c r="AO1371" t="n">
        <v>0</v>
      </c>
      <c r="AP1371" t="inlineStr">
        <is>
          <t>No</t>
        </is>
      </c>
      <c r="AQ1371" t="inlineStr">
        <is>
          <t>Yes</t>
        </is>
      </c>
      <c r="AR1371">
        <f>HYPERLINK("http://catalog.hathitrust.org/Record/000011871","HathiTrust Record")</f>
        <v/>
      </c>
      <c r="AS1371">
        <f>HYPERLINK("https://creighton-primo.hosted.exlibrisgroup.com/primo-explore/search?tab=default_tab&amp;search_scope=EVERYTHING&amp;vid=01CRU&amp;lang=en_US&amp;offset=0&amp;query=any,contains,991003275059702656","Catalog Record")</f>
        <v/>
      </c>
      <c r="AT1371">
        <f>HYPERLINK("http://www.worldcat.org/oclc/799578","WorldCat Record")</f>
        <v/>
      </c>
      <c r="AU1371" t="inlineStr">
        <is>
          <t>309127506:eng</t>
        </is>
      </c>
      <c r="AV1371" t="inlineStr">
        <is>
          <t>799578</t>
        </is>
      </c>
      <c r="AW1371" t="inlineStr">
        <is>
          <t>991003275059702656</t>
        </is>
      </c>
      <c r="AX1371" t="inlineStr">
        <is>
          <t>991003275059702656</t>
        </is>
      </c>
      <c r="AY1371" t="inlineStr">
        <is>
          <t>2266905690002656</t>
        </is>
      </c>
      <c r="AZ1371" t="inlineStr">
        <is>
          <t>BOOK</t>
        </is>
      </c>
      <c r="BB1371" t="inlineStr">
        <is>
          <t>9780816491964</t>
        </is>
      </c>
      <c r="BC1371" t="inlineStr">
        <is>
          <t>32285001599967</t>
        </is>
      </c>
      <c r="BD1371" t="inlineStr">
        <is>
          <t>893348507</t>
        </is>
      </c>
    </row>
    <row r="1372">
      <c r="A1372" t="inlineStr">
        <is>
          <t>No</t>
        </is>
      </c>
      <c r="B1372" t="inlineStr">
        <is>
          <t>HQ35.2 .S49 1967</t>
        </is>
      </c>
      <c r="C1372" t="inlineStr">
        <is>
          <t>0                      HQ 0035200S  49          1967</t>
        </is>
      </c>
      <c r="D1372" t="inlineStr">
        <is>
          <t>Sex on campus : proceedings of a symposium on sex on campus, held at the Boston University Law School Auditorium, Boston, Mass., 2 December, 1967 / edited by D. Charles [and] R. A. Chez.</t>
        </is>
      </c>
      <c r="F1372" t="inlineStr">
        <is>
          <t>No</t>
        </is>
      </c>
      <c r="G1372" t="inlineStr">
        <is>
          <t>1</t>
        </is>
      </c>
      <c r="H1372" t="inlineStr">
        <is>
          <t>No</t>
        </is>
      </c>
      <c r="I1372" t="inlineStr">
        <is>
          <t>No</t>
        </is>
      </c>
      <c r="J1372" t="inlineStr">
        <is>
          <t>0</t>
        </is>
      </c>
      <c r="L1372" t="inlineStr">
        <is>
          <t>Amsterdam : Excerpta Medica Foundation, 1969.</t>
        </is>
      </c>
      <c r="M1372" t="inlineStr">
        <is>
          <t>1969</t>
        </is>
      </c>
      <c r="O1372" t="inlineStr">
        <is>
          <t>eng</t>
        </is>
      </c>
      <c r="P1372" t="inlineStr">
        <is>
          <t xml:space="preserve">ne </t>
        </is>
      </c>
      <c r="R1372" t="inlineStr">
        <is>
          <t xml:space="preserve">HQ </t>
        </is>
      </c>
      <c r="S1372" t="n">
        <v>15</v>
      </c>
      <c r="T1372" t="n">
        <v>15</v>
      </c>
      <c r="U1372" t="inlineStr">
        <is>
          <t>1997-03-26</t>
        </is>
      </c>
      <c r="V1372" t="inlineStr">
        <is>
          <t>1997-03-26</t>
        </is>
      </c>
      <c r="W1372" t="inlineStr">
        <is>
          <t>1992-04-06</t>
        </is>
      </c>
      <c r="X1372" t="inlineStr">
        <is>
          <t>1992-04-06</t>
        </is>
      </c>
      <c r="Y1372" t="n">
        <v>132</v>
      </c>
      <c r="Z1372" t="n">
        <v>115</v>
      </c>
      <c r="AA1372" t="n">
        <v>117</v>
      </c>
      <c r="AB1372" t="n">
        <v>2</v>
      </c>
      <c r="AC1372" t="n">
        <v>2</v>
      </c>
      <c r="AD1372" t="n">
        <v>2</v>
      </c>
      <c r="AE1372" t="n">
        <v>2</v>
      </c>
      <c r="AF1372" t="n">
        <v>0</v>
      </c>
      <c r="AG1372" t="n">
        <v>0</v>
      </c>
      <c r="AH1372" t="n">
        <v>0</v>
      </c>
      <c r="AI1372" t="n">
        <v>0</v>
      </c>
      <c r="AJ1372" t="n">
        <v>1</v>
      </c>
      <c r="AK1372" t="n">
        <v>1</v>
      </c>
      <c r="AL1372" t="n">
        <v>1</v>
      </c>
      <c r="AM1372" t="n">
        <v>1</v>
      </c>
      <c r="AN1372" t="n">
        <v>0</v>
      </c>
      <c r="AO1372" t="n">
        <v>0</v>
      </c>
      <c r="AP1372" t="inlineStr">
        <is>
          <t>No</t>
        </is>
      </c>
      <c r="AQ1372" t="inlineStr">
        <is>
          <t>Yes</t>
        </is>
      </c>
      <c r="AR1372">
        <f>HYPERLINK("http://catalog.hathitrust.org/Record/000976960","HathiTrust Record")</f>
        <v/>
      </c>
      <c r="AS1372">
        <f>HYPERLINK("https://creighton-primo.hosted.exlibrisgroup.com/primo-explore/search?tab=default_tab&amp;search_scope=EVERYTHING&amp;vid=01CRU&amp;lang=en_US&amp;offset=0&amp;query=any,contains,991000652009702656","Catalog Record")</f>
        <v/>
      </c>
      <c r="AT1372">
        <f>HYPERLINK("http://www.worldcat.org/oclc/114038","WorldCat Record")</f>
        <v/>
      </c>
      <c r="AU1372" t="inlineStr">
        <is>
          <t>903466230:eng</t>
        </is>
      </c>
      <c r="AV1372" t="inlineStr">
        <is>
          <t>114038</t>
        </is>
      </c>
      <c r="AW1372" t="inlineStr">
        <is>
          <t>991000652009702656</t>
        </is>
      </c>
      <c r="AX1372" t="inlineStr">
        <is>
          <t>991000652009702656</t>
        </is>
      </c>
      <c r="AY1372" t="inlineStr">
        <is>
          <t>2265409910002656</t>
        </is>
      </c>
      <c r="AZ1372" t="inlineStr">
        <is>
          <t>BOOK</t>
        </is>
      </c>
      <c r="BC1372" t="inlineStr">
        <is>
          <t>32285001007706</t>
        </is>
      </c>
      <c r="BD1372" t="inlineStr">
        <is>
          <t>893528252</t>
        </is>
      </c>
    </row>
    <row r="1373">
      <c r="A1373" t="inlineStr">
        <is>
          <t>No</t>
        </is>
      </c>
      <c r="B1373" t="inlineStr">
        <is>
          <t>HQ35.2 .T87 1993</t>
        </is>
      </c>
      <c r="C1373" t="inlineStr">
        <is>
          <t>0                      HQ 0035200T  87          1993</t>
        </is>
      </c>
      <c r="D1373" t="inlineStr">
        <is>
          <t>Contemporary human sexuality / Jeffrey S. Turner, Laurna Rubinson.</t>
        </is>
      </c>
      <c r="F1373" t="inlineStr">
        <is>
          <t>No</t>
        </is>
      </c>
      <c r="G1373" t="inlineStr">
        <is>
          <t>1</t>
        </is>
      </c>
      <c r="H1373" t="inlineStr">
        <is>
          <t>No</t>
        </is>
      </c>
      <c r="I1373" t="inlineStr">
        <is>
          <t>No</t>
        </is>
      </c>
      <c r="J1373" t="inlineStr">
        <is>
          <t>0</t>
        </is>
      </c>
      <c r="K1373" t="inlineStr">
        <is>
          <t>Turner, Jeffrey S.</t>
        </is>
      </c>
      <c r="L1373" t="inlineStr">
        <is>
          <t>Englewood Cliffs, N.J. : Prentice Hall, c1993.</t>
        </is>
      </c>
      <c r="M1373" t="inlineStr">
        <is>
          <t>1993</t>
        </is>
      </c>
      <c r="O1373" t="inlineStr">
        <is>
          <t>eng</t>
        </is>
      </c>
      <c r="P1373" t="inlineStr">
        <is>
          <t>nju</t>
        </is>
      </c>
      <c r="R1373" t="inlineStr">
        <is>
          <t xml:space="preserve">HQ </t>
        </is>
      </c>
      <c r="S1373" t="n">
        <v>43</v>
      </c>
      <c r="T1373" t="n">
        <v>43</v>
      </c>
      <c r="U1373" t="inlineStr">
        <is>
          <t>2006-06-19</t>
        </is>
      </c>
      <c r="V1373" t="inlineStr">
        <is>
          <t>2006-06-19</t>
        </is>
      </c>
      <c r="W1373" t="inlineStr">
        <is>
          <t>1996-11-11</t>
        </is>
      </c>
      <c r="X1373" t="inlineStr">
        <is>
          <t>1996-11-11</t>
        </is>
      </c>
      <c r="Y1373" t="n">
        <v>84</v>
      </c>
      <c r="Z1373" t="n">
        <v>57</v>
      </c>
      <c r="AA1373" t="n">
        <v>62</v>
      </c>
      <c r="AB1373" t="n">
        <v>1</v>
      </c>
      <c r="AC1373" t="n">
        <v>1</v>
      </c>
      <c r="AD1373" t="n">
        <v>2</v>
      </c>
      <c r="AE1373" t="n">
        <v>2</v>
      </c>
      <c r="AF1373" t="n">
        <v>1</v>
      </c>
      <c r="AG1373" t="n">
        <v>1</v>
      </c>
      <c r="AH1373" t="n">
        <v>0</v>
      </c>
      <c r="AI1373" t="n">
        <v>0</v>
      </c>
      <c r="AJ1373" t="n">
        <v>1</v>
      </c>
      <c r="AK1373" t="n">
        <v>1</v>
      </c>
      <c r="AL1373" t="n">
        <v>0</v>
      </c>
      <c r="AM1373" t="n">
        <v>0</v>
      </c>
      <c r="AN1373" t="n">
        <v>0</v>
      </c>
      <c r="AO1373" t="n">
        <v>0</v>
      </c>
      <c r="AP1373" t="inlineStr">
        <is>
          <t>No</t>
        </is>
      </c>
      <c r="AQ1373" t="inlineStr">
        <is>
          <t>No</t>
        </is>
      </c>
      <c r="AS1373">
        <f>HYPERLINK("https://creighton-primo.hosted.exlibrisgroup.com/primo-explore/search?tab=default_tab&amp;search_scope=EVERYTHING&amp;vid=01CRU&amp;lang=en_US&amp;offset=0&amp;query=any,contains,991002064589702656","Catalog Record")</f>
        <v/>
      </c>
      <c r="AT1373">
        <f>HYPERLINK("http://www.worldcat.org/oclc/26401102","WorldCat Record")</f>
        <v/>
      </c>
      <c r="AU1373" t="inlineStr">
        <is>
          <t>28591198:eng</t>
        </is>
      </c>
      <c r="AV1373" t="inlineStr">
        <is>
          <t>26401102</t>
        </is>
      </c>
      <c r="AW1373" t="inlineStr">
        <is>
          <t>991002064589702656</t>
        </is>
      </c>
      <c r="AX1373" t="inlineStr">
        <is>
          <t>991002064589702656</t>
        </is>
      </c>
      <c r="AY1373" t="inlineStr">
        <is>
          <t>2265243010002656</t>
        </is>
      </c>
      <c r="AZ1373" t="inlineStr">
        <is>
          <t>BOOK</t>
        </is>
      </c>
      <c r="BB1373" t="inlineStr">
        <is>
          <t>9780131752825</t>
        </is>
      </c>
      <c r="BC1373" t="inlineStr">
        <is>
          <t>32285002371192</t>
        </is>
      </c>
      <c r="BD1373" t="inlineStr">
        <is>
          <t>893347063</t>
        </is>
      </c>
    </row>
    <row r="1374">
      <c r="A1374" t="inlineStr">
        <is>
          <t>No</t>
        </is>
      </c>
      <c r="B1374" t="inlineStr">
        <is>
          <t>HQ36 .G73 1974</t>
        </is>
      </c>
      <c r="C1374" t="inlineStr">
        <is>
          <t>0                      HQ 0036000G  73          1974</t>
        </is>
      </c>
      <c r="D1374" t="inlineStr">
        <is>
          <t>A lecture to young men.</t>
        </is>
      </c>
      <c r="F1374" t="inlineStr">
        <is>
          <t>No</t>
        </is>
      </c>
      <c r="G1374" t="inlineStr">
        <is>
          <t>1</t>
        </is>
      </c>
      <c r="H1374" t="inlineStr">
        <is>
          <t>No</t>
        </is>
      </c>
      <c r="I1374" t="inlineStr">
        <is>
          <t>No</t>
        </is>
      </c>
      <c r="J1374" t="inlineStr">
        <is>
          <t>0</t>
        </is>
      </c>
      <c r="K1374" t="inlineStr">
        <is>
          <t>Graham, Sylvester, 1794-1851.</t>
        </is>
      </c>
      <c r="L1374" t="inlineStr">
        <is>
          <t>New York, Arno Press, 1974 [c1833]</t>
        </is>
      </c>
      <c r="M1374" t="inlineStr">
        <is>
          <t>1974</t>
        </is>
      </c>
      <c r="O1374" t="inlineStr">
        <is>
          <t>eng</t>
        </is>
      </c>
      <c r="P1374" t="inlineStr">
        <is>
          <t>nyu</t>
        </is>
      </c>
      <c r="Q1374" t="inlineStr">
        <is>
          <t>Sex, marriage, and society</t>
        </is>
      </c>
      <c r="R1374" t="inlineStr">
        <is>
          <t xml:space="preserve">HQ </t>
        </is>
      </c>
      <c r="S1374" t="n">
        <v>2</v>
      </c>
      <c r="T1374" t="n">
        <v>2</v>
      </c>
      <c r="U1374" t="inlineStr">
        <is>
          <t>2005-09-14</t>
        </is>
      </c>
      <c r="V1374" t="inlineStr">
        <is>
          <t>2005-09-14</t>
        </is>
      </c>
      <c r="W1374" t="inlineStr">
        <is>
          <t>1997-08-07</t>
        </is>
      </c>
      <c r="X1374" t="inlineStr">
        <is>
          <t>1997-08-07</t>
        </is>
      </c>
      <c r="Y1374" t="n">
        <v>112</v>
      </c>
      <c r="Z1374" t="n">
        <v>104</v>
      </c>
      <c r="AA1374" t="n">
        <v>121</v>
      </c>
      <c r="AB1374" t="n">
        <v>1</v>
      </c>
      <c r="AC1374" t="n">
        <v>1</v>
      </c>
      <c r="AD1374" t="n">
        <v>3</v>
      </c>
      <c r="AE1374" t="n">
        <v>3</v>
      </c>
      <c r="AF1374" t="n">
        <v>0</v>
      </c>
      <c r="AG1374" t="n">
        <v>0</v>
      </c>
      <c r="AH1374" t="n">
        <v>2</v>
      </c>
      <c r="AI1374" t="n">
        <v>2</v>
      </c>
      <c r="AJ1374" t="n">
        <v>2</v>
      </c>
      <c r="AK1374" t="n">
        <v>2</v>
      </c>
      <c r="AL1374" t="n">
        <v>0</v>
      </c>
      <c r="AM1374" t="n">
        <v>0</v>
      </c>
      <c r="AN1374" t="n">
        <v>0</v>
      </c>
      <c r="AO1374" t="n">
        <v>0</v>
      </c>
      <c r="AP1374" t="inlineStr">
        <is>
          <t>No</t>
        </is>
      </c>
      <c r="AQ1374" t="inlineStr">
        <is>
          <t>No</t>
        </is>
      </c>
      <c r="AS1374">
        <f>HYPERLINK("https://creighton-primo.hosted.exlibrisgroup.com/primo-explore/search?tab=default_tab&amp;search_scope=EVERYTHING&amp;vid=01CRU&amp;lang=en_US&amp;offset=0&amp;query=any,contains,991003276819702656","Catalog Record")</f>
        <v/>
      </c>
      <c r="AT1374">
        <f>HYPERLINK("http://www.worldcat.org/oclc/800614","WorldCat Record")</f>
        <v/>
      </c>
      <c r="AU1374" t="inlineStr">
        <is>
          <t>3373743098:eng</t>
        </is>
      </c>
      <c r="AV1374" t="inlineStr">
        <is>
          <t>800614</t>
        </is>
      </c>
      <c r="AW1374" t="inlineStr">
        <is>
          <t>991003276819702656</t>
        </is>
      </c>
      <c r="AX1374" t="inlineStr">
        <is>
          <t>991003276819702656</t>
        </is>
      </c>
      <c r="AY1374" t="inlineStr">
        <is>
          <t>2267013160002656</t>
        </is>
      </c>
      <c r="AZ1374" t="inlineStr">
        <is>
          <t>BOOK</t>
        </is>
      </c>
      <c r="BB1374" t="inlineStr">
        <is>
          <t>9780405058011</t>
        </is>
      </c>
      <c r="BC1374" t="inlineStr">
        <is>
          <t>32285003088134</t>
        </is>
      </c>
      <c r="BD1374" t="inlineStr">
        <is>
          <t>893698845</t>
        </is>
      </c>
    </row>
    <row r="1375">
      <c r="A1375" t="inlineStr">
        <is>
          <t>No</t>
        </is>
      </c>
      <c r="B1375" t="inlineStr">
        <is>
          <t>HQ46 .B3 1971</t>
        </is>
      </c>
      <c r="C1375" t="inlineStr">
        <is>
          <t>0                      HQ 0046000B  3           1971</t>
        </is>
      </c>
      <c r="D1375" t="inlineStr">
        <is>
          <t>Woman and love, by Bernhard A. Bauer. Translated from the German by Eden and Cedar Paul.</t>
        </is>
      </c>
      <c r="F1375" t="inlineStr">
        <is>
          <t>No</t>
        </is>
      </c>
      <c r="G1375" t="inlineStr">
        <is>
          <t>1</t>
        </is>
      </c>
      <c r="H1375" t="inlineStr">
        <is>
          <t>No</t>
        </is>
      </c>
      <c r="I1375" t="inlineStr">
        <is>
          <t>No</t>
        </is>
      </c>
      <c r="J1375" t="inlineStr">
        <is>
          <t>0</t>
        </is>
      </c>
      <c r="K1375" t="inlineStr">
        <is>
          <t>Bauer, Bernhard A. (Bernhard Adam), 1882-</t>
        </is>
      </c>
      <c r="L1375" t="inlineStr">
        <is>
          <t>New York, Liveright [1971, c1927]</t>
        </is>
      </c>
      <c r="M1375" t="inlineStr">
        <is>
          <t>1971</t>
        </is>
      </c>
      <c r="O1375" t="inlineStr">
        <is>
          <t>eng</t>
        </is>
      </c>
      <c r="P1375" t="inlineStr">
        <is>
          <t>nyu</t>
        </is>
      </c>
      <c r="R1375" t="inlineStr">
        <is>
          <t xml:space="preserve">HQ </t>
        </is>
      </c>
      <c r="S1375" t="n">
        <v>2</v>
      </c>
      <c r="T1375" t="n">
        <v>2</v>
      </c>
      <c r="U1375" t="inlineStr">
        <is>
          <t>2006-06-19</t>
        </is>
      </c>
      <c r="V1375" t="inlineStr">
        <is>
          <t>2006-06-19</t>
        </is>
      </c>
      <c r="W1375" t="inlineStr">
        <is>
          <t>1997-08-07</t>
        </is>
      </c>
      <c r="X1375" t="inlineStr">
        <is>
          <t>1997-08-07</t>
        </is>
      </c>
      <c r="Y1375" t="n">
        <v>39</v>
      </c>
      <c r="Z1375" t="n">
        <v>35</v>
      </c>
      <c r="AA1375" t="n">
        <v>169</v>
      </c>
      <c r="AB1375" t="n">
        <v>1</v>
      </c>
      <c r="AC1375" t="n">
        <v>1</v>
      </c>
      <c r="AD1375" t="n">
        <v>2</v>
      </c>
      <c r="AE1375" t="n">
        <v>3</v>
      </c>
      <c r="AF1375" t="n">
        <v>2</v>
      </c>
      <c r="AG1375" t="n">
        <v>2</v>
      </c>
      <c r="AH1375" t="n">
        <v>0</v>
      </c>
      <c r="AI1375" t="n">
        <v>1</v>
      </c>
      <c r="AJ1375" t="n">
        <v>1</v>
      </c>
      <c r="AK1375" t="n">
        <v>1</v>
      </c>
      <c r="AL1375" t="n">
        <v>0</v>
      </c>
      <c r="AM1375" t="n">
        <v>0</v>
      </c>
      <c r="AN1375" t="n">
        <v>0</v>
      </c>
      <c r="AO1375" t="n">
        <v>0</v>
      </c>
      <c r="AP1375" t="inlineStr">
        <is>
          <t>No</t>
        </is>
      </c>
      <c r="AQ1375" t="inlineStr">
        <is>
          <t>No</t>
        </is>
      </c>
      <c r="AS1375">
        <f>HYPERLINK("https://creighton-primo.hosted.exlibrisgroup.com/primo-explore/search?tab=default_tab&amp;search_scope=EVERYTHING&amp;vid=01CRU&amp;lang=en_US&amp;offset=0&amp;query=any,contains,991003522519702656","Catalog Record")</f>
        <v/>
      </c>
      <c r="AT1375">
        <f>HYPERLINK("http://www.worldcat.org/oclc/1084547","WorldCat Record")</f>
        <v/>
      </c>
      <c r="AU1375" t="inlineStr">
        <is>
          <t>4061462055:eng</t>
        </is>
      </c>
      <c r="AV1375" t="inlineStr">
        <is>
          <t>1084547</t>
        </is>
      </c>
      <c r="AW1375" t="inlineStr">
        <is>
          <t>991003522519702656</t>
        </is>
      </c>
      <c r="AX1375" t="inlineStr">
        <is>
          <t>991003522519702656</t>
        </is>
      </c>
      <c r="AY1375" t="inlineStr">
        <is>
          <t>2269016920002656</t>
        </is>
      </c>
      <c r="AZ1375" t="inlineStr">
        <is>
          <t>BOOK</t>
        </is>
      </c>
      <c r="BB1375" t="inlineStr">
        <is>
          <t>9780871400475</t>
        </is>
      </c>
      <c r="BC1375" t="inlineStr">
        <is>
          <t>32285003088142</t>
        </is>
      </c>
      <c r="BD1375" t="inlineStr">
        <is>
          <t>893900076</t>
        </is>
      </c>
    </row>
    <row r="1376">
      <c r="A1376" t="inlineStr">
        <is>
          <t>No</t>
        </is>
      </c>
      <c r="B1376" t="inlineStr">
        <is>
          <t>HQ46 .D83 1974</t>
        </is>
      </c>
      <c r="C1376" t="inlineStr">
        <is>
          <t>0                      HQ 0046000D  83          1974</t>
        </is>
      </c>
      <c r="D1376" t="inlineStr">
        <is>
          <t>What women should know; a woman's book about women.</t>
        </is>
      </c>
      <c r="F1376" t="inlineStr">
        <is>
          <t>No</t>
        </is>
      </c>
      <c r="G1376" t="inlineStr">
        <is>
          <t>1</t>
        </is>
      </c>
      <c r="H1376" t="inlineStr">
        <is>
          <t>No</t>
        </is>
      </c>
      <c r="I1376" t="inlineStr">
        <is>
          <t>No</t>
        </is>
      </c>
      <c r="J1376" t="inlineStr">
        <is>
          <t>0</t>
        </is>
      </c>
      <c r="K1376" t="inlineStr">
        <is>
          <t>Duffey, E. B. (Eliza Bisbee), -1898.</t>
        </is>
      </c>
      <c r="L1376" t="inlineStr">
        <is>
          <t>New York, Arno Press, 1974 [c1873]</t>
        </is>
      </c>
      <c r="M1376" t="inlineStr">
        <is>
          <t>1974</t>
        </is>
      </c>
      <c r="O1376" t="inlineStr">
        <is>
          <t>eng</t>
        </is>
      </c>
      <c r="P1376" t="inlineStr">
        <is>
          <t>nyu</t>
        </is>
      </c>
      <c r="Q1376" t="inlineStr">
        <is>
          <t>Sex, marriage, and society</t>
        </is>
      </c>
      <c r="R1376" t="inlineStr">
        <is>
          <t xml:space="preserve">HQ </t>
        </is>
      </c>
      <c r="S1376" t="n">
        <v>4</v>
      </c>
      <c r="T1376" t="n">
        <v>4</v>
      </c>
      <c r="U1376" t="inlineStr">
        <is>
          <t>2006-09-11</t>
        </is>
      </c>
      <c r="V1376" t="inlineStr">
        <is>
          <t>2006-09-11</t>
        </is>
      </c>
      <c r="W1376" t="inlineStr">
        <is>
          <t>1997-08-07</t>
        </is>
      </c>
      <c r="X1376" t="inlineStr">
        <is>
          <t>1997-08-07</t>
        </is>
      </c>
      <c r="Y1376" t="n">
        <v>114</v>
      </c>
      <c r="Z1376" t="n">
        <v>109</v>
      </c>
      <c r="AA1376" t="n">
        <v>185</v>
      </c>
      <c r="AB1376" t="n">
        <v>3</v>
      </c>
      <c r="AC1376" t="n">
        <v>4</v>
      </c>
      <c r="AD1376" t="n">
        <v>4</v>
      </c>
      <c r="AE1376" t="n">
        <v>8</v>
      </c>
      <c r="AF1376" t="n">
        <v>1</v>
      </c>
      <c r="AG1376" t="n">
        <v>1</v>
      </c>
      <c r="AH1376" t="n">
        <v>1</v>
      </c>
      <c r="AI1376" t="n">
        <v>3</v>
      </c>
      <c r="AJ1376" t="n">
        <v>3</v>
      </c>
      <c r="AK1376" t="n">
        <v>4</v>
      </c>
      <c r="AL1376" t="n">
        <v>1</v>
      </c>
      <c r="AM1376" t="n">
        <v>2</v>
      </c>
      <c r="AN1376" t="n">
        <v>0</v>
      </c>
      <c r="AO1376" t="n">
        <v>0</v>
      </c>
      <c r="AP1376" t="inlineStr">
        <is>
          <t>No</t>
        </is>
      </c>
      <c r="AQ1376" t="inlineStr">
        <is>
          <t>No</t>
        </is>
      </c>
      <c r="AS1376">
        <f>HYPERLINK("https://creighton-primo.hosted.exlibrisgroup.com/primo-explore/search?tab=default_tab&amp;search_scope=EVERYTHING&amp;vid=01CRU&amp;lang=en_US&amp;offset=0&amp;query=any,contains,991003280179702656","Catalog Record")</f>
        <v/>
      </c>
      <c r="AT1376">
        <f>HYPERLINK("http://www.worldcat.org/oclc/802868","WorldCat Record")</f>
        <v/>
      </c>
      <c r="AU1376" t="inlineStr">
        <is>
          <t>8729181:eng</t>
        </is>
      </c>
      <c r="AV1376" t="inlineStr">
        <is>
          <t>802868</t>
        </is>
      </c>
      <c r="AW1376" t="inlineStr">
        <is>
          <t>991003280179702656</t>
        </is>
      </c>
      <c r="AX1376" t="inlineStr">
        <is>
          <t>991003280179702656</t>
        </is>
      </c>
      <c r="AY1376" t="inlineStr">
        <is>
          <t>2270431870002656</t>
        </is>
      </c>
      <c r="AZ1376" t="inlineStr">
        <is>
          <t>BOOK</t>
        </is>
      </c>
      <c r="BB1376" t="inlineStr">
        <is>
          <t>9780405058257</t>
        </is>
      </c>
      <c r="BC1376" t="inlineStr">
        <is>
          <t>32285003088159</t>
        </is>
      </c>
      <c r="BD1376" t="inlineStr">
        <is>
          <t>893531049</t>
        </is>
      </c>
    </row>
    <row r="1377">
      <c r="A1377" t="inlineStr">
        <is>
          <t>No</t>
        </is>
      </c>
      <c r="B1377" t="inlineStr">
        <is>
          <t>HQ462 .A84</t>
        </is>
      </c>
      <c r="C1377" t="inlineStr">
        <is>
          <t>0                      HQ 0462000A  84</t>
        </is>
      </c>
      <c r="D1377" t="inlineStr">
        <is>
          <t>Forbidden books of the Victorians : Henry Spencer Ashbee's bibliographies of erotica.</t>
        </is>
      </c>
      <c r="F1377" t="inlineStr">
        <is>
          <t>No</t>
        </is>
      </c>
      <c r="G1377" t="inlineStr">
        <is>
          <t>1</t>
        </is>
      </c>
      <c r="H1377" t="inlineStr">
        <is>
          <t>No</t>
        </is>
      </c>
      <c r="I1377" t="inlineStr">
        <is>
          <t>No</t>
        </is>
      </c>
      <c r="J1377" t="inlineStr">
        <is>
          <t>0</t>
        </is>
      </c>
      <c r="K1377" t="inlineStr">
        <is>
          <t>Ashbee, Henry Spencer, 1834-1900.</t>
        </is>
      </c>
      <c r="L1377" t="inlineStr">
        <is>
          <t>London : Odyssey Press Ltd., 1970.</t>
        </is>
      </c>
      <c r="M1377" t="inlineStr">
        <is>
          <t>1970</t>
        </is>
      </c>
      <c r="N1377" t="inlineStr">
        <is>
          <t>[Abridged ed.] / abridged and edited, with an introduction and notes, by Peter Fryer.</t>
        </is>
      </c>
      <c r="O1377" t="inlineStr">
        <is>
          <t>eng</t>
        </is>
      </c>
      <c r="P1377" t="inlineStr">
        <is>
          <t>enk</t>
        </is>
      </c>
      <c r="R1377" t="inlineStr">
        <is>
          <t xml:space="preserve">HQ </t>
        </is>
      </c>
      <c r="S1377" t="n">
        <v>6</v>
      </c>
      <c r="T1377" t="n">
        <v>6</v>
      </c>
      <c r="U1377" t="inlineStr">
        <is>
          <t>2001-10-15</t>
        </is>
      </c>
      <c r="V1377" t="inlineStr">
        <is>
          <t>2001-10-15</t>
        </is>
      </c>
      <c r="W1377" t="inlineStr">
        <is>
          <t>1994-02-22</t>
        </is>
      </c>
      <c r="X1377" t="inlineStr">
        <is>
          <t>1994-02-22</t>
        </is>
      </c>
      <c r="Y1377" t="n">
        <v>181</v>
      </c>
      <c r="Z1377" t="n">
        <v>120</v>
      </c>
      <c r="AA1377" t="n">
        <v>123</v>
      </c>
      <c r="AB1377" t="n">
        <v>3</v>
      </c>
      <c r="AC1377" t="n">
        <v>3</v>
      </c>
      <c r="AD1377" t="n">
        <v>6</v>
      </c>
      <c r="AE1377" t="n">
        <v>6</v>
      </c>
      <c r="AF1377" t="n">
        <v>2</v>
      </c>
      <c r="AG1377" t="n">
        <v>2</v>
      </c>
      <c r="AH1377" t="n">
        <v>1</v>
      </c>
      <c r="AI1377" t="n">
        <v>1</v>
      </c>
      <c r="AJ1377" t="n">
        <v>1</v>
      </c>
      <c r="AK1377" t="n">
        <v>1</v>
      </c>
      <c r="AL1377" t="n">
        <v>2</v>
      </c>
      <c r="AM1377" t="n">
        <v>2</v>
      </c>
      <c r="AN1377" t="n">
        <v>1</v>
      </c>
      <c r="AO1377" t="n">
        <v>1</v>
      </c>
      <c r="AP1377" t="inlineStr">
        <is>
          <t>No</t>
        </is>
      </c>
      <c r="AQ1377" t="inlineStr">
        <is>
          <t>Yes</t>
        </is>
      </c>
      <c r="AR1377">
        <f>HYPERLINK("http://catalog.hathitrust.org/Record/001172013","HathiTrust Record")</f>
        <v/>
      </c>
      <c r="AS1377">
        <f>HYPERLINK("https://creighton-primo.hosted.exlibrisgroup.com/primo-explore/search?tab=default_tab&amp;search_scope=EVERYTHING&amp;vid=01CRU&amp;lang=en_US&amp;offset=0&amp;query=any,contains,991000664939702656","Catalog Record")</f>
        <v/>
      </c>
      <c r="AT1377">
        <f>HYPERLINK("http://www.worldcat.org/oclc/118363","WorldCat Record")</f>
        <v/>
      </c>
      <c r="AU1377" t="inlineStr">
        <is>
          <t>1237577:eng</t>
        </is>
      </c>
      <c r="AV1377" t="inlineStr">
        <is>
          <t>118363</t>
        </is>
      </c>
      <c r="AW1377" t="inlineStr">
        <is>
          <t>991000664939702656</t>
        </is>
      </c>
      <c r="AX1377" t="inlineStr">
        <is>
          <t>991000664939702656</t>
        </is>
      </c>
      <c r="AY1377" t="inlineStr">
        <is>
          <t>2261663860002656</t>
        </is>
      </c>
      <c r="AZ1377" t="inlineStr">
        <is>
          <t>BOOK</t>
        </is>
      </c>
      <c r="BB1377" t="inlineStr">
        <is>
          <t>9780850950700</t>
        </is>
      </c>
      <c r="BC1377" t="inlineStr">
        <is>
          <t>32285001839215</t>
        </is>
      </c>
      <c r="BD1377" t="inlineStr">
        <is>
          <t>893784425</t>
        </is>
      </c>
    </row>
    <row r="1378">
      <c r="A1378" t="inlineStr">
        <is>
          <t>No</t>
        </is>
      </c>
      <c r="B1378" t="inlineStr">
        <is>
          <t>HQ462 .B3 1984</t>
        </is>
      </c>
      <c r="C1378" t="inlineStr">
        <is>
          <t>0                      HQ 0462000B  3           1984</t>
        </is>
      </c>
      <c r="D1378" t="inlineStr">
        <is>
          <t>Death and sensuality : a study of eroticism and the taboo / by Georges Bataille.</t>
        </is>
      </c>
      <c r="F1378" t="inlineStr">
        <is>
          <t>No</t>
        </is>
      </c>
      <c r="G1378" t="inlineStr">
        <is>
          <t>1</t>
        </is>
      </c>
      <c r="H1378" t="inlineStr">
        <is>
          <t>No</t>
        </is>
      </c>
      <c r="I1378" t="inlineStr">
        <is>
          <t>No</t>
        </is>
      </c>
      <c r="J1378" t="inlineStr">
        <is>
          <t>0</t>
        </is>
      </c>
      <c r="K1378" t="inlineStr">
        <is>
          <t>Bataille, Georges, 1897-1962.</t>
        </is>
      </c>
      <c r="L1378" t="inlineStr">
        <is>
          <t>Salem, N.H. : Ayer, 1984.</t>
        </is>
      </c>
      <c r="M1378" t="inlineStr">
        <is>
          <t>1984</t>
        </is>
      </c>
      <c r="O1378" t="inlineStr">
        <is>
          <t>eng</t>
        </is>
      </c>
      <c r="P1378" t="inlineStr">
        <is>
          <t>nhu</t>
        </is>
      </c>
      <c r="Q1378" t="inlineStr">
        <is>
          <t>The Literature of death and dying</t>
        </is>
      </c>
      <c r="R1378" t="inlineStr">
        <is>
          <t xml:space="preserve">HQ </t>
        </is>
      </c>
      <c r="S1378" t="n">
        <v>5</v>
      </c>
      <c r="T1378" t="n">
        <v>5</v>
      </c>
      <c r="U1378" t="inlineStr">
        <is>
          <t>2004-02-17</t>
        </is>
      </c>
      <c r="V1378" t="inlineStr">
        <is>
          <t>2004-02-17</t>
        </is>
      </c>
      <c r="W1378" t="inlineStr">
        <is>
          <t>1990-11-01</t>
        </is>
      </c>
      <c r="X1378" t="inlineStr">
        <is>
          <t>1990-11-01</t>
        </is>
      </c>
      <c r="Y1378" t="n">
        <v>35</v>
      </c>
      <c r="Z1378" t="n">
        <v>33</v>
      </c>
      <c r="AA1378" t="n">
        <v>367</v>
      </c>
      <c r="AB1378" t="n">
        <v>1</v>
      </c>
      <c r="AC1378" t="n">
        <v>3</v>
      </c>
      <c r="AD1378" t="n">
        <v>2</v>
      </c>
      <c r="AE1378" t="n">
        <v>16</v>
      </c>
      <c r="AF1378" t="n">
        <v>0</v>
      </c>
      <c r="AG1378" t="n">
        <v>3</v>
      </c>
      <c r="AH1378" t="n">
        <v>0</v>
      </c>
      <c r="AI1378" t="n">
        <v>3</v>
      </c>
      <c r="AJ1378" t="n">
        <v>2</v>
      </c>
      <c r="AK1378" t="n">
        <v>11</v>
      </c>
      <c r="AL1378" t="n">
        <v>0</v>
      </c>
      <c r="AM1378" t="n">
        <v>2</v>
      </c>
      <c r="AN1378" t="n">
        <v>0</v>
      </c>
      <c r="AO1378" t="n">
        <v>1</v>
      </c>
      <c r="AP1378" t="inlineStr">
        <is>
          <t>No</t>
        </is>
      </c>
      <c r="AQ1378" t="inlineStr">
        <is>
          <t>Yes</t>
        </is>
      </c>
      <c r="AR1378">
        <f>HYPERLINK("http://catalog.hathitrust.org/Record/008316138","HathiTrust Record")</f>
        <v/>
      </c>
      <c r="AS1378">
        <f>HYPERLINK("https://creighton-primo.hosted.exlibrisgroup.com/primo-explore/search?tab=default_tab&amp;search_scope=EVERYTHING&amp;vid=01CRU&amp;lang=en_US&amp;offset=0&amp;query=any,contains,991000520289702656","Catalog Record")</f>
        <v/>
      </c>
      <c r="AT1378">
        <f>HYPERLINK("http://www.worldcat.org/oclc/11318735","WorldCat Record")</f>
        <v/>
      </c>
      <c r="AU1378" t="inlineStr">
        <is>
          <t>5189655859:eng</t>
        </is>
      </c>
      <c r="AV1378" t="inlineStr">
        <is>
          <t>11318735</t>
        </is>
      </c>
      <c r="AW1378" t="inlineStr">
        <is>
          <t>991000520289702656</t>
        </is>
      </c>
      <c r="AX1378" t="inlineStr">
        <is>
          <t>991000520289702656</t>
        </is>
      </c>
      <c r="AY1378" t="inlineStr">
        <is>
          <t>2254724320002656</t>
        </is>
      </c>
      <c r="AZ1378" t="inlineStr">
        <is>
          <t>BOOK</t>
        </is>
      </c>
      <c r="BC1378" t="inlineStr">
        <is>
          <t>32285000312370</t>
        </is>
      </c>
      <c r="BD1378" t="inlineStr">
        <is>
          <t>893315010</t>
        </is>
      </c>
    </row>
    <row r="1379">
      <c r="A1379" t="inlineStr">
        <is>
          <t>No</t>
        </is>
      </c>
      <c r="B1379" t="inlineStr">
        <is>
          <t>HQ470.S3 K32 1964</t>
        </is>
      </c>
      <c r="C1379" t="inlineStr">
        <is>
          <t>0                      HQ 0470000S  3                  K  32          1964</t>
        </is>
      </c>
      <c r="D1379" t="inlineStr">
        <is>
          <t>Ananga ranga : stage of the bodiless one ; the Hindu art of love / by Kalayana Malla ; translated and annotated by F.F. Arbuthnot and Richard F. Burton and Pharmacopeia "Ars amoris indica" / by H.S. Ga[m]bers and S. Rama.</t>
        </is>
      </c>
      <c r="F1379" t="inlineStr">
        <is>
          <t>No</t>
        </is>
      </c>
      <c r="G1379" t="inlineStr">
        <is>
          <t>1</t>
        </is>
      </c>
      <c r="H1379" t="inlineStr">
        <is>
          <t>No</t>
        </is>
      </c>
      <c r="I1379" t="inlineStr">
        <is>
          <t>No</t>
        </is>
      </c>
      <c r="J1379" t="inlineStr">
        <is>
          <t>0</t>
        </is>
      </c>
      <c r="K1379" t="inlineStr">
        <is>
          <t>Kalyāṇamalla.</t>
        </is>
      </c>
      <c r="L1379" t="inlineStr">
        <is>
          <t>New York : Medical Press of New York, 1964.</t>
        </is>
      </c>
      <c r="M1379" t="inlineStr">
        <is>
          <t>1964</t>
        </is>
      </c>
      <c r="O1379" t="inlineStr">
        <is>
          <t>eng</t>
        </is>
      </c>
      <c r="P1379" t="inlineStr">
        <is>
          <t>nyu</t>
        </is>
      </c>
      <c r="R1379" t="inlineStr">
        <is>
          <t xml:space="preserve">HQ </t>
        </is>
      </c>
      <c r="S1379" t="n">
        <v>11</v>
      </c>
      <c r="T1379" t="n">
        <v>11</v>
      </c>
      <c r="U1379" t="inlineStr">
        <is>
          <t>2002-02-22</t>
        </is>
      </c>
      <c r="V1379" t="inlineStr">
        <is>
          <t>2002-02-22</t>
        </is>
      </c>
      <c r="W1379" t="inlineStr">
        <is>
          <t>1999-02-04</t>
        </is>
      </c>
      <c r="X1379" t="inlineStr">
        <is>
          <t>1999-02-04</t>
        </is>
      </c>
      <c r="Y1379" t="n">
        <v>125</v>
      </c>
      <c r="Z1379" t="n">
        <v>110</v>
      </c>
      <c r="AA1379" t="n">
        <v>211</v>
      </c>
      <c r="AB1379" t="n">
        <v>2</v>
      </c>
      <c r="AC1379" t="n">
        <v>3</v>
      </c>
      <c r="AD1379" t="n">
        <v>5</v>
      </c>
      <c r="AE1379" t="n">
        <v>10</v>
      </c>
      <c r="AF1379" t="n">
        <v>3</v>
      </c>
      <c r="AG1379" t="n">
        <v>3</v>
      </c>
      <c r="AH1379" t="n">
        <v>0</v>
      </c>
      <c r="AI1379" t="n">
        <v>2</v>
      </c>
      <c r="AJ1379" t="n">
        <v>1</v>
      </c>
      <c r="AK1379" t="n">
        <v>4</v>
      </c>
      <c r="AL1379" t="n">
        <v>1</v>
      </c>
      <c r="AM1379" t="n">
        <v>2</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HYPERLINK("https://creighton-primo.hosted.exlibrisgroup.com/primo-explore/search?tab=default_tab&amp;search_scope=EVERYTHING&amp;vid=01CRU&amp;lang=en_US&amp;offset=0&amp;query=any,contains,991000899019702656","Catalog Record")</f>
        <v/>
      </c>
      <c r="AT1379">
        <f>HYPERLINK("http://www.worldcat.org/oclc/14005224","WorldCat Record")</f>
        <v/>
      </c>
      <c r="AU1379" t="inlineStr">
        <is>
          <t>4917009007:eng</t>
        </is>
      </c>
      <c r="AV1379" t="inlineStr">
        <is>
          <t>14005224</t>
        </is>
      </c>
      <c r="AW1379" t="inlineStr">
        <is>
          <t>991000899019702656</t>
        </is>
      </c>
      <c r="AX1379" t="inlineStr">
        <is>
          <t>991000899019702656</t>
        </is>
      </c>
      <c r="AY1379" t="inlineStr">
        <is>
          <t>2256649980002656</t>
        </is>
      </c>
      <c r="AZ1379" t="inlineStr">
        <is>
          <t>BOOK</t>
        </is>
      </c>
      <c r="BC1379" t="inlineStr">
        <is>
          <t>32285003517959</t>
        </is>
      </c>
      <c r="BD1379" t="inlineStr">
        <is>
          <t>893797094</t>
        </is>
      </c>
    </row>
    <row r="1380">
      <c r="A1380" t="inlineStr">
        <is>
          <t>No</t>
        </is>
      </c>
      <c r="B1380" t="inlineStr">
        <is>
          <t>HQ471 .D55 1998</t>
        </is>
      </c>
      <c r="C1380" t="inlineStr">
        <is>
          <t>0                      HQ 0471000D  55          1998</t>
        </is>
      </c>
      <c r="D1380" t="inlineStr">
        <is>
          <t>Pornography : the production and consumption of inequality / Gail Dines, Robert Jensen, and Ann Russo.</t>
        </is>
      </c>
      <c r="F1380" t="inlineStr">
        <is>
          <t>No</t>
        </is>
      </c>
      <c r="G1380" t="inlineStr">
        <is>
          <t>1</t>
        </is>
      </c>
      <c r="H1380" t="inlineStr">
        <is>
          <t>No</t>
        </is>
      </c>
      <c r="I1380" t="inlineStr">
        <is>
          <t>No</t>
        </is>
      </c>
      <c r="J1380" t="inlineStr">
        <is>
          <t>0</t>
        </is>
      </c>
      <c r="K1380" t="inlineStr">
        <is>
          <t>Dines, Gail.</t>
        </is>
      </c>
      <c r="L1380" t="inlineStr">
        <is>
          <t>New York : Routledge, 1998.</t>
        </is>
      </c>
      <c r="M1380" t="inlineStr">
        <is>
          <t>1998</t>
        </is>
      </c>
      <c r="O1380" t="inlineStr">
        <is>
          <t>eng</t>
        </is>
      </c>
      <c r="P1380" t="inlineStr">
        <is>
          <t>nyu</t>
        </is>
      </c>
      <c r="R1380" t="inlineStr">
        <is>
          <t xml:space="preserve">HQ </t>
        </is>
      </c>
      <c r="S1380" t="n">
        <v>16</v>
      </c>
      <c r="T1380" t="n">
        <v>16</v>
      </c>
      <c r="U1380" t="inlineStr">
        <is>
          <t>2007-11-28</t>
        </is>
      </c>
      <c r="V1380" t="inlineStr">
        <is>
          <t>2007-11-28</t>
        </is>
      </c>
      <c r="W1380" t="inlineStr">
        <is>
          <t>1999-10-18</t>
        </is>
      </c>
      <c r="X1380" t="inlineStr">
        <is>
          <t>1999-10-18</t>
        </is>
      </c>
      <c r="Y1380" t="n">
        <v>474</v>
      </c>
      <c r="Z1380" t="n">
        <v>339</v>
      </c>
      <c r="AA1380" t="n">
        <v>360</v>
      </c>
      <c r="AB1380" t="n">
        <v>5</v>
      </c>
      <c r="AC1380" t="n">
        <v>5</v>
      </c>
      <c r="AD1380" t="n">
        <v>26</v>
      </c>
      <c r="AE1380" t="n">
        <v>26</v>
      </c>
      <c r="AF1380" t="n">
        <v>10</v>
      </c>
      <c r="AG1380" t="n">
        <v>10</v>
      </c>
      <c r="AH1380" t="n">
        <v>7</v>
      </c>
      <c r="AI1380" t="n">
        <v>7</v>
      </c>
      <c r="AJ1380" t="n">
        <v>10</v>
      </c>
      <c r="AK1380" t="n">
        <v>10</v>
      </c>
      <c r="AL1380" t="n">
        <v>4</v>
      </c>
      <c r="AM1380" t="n">
        <v>4</v>
      </c>
      <c r="AN1380" t="n">
        <v>2</v>
      </c>
      <c r="AO1380" t="n">
        <v>2</v>
      </c>
      <c r="AP1380" t="inlineStr">
        <is>
          <t>No</t>
        </is>
      </c>
      <c r="AQ1380" t="inlineStr">
        <is>
          <t>No</t>
        </is>
      </c>
      <c r="AS1380">
        <f>HYPERLINK("https://creighton-primo.hosted.exlibrisgroup.com/primo-explore/search?tab=default_tab&amp;search_scope=EVERYTHING&amp;vid=01CRU&amp;lang=en_US&amp;offset=0&amp;query=any,contains,991002827219702656","Catalog Record")</f>
        <v/>
      </c>
      <c r="AT1380">
        <f>HYPERLINK("http://www.worldcat.org/oclc/37226809","WorldCat Record")</f>
        <v/>
      </c>
      <c r="AU1380" t="inlineStr">
        <is>
          <t>543326:eng</t>
        </is>
      </c>
      <c r="AV1380" t="inlineStr">
        <is>
          <t>37226809</t>
        </is>
      </c>
      <c r="AW1380" t="inlineStr">
        <is>
          <t>991002827219702656</t>
        </is>
      </c>
      <c r="AX1380" t="inlineStr">
        <is>
          <t>991002827219702656</t>
        </is>
      </c>
      <c r="AY1380" t="inlineStr">
        <is>
          <t>2254807170002656</t>
        </is>
      </c>
      <c r="AZ1380" t="inlineStr">
        <is>
          <t>BOOK</t>
        </is>
      </c>
      <c r="BB1380" t="inlineStr">
        <is>
          <t>9780415918121</t>
        </is>
      </c>
      <c r="BC1380" t="inlineStr">
        <is>
          <t>32285003611562</t>
        </is>
      </c>
      <c r="BD1380" t="inlineStr">
        <is>
          <t>893867755</t>
        </is>
      </c>
    </row>
    <row r="1381">
      <c r="A1381" t="inlineStr">
        <is>
          <t>No</t>
        </is>
      </c>
      <c r="B1381" t="inlineStr">
        <is>
          <t>HQ471 .D66 1987</t>
        </is>
      </c>
      <c r="C1381" t="inlineStr">
        <is>
          <t>0                      HQ 0471000D  66          1987</t>
        </is>
      </c>
      <c r="D1381" t="inlineStr">
        <is>
          <t>The question of pornography : research findings and policy implications / Edward Donnerstein, Daniel Linz, Steven Penrod.</t>
        </is>
      </c>
      <c r="F1381" t="inlineStr">
        <is>
          <t>No</t>
        </is>
      </c>
      <c r="G1381" t="inlineStr">
        <is>
          <t>1</t>
        </is>
      </c>
      <c r="H1381" t="inlineStr">
        <is>
          <t>Yes</t>
        </is>
      </c>
      <c r="I1381" t="inlineStr">
        <is>
          <t>No</t>
        </is>
      </c>
      <c r="J1381" t="inlineStr">
        <is>
          <t>0</t>
        </is>
      </c>
      <c r="K1381" t="inlineStr">
        <is>
          <t>Donnerstein, Edward I.</t>
        </is>
      </c>
      <c r="L1381" t="inlineStr">
        <is>
          <t>New York : Free Press ; London : Collier Macmillan, c1987.</t>
        </is>
      </c>
      <c r="M1381" t="inlineStr">
        <is>
          <t>1987</t>
        </is>
      </c>
      <c r="O1381" t="inlineStr">
        <is>
          <t>eng</t>
        </is>
      </c>
      <c r="P1381" t="inlineStr">
        <is>
          <t>nyu</t>
        </is>
      </c>
      <c r="R1381" t="inlineStr">
        <is>
          <t xml:space="preserve">HQ </t>
        </is>
      </c>
      <c r="S1381" t="n">
        <v>51</v>
      </c>
      <c r="T1381" t="n">
        <v>51</v>
      </c>
      <c r="U1381" t="inlineStr">
        <is>
          <t>2006-12-12</t>
        </is>
      </c>
      <c r="V1381" t="inlineStr">
        <is>
          <t>2006-12-12</t>
        </is>
      </c>
      <c r="W1381" t="inlineStr">
        <is>
          <t>1992-04-30</t>
        </is>
      </c>
      <c r="X1381" t="inlineStr">
        <is>
          <t>1992-04-30</t>
        </is>
      </c>
      <c r="Y1381" t="n">
        <v>1088</v>
      </c>
      <c r="Z1381" t="n">
        <v>954</v>
      </c>
      <c r="AA1381" t="n">
        <v>962</v>
      </c>
      <c r="AB1381" t="n">
        <v>6</v>
      </c>
      <c r="AC1381" t="n">
        <v>6</v>
      </c>
      <c r="AD1381" t="n">
        <v>35</v>
      </c>
      <c r="AE1381" t="n">
        <v>35</v>
      </c>
      <c r="AF1381" t="n">
        <v>11</v>
      </c>
      <c r="AG1381" t="n">
        <v>11</v>
      </c>
      <c r="AH1381" t="n">
        <v>7</v>
      </c>
      <c r="AI1381" t="n">
        <v>7</v>
      </c>
      <c r="AJ1381" t="n">
        <v>13</v>
      </c>
      <c r="AK1381" t="n">
        <v>13</v>
      </c>
      <c r="AL1381" t="n">
        <v>4</v>
      </c>
      <c r="AM1381" t="n">
        <v>4</v>
      </c>
      <c r="AN1381" t="n">
        <v>7</v>
      </c>
      <c r="AO1381" t="n">
        <v>7</v>
      </c>
      <c r="AP1381" t="inlineStr">
        <is>
          <t>No</t>
        </is>
      </c>
      <c r="AQ1381" t="inlineStr">
        <is>
          <t>Yes</t>
        </is>
      </c>
      <c r="AR1381">
        <f>HYPERLINK("http://catalog.hathitrust.org/Record/000822217","HathiTrust Record")</f>
        <v/>
      </c>
      <c r="AS1381">
        <f>HYPERLINK("https://creighton-primo.hosted.exlibrisgroup.com/primo-explore/search?tab=default_tab&amp;search_scope=EVERYTHING&amp;vid=01CRU&amp;lang=en_US&amp;offset=0&amp;query=any,contains,991001635539702656","Catalog Record")</f>
        <v/>
      </c>
      <c r="AT1381">
        <f>HYPERLINK("http://www.worldcat.org/oclc/15083656","WorldCat Record")</f>
        <v/>
      </c>
      <c r="AU1381" t="inlineStr">
        <is>
          <t>9062477:eng</t>
        </is>
      </c>
      <c r="AV1381" t="inlineStr">
        <is>
          <t>15083656</t>
        </is>
      </c>
      <c r="AW1381" t="inlineStr">
        <is>
          <t>991001635539702656</t>
        </is>
      </c>
      <c r="AX1381" t="inlineStr">
        <is>
          <t>991001635539702656</t>
        </is>
      </c>
      <c r="AY1381" t="inlineStr">
        <is>
          <t>2258055670002656</t>
        </is>
      </c>
      <c r="AZ1381" t="inlineStr">
        <is>
          <t>BOOK</t>
        </is>
      </c>
      <c r="BB1381" t="inlineStr">
        <is>
          <t>9780029075210</t>
        </is>
      </c>
      <c r="BC1381" t="inlineStr">
        <is>
          <t>32285001096352</t>
        </is>
      </c>
      <c r="BD1381" t="inlineStr">
        <is>
          <t>893408244</t>
        </is>
      </c>
    </row>
    <row r="1382">
      <c r="A1382" t="inlineStr">
        <is>
          <t>No</t>
        </is>
      </c>
      <c r="B1382" t="inlineStr">
        <is>
          <t>HQ471 .G74</t>
        </is>
      </c>
      <c r="C1382" t="inlineStr">
        <is>
          <t>0                      HQ 0471000G  74</t>
        </is>
      </c>
      <c r="D1382" t="inlineStr">
        <is>
          <t>Pornography and silence : culture's revenge against nature / Susan Griffin.</t>
        </is>
      </c>
      <c r="F1382" t="inlineStr">
        <is>
          <t>No</t>
        </is>
      </c>
      <c r="G1382" t="inlineStr">
        <is>
          <t>1</t>
        </is>
      </c>
      <c r="H1382" t="inlineStr">
        <is>
          <t>Yes</t>
        </is>
      </c>
      <c r="I1382" t="inlineStr">
        <is>
          <t>No</t>
        </is>
      </c>
      <c r="J1382" t="inlineStr">
        <is>
          <t>0</t>
        </is>
      </c>
      <c r="K1382" t="inlineStr">
        <is>
          <t>Griffin, Susan.</t>
        </is>
      </c>
      <c r="L1382" t="inlineStr">
        <is>
          <t>New York : Harper &amp; Row, c1981.</t>
        </is>
      </c>
      <c r="M1382" t="inlineStr">
        <is>
          <t>1981</t>
        </is>
      </c>
      <c r="N1382" t="inlineStr">
        <is>
          <t>1st ed.</t>
        </is>
      </c>
      <c r="O1382" t="inlineStr">
        <is>
          <t>eng</t>
        </is>
      </c>
      <c r="P1382" t="inlineStr">
        <is>
          <t>nyu</t>
        </is>
      </c>
      <c r="R1382" t="inlineStr">
        <is>
          <t xml:space="preserve">HQ </t>
        </is>
      </c>
      <c r="S1382" t="n">
        <v>21</v>
      </c>
      <c r="T1382" t="n">
        <v>27</v>
      </c>
      <c r="U1382" t="inlineStr">
        <is>
          <t>2007-03-20</t>
        </is>
      </c>
      <c r="V1382" t="inlineStr">
        <is>
          <t>2007-03-20</t>
        </is>
      </c>
      <c r="W1382" t="inlineStr">
        <is>
          <t>1990-02-28</t>
        </is>
      </c>
      <c r="X1382" t="inlineStr">
        <is>
          <t>1990-02-28</t>
        </is>
      </c>
      <c r="Y1382" t="n">
        <v>923</v>
      </c>
      <c r="Z1382" t="n">
        <v>822</v>
      </c>
      <c r="AA1382" t="n">
        <v>1093</v>
      </c>
      <c r="AB1382" t="n">
        <v>7</v>
      </c>
      <c r="AC1382" t="n">
        <v>9</v>
      </c>
      <c r="AD1382" t="n">
        <v>33</v>
      </c>
      <c r="AE1382" t="n">
        <v>46</v>
      </c>
      <c r="AF1382" t="n">
        <v>14</v>
      </c>
      <c r="AG1382" t="n">
        <v>20</v>
      </c>
      <c r="AH1382" t="n">
        <v>6</v>
      </c>
      <c r="AI1382" t="n">
        <v>8</v>
      </c>
      <c r="AJ1382" t="n">
        <v>14</v>
      </c>
      <c r="AK1382" t="n">
        <v>18</v>
      </c>
      <c r="AL1382" t="n">
        <v>4</v>
      </c>
      <c r="AM1382" t="n">
        <v>6</v>
      </c>
      <c r="AN1382" t="n">
        <v>3</v>
      </c>
      <c r="AO1382" t="n">
        <v>5</v>
      </c>
      <c r="AP1382" t="inlineStr">
        <is>
          <t>No</t>
        </is>
      </c>
      <c r="AQ1382" t="inlineStr">
        <is>
          <t>Yes</t>
        </is>
      </c>
      <c r="AR1382">
        <f>HYPERLINK("http://catalog.hathitrust.org/Record/000098638","HathiTrust Record")</f>
        <v/>
      </c>
      <c r="AS1382">
        <f>HYPERLINK("https://creighton-primo.hosted.exlibrisgroup.com/primo-explore/search?tab=default_tab&amp;search_scope=EVERYTHING&amp;vid=01CRU&amp;lang=en_US&amp;offset=0&amp;query=any,contains,991001766139702656","Catalog Record")</f>
        <v/>
      </c>
      <c r="AT1382">
        <f>HYPERLINK("http://www.worldcat.org/oclc/6914341","WorldCat Record")</f>
        <v/>
      </c>
      <c r="AU1382" t="inlineStr">
        <is>
          <t>863741238:eng</t>
        </is>
      </c>
      <c r="AV1382" t="inlineStr">
        <is>
          <t>6914341</t>
        </is>
      </c>
      <c r="AW1382" t="inlineStr">
        <is>
          <t>991001766139702656</t>
        </is>
      </c>
      <c r="AX1382" t="inlineStr">
        <is>
          <t>991001766139702656</t>
        </is>
      </c>
      <c r="AY1382" t="inlineStr">
        <is>
          <t>2262806540002656</t>
        </is>
      </c>
      <c r="AZ1382" t="inlineStr">
        <is>
          <t>BOOK</t>
        </is>
      </c>
      <c r="BB1382" t="inlineStr">
        <is>
          <t>9780060116477</t>
        </is>
      </c>
      <c r="BC1382" t="inlineStr">
        <is>
          <t>32285000072990</t>
        </is>
      </c>
      <c r="BD1382" t="inlineStr">
        <is>
          <t>893684624</t>
        </is>
      </c>
    </row>
    <row r="1383">
      <c r="A1383" t="inlineStr">
        <is>
          <t>No</t>
        </is>
      </c>
      <c r="B1383" t="inlineStr">
        <is>
          <t>HQ471 .K45 1987</t>
        </is>
      </c>
      <c r="C1383" t="inlineStr">
        <is>
          <t>0                      HQ 0471000K  45          1987</t>
        </is>
      </c>
      <c r="D1383" t="inlineStr">
        <is>
          <t>The secret museum : pornography in modern culture / Walter Kendrick.</t>
        </is>
      </c>
      <c r="F1383" t="inlineStr">
        <is>
          <t>No</t>
        </is>
      </c>
      <c r="G1383" t="inlineStr">
        <is>
          <t>1</t>
        </is>
      </c>
      <c r="H1383" t="inlineStr">
        <is>
          <t>Yes</t>
        </is>
      </c>
      <c r="I1383" t="inlineStr">
        <is>
          <t>No</t>
        </is>
      </c>
      <c r="J1383" t="inlineStr">
        <is>
          <t>0</t>
        </is>
      </c>
      <c r="K1383" t="inlineStr">
        <is>
          <t>Kendrick, Walter M.</t>
        </is>
      </c>
      <c r="L1383" t="inlineStr">
        <is>
          <t>New York : Viking, 1987.</t>
        </is>
      </c>
      <c r="M1383" t="inlineStr">
        <is>
          <t>1987</t>
        </is>
      </c>
      <c r="O1383" t="inlineStr">
        <is>
          <t>eng</t>
        </is>
      </c>
      <c r="P1383" t="inlineStr">
        <is>
          <t>nyu</t>
        </is>
      </c>
      <c r="R1383" t="inlineStr">
        <is>
          <t xml:space="preserve">HQ </t>
        </is>
      </c>
      <c r="S1383" t="n">
        <v>17</v>
      </c>
      <c r="T1383" t="n">
        <v>17</v>
      </c>
      <c r="U1383" t="inlineStr">
        <is>
          <t>2000-12-05</t>
        </is>
      </c>
      <c r="V1383" t="inlineStr">
        <is>
          <t>2000-12-05</t>
        </is>
      </c>
      <c r="W1383" t="inlineStr">
        <is>
          <t>1990-02-02</t>
        </is>
      </c>
      <c r="X1383" t="inlineStr">
        <is>
          <t>1991-08-15</t>
        </is>
      </c>
      <c r="Y1383" t="n">
        <v>976</v>
      </c>
      <c r="Z1383" t="n">
        <v>886</v>
      </c>
      <c r="AA1383" t="n">
        <v>1049</v>
      </c>
      <c r="AB1383" t="n">
        <v>7</v>
      </c>
      <c r="AC1383" t="n">
        <v>7</v>
      </c>
      <c r="AD1383" t="n">
        <v>33</v>
      </c>
      <c r="AE1383" t="n">
        <v>39</v>
      </c>
      <c r="AF1383" t="n">
        <v>10</v>
      </c>
      <c r="AG1383" t="n">
        <v>12</v>
      </c>
      <c r="AH1383" t="n">
        <v>8</v>
      </c>
      <c r="AI1383" t="n">
        <v>9</v>
      </c>
      <c r="AJ1383" t="n">
        <v>14</v>
      </c>
      <c r="AK1383" t="n">
        <v>16</v>
      </c>
      <c r="AL1383" t="n">
        <v>5</v>
      </c>
      <c r="AM1383" t="n">
        <v>5</v>
      </c>
      <c r="AN1383" t="n">
        <v>3</v>
      </c>
      <c r="AO1383" t="n">
        <v>5</v>
      </c>
      <c r="AP1383" t="inlineStr">
        <is>
          <t>No</t>
        </is>
      </c>
      <c r="AQ1383" t="inlineStr">
        <is>
          <t>Yes</t>
        </is>
      </c>
      <c r="AR1383">
        <f>HYPERLINK("http://catalog.hathitrust.org/Record/000815739","HathiTrust Record")</f>
        <v/>
      </c>
      <c r="AS1383">
        <f>HYPERLINK("https://creighton-primo.hosted.exlibrisgroup.com/primo-explore/search?tab=default_tab&amp;search_scope=EVERYTHING&amp;vid=01CRU&amp;lang=en_US&amp;offset=0&amp;query=any,contains,991001634479702656","Catalog Record")</f>
        <v/>
      </c>
      <c r="AT1383">
        <f>HYPERLINK("http://www.worldcat.org/oclc/14098835","WorldCat Record")</f>
        <v/>
      </c>
      <c r="AU1383" t="inlineStr">
        <is>
          <t>886577:eng</t>
        </is>
      </c>
      <c r="AV1383" t="inlineStr">
        <is>
          <t>14098835</t>
        </is>
      </c>
      <c r="AW1383" t="inlineStr">
        <is>
          <t>991001634479702656</t>
        </is>
      </c>
      <c r="AX1383" t="inlineStr">
        <is>
          <t>991001634479702656</t>
        </is>
      </c>
      <c r="AY1383" t="inlineStr">
        <is>
          <t>2264549180002656</t>
        </is>
      </c>
      <c r="AZ1383" t="inlineStr">
        <is>
          <t>BOOK</t>
        </is>
      </c>
      <c r="BB1383" t="inlineStr">
        <is>
          <t>9780670813636</t>
        </is>
      </c>
      <c r="BC1383" t="inlineStr">
        <is>
          <t>32285000032234</t>
        </is>
      </c>
      <c r="BD1383" t="inlineStr">
        <is>
          <t>893684447</t>
        </is>
      </c>
    </row>
    <row r="1384">
      <c r="A1384" t="inlineStr">
        <is>
          <t>No</t>
        </is>
      </c>
      <c r="B1384" t="inlineStr">
        <is>
          <t>HQ471 .M437 1986</t>
        </is>
      </c>
      <c r="C1384" t="inlineStr">
        <is>
          <t>0                      HQ 0471000M  437         1986</t>
        </is>
      </c>
      <c r="D1384" t="inlineStr">
        <is>
          <t>Meese Commission exposed : proceedings of an NCAC Public Information Briefing on the Attorney General's Commission on Pornography, January 16, 1986, New York City / [by Arlene Carmen ... et al.].</t>
        </is>
      </c>
      <c r="F1384" t="inlineStr">
        <is>
          <t>No</t>
        </is>
      </c>
      <c r="G1384" t="inlineStr">
        <is>
          <t>1</t>
        </is>
      </c>
      <c r="H1384" t="inlineStr">
        <is>
          <t>No</t>
        </is>
      </c>
      <c r="I1384" t="inlineStr">
        <is>
          <t>No</t>
        </is>
      </c>
      <c r="J1384" t="inlineStr">
        <is>
          <t>0</t>
        </is>
      </c>
      <c r="L1384" t="inlineStr">
        <is>
          <t>New York, N.Y. : National Coalition against Censorship, c1986.</t>
        </is>
      </c>
      <c r="M1384" t="inlineStr">
        <is>
          <t>1986</t>
        </is>
      </c>
      <c r="O1384" t="inlineStr">
        <is>
          <t>eng</t>
        </is>
      </c>
      <c r="P1384" t="inlineStr">
        <is>
          <t>nyu</t>
        </is>
      </c>
      <c r="R1384" t="inlineStr">
        <is>
          <t xml:space="preserve">HQ </t>
        </is>
      </c>
      <c r="S1384" t="n">
        <v>21</v>
      </c>
      <c r="T1384" t="n">
        <v>21</v>
      </c>
      <c r="U1384" t="inlineStr">
        <is>
          <t>2002-04-22</t>
        </is>
      </c>
      <c r="V1384" t="inlineStr">
        <is>
          <t>2002-04-22</t>
        </is>
      </c>
      <c r="W1384" t="inlineStr">
        <is>
          <t>1995-06-30</t>
        </is>
      </c>
      <c r="X1384" t="inlineStr">
        <is>
          <t>1995-06-30</t>
        </is>
      </c>
      <c r="Y1384" t="n">
        <v>147</v>
      </c>
      <c r="Z1384" t="n">
        <v>146</v>
      </c>
      <c r="AA1384" t="n">
        <v>378</v>
      </c>
      <c r="AB1384" t="n">
        <v>2</v>
      </c>
      <c r="AC1384" t="n">
        <v>2</v>
      </c>
      <c r="AD1384" t="n">
        <v>3</v>
      </c>
      <c r="AE1384" t="n">
        <v>16</v>
      </c>
      <c r="AF1384" t="n">
        <v>1</v>
      </c>
      <c r="AG1384" t="n">
        <v>3</v>
      </c>
      <c r="AH1384" t="n">
        <v>0</v>
      </c>
      <c r="AI1384" t="n">
        <v>3</v>
      </c>
      <c r="AJ1384" t="n">
        <v>1</v>
      </c>
      <c r="AK1384" t="n">
        <v>8</v>
      </c>
      <c r="AL1384" t="n">
        <v>1</v>
      </c>
      <c r="AM1384" t="n">
        <v>1</v>
      </c>
      <c r="AN1384" t="n">
        <v>0</v>
      </c>
      <c r="AO1384" t="n">
        <v>3</v>
      </c>
      <c r="AP1384" t="inlineStr">
        <is>
          <t>No</t>
        </is>
      </c>
      <c r="AQ1384" t="inlineStr">
        <is>
          <t>Yes</t>
        </is>
      </c>
      <c r="AR1384">
        <f>HYPERLINK("http://catalog.hathitrust.org/Record/000671936","HathiTrust Record")</f>
        <v/>
      </c>
      <c r="AS1384">
        <f>HYPERLINK("https://creighton-primo.hosted.exlibrisgroup.com/primo-explore/search?tab=default_tab&amp;search_scope=EVERYTHING&amp;vid=01CRU&amp;lang=en_US&amp;offset=0&amp;query=any,contains,991000896279702656","Catalog Record")</f>
        <v/>
      </c>
      <c r="AT1384">
        <f>HYPERLINK("http://www.worldcat.org/oclc/13986795","WorldCat Record")</f>
        <v/>
      </c>
      <c r="AU1384" t="inlineStr">
        <is>
          <t>9993804:eng</t>
        </is>
      </c>
      <c r="AV1384" t="inlineStr">
        <is>
          <t>13986795</t>
        </is>
      </c>
      <c r="AW1384" t="inlineStr">
        <is>
          <t>991000896279702656</t>
        </is>
      </c>
      <c r="AX1384" t="inlineStr">
        <is>
          <t>991000896279702656</t>
        </is>
      </c>
      <c r="AY1384" t="inlineStr">
        <is>
          <t>2259118700002656</t>
        </is>
      </c>
      <c r="AZ1384" t="inlineStr">
        <is>
          <t>BOOK</t>
        </is>
      </c>
      <c r="BC1384" t="inlineStr">
        <is>
          <t>32285002022084</t>
        </is>
      </c>
      <c r="BD1384" t="inlineStr">
        <is>
          <t>893255837</t>
        </is>
      </c>
    </row>
    <row r="1385">
      <c r="A1385" t="inlineStr">
        <is>
          <t>No</t>
        </is>
      </c>
      <c r="B1385" t="inlineStr">
        <is>
          <t>HQ471 .R5 1975</t>
        </is>
      </c>
      <c r="C1385" t="inlineStr">
        <is>
          <t>0                      HQ 0471000R  5           1975</t>
        </is>
      </c>
      <c r="D1385" t="inlineStr">
        <is>
          <t>The pornography controversy : changing moral standards in American life / [compiled by] Ray C. Rist.</t>
        </is>
      </c>
      <c r="F1385" t="inlineStr">
        <is>
          <t>No</t>
        </is>
      </c>
      <c r="G1385" t="inlineStr">
        <is>
          <t>1</t>
        </is>
      </c>
      <c r="H1385" t="inlineStr">
        <is>
          <t>No</t>
        </is>
      </c>
      <c r="I1385" t="inlineStr">
        <is>
          <t>No</t>
        </is>
      </c>
      <c r="J1385" t="inlineStr">
        <is>
          <t>0</t>
        </is>
      </c>
      <c r="K1385" t="inlineStr">
        <is>
          <t>Rist, Ray C. compiler.</t>
        </is>
      </c>
      <c r="L1385" t="inlineStr">
        <is>
          <t>New Brunswick, N.J. : Transaction Books, [1974] c1975.</t>
        </is>
      </c>
      <c r="M1385" t="inlineStr">
        <is>
          <t>1974</t>
        </is>
      </c>
      <c r="O1385" t="inlineStr">
        <is>
          <t>eng</t>
        </is>
      </c>
      <c r="P1385" t="inlineStr">
        <is>
          <t>nju</t>
        </is>
      </c>
      <c r="R1385" t="inlineStr">
        <is>
          <t xml:space="preserve">HQ </t>
        </is>
      </c>
      <c r="S1385" t="n">
        <v>29</v>
      </c>
      <c r="T1385" t="n">
        <v>29</v>
      </c>
      <c r="U1385" t="inlineStr">
        <is>
          <t>2003-11-17</t>
        </is>
      </c>
      <c r="V1385" t="inlineStr">
        <is>
          <t>2003-11-17</t>
        </is>
      </c>
      <c r="W1385" t="inlineStr">
        <is>
          <t>1990-07-31</t>
        </is>
      </c>
      <c r="X1385" t="inlineStr">
        <is>
          <t>1990-07-31</t>
        </is>
      </c>
      <c r="Y1385" t="n">
        <v>536</v>
      </c>
      <c r="Z1385" t="n">
        <v>485</v>
      </c>
      <c r="AA1385" t="n">
        <v>570</v>
      </c>
      <c r="AB1385" t="n">
        <v>3</v>
      </c>
      <c r="AC1385" t="n">
        <v>3</v>
      </c>
      <c r="AD1385" t="n">
        <v>19</v>
      </c>
      <c r="AE1385" t="n">
        <v>24</v>
      </c>
      <c r="AF1385" t="n">
        <v>5</v>
      </c>
      <c r="AG1385" t="n">
        <v>7</v>
      </c>
      <c r="AH1385" t="n">
        <v>3</v>
      </c>
      <c r="AI1385" t="n">
        <v>5</v>
      </c>
      <c r="AJ1385" t="n">
        <v>9</v>
      </c>
      <c r="AK1385" t="n">
        <v>12</v>
      </c>
      <c r="AL1385" t="n">
        <v>2</v>
      </c>
      <c r="AM1385" t="n">
        <v>2</v>
      </c>
      <c r="AN1385" t="n">
        <v>4</v>
      </c>
      <c r="AO1385" t="n">
        <v>4</v>
      </c>
      <c r="AP1385" t="inlineStr">
        <is>
          <t>No</t>
        </is>
      </c>
      <c r="AQ1385" t="inlineStr">
        <is>
          <t>No</t>
        </is>
      </c>
      <c r="AS1385">
        <f>HYPERLINK("https://creighton-primo.hosted.exlibrisgroup.com/primo-explore/search?tab=default_tab&amp;search_scope=EVERYTHING&amp;vid=01CRU&amp;lang=en_US&amp;offset=0&amp;query=any,contains,991003669989702656","Catalog Record")</f>
        <v/>
      </c>
      <c r="AT1385">
        <f>HYPERLINK("http://www.worldcat.org/oclc/1287533","WorldCat Record")</f>
        <v/>
      </c>
      <c r="AU1385" t="inlineStr">
        <is>
          <t>538406:eng</t>
        </is>
      </c>
      <c r="AV1385" t="inlineStr">
        <is>
          <t>1287533</t>
        </is>
      </c>
      <c r="AW1385" t="inlineStr">
        <is>
          <t>991003669989702656</t>
        </is>
      </c>
      <c r="AX1385" t="inlineStr">
        <is>
          <t>991003669989702656</t>
        </is>
      </c>
      <c r="AY1385" t="inlineStr">
        <is>
          <t>2268522790002656</t>
        </is>
      </c>
      <c r="AZ1385" t="inlineStr">
        <is>
          <t>BOOK</t>
        </is>
      </c>
      <c r="BB1385" t="inlineStr">
        <is>
          <t>9780878550937</t>
        </is>
      </c>
      <c r="BC1385" t="inlineStr">
        <is>
          <t>32285000252519</t>
        </is>
      </c>
      <c r="BD1385" t="inlineStr">
        <is>
          <t>893592750</t>
        </is>
      </c>
    </row>
    <row r="1386">
      <c r="A1386" t="inlineStr">
        <is>
          <t>No</t>
        </is>
      </c>
      <c r="B1386" t="inlineStr">
        <is>
          <t>HQ471 .S59 2000</t>
        </is>
      </c>
      <c r="C1386" t="inlineStr">
        <is>
          <t>0                      HQ 0471000S  59          2000</t>
        </is>
      </c>
      <c r="D1386" t="inlineStr">
        <is>
          <t>Pornography in America : a reference handbook / Joseph W. Slade.</t>
        </is>
      </c>
      <c r="F1386" t="inlineStr">
        <is>
          <t>No</t>
        </is>
      </c>
      <c r="G1386" t="inlineStr">
        <is>
          <t>1</t>
        </is>
      </c>
      <c r="H1386" t="inlineStr">
        <is>
          <t>No</t>
        </is>
      </c>
      <c r="I1386" t="inlineStr">
        <is>
          <t>No</t>
        </is>
      </c>
      <c r="J1386" t="inlineStr">
        <is>
          <t>0</t>
        </is>
      </c>
      <c r="K1386" t="inlineStr">
        <is>
          <t>Slade, Joseph W.</t>
        </is>
      </c>
      <c r="L1386" t="inlineStr">
        <is>
          <t>Santa Barbara, Calif. : ABC-CLIO, c2000.</t>
        </is>
      </c>
      <c r="M1386" t="inlineStr">
        <is>
          <t>2000</t>
        </is>
      </c>
      <c r="O1386" t="inlineStr">
        <is>
          <t>eng</t>
        </is>
      </c>
      <c r="P1386" t="inlineStr">
        <is>
          <t>cau</t>
        </is>
      </c>
      <c r="Q1386" t="inlineStr">
        <is>
          <t>Contemporary world issues</t>
        </is>
      </c>
      <c r="R1386" t="inlineStr">
        <is>
          <t xml:space="preserve">HQ </t>
        </is>
      </c>
      <c r="S1386" t="n">
        <v>14</v>
      </c>
      <c r="T1386" t="n">
        <v>14</v>
      </c>
      <c r="U1386" t="inlineStr">
        <is>
          <t>2008-11-21</t>
        </is>
      </c>
      <c r="V1386" t="inlineStr">
        <is>
          <t>2008-11-21</t>
        </is>
      </c>
      <c r="W1386" t="inlineStr">
        <is>
          <t>2000-09-13</t>
        </is>
      </c>
      <c r="X1386" t="inlineStr">
        <is>
          <t>2000-09-13</t>
        </is>
      </c>
      <c r="Y1386" t="n">
        <v>786</v>
      </c>
      <c r="Z1386" t="n">
        <v>759</v>
      </c>
      <c r="AA1386" t="n">
        <v>1118</v>
      </c>
      <c r="AB1386" t="n">
        <v>5</v>
      </c>
      <c r="AC1386" t="n">
        <v>7</v>
      </c>
      <c r="AD1386" t="n">
        <v>21</v>
      </c>
      <c r="AE1386" t="n">
        <v>29</v>
      </c>
      <c r="AF1386" t="n">
        <v>6</v>
      </c>
      <c r="AG1386" t="n">
        <v>11</v>
      </c>
      <c r="AH1386" t="n">
        <v>5</v>
      </c>
      <c r="AI1386" t="n">
        <v>7</v>
      </c>
      <c r="AJ1386" t="n">
        <v>12</v>
      </c>
      <c r="AK1386" t="n">
        <v>15</v>
      </c>
      <c r="AL1386" t="n">
        <v>3</v>
      </c>
      <c r="AM1386" t="n">
        <v>5</v>
      </c>
      <c r="AN1386" t="n">
        <v>0</v>
      </c>
      <c r="AO1386" t="n">
        <v>0</v>
      </c>
      <c r="AP1386" t="inlineStr">
        <is>
          <t>No</t>
        </is>
      </c>
      <c r="AQ1386" t="inlineStr">
        <is>
          <t>Yes</t>
        </is>
      </c>
      <c r="AR1386">
        <f>HYPERLINK("http://catalog.hathitrust.org/Record/004053615","HathiTrust Record")</f>
        <v/>
      </c>
      <c r="AS1386">
        <f>HYPERLINK("https://creighton-primo.hosted.exlibrisgroup.com/primo-explore/search?tab=default_tab&amp;search_scope=EVERYTHING&amp;vid=01CRU&amp;lang=en_US&amp;offset=0&amp;query=any,contains,991003290609702656","Catalog Record")</f>
        <v/>
      </c>
      <c r="AT1386">
        <f>HYPERLINK("http://www.worldcat.org/oclc/43684668","WorldCat Record")</f>
        <v/>
      </c>
      <c r="AU1386" t="inlineStr">
        <is>
          <t>1054205:eng</t>
        </is>
      </c>
      <c r="AV1386" t="inlineStr">
        <is>
          <t>43684668</t>
        </is>
      </c>
      <c r="AW1386" t="inlineStr">
        <is>
          <t>991003290609702656</t>
        </is>
      </c>
      <c r="AX1386" t="inlineStr">
        <is>
          <t>991003290609702656</t>
        </is>
      </c>
      <c r="AY1386" t="inlineStr">
        <is>
          <t>2269847150002656</t>
        </is>
      </c>
      <c r="AZ1386" t="inlineStr">
        <is>
          <t>BOOK</t>
        </is>
      </c>
      <c r="BB1386" t="inlineStr">
        <is>
          <t>9781576070857</t>
        </is>
      </c>
      <c r="BC1386" t="inlineStr">
        <is>
          <t>32285003762316</t>
        </is>
      </c>
      <c r="BD1386" t="inlineStr">
        <is>
          <t>893868262</t>
        </is>
      </c>
    </row>
    <row r="1387">
      <c r="A1387" t="inlineStr">
        <is>
          <t>No</t>
        </is>
      </c>
      <c r="B1387" t="inlineStr">
        <is>
          <t>HQ471 .T46 1979</t>
        </is>
      </c>
      <c r="C1387" t="inlineStr">
        <is>
          <t>0                      HQ 0471000T  46          1979</t>
        </is>
      </c>
      <c r="D1387" t="inlineStr">
        <is>
          <t>Unfit for modest ears : a study of pornographic, obscene, and bawdy works written or published in England in the second half of the seventeenth century / Roger Thompson.</t>
        </is>
      </c>
      <c r="F1387" t="inlineStr">
        <is>
          <t>No</t>
        </is>
      </c>
      <c r="G1387" t="inlineStr">
        <is>
          <t>1</t>
        </is>
      </c>
      <c r="H1387" t="inlineStr">
        <is>
          <t>No</t>
        </is>
      </c>
      <c r="I1387" t="inlineStr">
        <is>
          <t>No</t>
        </is>
      </c>
      <c r="J1387" t="inlineStr">
        <is>
          <t>0</t>
        </is>
      </c>
      <c r="K1387" t="inlineStr">
        <is>
          <t>Thompson, Roger, 1933-</t>
        </is>
      </c>
      <c r="L1387" t="inlineStr">
        <is>
          <t>Totowa, N.J. : Rowman and Littlefield, 1979.</t>
        </is>
      </c>
      <c r="M1387" t="inlineStr">
        <is>
          <t>1979</t>
        </is>
      </c>
      <c r="O1387" t="inlineStr">
        <is>
          <t>eng</t>
        </is>
      </c>
      <c r="P1387" t="inlineStr">
        <is>
          <t>nju</t>
        </is>
      </c>
      <c r="R1387" t="inlineStr">
        <is>
          <t xml:space="preserve">HQ </t>
        </is>
      </c>
      <c r="S1387" t="n">
        <v>7</v>
      </c>
      <c r="T1387" t="n">
        <v>7</v>
      </c>
      <c r="U1387" t="inlineStr">
        <is>
          <t>1995-03-21</t>
        </is>
      </c>
      <c r="V1387" t="inlineStr">
        <is>
          <t>1995-03-21</t>
        </is>
      </c>
      <c r="W1387" t="inlineStr">
        <is>
          <t>1990-05-03</t>
        </is>
      </c>
      <c r="X1387" t="inlineStr">
        <is>
          <t>1990-05-03</t>
        </is>
      </c>
      <c r="Y1387" t="n">
        <v>330</v>
      </c>
      <c r="Z1387" t="n">
        <v>300</v>
      </c>
      <c r="AA1387" t="n">
        <v>343</v>
      </c>
      <c r="AB1387" t="n">
        <v>1</v>
      </c>
      <c r="AC1387" t="n">
        <v>3</v>
      </c>
      <c r="AD1387" t="n">
        <v>10</v>
      </c>
      <c r="AE1387" t="n">
        <v>12</v>
      </c>
      <c r="AF1387" t="n">
        <v>3</v>
      </c>
      <c r="AG1387" t="n">
        <v>3</v>
      </c>
      <c r="AH1387" t="n">
        <v>3</v>
      </c>
      <c r="AI1387" t="n">
        <v>3</v>
      </c>
      <c r="AJ1387" t="n">
        <v>7</v>
      </c>
      <c r="AK1387" t="n">
        <v>7</v>
      </c>
      <c r="AL1387" t="n">
        <v>0</v>
      </c>
      <c r="AM1387" t="n">
        <v>2</v>
      </c>
      <c r="AN1387" t="n">
        <v>0</v>
      </c>
      <c r="AO1387" t="n">
        <v>0</v>
      </c>
      <c r="AP1387" t="inlineStr">
        <is>
          <t>No</t>
        </is>
      </c>
      <c r="AQ1387" t="inlineStr">
        <is>
          <t>Yes</t>
        </is>
      </c>
      <c r="AR1387">
        <f>HYPERLINK("http://catalog.hathitrust.org/Record/000030997","HathiTrust Record")</f>
        <v/>
      </c>
      <c r="AS1387">
        <f>HYPERLINK("https://creighton-primo.hosted.exlibrisgroup.com/primo-explore/search?tab=default_tab&amp;search_scope=EVERYTHING&amp;vid=01CRU&amp;lang=en_US&amp;offset=0&amp;query=any,contains,991004777789702656","Catalog Record")</f>
        <v/>
      </c>
      <c r="AT1387">
        <f>HYPERLINK("http://www.worldcat.org/oclc/5101695","WorldCat Record")</f>
        <v/>
      </c>
      <c r="AU1387" t="inlineStr">
        <is>
          <t>508016:eng</t>
        </is>
      </c>
      <c r="AV1387" t="inlineStr">
        <is>
          <t>5101695</t>
        </is>
      </c>
      <c r="AW1387" t="inlineStr">
        <is>
          <t>991004777789702656</t>
        </is>
      </c>
      <c r="AX1387" t="inlineStr">
        <is>
          <t>991004777789702656</t>
        </is>
      </c>
      <c r="AY1387" t="inlineStr">
        <is>
          <t>2258984150002656</t>
        </is>
      </c>
      <c r="AZ1387" t="inlineStr">
        <is>
          <t>BOOK</t>
        </is>
      </c>
      <c r="BB1387" t="inlineStr">
        <is>
          <t>9780847661954</t>
        </is>
      </c>
      <c r="BC1387" t="inlineStr">
        <is>
          <t>32285000147958</t>
        </is>
      </c>
      <c r="BD1387" t="inlineStr">
        <is>
          <t>893424181</t>
        </is>
      </c>
    </row>
    <row r="1388">
      <c r="A1388" t="inlineStr">
        <is>
          <t>No</t>
        </is>
      </c>
      <c r="B1388" t="inlineStr">
        <is>
          <t>HQ471 .W45 2006</t>
        </is>
      </c>
      <c r="C1388" t="inlineStr">
        <is>
          <t>0                      HQ 0471000W  45          2006</t>
        </is>
      </c>
      <c r="D1388" t="inlineStr">
        <is>
          <t>Virtually obscene : the case for an uncensored internet / Amy E. White ; foreword by Nadine Strossen.</t>
        </is>
      </c>
      <c r="F1388" t="inlineStr">
        <is>
          <t>No</t>
        </is>
      </c>
      <c r="G1388" t="inlineStr">
        <is>
          <t>1</t>
        </is>
      </c>
      <c r="H1388" t="inlineStr">
        <is>
          <t>No</t>
        </is>
      </c>
      <c r="I1388" t="inlineStr">
        <is>
          <t>No</t>
        </is>
      </c>
      <c r="J1388" t="inlineStr">
        <is>
          <t>0</t>
        </is>
      </c>
      <c r="K1388" t="inlineStr">
        <is>
          <t>White, Amy E., 1974-</t>
        </is>
      </c>
      <c r="L1388" t="inlineStr">
        <is>
          <t>Jefferson, N.C. : McFarland &amp; Co., c2006.</t>
        </is>
      </c>
      <c r="M1388" t="inlineStr">
        <is>
          <t>2006</t>
        </is>
      </c>
      <c r="O1388" t="inlineStr">
        <is>
          <t>eng</t>
        </is>
      </c>
      <c r="P1388" t="inlineStr">
        <is>
          <t>ncu</t>
        </is>
      </c>
      <c r="R1388" t="inlineStr">
        <is>
          <t xml:space="preserve">HQ </t>
        </is>
      </c>
      <c r="S1388" t="n">
        <v>4</v>
      </c>
      <c r="T1388" t="n">
        <v>4</v>
      </c>
      <c r="U1388" t="inlineStr">
        <is>
          <t>2009-10-23</t>
        </is>
      </c>
      <c r="V1388" t="inlineStr">
        <is>
          <t>2009-10-23</t>
        </is>
      </c>
      <c r="W1388" t="inlineStr">
        <is>
          <t>2007-09-17</t>
        </is>
      </c>
      <c r="X1388" t="inlineStr">
        <is>
          <t>2007-09-17</t>
        </is>
      </c>
      <c r="Y1388" t="n">
        <v>281</v>
      </c>
      <c r="Z1388" t="n">
        <v>241</v>
      </c>
      <c r="AA1388" t="n">
        <v>242</v>
      </c>
      <c r="AB1388" t="n">
        <v>4</v>
      </c>
      <c r="AC1388" t="n">
        <v>4</v>
      </c>
      <c r="AD1388" t="n">
        <v>8</v>
      </c>
      <c r="AE1388" t="n">
        <v>8</v>
      </c>
      <c r="AF1388" t="n">
        <v>3</v>
      </c>
      <c r="AG1388" t="n">
        <v>3</v>
      </c>
      <c r="AH1388" t="n">
        <v>1</v>
      </c>
      <c r="AI1388" t="n">
        <v>1</v>
      </c>
      <c r="AJ1388" t="n">
        <v>3</v>
      </c>
      <c r="AK1388" t="n">
        <v>3</v>
      </c>
      <c r="AL1388" t="n">
        <v>3</v>
      </c>
      <c r="AM1388" t="n">
        <v>3</v>
      </c>
      <c r="AN1388" t="n">
        <v>0</v>
      </c>
      <c r="AO1388" t="n">
        <v>0</v>
      </c>
      <c r="AP1388" t="inlineStr">
        <is>
          <t>No</t>
        </is>
      </c>
      <c r="AQ1388" t="inlineStr">
        <is>
          <t>Yes</t>
        </is>
      </c>
      <c r="AR1388">
        <f>HYPERLINK("http://catalog.hathitrust.org/Record/005345171","HathiTrust Record")</f>
        <v/>
      </c>
      <c r="AS1388">
        <f>HYPERLINK("https://creighton-primo.hosted.exlibrisgroup.com/primo-explore/search?tab=default_tab&amp;search_scope=EVERYTHING&amp;vid=01CRU&amp;lang=en_US&amp;offset=0&amp;query=any,contains,991005113579702656","Catalog Record")</f>
        <v/>
      </c>
      <c r="AT1388">
        <f>HYPERLINK("http://www.worldcat.org/oclc/71266397","WorldCat Record")</f>
        <v/>
      </c>
      <c r="AU1388" t="inlineStr">
        <is>
          <t>329544882:eng</t>
        </is>
      </c>
      <c r="AV1388" t="inlineStr">
        <is>
          <t>71266397</t>
        </is>
      </c>
      <c r="AW1388" t="inlineStr">
        <is>
          <t>991005113579702656</t>
        </is>
      </c>
      <c r="AX1388" t="inlineStr">
        <is>
          <t>991005113579702656</t>
        </is>
      </c>
      <c r="AY1388" t="inlineStr">
        <is>
          <t>2270202690002656</t>
        </is>
      </c>
      <c r="AZ1388" t="inlineStr">
        <is>
          <t>BOOK</t>
        </is>
      </c>
      <c r="BB1388" t="inlineStr">
        <is>
          <t>9780786428014</t>
        </is>
      </c>
      <c r="BC1388" t="inlineStr">
        <is>
          <t>32285005325385</t>
        </is>
      </c>
      <c r="BD1388" t="inlineStr">
        <is>
          <t>893883347</t>
        </is>
      </c>
    </row>
    <row r="1389">
      <c r="A1389" t="inlineStr">
        <is>
          <t>No</t>
        </is>
      </c>
      <c r="B1389" t="inlineStr">
        <is>
          <t>HQ471 .W66 1985</t>
        </is>
      </c>
      <c r="C1389" t="inlineStr">
        <is>
          <t>0                      HQ 0471000W  66          1985</t>
        </is>
      </c>
      <c r="D1389" t="inlineStr">
        <is>
          <t>Women against censorship / edited by Varda Burstyn ; essays by Varda Burstyn ... [et al.].</t>
        </is>
      </c>
      <c r="F1389" t="inlineStr">
        <is>
          <t>No</t>
        </is>
      </c>
      <c r="G1389" t="inlineStr">
        <is>
          <t>1</t>
        </is>
      </c>
      <c r="H1389" t="inlineStr">
        <is>
          <t>No</t>
        </is>
      </c>
      <c r="I1389" t="inlineStr">
        <is>
          <t>No</t>
        </is>
      </c>
      <c r="J1389" t="inlineStr">
        <is>
          <t>0</t>
        </is>
      </c>
      <c r="L1389" t="inlineStr">
        <is>
          <t>Vancouver : Douglas &amp; McIntyre, c1985.</t>
        </is>
      </c>
      <c r="M1389" t="inlineStr">
        <is>
          <t>1985</t>
        </is>
      </c>
      <c r="O1389" t="inlineStr">
        <is>
          <t>eng</t>
        </is>
      </c>
      <c r="P1389" t="inlineStr">
        <is>
          <t>bcc</t>
        </is>
      </c>
      <c r="R1389" t="inlineStr">
        <is>
          <t xml:space="preserve">HQ </t>
        </is>
      </c>
      <c r="S1389" t="n">
        <v>28</v>
      </c>
      <c r="T1389" t="n">
        <v>28</v>
      </c>
      <c r="U1389" t="inlineStr">
        <is>
          <t>2009-11-20</t>
        </is>
      </c>
      <c r="V1389" t="inlineStr">
        <is>
          <t>2009-11-20</t>
        </is>
      </c>
      <c r="W1389" t="inlineStr">
        <is>
          <t>1990-05-03</t>
        </is>
      </c>
      <c r="X1389" t="inlineStr">
        <is>
          <t>1990-05-03</t>
        </is>
      </c>
      <c r="Y1389" t="n">
        <v>559</v>
      </c>
      <c r="Z1389" t="n">
        <v>456</v>
      </c>
      <c r="AA1389" t="n">
        <v>458</v>
      </c>
      <c r="AB1389" t="n">
        <v>6</v>
      </c>
      <c r="AC1389" t="n">
        <v>6</v>
      </c>
      <c r="AD1389" t="n">
        <v>24</v>
      </c>
      <c r="AE1389" t="n">
        <v>24</v>
      </c>
      <c r="AF1389" t="n">
        <v>6</v>
      </c>
      <c r="AG1389" t="n">
        <v>6</v>
      </c>
      <c r="AH1389" t="n">
        <v>7</v>
      </c>
      <c r="AI1389" t="n">
        <v>7</v>
      </c>
      <c r="AJ1389" t="n">
        <v>7</v>
      </c>
      <c r="AK1389" t="n">
        <v>7</v>
      </c>
      <c r="AL1389" t="n">
        <v>5</v>
      </c>
      <c r="AM1389" t="n">
        <v>5</v>
      </c>
      <c r="AN1389" t="n">
        <v>2</v>
      </c>
      <c r="AO1389" t="n">
        <v>2</v>
      </c>
      <c r="AP1389" t="inlineStr">
        <is>
          <t>No</t>
        </is>
      </c>
      <c r="AQ1389" t="inlineStr">
        <is>
          <t>Yes</t>
        </is>
      </c>
      <c r="AR1389">
        <f>HYPERLINK("http://catalog.hathitrust.org/Record/000581112","HathiTrust Record")</f>
        <v/>
      </c>
      <c r="AS1389">
        <f>HYPERLINK("https://creighton-primo.hosted.exlibrisgroup.com/primo-explore/search?tab=default_tab&amp;search_scope=EVERYTHING&amp;vid=01CRU&amp;lang=en_US&amp;offset=0&amp;query=any,contains,991000681639702656","Catalog Record")</f>
        <v/>
      </c>
      <c r="AT1389">
        <f>HYPERLINK("http://www.worldcat.org/oclc/12403914","WorldCat Record")</f>
        <v/>
      </c>
      <c r="AU1389" t="inlineStr">
        <is>
          <t>4853160:eng</t>
        </is>
      </c>
      <c r="AV1389" t="inlineStr">
        <is>
          <t>12403914</t>
        </is>
      </c>
      <c r="AW1389" t="inlineStr">
        <is>
          <t>991000681639702656</t>
        </is>
      </c>
      <c r="AX1389" t="inlineStr">
        <is>
          <t>991000681639702656</t>
        </is>
      </c>
      <c r="AY1389" t="inlineStr">
        <is>
          <t>2257708590002656</t>
        </is>
      </c>
      <c r="AZ1389" t="inlineStr">
        <is>
          <t>BOOK</t>
        </is>
      </c>
      <c r="BB1389" t="inlineStr">
        <is>
          <t>9780888944559</t>
        </is>
      </c>
      <c r="BC1389" t="inlineStr">
        <is>
          <t>32285000147966</t>
        </is>
      </c>
      <c r="BD1389" t="inlineStr">
        <is>
          <t>893413587</t>
        </is>
      </c>
    </row>
    <row r="1390">
      <c r="A1390" t="inlineStr">
        <is>
          <t>No</t>
        </is>
      </c>
      <c r="B1390" t="inlineStr">
        <is>
          <t>HQ471.C37 S7</t>
        </is>
      </c>
      <c r="C1390" t="inlineStr">
        <is>
          <t>0                      HQ 0471000C  37                 S  7</t>
        </is>
      </c>
      <c r="D1390" t="inlineStr">
        <is>
          <t>State and local motion picture censorship and constitutional liberties : with special emphasis on the communal acceptance of Supreme Court decision-making / [Ann Arbor] 1964.</t>
        </is>
      </c>
      <c r="F1390" t="inlineStr">
        <is>
          <t>No</t>
        </is>
      </c>
      <c r="G1390" t="inlineStr">
        <is>
          <t>1</t>
        </is>
      </c>
      <c r="H1390" t="inlineStr">
        <is>
          <t>No</t>
        </is>
      </c>
      <c r="I1390" t="inlineStr">
        <is>
          <t>No</t>
        </is>
      </c>
      <c r="J1390" t="inlineStr">
        <is>
          <t>0</t>
        </is>
      </c>
      <c r="K1390" t="inlineStr">
        <is>
          <t>Carmen, Ira H.</t>
        </is>
      </c>
      <c r="L1390" t="inlineStr">
        <is>
          <t>[Ann Arbor : University Microfilms, 1974]</t>
        </is>
      </c>
      <c r="M1390" t="inlineStr">
        <is>
          <t>1974</t>
        </is>
      </c>
      <c r="O1390" t="inlineStr">
        <is>
          <t>eng</t>
        </is>
      </c>
      <c r="P1390" t="inlineStr">
        <is>
          <t xml:space="preserve">xx </t>
        </is>
      </c>
      <c r="R1390" t="inlineStr">
        <is>
          <t xml:space="preserve">HQ </t>
        </is>
      </c>
      <c r="S1390" t="n">
        <v>4</v>
      </c>
      <c r="T1390" t="n">
        <v>4</v>
      </c>
      <c r="U1390" t="inlineStr">
        <is>
          <t>1993-03-21</t>
        </is>
      </c>
      <c r="V1390" t="inlineStr">
        <is>
          <t>1993-03-21</t>
        </is>
      </c>
      <c r="W1390" t="inlineStr">
        <is>
          <t>1990-03-05</t>
        </is>
      </c>
      <c r="X1390" t="inlineStr">
        <is>
          <t>1990-03-05</t>
        </is>
      </c>
      <c r="Y1390" t="n">
        <v>6</v>
      </c>
      <c r="Z1390" t="n">
        <v>5</v>
      </c>
      <c r="AA1390" t="n">
        <v>17</v>
      </c>
      <c r="AB1390" t="n">
        <v>1</v>
      </c>
      <c r="AC1390" t="n">
        <v>1</v>
      </c>
      <c r="AD1390" t="n">
        <v>0</v>
      </c>
      <c r="AE1390" t="n">
        <v>1</v>
      </c>
      <c r="AF1390" t="n">
        <v>0</v>
      </c>
      <c r="AG1390" t="n">
        <v>0</v>
      </c>
      <c r="AH1390" t="n">
        <v>0</v>
      </c>
      <c r="AI1390" t="n">
        <v>1</v>
      </c>
      <c r="AJ1390" t="n">
        <v>0</v>
      </c>
      <c r="AK1390" t="n">
        <v>0</v>
      </c>
      <c r="AL1390" t="n">
        <v>0</v>
      </c>
      <c r="AM1390" t="n">
        <v>0</v>
      </c>
      <c r="AN1390" t="n">
        <v>0</v>
      </c>
      <c r="AO1390" t="n">
        <v>0</v>
      </c>
      <c r="AP1390" t="inlineStr">
        <is>
          <t>No</t>
        </is>
      </c>
      <c r="AQ1390" t="inlineStr">
        <is>
          <t>No</t>
        </is>
      </c>
      <c r="AS1390">
        <f>HYPERLINK("https://creighton-primo.hosted.exlibrisgroup.com/primo-explore/search?tab=default_tab&amp;search_scope=EVERYTHING&amp;vid=01CRU&amp;lang=en_US&amp;offset=0&amp;query=any,contains,991003479159702656","Catalog Record")</f>
        <v/>
      </c>
      <c r="AT1390">
        <f>HYPERLINK("http://www.worldcat.org/oclc/1025288","WorldCat Record")</f>
        <v/>
      </c>
      <c r="AU1390" t="inlineStr">
        <is>
          <t>2542277687:eng</t>
        </is>
      </c>
      <c r="AV1390" t="inlineStr">
        <is>
          <t>1025288</t>
        </is>
      </c>
      <c r="AW1390" t="inlineStr">
        <is>
          <t>991003479159702656</t>
        </is>
      </c>
      <c r="AX1390" t="inlineStr">
        <is>
          <t>991003479159702656</t>
        </is>
      </c>
      <c r="AY1390" t="inlineStr">
        <is>
          <t>2271640100002656</t>
        </is>
      </c>
      <c r="AZ1390" t="inlineStr">
        <is>
          <t>BOOK</t>
        </is>
      </c>
      <c r="BC1390" t="inlineStr">
        <is>
          <t>32285000063445</t>
        </is>
      </c>
      <c r="BD1390" t="inlineStr">
        <is>
          <t>893717693</t>
        </is>
      </c>
    </row>
    <row r="1391">
      <c r="A1391" t="inlineStr">
        <is>
          <t>No</t>
        </is>
      </c>
      <c r="B1391" t="inlineStr">
        <is>
          <t>HQ472.U6 C36 1994</t>
        </is>
      </c>
      <c r="C1391" t="inlineStr">
        <is>
          <t>0                      HQ 0472000U  6                  C  36          1994</t>
        </is>
      </c>
      <c r="D1391" t="inlineStr">
        <is>
          <t>Voluptuous yearnings : a feminist theory of the obscene / Mary Caputi.</t>
        </is>
      </c>
      <c r="F1391" t="inlineStr">
        <is>
          <t>No</t>
        </is>
      </c>
      <c r="G1391" t="inlineStr">
        <is>
          <t>1</t>
        </is>
      </c>
      <c r="H1391" t="inlineStr">
        <is>
          <t>No</t>
        </is>
      </c>
      <c r="I1391" t="inlineStr">
        <is>
          <t>No</t>
        </is>
      </c>
      <c r="J1391" t="inlineStr">
        <is>
          <t>0</t>
        </is>
      </c>
      <c r="K1391" t="inlineStr">
        <is>
          <t>Caputi, Mary, 1957-</t>
        </is>
      </c>
      <c r="L1391" t="inlineStr">
        <is>
          <t>Lanham, Md. : Rowman &amp; Littlefield, c1994.</t>
        </is>
      </c>
      <c r="M1391" t="inlineStr">
        <is>
          <t>1994</t>
        </is>
      </c>
      <c r="O1391" t="inlineStr">
        <is>
          <t>eng</t>
        </is>
      </c>
      <c r="P1391" t="inlineStr">
        <is>
          <t>mdu</t>
        </is>
      </c>
      <c r="Q1391" t="inlineStr">
        <is>
          <t>New feminists perspective</t>
        </is>
      </c>
      <c r="R1391" t="inlineStr">
        <is>
          <t xml:space="preserve">HQ </t>
        </is>
      </c>
      <c r="S1391" t="n">
        <v>19</v>
      </c>
      <c r="T1391" t="n">
        <v>19</v>
      </c>
      <c r="U1391" t="inlineStr">
        <is>
          <t>2009-12-06</t>
        </is>
      </c>
      <c r="V1391" t="inlineStr">
        <is>
          <t>2009-12-06</t>
        </is>
      </c>
      <c r="W1391" t="inlineStr">
        <is>
          <t>1994-10-11</t>
        </is>
      </c>
      <c r="X1391" t="inlineStr">
        <is>
          <t>1994-10-11</t>
        </is>
      </c>
      <c r="Y1391" t="n">
        <v>339</v>
      </c>
      <c r="Z1391" t="n">
        <v>296</v>
      </c>
      <c r="AA1391" t="n">
        <v>298</v>
      </c>
      <c r="AB1391" t="n">
        <v>3</v>
      </c>
      <c r="AC1391" t="n">
        <v>3</v>
      </c>
      <c r="AD1391" t="n">
        <v>20</v>
      </c>
      <c r="AE1391" t="n">
        <v>20</v>
      </c>
      <c r="AF1391" t="n">
        <v>8</v>
      </c>
      <c r="AG1391" t="n">
        <v>8</v>
      </c>
      <c r="AH1391" t="n">
        <v>7</v>
      </c>
      <c r="AI1391" t="n">
        <v>7</v>
      </c>
      <c r="AJ1391" t="n">
        <v>11</v>
      </c>
      <c r="AK1391" t="n">
        <v>11</v>
      </c>
      <c r="AL1391" t="n">
        <v>2</v>
      </c>
      <c r="AM1391" t="n">
        <v>2</v>
      </c>
      <c r="AN1391" t="n">
        <v>0</v>
      </c>
      <c r="AO1391" t="n">
        <v>0</v>
      </c>
      <c r="AP1391" t="inlineStr">
        <is>
          <t>No</t>
        </is>
      </c>
      <c r="AQ1391" t="inlineStr">
        <is>
          <t>Yes</t>
        </is>
      </c>
      <c r="AR1391">
        <f>HYPERLINK("http://catalog.hathitrust.org/Record/002806319","HathiTrust Record")</f>
        <v/>
      </c>
      <c r="AS1391">
        <f>HYPERLINK("https://creighton-primo.hosted.exlibrisgroup.com/primo-explore/search?tab=default_tab&amp;search_scope=EVERYTHING&amp;vid=01CRU&amp;lang=en_US&amp;offset=0&amp;query=any,contains,991002213909702656","Catalog Record")</f>
        <v/>
      </c>
      <c r="AT1391">
        <f>HYPERLINK("http://www.worldcat.org/oclc/28504861","WorldCat Record")</f>
        <v/>
      </c>
      <c r="AU1391" t="inlineStr">
        <is>
          <t>30368969:eng</t>
        </is>
      </c>
      <c r="AV1391" t="inlineStr">
        <is>
          <t>28504861</t>
        </is>
      </c>
      <c r="AW1391" t="inlineStr">
        <is>
          <t>991002213909702656</t>
        </is>
      </c>
      <c r="AX1391" t="inlineStr">
        <is>
          <t>991002213909702656</t>
        </is>
      </c>
      <c r="AY1391" t="inlineStr">
        <is>
          <t>2267255420002656</t>
        </is>
      </c>
      <c r="AZ1391" t="inlineStr">
        <is>
          <t>BOOK</t>
        </is>
      </c>
      <c r="BB1391" t="inlineStr">
        <is>
          <t>9780847678853</t>
        </is>
      </c>
      <c r="BC1391" t="inlineStr">
        <is>
          <t>32285001949063</t>
        </is>
      </c>
      <c r="BD1391" t="inlineStr">
        <is>
          <t>893716183</t>
        </is>
      </c>
    </row>
    <row r="1392">
      <c r="A1392" t="inlineStr">
        <is>
          <t>No</t>
        </is>
      </c>
      <c r="B1392" t="inlineStr">
        <is>
          <t>HQ472.U6 G47 1999</t>
        </is>
      </c>
      <c r="C1392" t="inlineStr">
        <is>
          <t>0                      HQ 0472000U  6                  G  47          1999</t>
        </is>
      </c>
      <c r="D1392" t="inlineStr">
        <is>
          <t>Bookleggers and smuthounds : the trade in erotica, 1920-1940 / Jay A. Gertzman.</t>
        </is>
      </c>
      <c r="F1392" t="inlineStr">
        <is>
          <t>No</t>
        </is>
      </c>
      <c r="G1392" t="inlineStr">
        <is>
          <t>1</t>
        </is>
      </c>
      <c r="H1392" t="inlineStr">
        <is>
          <t>No</t>
        </is>
      </c>
      <c r="I1392" t="inlineStr">
        <is>
          <t>No</t>
        </is>
      </c>
      <c r="J1392" t="inlineStr">
        <is>
          <t>0</t>
        </is>
      </c>
      <c r="K1392" t="inlineStr">
        <is>
          <t>Gertzman, Jay A.</t>
        </is>
      </c>
      <c r="L1392" t="inlineStr">
        <is>
          <t>Philadelphia : University of Pennsylvania Press, c1999.</t>
        </is>
      </c>
      <c r="M1392" t="inlineStr">
        <is>
          <t>1999</t>
        </is>
      </c>
      <c r="O1392" t="inlineStr">
        <is>
          <t>eng</t>
        </is>
      </c>
      <c r="P1392" t="inlineStr">
        <is>
          <t>pau</t>
        </is>
      </c>
      <c r="R1392" t="inlineStr">
        <is>
          <t xml:space="preserve">HQ </t>
        </is>
      </c>
      <c r="S1392" t="n">
        <v>2</v>
      </c>
      <c r="T1392" t="n">
        <v>2</v>
      </c>
      <c r="U1392" t="inlineStr">
        <is>
          <t>2001-05-04</t>
        </is>
      </c>
      <c r="V1392" t="inlineStr">
        <is>
          <t>2001-05-04</t>
        </is>
      </c>
      <c r="W1392" t="inlineStr">
        <is>
          <t>2001-04-09</t>
        </is>
      </c>
      <c r="X1392" t="inlineStr">
        <is>
          <t>2001-04-09</t>
        </is>
      </c>
      <c r="Y1392" t="n">
        <v>400</v>
      </c>
      <c r="Z1392" t="n">
        <v>357</v>
      </c>
      <c r="AA1392" t="n">
        <v>803</v>
      </c>
      <c r="AB1392" t="n">
        <v>2</v>
      </c>
      <c r="AC1392" t="n">
        <v>6</v>
      </c>
      <c r="AD1392" t="n">
        <v>13</v>
      </c>
      <c r="AE1392" t="n">
        <v>35</v>
      </c>
      <c r="AF1392" t="n">
        <v>5</v>
      </c>
      <c r="AG1392" t="n">
        <v>14</v>
      </c>
      <c r="AH1392" t="n">
        <v>5</v>
      </c>
      <c r="AI1392" t="n">
        <v>9</v>
      </c>
      <c r="AJ1392" t="n">
        <v>7</v>
      </c>
      <c r="AK1392" t="n">
        <v>15</v>
      </c>
      <c r="AL1392" t="n">
        <v>1</v>
      </c>
      <c r="AM1392" t="n">
        <v>5</v>
      </c>
      <c r="AN1392" t="n">
        <v>0</v>
      </c>
      <c r="AO1392" t="n">
        <v>1</v>
      </c>
      <c r="AP1392" t="inlineStr">
        <is>
          <t>No</t>
        </is>
      </c>
      <c r="AQ1392" t="inlineStr">
        <is>
          <t>No</t>
        </is>
      </c>
      <c r="AS1392">
        <f>HYPERLINK("https://creighton-primo.hosted.exlibrisgroup.com/primo-explore/search?tab=default_tab&amp;search_scope=EVERYTHING&amp;vid=01CRU&amp;lang=en_US&amp;offset=0&amp;query=any,contains,991003519639702656","Catalog Record")</f>
        <v/>
      </c>
      <c r="AT1392">
        <f>HYPERLINK("http://www.worldcat.org/oclc/40693792","WorldCat Record")</f>
        <v/>
      </c>
      <c r="AU1392" t="inlineStr">
        <is>
          <t>26186435:eng</t>
        </is>
      </c>
      <c r="AV1392" t="inlineStr">
        <is>
          <t>40693792</t>
        </is>
      </c>
      <c r="AW1392" t="inlineStr">
        <is>
          <t>991003519639702656</t>
        </is>
      </c>
      <c r="AX1392" t="inlineStr">
        <is>
          <t>991003519639702656</t>
        </is>
      </c>
      <c r="AY1392" t="inlineStr">
        <is>
          <t>2266556870002656</t>
        </is>
      </c>
      <c r="AZ1392" t="inlineStr">
        <is>
          <t>BOOK</t>
        </is>
      </c>
      <c r="BB1392" t="inlineStr">
        <is>
          <t>9780812234930</t>
        </is>
      </c>
      <c r="BC1392" t="inlineStr">
        <is>
          <t>32285004310503</t>
        </is>
      </c>
      <c r="BD1392" t="inlineStr">
        <is>
          <t>893623576</t>
        </is>
      </c>
    </row>
    <row r="1393">
      <c r="A1393" t="inlineStr">
        <is>
          <t>No</t>
        </is>
      </c>
      <c r="B1393" t="inlineStr">
        <is>
          <t>HQ503 .B54 1989</t>
        </is>
      </c>
      <c r="C1393" t="inlineStr">
        <is>
          <t>0                      HQ 0503000B  54          1989</t>
        </is>
      </c>
      <c r="D1393" t="inlineStr">
        <is>
          <t>One small plot of heaven : reflections on family life by a Quaker sociologist / Elise Boulding.</t>
        </is>
      </c>
      <c r="F1393" t="inlineStr">
        <is>
          <t>No</t>
        </is>
      </c>
      <c r="G1393" t="inlineStr">
        <is>
          <t>1</t>
        </is>
      </c>
      <c r="H1393" t="inlineStr">
        <is>
          <t>No</t>
        </is>
      </c>
      <c r="I1393" t="inlineStr">
        <is>
          <t>No</t>
        </is>
      </c>
      <c r="J1393" t="inlineStr">
        <is>
          <t>0</t>
        </is>
      </c>
      <c r="K1393" t="inlineStr">
        <is>
          <t>Boulding, Elise.</t>
        </is>
      </c>
      <c r="L1393" t="inlineStr">
        <is>
          <t>Wallingford, Pa. : Pendle Hill Publications, c1989.</t>
        </is>
      </c>
      <c r="M1393" t="inlineStr">
        <is>
          <t>1989</t>
        </is>
      </c>
      <c r="O1393" t="inlineStr">
        <is>
          <t>eng</t>
        </is>
      </c>
      <c r="P1393" t="inlineStr">
        <is>
          <t>pau</t>
        </is>
      </c>
      <c r="R1393" t="inlineStr">
        <is>
          <t xml:space="preserve">HQ </t>
        </is>
      </c>
      <c r="S1393" t="n">
        <v>3</v>
      </c>
      <c r="T1393" t="n">
        <v>3</v>
      </c>
      <c r="U1393" t="inlineStr">
        <is>
          <t>2001-04-11</t>
        </is>
      </c>
      <c r="V1393" t="inlineStr">
        <is>
          <t>2001-04-11</t>
        </is>
      </c>
      <c r="W1393" t="inlineStr">
        <is>
          <t>1993-05-28</t>
        </is>
      </c>
      <c r="X1393" t="inlineStr">
        <is>
          <t>1993-05-28</t>
        </is>
      </c>
      <c r="Y1393" t="n">
        <v>122</v>
      </c>
      <c r="Z1393" t="n">
        <v>104</v>
      </c>
      <c r="AA1393" t="n">
        <v>106</v>
      </c>
      <c r="AB1393" t="n">
        <v>2</v>
      </c>
      <c r="AC1393" t="n">
        <v>2</v>
      </c>
      <c r="AD1393" t="n">
        <v>1</v>
      </c>
      <c r="AE1393" t="n">
        <v>1</v>
      </c>
      <c r="AF1393" t="n">
        <v>0</v>
      </c>
      <c r="AG1393" t="n">
        <v>0</v>
      </c>
      <c r="AH1393" t="n">
        <v>0</v>
      </c>
      <c r="AI1393" t="n">
        <v>0</v>
      </c>
      <c r="AJ1393" t="n">
        <v>0</v>
      </c>
      <c r="AK1393" t="n">
        <v>0</v>
      </c>
      <c r="AL1393" t="n">
        <v>1</v>
      </c>
      <c r="AM1393" t="n">
        <v>1</v>
      </c>
      <c r="AN1393" t="n">
        <v>0</v>
      </c>
      <c r="AO1393" t="n">
        <v>0</v>
      </c>
      <c r="AP1393" t="inlineStr">
        <is>
          <t>No</t>
        </is>
      </c>
      <c r="AQ1393" t="inlineStr">
        <is>
          <t>Yes</t>
        </is>
      </c>
      <c r="AR1393">
        <f>HYPERLINK("http://catalog.hathitrust.org/Record/002546389","HathiTrust Record")</f>
        <v/>
      </c>
      <c r="AS1393">
        <f>HYPERLINK("https://creighton-primo.hosted.exlibrisgroup.com/primo-explore/search?tab=default_tab&amp;search_scope=EVERYTHING&amp;vid=01CRU&amp;lang=en_US&amp;offset=0&amp;query=any,contains,991001524629702656","Catalog Record")</f>
        <v/>
      </c>
      <c r="AT1393">
        <f>HYPERLINK("http://www.worldcat.org/oclc/20012218","WorldCat Record")</f>
        <v/>
      </c>
      <c r="AU1393" t="inlineStr">
        <is>
          <t>21309362:eng</t>
        </is>
      </c>
      <c r="AV1393" t="inlineStr">
        <is>
          <t>20012218</t>
        </is>
      </c>
      <c r="AW1393" t="inlineStr">
        <is>
          <t>991001524629702656</t>
        </is>
      </c>
      <c r="AX1393" t="inlineStr">
        <is>
          <t>991001524629702656</t>
        </is>
      </c>
      <c r="AY1393" t="inlineStr">
        <is>
          <t>2260894610002656</t>
        </is>
      </c>
      <c r="AZ1393" t="inlineStr">
        <is>
          <t>BOOK</t>
        </is>
      </c>
      <c r="BB1393" t="inlineStr">
        <is>
          <t>9780875749129</t>
        </is>
      </c>
      <c r="BC1393" t="inlineStr">
        <is>
          <t>32285001584688</t>
        </is>
      </c>
      <c r="BD1393" t="inlineStr">
        <is>
          <t>893608930</t>
        </is>
      </c>
    </row>
    <row r="1394">
      <c r="A1394" t="inlineStr">
        <is>
          <t>No</t>
        </is>
      </c>
      <c r="B1394" t="inlineStr">
        <is>
          <t>HQ503 .B6 1931</t>
        </is>
      </c>
      <c r="C1394" t="inlineStr">
        <is>
          <t>0                      HQ 0503000B  6           1931</t>
        </is>
      </c>
      <c r="D1394" t="inlineStr">
        <is>
          <t>The mothers : the matriarchal theory of social origins / by Robert Briffault.</t>
        </is>
      </c>
      <c r="F1394" t="inlineStr">
        <is>
          <t>No</t>
        </is>
      </c>
      <c r="G1394" t="inlineStr">
        <is>
          <t>1</t>
        </is>
      </c>
      <c r="H1394" t="inlineStr">
        <is>
          <t>No</t>
        </is>
      </c>
      <c r="I1394" t="inlineStr">
        <is>
          <t>No</t>
        </is>
      </c>
      <c r="J1394" t="inlineStr">
        <is>
          <t>0</t>
        </is>
      </c>
      <c r="K1394" t="inlineStr">
        <is>
          <t>Briffault, Robert, 1876-1948.</t>
        </is>
      </c>
      <c r="L1394" t="inlineStr">
        <is>
          <t>New York : Macmillan, 1931.</t>
        </is>
      </c>
      <c r="M1394" t="inlineStr">
        <is>
          <t>1931</t>
        </is>
      </c>
      <c r="O1394" t="inlineStr">
        <is>
          <t>eng</t>
        </is>
      </c>
      <c r="P1394" t="inlineStr">
        <is>
          <t>nyu</t>
        </is>
      </c>
      <c r="R1394" t="inlineStr">
        <is>
          <t xml:space="preserve">HQ </t>
        </is>
      </c>
      <c r="S1394" t="n">
        <v>2</v>
      </c>
      <c r="T1394" t="n">
        <v>2</v>
      </c>
      <c r="U1394" t="inlineStr">
        <is>
          <t>2002-11-13</t>
        </is>
      </c>
      <c r="V1394" t="inlineStr">
        <is>
          <t>2002-11-13</t>
        </is>
      </c>
      <c r="W1394" t="inlineStr">
        <is>
          <t>1997-08-08</t>
        </is>
      </c>
      <c r="X1394" t="inlineStr">
        <is>
          <t>1997-08-08</t>
        </is>
      </c>
      <c r="Y1394" t="n">
        <v>306</v>
      </c>
      <c r="Z1394" t="n">
        <v>272</v>
      </c>
      <c r="AA1394" t="n">
        <v>357</v>
      </c>
      <c r="AB1394" t="n">
        <v>4</v>
      </c>
      <c r="AC1394" t="n">
        <v>4</v>
      </c>
      <c r="AD1394" t="n">
        <v>10</v>
      </c>
      <c r="AE1394" t="n">
        <v>13</v>
      </c>
      <c r="AF1394" t="n">
        <v>3</v>
      </c>
      <c r="AG1394" t="n">
        <v>4</v>
      </c>
      <c r="AH1394" t="n">
        <v>1</v>
      </c>
      <c r="AI1394" t="n">
        <v>3</v>
      </c>
      <c r="AJ1394" t="n">
        <v>5</v>
      </c>
      <c r="AK1394" t="n">
        <v>5</v>
      </c>
      <c r="AL1394" t="n">
        <v>3</v>
      </c>
      <c r="AM1394" t="n">
        <v>3</v>
      </c>
      <c r="AN1394" t="n">
        <v>0</v>
      </c>
      <c r="AO1394" t="n">
        <v>0</v>
      </c>
      <c r="AP1394" t="inlineStr">
        <is>
          <t>No</t>
        </is>
      </c>
      <c r="AQ1394" t="inlineStr">
        <is>
          <t>Yes</t>
        </is>
      </c>
      <c r="AR1394">
        <f>HYPERLINK("http://catalog.hathitrust.org/Record/000977221","HathiTrust Record")</f>
        <v/>
      </c>
      <c r="AS1394">
        <f>HYPERLINK("https://creighton-primo.hosted.exlibrisgroup.com/primo-explore/search?tab=default_tab&amp;search_scope=EVERYTHING&amp;vid=01CRU&amp;lang=en_US&amp;offset=0&amp;query=any,contains,991002929659702656","Catalog Record")</f>
        <v/>
      </c>
      <c r="AT1394">
        <f>HYPERLINK("http://www.worldcat.org/oclc/530514","WorldCat Record")</f>
        <v/>
      </c>
      <c r="AU1394" t="inlineStr">
        <is>
          <t>3901339202:eng</t>
        </is>
      </c>
      <c r="AV1394" t="inlineStr">
        <is>
          <t>530514</t>
        </is>
      </c>
      <c r="AW1394" t="inlineStr">
        <is>
          <t>991002929659702656</t>
        </is>
      </c>
      <c r="AX1394" t="inlineStr">
        <is>
          <t>991002929659702656</t>
        </is>
      </c>
      <c r="AY1394" t="inlineStr">
        <is>
          <t>2266577660002656</t>
        </is>
      </c>
      <c r="AZ1394" t="inlineStr">
        <is>
          <t>BOOK</t>
        </is>
      </c>
      <c r="BC1394" t="inlineStr">
        <is>
          <t>32285003088480</t>
        </is>
      </c>
      <c r="BD1394" t="inlineStr">
        <is>
          <t>893886916</t>
        </is>
      </c>
    </row>
    <row r="1395">
      <c r="A1395" t="inlineStr">
        <is>
          <t>No</t>
        </is>
      </c>
      <c r="B1395" t="inlineStr">
        <is>
          <t>HQ503 .C37 1989</t>
        </is>
      </c>
      <c r="C1395" t="inlineStr">
        <is>
          <t>0                      HQ 0503000C  37          1989</t>
        </is>
      </c>
      <c r="D1395" t="inlineStr">
        <is>
          <t>The history of the family / James Casey.</t>
        </is>
      </c>
      <c r="F1395" t="inlineStr">
        <is>
          <t>No</t>
        </is>
      </c>
      <c r="G1395" t="inlineStr">
        <is>
          <t>1</t>
        </is>
      </c>
      <c r="H1395" t="inlineStr">
        <is>
          <t>No</t>
        </is>
      </c>
      <c r="I1395" t="inlineStr">
        <is>
          <t>No</t>
        </is>
      </c>
      <c r="J1395" t="inlineStr">
        <is>
          <t>0</t>
        </is>
      </c>
      <c r="K1395" t="inlineStr">
        <is>
          <t>Casey, James, 1944-</t>
        </is>
      </c>
      <c r="L1395" t="inlineStr">
        <is>
          <t>Oxford, UK ; New York, NY, USA : B. Blackwell, 1989.</t>
        </is>
      </c>
      <c r="M1395" t="inlineStr">
        <is>
          <t>1989</t>
        </is>
      </c>
      <c r="O1395" t="inlineStr">
        <is>
          <t>eng</t>
        </is>
      </c>
      <c r="P1395" t="inlineStr">
        <is>
          <t>enk</t>
        </is>
      </c>
      <c r="Q1395" t="inlineStr">
        <is>
          <t>New perspectives on the past</t>
        </is>
      </c>
      <c r="R1395" t="inlineStr">
        <is>
          <t xml:space="preserve">HQ </t>
        </is>
      </c>
      <c r="S1395" t="n">
        <v>3</v>
      </c>
      <c r="T1395" t="n">
        <v>3</v>
      </c>
      <c r="U1395" t="inlineStr">
        <is>
          <t>1998-09-23</t>
        </is>
      </c>
      <c r="V1395" t="inlineStr">
        <is>
          <t>1998-09-23</t>
        </is>
      </c>
      <c r="W1395" t="inlineStr">
        <is>
          <t>1990-04-02</t>
        </is>
      </c>
      <c r="X1395" t="inlineStr">
        <is>
          <t>1990-04-02</t>
        </is>
      </c>
      <c r="Y1395" t="n">
        <v>452</v>
      </c>
      <c r="Z1395" t="n">
        <v>287</v>
      </c>
      <c r="AA1395" t="n">
        <v>292</v>
      </c>
      <c r="AB1395" t="n">
        <v>2</v>
      </c>
      <c r="AC1395" t="n">
        <v>2</v>
      </c>
      <c r="AD1395" t="n">
        <v>13</v>
      </c>
      <c r="AE1395" t="n">
        <v>13</v>
      </c>
      <c r="AF1395" t="n">
        <v>4</v>
      </c>
      <c r="AG1395" t="n">
        <v>4</v>
      </c>
      <c r="AH1395" t="n">
        <v>4</v>
      </c>
      <c r="AI1395" t="n">
        <v>4</v>
      </c>
      <c r="AJ1395" t="n">
        <v>9</v>
      </c>
      <c r="AK1395" t="n">
        <v>9</v>
      </c>
      <c r="AL1395" t="n">
        <v>1</v>
      </c>
      <c r="AM1395" t="n">
        <v>1</v>
      </c>
      <c r="AN1395" t="n">
        <v>0</v>
      </c>
      <c r="AO1395" t="n">
        <v>0</v>
      </c>
      <c r="AP1395" t="inlineStr">
        <is>
          <t>No</t>
        </is>
      </c>
      <c r="AQ1395" t="inlineStr">
        <is>
          <t>No</t>
        </is>
      </c>
      <c r="AS1395">
        <f>HYPERLINK("https://creighton-primo.hosted.exlibrisgroup.com/primo-explore/search?tab=default_tab&amp;search_scope=EVERYTHING&amp;vid=01CRU&amp;lang=en_US&amp;offset=0&amp;query=any,contains,991001415149702656","Catalog Record")</f>
        <v/>
      </c>
      <c r="AT1395">
        <f>HYPERLINK("http://www.worldcat.org/oclc/18947930","WorldCat Record")</f>
        <v/>
      </c>
      <c r="AU1395" t="inlineStr">
        <is>
          <t>20518421:eng</t>
        </is>
      </c>
      <c r="AV1395" t="inlineStr">
        <is>
          <t>18947930</t>
        </is>
      </c>
      <c r="AW1395" t="inlineStr">
        <is>
          <t>991001415149702656</t>
        </is>
      </c>
      <c r="AX1395" t="inlineStr">
        <is>
          <t>991001415149702656</t>
        </is>
      </c>
      <c r="AY1395" t="inlineStr">
        <is>
          <t>2272256160002656</t>
        </is>
      </c>
      <c r="AZ1395" t="inlineStr">
        <is>
          <t>BOOK</t>
        </is>
      </c>
      <c r="BB1395" t="inlineStr">
        <is>
          <t>9780631146698</t>
        </is>
      </c>
      <c r="BC1395" t="inlineStr">
        <is>
          <t>32285000092576</t>
        </is>
      </c>
      <c r="BD1395" t="inlineStr">
        <is>
          <t>893791437</t>
        </is>
      </c>
    </row>
    <row r="1396">
      <c r="A1396" t="inlineStr">
        <is>
          <t>No</t>
        </is>
      </c>
      <c r="B1396" t="inlineStr">
        <is>
          <t>HQ503 .C65 1996</t>
        </is>
      </c>
      <c r="C1396" t="inlineStr">
        <is>
          <t>0                      HQ 0503000C  65          1996</t>
        </is>
      </c>
      <c r="D1396" t="inlineStr">
        <is>
          <t>Family man : fatherhood, housework, and gender equity / Scott Coltrane.</t>
        </is>
      </c>
      <c r="F1396" t="inlineStr">
        <is>
          <t>No</t>
        </is>
      </c>
      <c r="G1396" t="inlineStr">
        <is>
          <t>1</t>
        </is>
      </c>
      <c r="H1396" t="inlineStr">
        <is>
          <t>No</t>
        </is>
      </c>
      <c r="I1396" t="inlineStr">
        <is>
          <t>No</t>
        </is>
      </c>
      <c r="J1396" t="inlineStr">
        <is>
          <t>0</t>
        </is>
      </c>
      <c r="K1396" t="inlineStr">
        <is>
          <t>Coltrane, Scott.</t>
        </is>
      </c>
      <c r="L1396" t="inlineStr">
        <is>
          <t>New York : Oxford University Press, 1996.</t>
        </is>
      </c>
      <c r="M1396" t="inlineStr">
        <is>
          <t>1996</t>
        </is>
      </c>
      <c r="O1396" t="inlineStr">
        <is>
          <t>eng</t>
        </is>
      </c>
      <c r="P1396" t="inlineStr">
        <is>
          <t>nyu</t>
        </is>
      </c>
      <c r="R1396" t="inlineStr">
        <is>
          <t xml:space="preserve">HQ </t>
        </is>
      </c>
      <c r="S1396" t="n">
        <v>15</v>
      </c>
      <c r="T1396" t="n">
        <v>15</v>
      </c>
      <c r="U1396" t="inlineStr">
        <is>
          <t>2006-04-09</t>
        </is>
      </c>
      <c r="V1396" t="inlineStr">
        <is>
          <t>2006-04-09</t>
        </is>
      </c>
      <c r="W1396" t="inlineStr">
        <is>
          <t>1996-05-28</t>
        </is>
      </c>
      <c r="X1396" t="inlineStr">
        <is>
          <t>1996-05-28</t>
        </is>
      </c>
      <c r="Y1396" t="n">
        <v>1124</v>
      </c>
      <c r="Z1396" t="n">
        <v>982</v>
      </c>
      <c r="AA1396" t="n">
        <v>1469</v>
      </c>
      <c r="AB1396" t="n">
        <v>6</v>
      </c>
      <c r="AC1396" t="n">
        <v>8</v>
      </c>
      <c r="AD1396" t="n">
        <v>40</v>
      </c>
      <c r="AE1396" t="n">
        <v>47</v>
      </c>
      <c r="AF1396" t="n">
        <v>17</v>
      </c>
      <c r="AG1396" t="n">
        <v>20</v>
      </c>
      <c r="AH1396" t="n">
        <v>8</v>
      </c>
      <c r="AI1396" t="n">
        <v>9</v>
      </c>
      <c r="AJ1396" t="n">
        <v>20</v>
      </c>
      <c r="AK1396" t="n">
        <v>22</v>
      </c>
      <c r="AL1396" t="n">
        <v>5</v>
      </c>
      <c r="AM1396" t="n">
        <v>7</v>
      </c>
      <c r="AN1396" t="n">
        <v>1</v>
      </c>
      <c r="AO1396" t="n">
        <v>1</v>
      </c>
      <c r="AP1396" t="inlineStr">
        <is>
          <t>No</t>
        </is>
      </c>
      <c r="AQ1396" t="inlineStr">
        <is>
          <t>Yes</t>
        </is>
      </c>
      <c r="AR1396">
        <f>HYPERLINK("http://catalog.hathitrust.org/Record/003048330","HathiTrust Record")</f>
        <v/>
      </c>
      <c r="AS1396">
        <f>HYPERLINK("https://creighton-primo.hosted.exlibrisgroup.com/primo-explore/search?tab=default_tab&amp;search_scope=EVERYTHING&amp;vid=01CRU&amp;lang=en_US&amp;offset=0&amp;query=any,contains,991002479219702656","Catalog Record")</f>
        <v/>
      </c>
      <c r="AT1396">
        <f>HYPERLINK("http://www.worldcat.org/oclc/32274333","WorldCat Record")</f>
        <v/>
      </c>
      <c r="AU1396" t="inlineStr">
        <is>
          <t>799560685:eng</t>
        </is>
      </c>
      <c r="AV1396" t="inlineStr">
        <is>
          <t>32274333</t>
        </is>
      </c>
      <c r="AW1396" t="inlineStr">
        <is>
          <t>991002479219702656</t>
        </is>
      </c>
      <c r="AX1396" t="inlineStr">
        <is>
          <t>991002479219702656</t>
        </is>
      </c>
      <c r="AY1396" t="inlineStr">
        <is>
          <t>2260323190002656</t>
        </is>
      </c>
      <c r="AZ1396" t="inlineStr">
        <is>
          <t>BOOK</t>
        </is>
      </c>
      <c r="BB1396" t="inlineStr">
        <is>
          <t>9780195082166</t>
        </is>
      </c>
      <c r="BC1396" t="inlineStr">
        <is>
          <t>32285002177482</t>
        </is>
      </c>
      <c r="BD1396" t="inlineStr">
        <is>
          <t>893873577</t>
        </is>
      </c>
    </row>
    <row r="1397">
      <c r="A1397" t="inlineStr">
        <is>
          <t>No</t>
        </is>
      </c>
      <c r="B1397" t="inlineStr">
        <is>
          <t>HQ503 .C67 1991</t>
        </is>
      </c>
      <c r="C1397" t="inlineStr">
        <is>
          <t>0                      HQ 0503000C  67          1991</t>
        </is>
      </c>
      <c r="D1397" t="inlineStr">
        <is>
          <t>Studying families / Anne P. Copeland, Kathleen M. White.</t>
        </is>
      </c>
      <c r="F1397" t="inlineStr">
        <is>
          <t>No</t>
        </is>
      </c>
      <c r="G1397" t="inlineStr">
        <is>
          <t>1</t>
        </is>
      </c>
      <c r="H1397" t="inlineStr">
        <is>
          <t>No</t>
        </is>
      </c>
      <c r="I1397" t="inlineStr">
        <is>
          <t>No</t>
        </is>
      </c>
      <c r="J1397" t="inlineStr">
        <is>
          <t>0</t>
        </is>
      </c>
      <c r="K1397" t="inlineStr">
        <is>
          <t>Copeland, Anne P., 1951-</t>
        </is>
      </c>
      <c r="L1397" t="inlineStr">
        <is>
          <t>Newbury Park, Calif. : Sage Publications, c1991.</t>
        </is>
      </c>
      <c r="M1397" t="inlineStr">
        <is>
          <t>1991</t>
        </is>
      </c>
      <c r="O1397" t="inlineStr">
        <is>
          <t>eng</t>
        </is>
      </c>
      <c r="P1397" t="inlineStr">
        <is>
          <t>cau</t>
        </is>
      </c>
      <c r="Q1397" t="inlineStr">
        <is>
          <t>Applied social research methods series ; v. 27</t>
        </is>
      </c>
      <c r="R1397" t="inlineStr">
        <is>
          <t xml:space="preserve">HQ </t>
        </is>
      </c>
      <c r="S1397" t="n">
        <v>3</v>
      </c>
      <c r="T1397" t="n">
        <v>3</v>
      </c>
      <c r="U1397" t="inlineStr">
        <is>
          <t>2000-11-22</t>
        </is>
      </c>
      <c r="V1397" t="inlineStr">
        <is>
          <t>2000-11-22</t>
        </is>
      </c>
      <c r="W1397" t="inlineStr">
        <is>
          <t>1991-10-31</t>
        </is>
      </c>
      <c r="X1397" t="inlineStr">
        <is>
          <t>1991-10-31</t>
        </is>
      </c>
      <c r="Y1397" t="n">
        <v>584</v>
      </c>
      <c r="Z1397" t="n">
        <v>442</v>
      </c>
      <c r="AA1397" t="n">
        <v>496</v>
      </c>
      <c r="AB1397" t="n">
        <v>5</v>
      </c>
      <c r="AC1397" t="n">
        <v>5</v>
      </c>
      <c r="AD1397" t="n">
        <v>24</v>
      </c>
      <c r="AE1397" t="n">
        <v>26</v>
      </c>
      <c r="AF1397" t="n">
        <v>9</v>
      </c>
      <c r="AG1397" t="n">
        <v>10</v>
      </c>
      <c r="AH1397" t="n">
        <v>6</v>
      </c>
      <c r="AI1397" t="n">
        <v>7</v>
      </c>
      <c r="AJ1397" t="n">
        <v>12</v>
      </c>
      <c r="AK1397" t="n">
        <v>12</v>
      </c>
      <c r="AL1397" t="n">
        <v>4</v>
      </c>
      <c r="AM1397" t="n">
        <v>4</v>
      </c>
      <c r="AN1397" t="n">
        <v>0</v>
      </c>
      <c r="AO1397" t="n">
        <v>0</v>
      </c>
      <c r="AP1397" t="inlineStr">
        <is>
          <t>No</t>
        </is>
      </c>
      <c r="AQ1397" t="inlineStr">
        <is>
          <t>Yes</t>
        </is>
      </c>
      <c r="AR1397">
        <f>HYPERLINK("http://catalog.hathitrust.org/Record/002466764","HathiTrust Record")</f>
        <v/>
      </c>
      <c r="AS1397">
        <f>HYPERLINK("https://creighton-primo.hosted.exlibrisgroup.com/primo-explore/search?tab=default_tab&amp;search_scope=EVERYTHING&amp;vid=01CRU&amp;lang=en_US&amp;offset=0&amp;query=any,contains,991001887089702656","Catalog Record")</f>
        <v/>
      </c>
      <c r="AT1397">
        <f>HYPERLINK("http://www.worldcat.org/oclc/23768344","WorldCat Record")</f>
        <v/>
      </c>
      <c r="AU1397" t="inlineStr">
        <is>
          <t>14470841:eng</t>
        </is>
      </c>
      <c r="AV1397" t="inlineStr">
        <is>
          <t>23768344</t>
        </is>
      </c>
      <c r="AW1397" t="inlineStr">
        <is>
          <t>991001887089702656</t>
        </is>
      </c>
      <c r="AX1397" t="inlineStr">
        <is>
          <t>991001887089702656</t>
        </is>
      </c>
      <c r="AY1397" t="inlineStr">
        <is>
          <t>2269844930002656</t>
        </is>
      </c>
      <c r="AZ1397" t="inlineStr">
        <is>
          <t>BOOK</t>
        </is>
      </c>
      <c r="BB1397" t="inlineStr">
        <is>
          <t>9780803932487</t>
        </is>
      </c>
      <c r="BC1397" t="inlineStr">
        <is>
          <t>32285000728823</t>
        </is>
      </c>
      <c r="BD1397" t="inlineStr">
        <is>
          <t>893420706</t>
        </is>
      </c>
    </row>
    <row r="1398">
      <c r="A1398" t="inlineStr">
        <is>
          <t>No</t>
        </is>
      </c>
      <c r="B1398" t="inlineStr">
        <is>
          <t>HQ503 .F36 1990</t>
        </is>
      </c>
      <c r="C1398" t="inlineStr">
        <is>
          <t>0                      HQ 0503000F  36          1990</t>
        </is>
      </c>
      <c r="D1398" t="inlineStr">
        <is>
          <t>Fashioning family theory : new approaches / edited by Jetse Sprey.</t>
        </is>
      </c>
      <c r="F1398" t="inlineStr">
        <is>
          <t>No</t>
        </is>
      </c>
      <c r="G1398" t="inlineStr">
        <is>
          <t>1</t>
        </is>
      </c>
      <c r="H1398" t="inlineStr">
        <is>
          <t>No</t>
        </is>
      </c>
      <c r="I1398" t="inlineStr">
        <is>
          <t>No</t>
        </is>
      </c>
      <c r="J1398" t="inlineStr">
        <is>
          <t>0</t>
        </is>
      </c>
      <c r="L1398" t="inlineStr">
        <is>
          <t>Newbury Park, Calif. : Sage Publications, c1990.</t>
        </is>
      </c>
      <c r="M1398" t="inlineStr">
        <is>
          <t>1990</t>
        </is>
      </c>
      <c r="O1398" t="inlineStr">
        <is>
          <t>eng</t>
        </is>
      </c>
      <c r="P1398" t="inlineStr">
        <is>
          <t>cau</t>
        </is>
      </c>
      <c r="Q1398" t="inlineStr">
        <is>
          <t>Sage focus editions ; 118</t>
        </is>
      </c>
      <c r="R1398" t="inlineStr">
        <is>
          <t xml:space="preserve">HQ </t>
        </is>
      </c>
      <c r="S1398" t="n">
        <v>5</v>
      </c>
      <c r="T1398" t="n">
        <v>5</v>
      </c>
      <c r="U1398" t="inlineStr">
        <is>
          <t>1996-11-03</t>
        </is>
      </c>
      <c r="V1398" t="inlineStr">
        <is>
          <t>1996-11-03</t>
        </is>
      </c>
      <c r="W1398" t="inlineStr">
        <is>
          <t>1990-12-17</t>
        </is>
      </c>
      <c r="X1398" t="inlineStr">
        <is>
          <t>1990-12-17</t>
        </is>
      </c>
      <c r="Y1398" t="n">
        <v>376</v>
      </c>
      <c r="Z1398" t="n">
        <v>279</v>
      </c>
      <c r="AA1398" t="n">
        <v>281</v>
      </c>
      <c r="AB1398" t="n">
        <v>3</v>
      </c>
      <c r="AC1398" t="n">
        <v>3</v>
      </c>
      <c r="AD1398" t="n">
        <v>14</v>
      </c>
      <c r="AE1398" t="n">
        <v>14</v>
      </c>
      <c r="AF1398" t="n">
        <v>4</v>
      </c>
      <c r="AG1398" t="n">
        <v>4</v>
      </c>
      <c r="AH1398" t="n">
        <v>4</v>
      </c>
      <c r="AI1398" t="n">
        <v>4</v>
      </c>
      <c r="AJ1398" t="n">
        <v>7</v>
      </c>
      <c r="AK1398" t="n">
        <v>7</v>
      </c>
      <c r="AL1398" t="n">
        <v>2</v>
      </c>
      <c r="AM1398" t="n">
        <v>2</v>
      </c>
      <c r="AN1398" t="n">
        <v>0</v>
      </c>
      <c r="AO1398" t="n">
        <v>0</v>
      </c>
      <c r="AP1398" t="inlineStr">
        <is>
          <t>No</t>
        </is>
      </c>
      <c r="AQ1398" t="inlineStr">
        <is>
          <t>Yes</t>
        </is>
      </c>
      <c r="AR1398">
        <f>HYPERLINK("http://catalog.hathitrust.org/Record/002181386","HathiTrust Record")</f>
        <v/>
      </c>
      <c r="AS1398">
        <f>HYPERLINK("https://creighton-primo.hosted.exlibrisgroup.com/primo-explore/search?tab=default_tab&amp;search_scope=EVERYTHING&amp;vid=01CRU&amp;lang=en_US&amp;offset=0&amp;query=any,contains,991001663899702656","Catalog Record")</f>
        <v/>
      </c>
      <c r="AT1398">
        <f>HYPERLINK("http://www.worldcat.org/oclc/21196936","WorldCat Record")</f>
        <v/>
      </c>
      <c r="AU1398" t="inlineStr">
        <is>
          <t>836863839:eng</t>
        </is>
      </c>
      <c r="AV1398" t="inlineStr">
        <is>
          <t>21196936</t>
        </is>
      </c>
      <c r="AW1398" t="inlineStr">
        <is>
          <t>991001663899702656</t>
        </is>
      </c>
      <c r="AX1398" t="inlineStr">
        <is>
          <t>991001663899702656</t>
        </is>
      </c>
      <c r="AY1398" t="inlineStr">
        <is>
          <t>2272273310002656</t>
        </is>
      </c>
      <c r="AZ1398" t="inlineStr">
        <is>
          <t>BOOK</t>
        </is>
      </c>
      <c r="BB1398" t="inlineStr">
        <is>
          <t>9780803934603</t>
        </is>
      </c>
      <c r="BC1398" t="inlineStr">
        <is>
          <t>32285000359777</t>
        </is>
      </c>
      <c r="BD1398" t="inlineStr">
        <is>
          <t>893885462</t>
        </is>
      </c>
    </row>
    <row r="1399">
      <c r="A1399" t="inlineStr">
        <is>
          <t>No</t>
        </is>
      </c>
      <c r="B1399" t="inlineStr">
        <is>
          <t>HQ503 .G65 1974</t>
        </is>
      </c>
      <c r="C1399" t="inlineStr">
        <is>
          <t>0                      HQ 0503000G  65          1974</t>
        </is>
      </c>
      <c r="D1399" t="inlineStr">
        <is>
          <t>A history of marriage and the family.</t>
        </is>
      </c>
      <c r="F1399" t="inlineStr">
        <is>
          <t>No</t>
        </is>
      </c>
      <c r="G1399" t="inlineStr">
        <is>
          <t>1</t>
        </is>
      </c>
      <c r="H1399" t="inlineStr">
        <is>
          <t>No</t>
        </is>
      </c>
      <c r="I1399" t="inlineStr">
        <is>
          <t>No</t>
        </is>
      </c>
      <c r="J1399" t="inlineStr">
        <is>
          <t>0</t>
        </is>
      </c>
      <c r="K1399" t="inlineStr">
        <is>
          <t>Goodsell, Willystine, 1870-1962.</t>
        </is>
      </c>
      <c r="L1399" t="inlineStr">
        <is>
          <t>[New York : AMS Press, 1974]</t>
        </is>
      </c>
      <c r="M1399" t="inlineStr">
        <is>
          <t>1974</t>
        </is>
      </c>
      <c r="N1399" t="inlineStr">
        <is>
          <t>Rev. ed. / New York, Macmillan.</t>
        </is>
      </c>
      <c r="O1399" t="inlineStr">
        <is>
          <t>eng</t>
        </is>
      </c>
      <c r="P1399" t="inlineStr">
        <is>
          <t>nyu</t>
        </is>
      </c>
      <c r="R1399" t="inlineStr">
        <is>
          <t xml:space="preserve">HQ </t>
        </is>
      </c>
      <c r="S1399" t="n">
        <v>8</v>
      </c>
      <c r="T1399" t="n">
        <v>8</v>
      </c>
      <c r="U1399" t="inlineStr">
        <is>
          <t>2005-10-25</t>
        </is>
      </c>
      <c r="V1399" t="inlineStr">
        <is>
          <t>2005-10-25</t>
        </is>
      </c>
      <c r="W1399" t="inlineStr">
        <is>
          <t>1991-12-13</t>
        </is>
      </c>
      <c r="X1399" t="inlineStr">
        <is>
          <t>1991-12-13</t>
        </is>
      </c>
      <c r="Y1399" t="n">
        <v>77</v>
      </c>
      <c r="Z1399" t="n">
        <v>62</v>
      </c>
      <c r="AA1399" t="n">
        <v>400</v>
      </c>
      <c r="AB1399" t="n">
        <v>1</v>
      </c>
      <c r="AC1399" t="n">
        <v>3</v>
      </c>
      <c r="AD1399" t="n">
        <v>4</v>
      </c>
      <c r="AE1399" t="n">
        <v>21</v>
      </c>
      <c r="AF1399" t="n">
        <v>2</v>
      </c>
      <c r="AG1399" t="n">
        <v>9</v>
      </c>
      <c r="AH1399" t="n">
        <v>2</v>
      </c>
      <c r="AI1399" t="n">
        <v>4</v>
      </c>
      <c r="AJ1399" t="n">
        <v>2</v>
      </c>
      <c r="AK1399" t="n">
        <v>11</v>
      </c>
      <c r="AL1399" t="n">
        <v>0</v>
      </c>
      <c r="AM1399" t="n">
        <v>2</v>
      </c>
      <c r="AN1399" t="n">
        <v>0</v>
      </c>
      <c r="AO1399" t="n">
        <v>0</v>
      </c>
      <c r="AP1399" t="inlineStr">
        <is>
          <t>No</t>
        </is>
      </c>
      <c r="AQ1399" t="inlineStr">
        <is>
          <t>No</t>
        </is>
      </c>
      <c r="AS1399">
        <f>HYPERLINK("https://creighton-primo.hosted.exlibrisgroup.com/primo-explore/search?tab=default_tab&amp;search_scope=EVERYTHING&amp;vid=01CRU&amp;lang=en_US&amp;offset=0&amp;query=any,contains,991003360929702656","Catalog Record")</f>
        <v/>
      </c>
      <c r="AT1399">
        <f>HYPERLINK("http://www.worldcat.org/oclc/897413","WorldCat Record")</f>
        <v/>
      </c>
      <c r="AU1399" t="inlineStr">
        <is>
          <t>1110132221:eng</t>
        </is>
      </c>
      <c r="AV1399" t="inlineStr">
        <is>
          <t>897413</t>
        </is>
      </c>
      <c r="AW1399" t="inlineStr">
        <is>
          <t>991003360929702656</t>
        </is>
      </c>
      <c r="AX1399" t="inlineStr">
        <is>
          <t>991003360929702656</t>
        </is>
      </c>
      <c r="AY1399" t="inlineStr">
        <is>
          <t>2257584020002656</t>
        </is>
      </c>
      <c r="AZ1399" t="inlineStr">
        <is>
          <t>BOOK</t>
        </is>
      </c>
      <c r="BB1399" t="inlineStr">
        <is>
          <t>9780404574468</t>
        </is>
      </c>
      <c r="BC1399" t="inlineStr">
        <is>
          <t>32285000876507</t>
        </is>
      </c>
      <c r="BD1399" t="inlineStr">
        <is>
          <t>893352804</t>
        </is>
      </c>
    </row>
    <row r="1400">
      <c r="A1400" t="inlineStr">
        <is>
          <t>No</t>
        </is>
      </c>
      <c r="B1400" t="inlineStr">
        <is>
          <t>HQ503 .G66 2001</t>
        </is>
      </c>
      <c r="C1400" t="inlineStr">
        <is>
          <t>0                      HQ 0503000G  66          2001</t>
        </is>
      </c>
      <c r="D1400" t="inlineStr">
        <is>
          <t>Familia problemas y soluciones : cómo ser padres, parejas funcionales y eficaces / José Miguel Gómez.</t>
        </is>
      </c>
      <c r="F1400" t="inlineStr">
        <is>
          <t>No</t>
        </is>
      </c>
      <c r="G1400" t="inlineStr">
        <is>
          <t>1</t>
        </is>
      </c>
      <c r="H1400" t="inlineStr">
        <is>
          <t>No</t>
        </is>
      </c>
      <c r="I1400" t="inlineStr">
        <is>
          <t>No</t>
        </is>
      </c>
      <c r="J1400" t="inlineStr">
        <is>
          <t>0</t>
        </is>
      </c>
      <c r="K1400" t="inlineStr">
        <is>
          <t>Sánchez, José Miguel, 1969-</t>
        </is>
      </c>
      <c r="L1400" t="inlineStr">
        <is>
          <t>Santo Domingo, R.D. : Editora Buho, 2001.</t>
        </is>
      </c>
      <c r="M1400" t="inlineStr">
        <is>
          <t>2001</t>
        </is>
      </c>
      <c r="N1400" t="inlineStr">
        <is>
          <t>2. ed., corr. y ampliada.</t>
        </is>
      </c>
      <c r="O1400" t="inlineStr">
        <is>
          <t>spa</t>
        </is>
      </c>
      <c r="P1400" t="inlineStr">
        <is>
          <t xml:space="preserve">dr </t>
        </is>
      </c>
      <c r="R1400" t="inlineStr">
        <is>
          <t xml:space="preserve">HQ </t>
        </is>
      </c>
      <c r="S1400" t="n">
        <v>1</v>
      </c>
      <c r="T1400" t="n">
        <v>1</v>
      </c>
      <c r="U1400" t="inlineStr">
        <is>
          <t>2003-12-09</t>
        </is>
      </c>
      <c r="V1400" t="inlineStr">
        <is>
          <t>2003-12-09</t>
        </is>
      </c>
      <c r="W1400" t="inlineStr">
        <is>
          <t>2003-12-09</t>
        </is>
      </c>
      <c r="X1400" t="inlineStr">
        <is>
          <t>2003-12-09</t>
        </is>
      </c>
      <c r="Y1400" t="n">
        <v>3</v>
      </c>
      <c r="Z1400" t="n">
        <v>3</v>
      </c>
      <c r="AA1400" t="n">
        <v>3</v>
      </c>
      <c r="AB1400" t="n">
        <v>1</v>
      </c>
      <c r="AC1400" t="n">
        <v>1</v>
      </c>
      <c r="AD1400" t="n">
        <v>0</v>
      </c>
      <c r="AE1400" t="n">
        <v>0</v>
      </c>
      <c r="AF1400" t="n">
        <v>0</v>
      </c>
      <c r="AG1400" t="n">
        <v>0</v>
      </c>
      <c r="AH1400" t="n">
        <v>0</v>
      </c>
      <c r="AI1400" t="n">
        <v>0</v>
      </c>
      <c r="AJ1400" t="n">
        <v>0</v>
      </c>
      <c r="AK1400" t="n">
        <v>0</v>
      </c>
      <c r="AL1400" t="n">
        <v>0</v>
      </c>
      <c r="AM1400" t="n">
        <v>0</v>
      </c>
      <c r="AN1400" t="n">
        <v>0</v>
      </c>
      <c r="AO1400" t="n">
        <v>0</v>
      </c>
      <c r="AP1400" t="inlineStr">
        <is>
          <t>No</t>
        </is>
      </c>
      <c r="AQ1400" t="inlineStr">
        <is>
          <t>No</t>
        </is>
      </c>
      <c r="AS1400">
        <f>HYPERLINK("https://creighton-primo.hosted.exlibrisgroup.com/primo-explore/search?tab=default_tab&amp;search_scope=EVERYTHING&amp;vid=01CRU&amp;lang=en_US&amp;offset=0&amp;query=any,contains,991004202589702656","Catalog Record")</f>
        <v/>
      </c>
      <c r="AT1400">
        <f>HYPERLINK("http://www.worldcat.org/oclc/53676391","WorldCat Record")</f>
        <v/>
      </c>
      <c r="AU1400" t="inlineStr">
        <is>
          <t>12191729:spa</t>
        </is>
      </c>
      <c r="AV1400" t="inlineStr">
        <is>
          <t>53676391</t>
        </is>
      </c>
      <c r="AW1400" t="inlineStr">
        <is>
          <t>991004202589702656</t>
        </is>
      </c>
      <c r="AX1400" t="inlineStr">
        <is>
          <t>991004202589702656</t>
        </is>
      </c>
      <c r="AY1400" t="inlineStr">
        <is>
          <t>2266500770002656</t>
        </is>
      </c>
      <c r="AZ1400" t="inlineStr">
        <is>
          <t>BOOK</t>
        </is>
      </c>
      <c r="BC1400" t="inlineStr">
        <is>
          <t>32285004887344</t>
        </is>
      </c>
      <c r="BD1400" t="inlineStr">
        <is>
          <t>893235182</t>
        </is>
      </c>
    </row>
    <row r="1401">
      <c r="A1401" t="inlineStr">
        <is>
          <t>No</t>
        </is>
      </c>
      <c r="B1401" t="inlineStr">
        <is>
          <t>HQ503 .G77 2003</t>
        </is>
      </c>
      <c r="C1401" t="inlineStr">
        <is>
          <t>0                      HQ 0503000G  77          2003</t>
        </is>
      </c>
      <c r="D1401" t="inlineStr">
        <is>
          <t>Introduction to family theory and therapy : exploring an evolving field / June Blumenthal Green.</t>
        </is>
      </c>
      <c r="F1401" t="inlineStr">
        <is>
          <t>No</t>
        </is>
      </c>
      <c r="G1401" t="inlineStr">
        <is>
          <t>1</t>
        </is>
      </c>
      <c r="H1401" t="inlineStr">
        <is>
          <t>No</t>
        </is>
      </c>
      <c r="I1401" t="inlineStr">
        <is>
          <t>No</t>
        </is>
      </c>
      <c r="J1401" t="inlineStr">
        <is>
          <t>0</t>
        </is>
      </c>
      <c r="K1401" t="inlineStr">
        <is>
          <t>Green, June Blumenthal.</t>
        </is>
      </c>
      <c r="L1401" t="inlineStr">
        <is>
          <t>South Melbourne, Victoria Australia ; Pacific Grove, CA : Thomson/Brooks/Cole, c2003.</t>
        </is>
      </c>
      <c r="M1401" t="inlineStr">
        <is>
          <t>2003</t>
        </is>
      </c>
      <c r="O1401" t="inlineStr">
        <is>
          <t>eng</t>
        </is>
      </c>
      <c r="P1401" t="inlineStr">
        <is>
          <t>cau</t>
        </is>
      </c>
      <c r="R1401" t="inlineStr">
        <is>
          <t xml:space="preserve">HQ </t>
        </is>
      </c>
      <c r="S1401" t="n">
        <v>2</v>
      </c>
      <c r="T1401" t="n">
        <v>2</v>
      </c>
      <c r="U1401" t="inlineStr">
        <is>
          <t>2005-06-16</t>
        </is>
      </c>
      <c r="V1401" t="inlineStr">
        <is>
          <t>2005-06-16</t>
        </is>
      </c>
      <c r="W1401" t="inlineStr">
        <is>
          <t>2003-01-07</t>
        </is>
      </c>
      <c r="X1401" t="inlineStr">
        <is>
          <t>2003-01-07</t>
        </is>
      </c>
      <c r="Y1401" t="n">
        <v>119</v>
      </c>
      <c r="Z1401" t="n">
        <v>74</v>
      </c>
      <c r="AA1401" t="n">
        <v>75</v>
      </c>
      <c r="AB1401" t="n">
        <v>2</v>
      </c>
      <c r="AC1401" t="n">
        <v>2</v>
      </c>
      <c r="AD1401" t="n">
        <v>5</v>
      </c>
      <c r="AE1401" t="n">
        <v>5</v>
      </c>
      <c r="AF1401" t="n">
        <v>0</v>
      </c>
      <c r="AG1401" t="n">
        <v>0</v>
      </c>
      <c r="AH1401" t="n">
        <v>1</v>
      </c>
      <c r="AI1401" t="n">
        <v>1</v>
      </c>
      <c r="AJ1401" t="n">
        <v>3</v>
      </c>
      <c r="AK1401" t="n">
        <v>3</v>
      </c>
      <c r="AL1401" t="n">
        <v>1</v>
      </c>
      <c r="AM1401" t="n">
        <v>1</v>
      </c>
      <c r="AN1401" t="n">
        <v>0</v>
      </c>
      <c r="AO1401" t="n">
        <v>0</v>
      </c>
      <c r="AP1401" t="inlineStr">
        <is>
          <t>No</t>
        </is>
      </c>
      <c r="AQ1401" t="inlineStr">
        <is>
          <t>Yes</t>
        </is>
      </c>
      <c r="AR1401">
        <f>HYPERLINK("http://catalog.hathitrust.org/Record/102026405","HathiTrust Record")</f>
        <v/>
      </c>
      <c r="AS1401">
        <f>HYPERLINK("https://creighton-primo.hosted.exlibrisgroup.com/primo-explore/search?tab=default_tab&amp;search_scope=EVERYTHING&amp;vid=01CRU&amp;lang=en_US&amp;offset=0&amp;query=any,contains,991003944609702656","Catalog Record")</f>
        <v/>
      </c>
      <c r="AT1401">
        <f>HYPERLINK("http://www.worldcat.org/oclc/49576654","WorldCat Record")</f>
        <v/>
      </c>
      <c r="AU1401" t="inlineStr">
        <is>
          <t>911640:eng</t>
        </is>
      </c>
      <c r="AV1401" t="inlineStr">
        <is>
          <t>49576654</t>
        </is>
      </c>
      <c r="AW1401" t="inlineStr">
        <is>
          <t>991003944609702656</t>
        </is>
      </c>
      <c r="AX1401" t="inlineStr">
        <is>
          <t>991003944609702656</t>
        </is>
      </c>
      <c r="AY1401" t="inlineStr">
        <is>
          <t>2260718530002656</t>
        </is>
      </c>
      <c r="AZ1401" t="inlineStr">
        <is>
          <t>BOOK</t>
        </is>
      </c>
      <c r="BB1401" t="inlineStr">
        <is>
          <t>9780534593285</t>
        </is>
      </c>
      <c r="BC1401" t="inlineStr">
        <is>
          <t>32285004691902</t>
        </is>
      </c>
      <c r="BD1401" t="inlineStr">
        <is>
          <t>893337160</t>
        </is>
      </c>
    </row>
    <row r="1402">
      <c r="A1402" t="inlineStr">
        <is>
          <t>No</t>
        </is>
      </c>
      <c r="B1402" t="inlineStr">
        <is>
          <t>HQ503 .M3 1982</t>
        </is>
      </c>
      <c r="C1402" t="inlineStr">
        <is>
          <t>0                      HQ 0503000M  3           1982</t>
        </is>
      </c>
      <c r="D1402" t="inlineStr">
        <is>
          <t>Marriage and society : studies in the social history of marriage / edited by R.B. Outhwaite.</t>
        </is>
      </c>
      <c r="F1402" t="inlineStr">
        <is>
          <t>No</t>
        </is>
      </c>
      <c r="G1402" t="inlineStr">
        <is>
          <t>1</t>
        </is>
      </c>
      <c r="H1402" t="inlineStr">
        <is>
          <t>No</t>
        </is>
      </c>
      <c r="I1402" t="inlineStr">
        <is>
          <t>No</t>
        </is>
      </c>
      <c r="J1402" t="inlineStr">
        <is>
          <t>0</t>
        </is>
      </c>
      <c r="L1402" t="inlineStr">
        <is>
          <t>New York : St. Martin's Press, 1982, c1981.</t>
        </is>
      </c>
      <c r="M1402" t="inlineStr">
        <is>
          <t>1982</t>
        </is>
      </c>
      <c r="O1402" t="inlineStr">
        <is>
          <t>eng</t>
        </is>
      </c>
      <c r="P1402" t="inlineStr">
        <is>
          <t>nyu</t>
        </is>
      </c>
      <c r="R1402" t="inlineStr">
        <is>
          <t xml:space="preserve">HQ </t>
        </is>
      </c>
      <c r="S1402" t="n">
        <v>6</v>
      </c>
      <c r="T1402" t="n">
        <v>6</v>
      </c>
      <c r="U1402" t="inlineStr">
        <is>
          <t>2007-02-05</t>
        </is>
      </c>
      <c r="V1402" t="inlineStr">
        <is>
          <t>2007-02-05</t>
        </is>
      </c>
      <c r="W1402" t="inlineStr">
        <is>
          <t>1990-02-13</t>
        </is>
      </c>
      <c r="X1402" t="inlineStr">
        <is>
          <t>1990-02-13</t>
        </is>
      </c>
      <c r="Y1402" t="n">
        <v>349</v>
      </c>
      <c r="Z1402" t="n">
        <v>323</v>
      </c>
      <c r="AA1402" t="n">
        <v>391</v>
      </c>
      <c r="AB1402" t="n">
        <v>2</v>
      </c>
      <c r="AC1402" t="n">
        <v>2</v>
      </c>
      <c r="AD1402" t="n">
        <v>11</v>
      </c>
      <c r="AE1402" t="n">
        <v>15</v>
      </c>
      <c r="AF1402" t="n">
        <v>5</v>
      </c>
      <c r="AG1402" t="n">
        <v>5</v>
      </c>
      <c r="AH1402" t="n">
        <v>4</v>
      </c>
      <c r="AI1402" t="n">
        <v>4</v>
      </c>
      <c r="AJ1402" t="n">
        <v>5</v>
      </c>
      <c r="AK1402" t="n">
        <v>9</v>
      </c>
      <c r="AL1402" t="n">
        <v>1</v>
      </c>
      <c r="AM1402" t="n">
        <v>1</v>
      </c>
      <c r="AN1402" t="n">
        <v>0</v>
      </c>
      <c r="AO1402" t="n">
        <v>0</v>
      </c>
      <c r="AP1402" t="inlineStr">
        <is>
          <t>No</t>
        </is>
      </c>
      <c r="AQ1402" t="inlineStr">
        <is>
          <t>No</t>
        </is>
      </c>
      <c r="AS1402">
        <f>HYPERLINK("https://creighton-primo.hosted.exlibrisgroup.com/primo-explore/search?tab=default_tab&amp;search_scope=EVERYTHING&amp;vid=01CRU&amp;lang=en_US&amp;offset=0&amp;query=any,contains,991005183789702656","Catalog Record")</f>
        <v/>
      </c>
      <c r="AT1402">
        <f>HYPERLINK("http://www.worldcat.org/oclc/7948566","WorldCat Record")</f>
        <v/>
      </c>
      <c r="AU1402" t="inlineStr">
        <is>
          <t>865131200:eng</t>
        </is>
      </c>
      <c r="AV1402" t="inlineStr">
        <is>
          <t>7948566</t>
        </is>
      </c>
      <c r="AW1402" t="inlineStr">
        <is>
          <t>991005183789702656</t>
        </is>
      </c>
      <c r="AX1402" t="inlineStr">
        <is>
          <t>991005183789702656</t>
        </is>
      </c>
      <c r="AY1402" t="inlineStr">
        <is>
          <t>2267041740002656</t>
        </is>
      </c>
      <c r="AZ1402" t="inlineStr">
        <is>
          <t>BOOK</t>
        </is>
      </c>
      <c r="BB1402" t="inlineStr">
        <is>
          <t>9780312515959</t>
        </is>
      </c>
      <c r="BC1402" t="inlineStr">
        <is>
          <t>32285000050905</t>
        </is>
      </c>
      <c r="BD1402" t="inlineStr">
        <is>
          <t>893527061</t>
        </is>
      </c>
    </row>
    <row r="1403">
      <c r="A1403" t="inlineStr">
        <is>
          <t>No</t>
        </is>
      </c>
      <c r="B1403" t="inlineStr">
        <is>
          <t>HQ503 .M34</t>
        </is>
      </c>
      <c r="C1403" t="inlineStr">
        <is>
          <t>0                      HQ 0503000M  34</t>
        </is>
      </c>
      <c r="D1403" t="inlineStr">
        <is>
          <t>Cinderella's housework dialectics : housework as the root of human creation / by Lela Meinhardt and Paul Meinhardt ; calligraphy and ill., Kirk Meinhardt and Eric Meinhardt.</t>
        </is>
      </c>
      <c r="F1403" t="inlineStr">
        <is>
          <t>No</t>
        </is>
      </c>
      <c r="G1403" t="inlineStr">
        <is>
          <t>1</t>
        </is>
      </c>
      <c r="H1403" t="inlineStr">
        <is>
          <t>No</t>
        </is>
      </c>
      <c r="I1403" t="inlineStr">
        <is>
          <t>No</t>
        </is>
      </c>
      <c r="J1403" t="inlineStr">
        <is>
          <t>0</t>
        </is>
      </c>
      <c r="K1403" t="inlineStr">
        <is>
          <t>Meinhardt, Lela.</t>
        </is>
      </c>
      <c r="L1403" t="inlineStr">
        <is>
          <t>Nutley, N.J. : Incunabula Press, 1977.</t>
        </is>
      </c>
      <c r="M1403" t="inlineStr">
        <is>
          <t>1977</t>
        </is>
      </c>
      <c r="N1403" t="inlineStr">
        <is>
          <t>1st ed.</t>
        </is>
      </c>
      <c r="O1403" t="inlineStr">
        <is>
          <t>eng</t>
        </is>
      </c>
      <c r="P1403" t="inlineStr">
        <is>
          <t>nju</t>
        </is>
      </c>
      <c r="R1403" t="inlineStr">
        <is>
          <t xml:space="preserve">HQ </t>
        </is>
      </c>
      <c r="S1403" t="n">
        <v>1</v>
      </c>
      <c r="T1403" t="n">
        <v>1</v>
      </c>
      <c r="U1403" t="inlineStr">
        <is>
          <t>2001-10-15</t>
        </is>
      </c>
      <c r="V1403" t="inlineStr">
        <is>
          <t>2001-10-15</t>
        </is>
      </c>
      <c r="W1403" t="inlineStr">
        <is>
          <t>1997-08-08</t>
        </is>
      </c>
      <c r="X1403" t="inlineStr">
        <is>
          <t>1997-08-08</t>
        </is>
      </c>
      <c r="Y1403" t="n">
        <v>94</v>
      </c>
      <c r="Z1403" t="n">
        <v>79</v>
      </c>
      <c r="AA1403" t="n">
        <v>80</v>
      </c>
      <c r="AB1403" t="n">
        <v>2</v>
      </c>
      <c r="AC1403" t="n">
        <v>2</v>
      </c>
      <c r="AD1403" t="n">
        <v>3</v>
      </c>
      <c r="AE1403" t="n">
        <v>3</v>
      </c>
      <c r="AF1403" t="n">
        <v>1</v>
      </c>
      <c r="AG1403" t="n">
        <v>1</v>
      </c>
      <c r="AH1403" t="n">
        <v>1</v>
      </c>
      <c r="AI1403" t="n">
        <v>1</v>
      </c>
      <c r="AJ1403" t="n">
        <v>1</v>
      </c>
      <c r="AK1403" t="n">
        <v>1</v>
      </c>
      <c r="AL1403" t="n">
        <v>1</v>
      </c>
      <c r="AM1403" t="n">
        <v>1</v>
      </c>
      <c r="AN1403" t="n">
        <v>0</v>
      </c>
      <c r="AO1403" t="n">
        <v>0</v>
      </c>
      <c r="AP1403" t="inlineStr">
        <is>
          <t>No</t>
        </is>
      </c>
      <c r="AQ1403" t="inlineStr">
        <is>
          <t>No</t>
        </is>
      </c>
      <c r="AS1403">
        <f>HYPERLINK("https://creighton-primo.hosted.exlibrisgroup.com/primo-explore/search?tab=default_tab&amp;search_scope=EVERYTHING&amp;vid=01CRU&amp;lang=en_US&amp;offset=0&amp;query=any,contains,991004540139702656","Catalog Record")</f>
        <v/>
      </c>
      <c r="AT1403">
        <f>HYPERLINK("http://www.worldcat.org/oclc/3892752","WorldCat Record")</f>
        <v/>
      </c>
      <c r="AU1403" t="inlineStr">
        <is>
          <t>13346978:eng</t>
        </is>
      </c>
      <c r="AV1403" t="inlineStr">
        <is>
          <t>3892752</t>
        </is>
      </c>
      <c r="AW1403" t="inlineStr">
        <is>
          <t>991004540139702656</t>
        </is>
      </c>
      <c r="AX1403" t="inlineStr">
        <is>
          <t>991004540139702656</t>
        </is>
      </c>
      <c r="AY1403" t="inlineStr">
        <is>
          <t>2272244330002656</t>
        </is>
      </c>
      <c r="AZ1403" t="inlineStr">
        <is>
          <t>BOOK</t>
        </is>
      </c>
      <c r="BB1403" t="inlineStr">
        <is>
          <t>9780930226015</t>
        </is>
      </c>
      <c r="BC1403" t="inlineStr">
        <is>
          <t>32285003088514</t>
        </is>
      </c>
      <c r="BD1403" t="inlineStr">
        <is>
          <t>893712740</t>
        </is>
      </c>
    </row>
    <row r="1404">
      <c r="A1404" t="inlineStr">
        <is>
          <t>No</t>
        </is>
      </c>
      <c r="B1404" t="inlineStr">
        <is>
          <t>HQ503 .M513 1982</t>
        </is>
      </c>
      <c r="C1404" t="inlineStr">
        <is>
          <t>0                      HQ 0503000M  513         1982</t>
        </is>
      </c>
      <c r="D1404" t="inlineStr">
        <is>
          <t>The european family : patriarchy to partnership from the Middle Ages to the present / Michael Mitterauer and Reinhard Sieder ; translated by Karla Oosterveen and Manfred Hörziner.</t>
        </is>
      </c>
      <c r="F1404" t="inlineStr">
        <is>
          <t>No</t>
        </is>
      </c>
      <c r="G1404" t="inlineStr">
        <is>
          <t>1</t>
        </is>
      </c>
      <c r="H1404" t="inlineStr">
        <is>
          <t>No</t>
        </is>
      </c>
      <c r="I1404" t="inlineStr">
        <is>
          <t>No</t>
        </is>
      </c>
      <c r="J1404" t="inlineStr">
        <is>
          <t>0</t>
        </is>
      </c>
      <c r="K1404" t="inlineStr">
        <is>
          <t>Mitterauer, Michael.</t>
        </is>
      </c>
      <c r="L1404" t="inlineStr">
        <is>
          <t>Chicago : University of Chicago Press, 1982.</t>
        </is>
      </c>
      <c r="M1404" t="inlineStr">
        <is>
          <t>1982</t>
        </is>
      </c>
      <c r="O1404" t="inlineStr">
        <is>
          <t>eng</t>
        </is>
      </c>
      <c r="P1404" t="inlineStr">
        <is>
          <t>ilu</t>
        </is>
      </c>
      <c r="R1404" t="inlineStr">
        <is>
          <t xml:space="preserve">HQ </t>
        </is>
      </c>
      <c r="S1404" t="n">
        <v>4</v>
      </c>
      <c r="T1404" t="n">
        <v>4</v>
      </c>
      <c r="U1404" t="inlineStr">
        <is>
          <t>1999-11-17</t>
        </is>
      </c>
      <c r="V1404" t="inlineStr">
        <is>
          <t>1999-11-17</t>
        </is>
      </c>
      <c r="W1404" t="inlineStr">
        <is>
          <t>1992-10-26</t>
        </is>
      </c>
      <c r="X1404" t="inlineStr">
        <is>
          <t>1992-10-26</t>
        </is>
      </c>
      <c r="Y1404" t="n">
        <v>652</v>
      </c>
      <c r="Z1404" t="n">
        <v>583</v>
      </c>
      <c r="AA1404" t="n">
        <v>662</v>
      </c>
      <c r="AB1404" t="n">
        <v>2</v>
      </c>
      <c r="AC1404" t="n">
        <v>4</v>
      </c>
      <c r="AD1404" t="n">
        <v>24</v>
      </c>
      <c r="AE1404" t="n">
        <v>26</v>
      </c>
      <c r="AF1404" t="n">
        <v>8</v>
      </c>
      <c r="AG1404" t="n">
        <v>8</v>
      </c>
      <c r="AH1404" t="n">
        <v>6</v>
      </c>
      <c r="AI1404" t="n">
        <v>6</v>
      </c>
      <c r="AJ1404" t="n">
        <v>15</v>
      </c>
      <c r="AK1404" t="n">
        <v>16</v>
      </c>
      <c r="AL1404" t="n">
        <v>1</v>
      </c>
      <c r="AM1404" t="n">
        <v>2</v>
      </c>
      <c r="AN1404" t="n">
        <v>0</v>
      </c>
      <c r="AO1404" t="n">
        <v>0</v>
      </c>
      <c r="AP1404" t="inlineStr">
        <is>
          <t>No</t>
        </is>
      </c>
      <c r="AQ1404" t="inlineStr">
        <is>
          <t>No</t>
        </is>
      </c>
      <c r="AS1404">
        <f>HYPERLINK("https://creighton-primo.hosted.exlibrisgroup.com/primo-explore/search?tab=default_tab&amp;search_scope=EVERYTHING&amp;vid=01CRU&amp;lang=en_US&amp;offset=0&amp;query=any,contains,991005205259702656","Catalog Record")</f>
        <v/>
      </c>
      <c r="AT1404">
        <f>HYPERLINK("http://www.worldcat.org/oclc/8113221","WorldCat Record")</f>
        <v/>
      </c>
      <c r="AU1404" t="inlineStr">
        <is>
          <t>418873:eng</t>
        </is>
      </c>
      <c r="AV1404" t="inlineStr">
        <is>
          <t>8113221</t>
        </is>
      </c>
      <c r="AW1404" t="inlineStr">
        <is>
          <t>991005205259702656</t>
        </is>
      </c>
      <c r="AX1404" t="inlineStr">
        <is>
          <t>991005205259702656</t>
        </is>
      </c>
      <c r="AY1404" t="inlineStr">
        <is>
          <t>2256584990002656</t>
        </is>
      </c>
      <c r="AZ1404" t="inlineStr">
        <is>
          <t>BOOK</t>
        </is>
      </c>
      <c r="BB1404" t="inlineStr">
        <is>
          <t>9780226532400</t>
        </is>
      </c>
      <c r="BC1404" t="inlineStr">
        <is>
          <t>32285001358398</t>
        </is>
      </c>
      <c r="BD1404" t="inlineStr">
        <is>
          <t>893242366</t>
        </is>
      </c>
    </row>
    <row r="1405">
      <c r="A1405" t="inlineStr">
        <is>
          <t>No</t>
        </is>
      </c>
      <c r="B1405" t="inlineStr">
        <is>
          <t>HQ503 .Q35 1988</t>
        </is>
      </c>
      <c r="C1405" t="inlineStr">
        <is>
          <t>0                      HQ 0503000Q  35          1988</t>
        </is>
      </c>
      <c r="D1405" t="inlineStr">
        <is>
          <t>A history of marriage systems / G. Robina Quale.</t>
        </is>
      </c>
      <c r="F1405" t="inlineStr">
        <is>
          <t>No</t>
        </is>
      </c>
      <c r="G1405" t="inlineStr">
        <is>
          <t>1</t>
        </is>
      </c>
      <c r="H1405" t="inlineStr">
        <is>
          <t>No</t>
        </is>
      </c>
      <c r="I1405" t="inlineStr">
        <is>
          <t>No</t>
        </is>
      </c>
      <c r="J1405" t="inlineStr">
        <is>
          <t>0</t>
        </is>
      </c>
      <c r="K1405" t="inlineStr">
        <is>
          <t>Quale, G. Robina (Gladys Robina), 1931-</t>
        </is>
      </c>
      <c r="L1405" t="inlineStr">
        <is>
          <t>New York : Greenwood Press, c1988.</t>
        </is>
      </c>
      <c r="M1405" t="inlineStr">
        <is>
          <t>1988</t>
        </is>
      </c>
      <c r="O1405" t="inlineStr">
        <is>
          <t>eng</t>
        </is>
      </c>
      <c r="P1405" t="inlineStr">
        <is>
          <t>nyu</t>
        </is>
      </c>
      <c r="Q1405" t="inlineStr">
        <is>
          <t>Contributions in family studies, 0147-1023 ; no. 13</t>
        </is>
      </c>
      <c r="R1405" t="inlineStr">
        <is>
          <t xml:space="preserve">HQ </t>
        </is>
      </c>
      <c r="S1405" t="n">
        <v>11</v>
      </c>
      <c r="T1405" t="n">
        <v>11</v>
      </c>
      <c r="U1405" t="inlineStr">
        <is>
          <t>2006-04-17</t>
        </is>
      </c>
      <c r="V1405" t="inlineStr">
        <is>
          <t>2006-04-17</t>
        </is>
      </c>
      <c r="W1405" t="inlineStr">
        <is>
          <t>1990-03-06</t>
        </is>
      </c>
      <c r="X1405" t="inlineStr">
        <is>
          <t>1990-03-06</t>
        </is>
      </c>
      <c r="Y1405" t="n">
        <v>720</v>
      </c>
      <c r="Z1405" t="n">
        <v>607</v>
      </c>
      <c r="AA1405" t="n">
        <v>609</v>
      </c>
      <c r="AB1405" t="n">
        <v>4</v>
      </c>
      <c r="AC1405" t="n">
        <v>4</v>
      </c>
      <c r="AD1405" t="n">
        <v>24</v>
      </c>
      <c r="AE1405" t="n">
        <v>24</v>
      </c>
      <c r="AF1405" t="n">
        <v>8</v>
      </c>
      <c r="AG1405" t="n">
        <v>8</v>
      </c>
      <c r="AH1405" t="n">
        <v>6</v>
      </c>
      <c r="AI1405" t="n">
        <v>6</v>
      </c>
      <c r="AJ1405" t="n">
        <v>12</v>
      </c>
      <c r="AK1405" t="n">
        <v>12</v>
      </c>
      <c r="AL1405" t="n">
        <v>3</v>
      </c>
      <c r="AM1405" t="n">
        <v>3</v>
      </c>
      <c r="AN1405" t="n">
        <v>2</v>
      </c>
      <c r="AO1405" t="n">
        <v>2</v>
      </c>
      <c r="AP1405" t="inlineStr">
        <is>
          <t>No</t>
        </is>
      </c>
      <c r="AQ1405" t="inlineStr">
        <is>
          <t>Yes</t>
        </is>
      </c>
      <c r="AR1405">
        <f>HYPERLINK("http://catalog.hathitrust.org/Record/000917599","HathiTrust Record")</f>
        <v/>
      </c>
      <c r="AS1405">
        <f>HYPERLINK("https://creighton-primo.hosted.exlibrisgroup.com/primo-explore/search?tab=default_tab&amp;search_scope=EVERYTHING&amp;vid=01CRU&amp;lang=en_US&amp;offset=0&amp;query=any,contains,991001130659702656","Catalog Record")</f>
        <v/>
      </c>
      <c r="AT1405">
        <f>HYPERLINK("http://www.worldcat.org/oclc/16682657","WorldCat Record")</f>
        <v/>
      </c>
      <c r="AU1405" t="inlineStr">
        <is>
          <t>2615415:eng</t>
        </is>
      </c>
      <c r="AV1405" t="inlineStr">
        <is>
          <t>16682657</t>
        </is>
      </c>
      <c r="AW1405" t="inlineStr">
        <is>
          <t>991001130659702656</t>
        </is>
      </c>
      <c r="AX1405" t="inlineStr">
        <is>
          <t>991001130659702656</t>
        </is>
      </c>
      <c r="AY1405" t="inlineStr">
        <is>
          <t>2272196970002656</t>
        </is>
      </c>
      <c r="AZ1405" t="inlineStr">
        <is>
          <t>BOOK</t>
        </is>
      </c>
      <c r="BB1405" t="inlineStr">
        <is>
          <t>9780313260100</t>
        </is>
      </c>
      <c r="BC1405" t="inlineStr">
        <is>
          <t>32285000065457</t>
        </is>
      </c>
      <c r="BD1405" t="inlineStr">
        <is>
          <t>893872310</t>
        </is>
      </c>
    </row>
    <row r="1406">
      <c r="A1406" t="inlineStr">
        <is>
          <t>No</t>
        </is>
      </c>
      <c r="B1406" t="inlineStr">
        <is>
          <t>HQ503 .Q36 1992</t>
        </is>
      </c>
      <c r="C1406" t="inlineStr">
        <is>
          <t>0                      HQ 0503000Q  36          1992</t>
        </is>
      </c>
      <c r="D1406" t="inlineStr">
        <is>
          <t>Qualitative methods in family research / Jane F. Gilgun, Kerry Daly, Gerald Handel, editors.</t>
        </is>
      </c>
      <c r="F1406" t="inlineStr">
        <is>
          <t>No</t>
        </is>
      </c>
      <c r="G1406" t="inlineStr">
        <is>
          <t>1</t>
        </is>
      </c>
      <c r="H1406" t="inlineStr">
        <is>
          <t>No</t>
        </is>
      </c>
      <c r="I1406" t="inlineStr">
        <is>
          <t>No</t>
        </is>
      </c>
      <c r="J1406" t="inlineStr">
        <is>
          <t>0</t>
        </is>
      </c>
      <c r="L1406" t="inlineStr">
        <is>
          <t>Newbury Park, Calif. : Sage, c1992.</t>
        </is>
      </c>
      <c r="M1406" t="inlineStr">
        <is>
          <t>1992</t>
        </is>
      </c>
      <c r="O1406" t="inlineStr">
        <is>
          <t>eng</t>
        </is>
      </c>
      <c r="P1406" t="inlineStr">
        <is>
          <t>cau</t>
        </is>
      </c>
      <c r="R1406" t="inlineStr">
        <is>
          <t xml:space="preserve">HQ </t>
        </is>
      </c>
      <c r="S1406" t="n">
        <v>5</v>
      </c>
      <c r="T1406" t="n">
        <v>5</v>
      </c>
      <c r="U1406" t="inlineStr">
        <is>
          <t>1999-11-15</t>
        </is>
      </c>
      <c r="V1406" t="inlineStr">
        <is>
          <t>1999-11-15</t>
        </is>
      </c>
      <c r="W1406" t="inlineStr">
        <is>
          <t>1994-06-29</t>
        </is>
      </c>
      <c r="X1406" t="inlineStr">
        <is>
          <t>1994-06-29</t>
        </is>
      </c>
      <c r="Y1406" t="n">
        <v>497</v>
      </c>
      <c r="Z1406" t="n">
        <v>356</v>
      </c>
      <c r="AA1406" t="n">
        <v>363</v>
      </c>
      <c r="AB1406" t="n">
        <v>5</v>
      </c>
      <c r="AC1406" t="n">
        <v>5</v>
      </c>
      <c r="AD1406" t="n">
        <v>22</v>
      </c>
      <c r="AE1406" t="n">
        <v>22</v>
      </c>
      <c r="AF1406" t="n">
        <v>9</v>
      </c>
      <c r="AG1406" t="n">
        <v>9</v>
      </c>
      <c r="AH1406" t="n">
        <v>2</v>
      </c>
      <c r="AI1406" t="n">
        <v>2</v>
      </c>
      <c r="AJ1406" t="n">
        <v>11</v>
      </c>
      <c r="AK1406" t="n">
        <v>11</v>
      </c>
      <c r="AL1406" t="n">
        <v>4</v>
      </c>
      <c r="AM1406" t="n">
        <v>4</v>
      </c>
      <c r="AN1406" t="n">
        <v>0</v>
      </c>
      <c r="AO1406" t="n">
        <v>0</v>
      </c>
      <c r="AP1406" t="inlineStr">
        <is>
          <t>No</t>
        </is>
      </c>
      <c r="AQ1406" t="inlineStr">
        <is>
          <t>Yes</t>
        </is>
      </c>
      <c r="AR1406">
        <f>HYPERLINK("http://catalog.hathitrust.org/Record/002716141","HathiTrust Record")</f>
        <v/>
      </c>
      <c r="AS1406">
        <f>HYPERLINK("https://creighton-primo.hosted.exlibrisgroup.com/primo-explore/search?tab=default_tab&amp;search_scope=EVERYTHING&amp;vid=01CRU&amp;lang=en_US&amp;offset=0&amp;query=any,contains,991002031649702656","Catalog Record")</f>
        <v/>
      </c>
      <c r="AT1406">
        <f>HYPERLINK("http://www.worldcat.org/oclc/25872491","WorldCat Record")</f>
        <v/>
      </c>
      <c r="AU1406" t="inlineStr">
        <is>
          <t>476391517:eng</t>
        </is>
      </c>
      <c r="AV1406" t="inlineStr">
        <is>
          <t>25872491</t>
        </is>
      </c>
      <c r="AW1406" t="inlineStr">
        <is>
          <t>991002031649702656</t>
        </is>
      </c>
      <c r="AX1406" t="inlineStr">
        <is>
          <t>991002031649702656</t>
        </is>
      </c>
      <c r="AY1406" t="inlineStr">
        <is>
          <t>2268992030002656</t>
        </is>
      </c>
      <c r="AZ1406" t="inlineStr">
        <is>
          <t>BOOK</t>
        </is>
      </c>
      <c r="BB1406" t="inlineStr">
        <is>
          <t>9780803944626</t>
        </is>
      </c>
      <c r="BC1406" t="inlineStr">
        <is>
          <t>32285001930071</t>
        </is>
      </c>
      <c r="BD1406" t="inlineStr">
        <is>
          <t>893866715</t>
        </is>
      </c>
    </row>
    <row r="1407">
      <c r="A1407" t="inlineStr">
        <is>
          <t>No</t>
        </is>
      </c>
      <c r="B1407" t="inlineStr">
        <is>
          <t>HQ503 .T87</t>
        </is>
      </c>
      <c r="C1407" t="inlineStr">
        <is>
          <t>0                      HQ 0503000T  87</t>
        </is>
      </c>
      <c r="D1407" t="inlineStr">
        <is>
          <t>Turning points : historical and sociological essays on the family / edited by John Demos and Sarane Spence Boocock. --</t>
        </is>
      </c>
      <c r="F1407" t="inlineStr">
        <is>
          <t>No</t>
        </is>
      </c>
      <c r="G1407" t="inlineStr">
        <is>
          <t>1</t>
        </is>
      </c>
      <c r="H1407" t="inlineStr">
        <is>
          <t>No</t>
        </is>
      </c>
      <c r="I1407" t="inlineStr">
        <is>
          <t>No</t>
        </is>
      </c>
      <c r="J1407" t="inlineStr">
        <is>
          <t>0</t>
        </is>
      </c>
      <c r="L1407" t="inlineStr">
        <is>
          <t>Chicago : University of Chicago Press, 1978.</t>
        </is>
      </c>
      <c r="M1407" t="inlineStr">
        <is>
          <t>1978</t>
        </is>
      </c>
      <c r="O1407" t="inlineStr">
        <is>
          <t>eng</t>
        </is>
      </c>
      <c r="P1407" t="inlineStr">
        <is>
          <t>ilu</t>
        </is>
      </c>
      <c r="R1407" t="inlineStr">
        <is>
          <t xml:space="preserve">HQ </t>
        </is>
      </c>
      <c r="S1407" t="n">
        <v>2</v>
      </c>
      <c r="T1407" t="n">
        <v>2</v>
      </c>
      <c r="U1407" t="inlineStr">
        <is>
          <t>2008-09-18</t>
        </is>
      </c>
      <c r="V1407" t="inlineStr">
        <is>
          <t>2008-09-18</t>
        </is>
      </c>
      <c r="W1407" t="inlineStr">
        <is>
          <t>1992-10-26</t>
        </is>
      </c>
      <c r="X1407" t="inlineStr">
        <is>
          <t>1992-10-26</t>
        </is>
      </c>
      <c r="Y1407" t="n">
        <v>646</v>
      </c>
      <c r="Z1407" t="n">
        <v>515</v>
      </c>
      <c r="AA1407" t="n">
        <v>518</v>
      </c>
      <c r="AB1407" t="n">
        <v>4</v>
      </c>
      <c r="AC1407" t="n">
        <v>4</v>
      </c>
      <c r="AD1407" t="n">
        <v>25</v>
      </c>
      <c r="AE1407" t="n">
        <v>25</v>
      </c>
      <c r="AF1407" t="n">
        <v>9</v>
      </c>
      <c r="AG1407" t="n">
        <v>9</v>
      </c>
      <c r="AH1407" t="n">
        <v>8</v>
      </c>
      <c r="AI1407" t="n">
        <v>8</v>
      </c>
      <c r="AJ1407" t="n">
        <v>16</v>
      </c>
      <c r="AK1407" t="n">
        <v>16</v>
      </c>
      <c r="AL1407" t="n">
        <v>2</v>
      </c>
      <c r="AM1407" t="n">
        <v>2</v>
      </c>
      <c r="AN1407" t="n">
        <v>0</v>
      </c>
      <c r="AO1407" t="n">
        <v>0</v>
      </c>
      <c r="AP1407" t="inlineStr">
        <is>
          <t>No</t>
        </is>
      </c>
      <c r="AQ1407" t="inlineStr">
        <is>
          <t>Yes</t>
        </is>
      </c>
      <c r="AR1407">
        <f>HYPERLINK("http://catalog.hathitrust.org/Record/000023444","HathiTrust Record")</f>
        <v/>
      </c>
      <c r="AS1407">
        <f>HYPERLINK("https://creighton-primo.hosted.exlibrisgroup.com/primo-explore/search?tab=default_tab&amp;search_scope=EVERYTHING&amp;vid=01CRU&amp;lang=en_US&amp;offset=0&amp;query=any,contains,991004619499702656","Catalog Record")</f>
        <v/>
      </c>
      <c r="AT1407">
        <f>HYPERLINK("http://www.worldcat.org/oclc/4834041","WorldCat Record")</f>
        <v/>
      </c>
      <c r="AU1407" t="inlineStr">
        <is>
          <t>374534972:eng</t>
        </is>
      </c>
      <c r="AV1407" t="inlineStr">
        <is>
          <t>4834041</t>
        </is>
      </c>
      <c r="AW1407" t="inlineStr">
        <is>
          <t>991004619499702656</t>
        </is>
      </c>
      <c r="AX1407" t="inlineStr">
        <is>
          <t>991004619499702656</t>
        </is>
      </c>
      <c r="AY1407" t="inlineStr">
        <is>
          <t>2271724860002656</t>
        </is>
      </c>
      <c r="AZ1407" t="inlineStr">
        <is>
          <t>BOOK</t>
        </is>
      </c>
      <c r="BC1407" t="inlineStr">
        <is>
          <t>32285001358406</t>
        </is>
      </c>
      <c r="BD1407" t="inlineStr">
        <is>
          <t>893424001</t>
        </is>
      </c>
    </row>
    <row r="1408">
      <c r="A1408" t="inlineStr">
        <is>
          <t>No</t>
        </is>
      </c>
      <c r="B1408" t="inlineStr">
        <is>
          <t>HQ503 .W65 1968</t>
        </is>
      </c>
      <c r="C1408" t="inlineStr">
        <is>
          <t>0                      HQ 0503000W  65          1968</t>
        </is>
      </c>
      <c r="D1408" t="inlineStr">
        <is>
          <t>A short history of marriage, by Edward Westermarck.</t>
        </is>
      </c>
      <c r="F1408" t="inlineStr">
        <is>
          <t>No</t>
        </is>
      </c>
      <c r="G1408" t="inlineStr">
        <is>
          <t>1</t>
        </is>
      </c>
      <c r="H1408" t="inlineStr">
        <is>
          <t>No</t>
        </is>
      </c>
      <c r="I1408" t="inlineStr">
        <is>
          <t>No</t>
        </is>
      </c>
      <c r="J1408" t="inlineStr">
        <is>
          <t>0</t>
        </is>
      </c>
      <c r="K1408" t="inlineStr">
        <is>
          <t>Westermarck, Edward, 1862-1939.</t>
        </is>
      </c>
      <c r="L1408" t="inlineStr">
        <is>
          <t>New York, Humanities Press, 1968.</t>
        </is>
      </c>
      <c r="M1408" t="inlineStr">
        <is>
          <t>1968</t>
        </is>
      </c>
      <c r="O1408" t="inlineStr">
        <is>
          <t>eng</t>
        </is>
      </c>
      <c r="P1408" t="inlineStr">
        <is>
          <t>nyu</t>
        </is>
      </c>
      <c r="R1408" t="inlineStr">
        <is>
          <t xml:space="preserve">HQ </t>
        </is>
      </c>
      <c r="S1408" t="n">
        <v>5</v>
      </c>
      <c r="T1408" t="n">
        <v>5</v>
      </c>
      <c r="U1408" t="inlineStr">
        <is>
          <t>2002-09-25</t>
        </is>
      </c>
      <c r="V1408" t="inlineStr">
        <is>
          <t>2002-09-25</t>
        </is>
      </c>
      <c r="W1408" t="inlineStr">
        <is>
          <t>1997-08-08</t>
        </is>
      </c>
      <c r="X1408" t="inlineStr">
        <is>
          <t>1997-08-08</t>
        </is>
      </c>
      <c r="Y1408" t="n">
        <v>252</v>
      </c>
      <c r="Z1408" t="n">
        <v>227</v>
      </c>
      <c r="AA1408" t="n">
        <v>657</v>
      </c>
      <c r="AB1408" t="n">
        <v>1</v>
      </c>
      <c r="AC1408" t="n">
        <v>6</v>
      </c>
      <c r="AD1408" t="n">
        <v>9</v>
      </c>
      <c r="AE1408" t="n">
        <v>29</v>
      </c>
      <c r="AF1408" t="n">
        <v>5</v>
      </c>
      <c r="AG1408" t="n">
        <v>12</v>
      </c>
      <c r="AH1408" t="n">
        <v>1</v>
      </c>
      <c r="AI1408" t="n">
        <v>2</v>
      </c>
      <c r="AJ1408" t="n">
        <v>4</v>
      </c>
      <c r="AK1408" t="n">
        <v>8</v>
      </c>
      <c r="AL1408" t="n">
        <v>0</v>
      </c>
      <c r="AM1408" t="n">
        <v>5</v>
      </c>
      <c r="AN1408" t="n">
        <v>1</v>
      </c>
      <c r="AO1408" t="n">
        <v>5</v>
      </c>
      <c r="AP1408" t="inlineStr">
        <is>
          <t>No</t>
        </is>
      </c>
      <c r="AQ1408" t="inlineStr">
        <is>
          <t>Yes</t>
        </is>
      </c>
      <c r="AR1408">
        <f>HYPERLINK("http://catalog.hathitrust.org/Record/007472033","HathiTrust Record")</f>
        <v/>
      </c>
      <c r="AS1408">
        <f>HYPERLINK("https://creighton-primo.hosted.exlibrisgroup.com/primo-explore/search?tab=default_tab&amp;search_scope=EVERYTHING&amp;vid=01CRU&amp;lang=en_US&amp;offset=0&amp;query=any,contains,991003460109702656","Catalog Record")</f>
        <v/>
      </c>
      <c r="AT1408">
        <f>HYPERLINK("http://www.worldcat.org/oclc/1001192","WorldCat Record")</f>
        <v/>
      </c>
      <c r="AU1408" t="inlineStr">
        <is>
          <t>3768466270:eng</t>
        </is>
      </c>
      <c r="AV1408" t="inlineStr">
        <is>
          <t>1001192</t>
        </is>
      </c>
      <c r="AW1408" t="inlineStr">
        <is>
          <t>991003460109702656</t>
        </is>
      </c>
      <c r="AX1408" t="inlineStr">
        <is>
          <t>991003460109702656</t>
        </is>
      </c>
      <c r="AY1408" t="inlineStr">
        <is>
          <t>2259416440002656</t>
        </is>
      </c>
      <c r="AZ1408" t="inlineStr">
        <is>
          <t>BOOK</t>
        </is>
      </c>
      <c r="BC1408" t="inlineStr">
        <is>
          <t>32285003088522</t>
        </is>
      </c>
      <c r="BD1408" t="inlineStr">
        <is>
          <t>893781030</t>
        </is>
      </c>
    </row>
    <row r="1409">
      <c r="A1409" t="inlineStr">
        <is>
          <t>No</t>
        </is>
      </c>
      <c r="B1409" t="inlineStr">
        <is>
          <t>HQ504 .M34 1927</t>
        </is>
      </c>
      <c r="C1409" t="inlineStr">
        <is>
          <t>0                      HQ 0504000M  34          1927</t>
        </is>
      </c>
      <c r="D1409" t="inlineStr">
        <is>
          <t>Sex and repression in savage society, by Bronislaw Malinowski.</t>
        </is>
      </c>
      <c r="F1409" t="inlineStr">
        <is>
          <t>No</t>
        </is>
      </c>
      <c r="G1409" t="inlineStr">
        <is>
          <t>1</t>
        </is>
      </c>
      <c r="H1409" t="inlineStr">
        <is>
          <t>No</t>
        </is>
      </c>
      <c r="I1409" t="inlineStr">
        <is>
          <t>No</t>
        </is>
      </c>
      <c r="J1409" t="inlineStr">
        <is>
          <t>0</t>
        </is>
      </c>
      <c r="K1409" t="inlineStr">
        <is>
          <t>Malinowski, Bronislaw, 1884-1942.</t>
        </is>
      </c>
      <c r="L1409" t="inlineStr">
        <is>
          <t>London, Routledge &amp; Kegan Paul, 1927.</t>
        </is>
      </c>
      <c r="M1409" t="inlineStr">
        <is>
          <t>1927</t>
        </is>
      </c>
      <c r="O1409" t="inlineStr">
        <is>
          <t>eng</t>
        </is>
      </c>
      <c r="P1409" t="inlineStr">
        <is>
          <t xml:space="preserve">xx </t>
        </is>
      </c>
      <c r="Q1409" t="inlineStr">
        <is>
          <t>International library of psychology, philosophy, and scientific method</t>
        </is>
      </c>
      <c r="R1409" t="inlineStr">
        <is>
          <t xml:space="preserve">HQ </t>
        </is>
      </c>
      <c r="S1409" t="n">
        <v>26</v>
      </c>
      <c r="T1409" t="n">
        <v>26</v>
      </c>
      <c r="U1409" t="inlineStr">
        <is>
          <t>2004-11-30</t>
        </is>
      </c>
      <c r="V1409" t="inlineStr">
        <is>
          <t>2004-11-30</t>
        </is>
      </c>
      <c r="W1409" t="inlineStr">
        <is>
          <t>1997-08-08</t>
        </is>
      </c>
      <c r="X1409" t="inlineStr">
        <is>
          <t>1997-08-08</t>
        </is>
      </c>
      <c r="Y1409" t="n">
        <v>193</v>
      </c>
      <c r="Z1409" t="n">
        <v>140</v>
      </c>
      <c r="AA1409" t="n">
        <v>1358</v>
      </c>
      <c r="AB1409" t="n">
        <v>1</v>
      </c>
      <c r="AC1409" t="n">
        <v>30</v>
      </c>
      <c r="AD1409" t="n">
        <v>5</v>
      </c>
      <c r="AE1409" t="n">
        <v>55</v>
      </c>
      <c r="AF1409" t="n">
        <v>2</v>
      </c>
      <c r="AG1409" t="n">
        <v>21</v>
      </c>
      <c r="AH1409" t="n">
        <v>1</v>
      </c>
      <c r="AI1409" t="n">
        <v>10</v>
      </c>
      <c r="AJ1409" t="n">
        <v>3</v>
      </c>
      <c r="AK1409" t="n">
        <v>22</v>
      </c>
      <c r="AL1409" t="n">
        <v>0</v>
      </c>
      <c r="AM1409" t="n">
        <v>14</v>
      </c>
      <c r="AN1409" t="n">
        <v>0</v>
      </c>
      <c r="AO1409" t="n">
        <v>0</v>
      </c>
      <c r="AP1409" t="inlineStr">
        <is>
          <t>No</t>
        </is>
      </c>
      <c r="AQ1409" t="inlineStr">
        <is>
          <t>Yes</t>
        </is>
      </c>
      <c r="AR1409">
        <f>HYPERLINK("http://catalog.hathitrust.org/Record/007709368","HathiTrust Record")</f>
        <v/>
      </c>
      <c r="AS1409">
        <f>HYPERLINK("https://creighton-primo.hosted.exlibrisgroup.com/primo-explore/search?tab=default_tab&amp;search_scope=EVERYTHING&amp;vid=01CRU&amp;lang=en_US&amp;offset=0&amp;query=any,contains,991004833689702656","Catalog Record")</f>
        <v/>
      </c>
      <c r="AT1409">
        <f>HYPERLINK("http://www.worldcat.org/oclc/5424452","WorldCat Record")</f>
        <v/>
      </c>
      <c r="AU1409" t="inlineStr">
        <is>
          <t>1366890:eng</t>
        </is>
      </c>
      <c r="AV1409" t="inlineStr">
        <is>
          <t>5424452</t>
        </is>
      </c>
      <c r="AW1409" t="inlineStr">
        <is>
          <t>991004833689702656</t>
        </is>
      </c>
      <c r="AX1409" t="inlineStr">
        <is>
          <t>991004833689702656</t>
        </is>
      </c>
      <c r="AY1409" t="inlineStr">
        <is>
          <t>2263365590002656</t>
        </is>
      </c>
      <c r="AZ1409" t="inlineStr">
        <is>
          <t>BOOK</t>
        </is>
      </c>
      <c r="BC1409" t="inlineStr">
        <is>
          <t>32285003088555</t>
        </is>
      </c>
      <c r="BD1409" t="inlineStr">
        <is>
          <t>893520091</t>
        </is>
      </c>
    </row>
    <row r="1410">
      <c r="A1410" t="inlineStr">
        <is>
          <t>No</t>
        </is>
      </c>
      <c r="B1410" t="inlineStr">
        <is>
          <t>HQ511 .B47 1991</t>
        </is>
      </c>
      <c r="C1410" t="inlineStr">
        <is>
          <t>0                      HQ 0511000B  47          1991</t>
        </is>
      </c>
      <c r="D1410" t="inlineStr">
        <is>
          <t>Anthropology and Roman culture : kinship, time, images of the soul / Maurizio Bettini ; translated by John Van Sickle.</t>
        </is>
      </c>
      <c r="F1410" t="inlineStr">
        <is>
          <t>No</t>
        </is>
      </c>
      <c r="G1410" t="inlineStr">
        <is>
          <t>1</t>
        </is>
      </c>
      <c r="H1410" t="inlineStr">
        <is>
          <t>No</t>
        </is>
      </c>
      <c r="I1410" t="inlineStr">
        <is>
          <t>No</t>
        </is>
      </c>
      <c r="J1410" t="inlineStr">
        <is>
          <t>0</t>
        </is>
      </c>
      <c r="K1410" t="inlineStr">
        <is>
          <t>Bettini, Maurizio.</t>
        </is>
      </c>
      <c r="L1410" t="inlineStr">
        <is>
          <t>Baltimore : Johns Hopkins University Press, c1991.</t>
        </is>
      </c>
      <c r="M1410" t="inlineStr">
        <is>
          <t>1991</t>
        </is>
      </c>
      <c r="O1410" t="inlineStr">
        <is>
          <t>eng</t>
        </is>
      </c>
      <c r="P1410" t="inlineStr">
        <is>
          <t>mdu</t>
        </is>
      </c>
      <c r="Q1410" t="inlineStr">
        <is>
          <t>Ancient society and history</t>
        </is>
      </c>
      <c r="R1410" t="inlineStr">
        <is>
          <t xml:space="preserve">HQ </t>
        </is>
      </c>
      <c r="S1410" t="n">
        <v>2</v>
      </c>
      <c r="T1410" t="n">
        <v>2</v>
      </c>
      <c r="U1410" t="inlineStr">
        <is>
          <t>1998-01-29</t>
        </is>
      </c>
      <c r="V1410" t="inlineStr">
        <is>
          <t>1998-01-29</t>
        </is>
      </c>
      <c r="W1410" t="inlineStr">
        <is>
          <t>1991-11-04</t>
        </is>
      </c>
      <c r="X1410" t="inlineStr">
        <is>
          <t>1991-11-04</t>
        </is>
      </c>
      <c r="Y1410" t="n">
        <v>470</v>
      </c>
      <c r="Z1410" t="n">
        <v>362</v>
      </c>
      <c r="AA1410" t="n">
        <v>364</v>
      </c>
      <c r="AB1410" t="n">
        <v>2</v>
      </c>
      <c r="AC1410" t="n">
        <v>2</v>
      </c>
      <c r="AD1410" t="n">
        <v>19</v>
      </c>
      <c r="AE1410" t="n">
        <v>19</v>
      </c>
      <c r="AF1410" t="n">
        <v>8</v>
      </c>
      <c r="AG1410" t="n">
        <v>8</v>
      </c>
      <c r="AH1410" t="n">
        <v>5</v>
      </c>
      <c r="AI1410" t="n">
        <v>5</v>
      </c>
      <c r="AJ1410" t="n">
        <v>10</v>
      </c>
      <c r="AK1410" t="n">
        <v>10</v>
      </c>
      <c r="AL1410" t="n">
        <v>1</v>
      </c>
      <c r="AM1410" t="n">
        <v>1</v>
      </c>
      <c r="AN1410" t="n">
        <v>0</v>
      </c>
      <c r="AO1410" t="n">
        <v>0</v>
      </c>
      <c r="AP1410" t="inlineStr">
        <is>
          <t>No</t>
        </is>
      </c>
      <c r="AQ1410" t="inlineStr">
        <is>
          <t>Yes</t>
        </is>
      </c>
      <c r="AR1410">
        <f>HYPERLINK("http://catalog.hathitrust.org/Record/002473912","HathiTrust Record")</f>
        <v/>
      </c>
      <c r="AS1410">
        <f>HYPERLINK("https://creighton-primo.hosted.exlibrisgroup.com/primo-explore/search?tab=default_tab&amp;search_scope=EVERYTHING&amp;vid=01CRU&amp;lang=en_US&amp;offset=0&amp;query=any,contains,991001838239702656","Catalog Record")</f>
        <v/>
      </c>
      <c r="AT1410">
        <f>HYPERLINK("http://www.worldcat.org/oclc/23082566","WorldCat Record")</f>
        <v/>
      </c>
      <c r="AU1410" t="inlineStr">
        <is>
          <t>24511365:eng</t>
        </is>
      </c>
      <c r="AV1410" t="inlineStr">
        <is>
          <t>23082566</t>
        </is>
      </c>
      <c r="AW1410" t="inlineStr">
        <is>
          <t>991001838239702656</t>
        </is>
      </c>
      <c r="AX1410" t="inlineStr">
        <is>
          <t>991001838239702656</t>
        </is>
      </c>
      <c r="AY1410" t="inlineStr">
        <is>
          <t>2256315280002656</t>
        </is>
      </c>
      <c r="AZ1410" t="inlineStr">
        <is>
          <t>BOOK</t>
        </is>
      </c>
      <c r="BB1410" t="inlineStr">
        <is>
          <t>9780801841040</t>
        </is>
      </c>
      <c r="BC1410" t="inlineStr">
        <is>
          <t>32285000729037</t>
        </is>
      </c>
      <c r="BD1410" t="inlineStr">
        <is>
          <t>893244453</t>
        </is>
      </c>
    </row>
    <row r="1411">
      <c r="A1411" t="inlineStr">
        <is>
          <t>No</t>
        </is>
      </c>
      <c r="B1411" t="inlineStr">
        <is>
          <t>HQ511 .B87 1982</t>
        </is>
      </c>
      <c r="C1411" t="inlineStr">
        <is>
          <t>0                      HQ 0511000B  87          1982</t>
        </is>
      </c>
      <c r="D1411" t="inlineStr">
        <is>
          <t>Studies in Roman social structure / Archie C. Bush.</t>
        </is>
      </c>
      <c r="F1411" t="inlineStr">
        <is>
          <t>No</t>
        </is>
      </c>
      <c r="G1411" t="inlineStr">
        <is>
          <t>1</t>
        </is>
      </c>
      <c r="H1411" t="inlineStr">
        <is>
          <t>No</t>
        </is>
      </c>
      <c r="I1411" t="inlineStr">
        <is>
          <t>No</t>
        </is>
      </c>
      <c r="J1411" t="inlineStr">
        <is>
          <t>0</t>
        </is>
      </c>
      <c r="K1411" t="inlineStr">
        <is>
          <t>Bush, Archie C.</t>
        </is>
      </c>
      <c r="L1411" t="inlineStr">
        <is>
          <t>Washington, D.C. : University Press of America, c1982.</t>
        </is>
      </c>
      <c r="M1411" t="inlineStr">
        <is>
          <t>1982</t>
        </is>
      </c>
      <c r="O1411" t="inlineStr">
        <is>
          <t>eng</t>
        </is>
      </c>
      <c r="P1411" t="inlineStr">
        <is>
          <t>dcu</t>
        </is>
      </c>
      <c r="R1411" t="inlineStr">
        <is>
          <t xml:space="preserve">HQ </t>
        </is>
      </c>
      <c r="S1411" t="n">
        <v>1</v>
      </c>
      <c r="T1411" t="n">
        <v>1</v>
      </c>
      <c r="U1411" t="inlineStr">
        <is>
          <t>1998-04-20</t>
        </is>
      </c>
      <c r="V1411" t="inlineStr">
        <is>
          <t>1998-04-20</t>
        </is>
      </c>
      <c r="W1411" t="inlineStr">
        <is>
          <t>1992-10-26</t>
        </is>
      </c>
      <c r="X1411" t="inlineStr">
        <is>
          <t>1992-10-26</t>
        </is>
      </c>
      <c r="Y1411" t="n">
        <v>228</v>
      </c>
      <c r="Z1411" t="n">
        <v>189</v>
      </c>
      <c r="AA1411" t="n">
        <v>191</v>
      </c>
      <c r="AB1411" t="n">
        <v>3</v>
      </c>
      <c r="AC1411" t="n">
        <v>3</v>
      </c>
      <c r="AD1411" t="n">
        <v>12</v>
      </c>
      <c r="AE1411" t="n">
        <v>12</v>
      </c>
      <c r="AF1411" t="n">
        <v>3</v>
      </c>
      <c r="AG1411" t="n">
        <v>3</v>
      </c>
      <c r="AH1411" t="n">
        <v>5</v>
      </c>
      <c r="AI1411" t="n">
        <v>5</v>
      </c>
      <c r="AJ1411" t="n">
        <v>6</v>
      </c>
      <c r="AK1411" t="n">
        <v>6</v>
      </c>
      <c r="AL1411" t="n">
        <v>2</v>
      </c>
      <c r="AM1411" t="n">
        <v>2</v>
      </c>
      <c r="AN1411" t="n">
        <v>0</v>
      </c>
      <c r="AO1411" t="n">
        <v>0</v>
      </c>
      <c r="AP1411" t="inlineStr">
        <is>
          <t>No</t>
        </is>
      </c>
      <c r="AQ1411" t="inlineStr">
        <is>
          <t>Yes</t>
        </is>
      </c>
      <c r="AR1411">
        <f>HYPERLINK("http://catalog.hathitrust.org/Record/010550917","HathiTrust Record")</f>
        <v/>
      </c>
      <c r="AS1411">
        <f>HYPERLINK("https://creighton-primo.hosted.exlibrisgroup.com/primo-explore/search?tab=default_tab&amp;search_scope=EVERYTHING&amp;vid=01CRU&amp;lang=en_US&amp;offset=0&amp;query=any,contains,991005219169702656","Catalog Record")</f>
        <v/>
      </c>
      <c r="AT1411">
        <f>HYPERLINK("http://www.worldcat.org/oclc/8219124","WorldCat Record")</f>
        <v/>
      </c>
      <c r="AU1411" t="inlineStr">
        <is>
          <t>483521:eng</t>
        </is>
      </c>
      <c r="AV1411" t="inlineStr">
        <is>
          <t>8219124</t>
        </is>
      </c>
      <c r="AW1411" t="inlineStr">
        <is>
          <t>991005219169702656</t>
        </is>
      </c>
      <c r="AX1411" t="inlineStr">
        <is>
          <t>991005219169702656</t>
        </is>
      </c>
      <c r="AY1411" t="inlineStr">
        <is>
          <t>2255346450002656</t>
        </is>
      </c>
      <c r="AZ1411" t="inlineStr">
        <is>
          <t>BOOK</t>
        </is>
      </c>
      <c r="BB1411" t="inlineStr">
        <is>
          <t>9780819123374</t>
        </is>
      </c>
      <c r="BC1411" t="inlineStr">
        <is>
          <t>32285001358414</t>
        </is>
      </c>
      <c r="BD1411" t="inlineStr">
        <is>
          <t>893870717</t>
        </is>
      </c>
    </row>
    <row r="1412">
      <c r="A1412" t="inlineStr">
        <is>
          <t>No</t>
        </is>
      </c>
      <c r="B1412" t="inlineStr">
        <is>
          <t>HQ515 .H37 2000</t>
        </is>
      </c>
      <c r="C1412" t="inlineStr">
        <is>
          <t>0                      HQ 0515000H  37          2000</t>
        </is>
      </c>
      <c r="D1412" t="inlineStr">
        <is>
          <t>Families, history, and social change : life-course and cross-cultural perspectives / Tamara K. Hareven.</t>
        </is>
      </c>
      <c r="F1412" t="inlineStr">
        <is>
          <t>No</t>
        </is>
      </c>
      <c r="G1412" t="inlineStr">
        <is>
          <t>1</t>
        </is>
      </c>
      <c r="H1412" t="inlineStr">
        <is>
          <t>No</t>
        </is>
      </c>
      <c r="I1412" t="inlineStr">
        <is>
          <t>No</t>
        </is>
      </c>
      <c r="J1412" t="inlineStr">
        <is>
          <t>0</t>
        </is>
      </c>
      <c r="K1412" t="inlineStr">
        <is>
          <t>Hareven, Tamara K.</t>
        </is>
      </c>
      <c r="L1412" t="inlineStr">
        <is>
          <t>Boulder, Colo. : Westview Press, c2000.</t>
        </is>
      </c>
      <c r="M1412" t="inlineStr">
        <is>
          <t>2000</t>
        </is>
      </c>
      <c r="O1412" t="inlineStr">
        <is>
          <t>eng</t>
        </is>
      </c>
      <c r="P1412" t="inlineStr">
        <is>
          <t>cou</t>
        </is>
      </c>
      <c r="R1412" t="inlineStr">
        <is>
          <t xml:space="preserve">HQ </t>
        </is>
      </c>
      <c r="S1412" t="n">
        <v>2</v>
      </c>
      <c r="T1412" t="n">
        <v>2</v>
      </c>
      <c r="U1412" t="inlineStr">
        <is>
          <t>2005-06-16</t>
        </is>
      </c>
      <c r="V1412" t="inlineStr">
        <is>
          <t>2005-06-16</t>
        </is>
      </c>
      <c r="W1412" t="inlineStr">
        <is>
          <t>2000-03-28</t>
        </is>
      </c>
      <c r="X1412" t="inlineStr">
        <is>
          <t>2000-03-28</t>
        </is>
      </c>
      <c r="Y1412" t="n">
        <v>399</v>
      </c>
      <c r="Z1412" t="n">
        <v>326</v>
      </c>
      <c r="AA1412" t="n">
        <v>571</v>
      </c>
      <c r="AB1412" t="n">
        <v>4</v>
      </c>
      <c r="AC1412" t="n">
        <v>6</v>
      </c>
      <c r="AD1412" t="n">
        <v>18</v>
      </c>
      <c r="AE1412" t="n">
        <v>30</v>
      </c>
      <c r="AF1412" t="n">
        <v>5</v>
      </c>
      <c r="AG1412" t="n">
        <v>12</v>
      </c>
      <c r="AH1412" t="n">
        <v>5</v>
      </c>
      <c r="AI1412" t="n">
        <v>6</v>
      </c>
      <c r="AJ1412" t="n">
        <v>9</v>
      </c>
      <c r="AK1412" t="n">
        <v>12</v>
      </c>
      <c r="AL1412" t="n">
        <v>3</v>
      </c>
      <c r="AM1412" t="n">
        <v>5</v>
      </c>
      <c r="AN1412" t="n">
        <v>1</v>
      </c>
      <c r="AO1412" t="n">
        <v>1</v>
      </c>
      <c r="AP1412" t="inlineStr">
        <is>
          <t>No</t>
        </is>
      </c>
      <c r="AQ1412" t="inlineStr">
        <is>
          <t>Yes</t>
        </is>
      </c>
      <c r="AR1412">
        <f>HYPERLINK("http://catalog.hathitrust.org/Record/004122724","HathiTrust Record")</f>
        <v/>
      </c>
      <c r="AS1412">
        <f>HYPERLINK("https://creighton-primo.hosted.exlibrisgroup.com/primo-explore/search?tab=default_tab&amp;search_scope=EVERYTHING&amp;vid=01CRU&amp;lang=en_US&amp;offset=0&amp;query=any,contains,991003035549702656","Catalog Record")</f>
        <v/>
      </c>
      <c r="AT1412">
        <f>HYPERLINK("http://www.worldcat.org/oclc/41649782","WorldCat Record")</f>
        <v/>
      </c>
      <c r="AU1412" t="inlineStr">
        <is>
          <t>794347197:eng</t>
        </is>
      </c>
      <c r="AV1412" t="inlineStr">
        <is>
          <t>41649782</t>
        </is>
      </c>
      <c r="AW1412" t="inlineStr">
        <is>
          <t>991003035549702656</t>
        </is>
      </c>
      <c r="AX1412" t="inlineStr">
        <is>
          <t>991003035549702656</t>
        </is>
      </c>
      <c r="AY1412" t="inlineStr">
        <is>
          <t>2259956650002656</t>
        </is>
      </c>
      <c r="AZ1412" t="inlineStr">
        <is>
          <t>BOOK</t>
        </is>
      </c>
      <c r="BB1412" t="inlineStr">
        <is>
          <t>9780813390796</t>
        </is>
      </c>
      <c r="BC1412" t="inlineStr">
        <is>
          <t>32285003674065</t>
        </is>
      </c>
      <c r="BD1412" t="inlineStr">
        <is>
          <t>893428364</t>
        </is>
      </c>
    </row>
    <row r="1413">
      <c r="A1413" t="inlineStr">
        <is>
          <t>No</t>
        </is>
      </c>
      <c r="B1413" t="inlineStr">
        <is>
          <t>HQ515 .H38 2004</t>
        </is>
      </c>
      <c r="C1413" t="inlineStr">
        <is>
          <t>0                      HQ 0515000H  38          2004</t>
        </is>
      </c>
      <c r="D1413" t="inlineStr">
        <is>
          <t>The household and the making of history : a subversive view of the Western past / Mary S. Hartman.</t>
        </is>
      </c>
      <c r="F1413" t="inlineStr">
        <is>
          <t>No</t>
        </is>
      </c>
      <c r="G1413" t="inlineStr">
        <is>
          <t>1</t>
        </is>
      </c>
      <c r="H1413" t="inlineStr">
        <is>
          <t>No</t>
        </is>
      </c>
      <c r="I1413" t="inlineStr">
        <is>
          <t>No</t>
        </is>
      </c>
      <c r="J1413" t="inlineStr">
        <is>
          <t>0</t>
        </is>
      </c>
      <c r="K1413" t="inlineStr">
        <is>
          <t>Hartman, Mary S., 1941-</t>
        </is>
      </c>
      <c r="L1413" t="inlineStr">
        <is>
          <t>Cambridge, UK ; New York : Cambridge University Press, 2004.</t>
        </is>
      </c>
      <c r="M1413" t="inlineStr">
        <is>
          <t>2004</t>
        </is>
      </c>
      <c r="O1413" t="inlineStr">
        <is>
          <t>eng</t>
        </is>
      </c>
      <c r="P1413" t="inlineStr">
        <is>
          <t>enk</t>
        </is>
      </c>
      <c r="R1413" t="inlineStr">
        <is>
          <t xml:space="preserve">HQ </t>
        </is>
      </c>
      <c r="S1413" t="n">
        <v>2</v>
      </c>
      <c r="T1413" t="n">
        <v>2</v>
      </c>
      <c r="U1413" t="inlineStr">
        <is>
          <t>2010-05-25</t>
        </is>
      </c>
      <c r="V1413" t="inlineStr">
        <is>
          <t>2010-05-25</t>
        </is>
      </c>
      <c r="W1413" t="inlineStr">
        <is>
          <t>2007-09-10</t>
        </is>
      </c>
      <c r="X1413" t="inlineStr">
        <is>
          <t>2007-09-10</t>
        </is>
      </c>
      <c r="Y1413" t="n">
        <v>489</v>
      </c>
      <c r="Z1413" t="n">
        <v>362</v>
      </c>
      <c r="AA1413" t="n">
        <v>367</v>
      </c>
      <c r="AB1413" t="n">
        <v>3</v>
      </c>
      <c r="AC1413" t="n">
        <v>3</v>
      </c>
      <c r="AD1413" t="n">
        <v>22</v>
      </c>
      <c r="AE1413" t="n">
        <v>22</v>
      </c>
      <c r="AF1413" t="n">
        <v>7</v>
      </c>
      <c r="AG1413" t="n">
        <v>7</v>
      </c>
      <c r="AH1413" t="n">
        <v>6</v>
      </c>
      <c r="AI1413" t="n">
        <v>6</v>
      </c>
      <c r="AJ1413" t="n">
        <v>12</v>
      </c>
      <c r="AK1413" t="n">
        <v>12</v>
      </c>
      <c r="AL1413" t="n">
        <v>2</v>
      </c>
      <c r="AM1413" t="n">
        <v>2</v>
      </c>
      <c r="AN1413" t="n">
        <v>0</v>
      </c>
      <c r="AO1413" t="n">
        <v>0</v>
      </c>
      <c r="AP1413" t="inlineStr">
        <is>
          <t>No</t>
        </is>
      </c>
      <c r="AQ1413" t="inlineStr">
        <is>
          <t>No</t>
        </is>
      </c>
      <c r="AS1413">
        <f>HYPERLINK("https://creighton-primo.hosted.exlibrisgroup.com/primo-explore/search?tab=default_tab&amp;search_scope=EVERYTHING&amp;vid=01CRU&amp;lang=en_US&amp;offset=0&amp;query=any,contains,991005109889702656","Catalog Record")</f>
        <v/>
      </c>
      <c r="AT1413">
        <f>HYPERLINK("http://www.worldcat.org/oclc/52887089","WorldCat Record")</f>
        <v/>
      </c>
      <c r="AU1413" t="inlineStr">
        <is>
          <t>796372526:eng</t>
        </is>
      </c>
      <c r="AV1413" t="inlineStr">
        <is>
          <t>52887089</t>
        </is>
      </c>
      <c r="AW1413" t="inlineStr">
        <is>
          <t>991005109889702656</t>
        </is>
      </c>
      <c r="AX1413" t="inlineStr">
        <is>
          <t>991005109889702656</t>
        </is>
      </c>
      <c r="AY1413" t="inlineStr">
        <is>
          <t>2272271450002656</t>
        </is>
      </c>
      <c r="AZ1413" t="inlineStr">
        <is>
          <t>BOOK</t>
        </is>
      </c>
      <c r="BB1413" t="inlineStr">
        <is>
          <t>9780521536691</t>
        </is>
      </c>
      <c r="BC1413" t="inlineStr">
        <is>
          <t>32285005324511</t>
        </is>
      </c>
      <c r="BD1413" t="inlineStr">
        <is>
          <t>893783029</t>
        </is>
      </c>
    </row>
    <row r="1414">
      <c r="A1414" t="inlineStr">
        <is>
          <t>No</t>
        </is>
      </c>
      <c r="B1414" t="inlineStr">
        <is>
          <t>HQ515 .L38</t>
        </is>
      </c>
      <c r="C1414" t="inlineStr">
        <is>
          <t>0                      HQ 0515000L  38</t>
        </is>
      </c>
      <c r="D1414" t="inlineStr">
        <is>
          <t>Household and family in past time; comparative studies in the size and structure of the domestic group over the last three centuries in England, France, Serbia, Japan and colonial North America, with further materials from Western Europe. Edited, with an analytic introduction on the history of the family, by Peter Laslett with the assistance of Richard Wall.</t>
        </is>
      </c>
      <c r="F1414" t="inlineStr">
        <is>
          <t>No</t>
        </is>
      </c>
      <c r="G1414" t="inlineStr">
        <is>
          <t>1</t>
        </is>
      </c>
      <c r="H1414" t="inlineStr">
        <is>
          <t>No</t>
        </is>
      </c>
      <c r="I1414" t="inlineStr">
        <is>
          <t>No</t>
        </is>
      </c>
      <c r="J1414" t="inlineStr">
        <is>
          <t>0</t>
        </is>
      </c>
      <c r="K1414" t="inlineStr">
        <is>
          <t>Laslett, Peter.</t>
        </is>
      </c>
      <c r="L1414" t="inlineStr">
        <is>
          <t>Cambridge [Eng.] University Press, 1972.</t>
        </is>
      </c>
      <c r="M1414" t="inlineStr">
        <is>
          <t>1972</t>
        </is>
      </c>
      <c r="O1414" t="inlineStr">
        <is>
          <t>eng</t>
        </is>
      </c>
      <c r="P1414" t="inlineStr">
        <is>
          <t>enk</t>
        </is>
      </c>
      <c r="Q1414" t="inlineStr">
        <is>
          <t>A publication of the Cambridge Group for the History of Population and Social Structure</t>
        </is>
      </c>
      <c r="R1414" t="inlineStr">
        <is>
          <t xml:space="preserve">HQ </t>
        </is>
      </c>
      <c r="S1414" t="n">
        <v>8</v>
      </c>
      <c r="T1414" t="n">
        <v>8</v>
      </c>
      <c r="U1414" t="inlineStr">
        <is>
          <t>2002-10-30</t>
        </is>
      </c>
      <c r="V1414" t="inlineStr">
        <is>
          <t>2002-10-30</t>
        </is>
      </c>
      <c r="W1414" t="inlineStr">
        <is>
          <t>1997-08-08</t>
        </is>
      </c>
      <c r="X1414" t="inlineStr">
        <is>
          <t>1997-08-08</t>
        </is>
      </c>
      <c r="Y1414" t="n">
        <v>798</v>
      </c>
      <c r="Z1414" t="n">
        <v>548</v>
      </c>
      <c r="AA1414" t="n">
        <v>622</v>
      </c>
      <c r="AB1414" t="n">
        <v>2</v>
      </c>
      <c r="AC1414" t="n">
        <v>3</v>
      </c>
      <c r="AD1414" t="n">
        <v>21</v>
      </c>
      <c r="AE1414" t="n">
        <v>27</v>
      </c>
      <c r="AF1414" t="n">
        <v>8</v>
      </c>
      <c r="AG1414" t="n">
        <v>9</v>
      </c>
      <c r="AH1414" t="n">
        <v>5</v>
      </c>
      <c r="AI1414" t="n">
        <v>7</v>
      </c>
      <c r="AJ1414" t="n">
        <v>15</v>
      </c>
      <c r="AK1414" t="n">
        <v>18</v>
      </c>
      <c r="AL1414" t="n">
        <v>1</v>
      </c>
      <c r="AM1414" t="n">
        <v>2</v>
      </c>
      <c r="AN1414" t="n">
        <v>0</v>
      </c>
      <c r="AO1414" t="n">
        <v>1</v>
      </c>
      <c r="AP1414" t="inlineStr">
        <is>
          <t>No</t>
        </is>
      </c>
      <c r="AQ1414" t="inlineStr">
        <is>
          <t>No</t>
        </is>
      </c>
      <c r="AS1414">
        <f>HYPERLINK("https://creighton-primo.hosted.exlibrisgroup.com/primo-explore/search?tab=default_tab&amp;search_scope=EVERYTHING&amp;vid=01CRU&amp;lang=en_US&amp;offset=0&amp;query=any,contains,991002898859702656","Catalog Record")</f>
        <v/>
      </c>
      <c r="AT1414">
        <f>HYPERLINK("http://www.worldcat.org/oclc/515967","WorldCat Record")</f>
        <v/>
      </c>
      <c r="AU1414" t="inlineStr">
        <is>
          <t>917496465:eng</t>
        </is>
      </c>
      <c r="AV1414" t="inlineStr">
        <is>
          <t>515967</t>
        </is>
      </c>
      <c r="AW1414" t="inlineStr">
        <is>
          <t>991002898859702656</t>
        </is>
      </c>
      <c r="AX1414" t="inlineStr">
        <is>
          <t>991002898859702656</t>
        </is>
      </c>
      <c r="AY1414" t="inlineStr">
        <is>
          <t>2264013540002656</t>
        </is>
      </c>
      <c r="AZ1414" t="inlineStr">
        <is>
          <t>BOOK</t>
        </is>
      </c>
      <c r="BB1414" t="inlineStr">
        <is>
          <t>9780521084734</t>
        </is>
      </c>
      <c r="BC1414" t="inlineStr">
        <is>
          <t>32285003088589</t>
        </is>
      </c>
      <c r="BD1414" t="inlineStr">
        <is>
          <t>893335872</t>
        </is>
      </c>
    </row>
    <row r="1415">
      <c r="A1415" t="inlineStr">
        <is>
          <t>No</t>
        </is>
      </c>
      <c r="B1415" t="inlineStr">
        <is>
          <t>HQ518 .B634</t>
        </is>
      </c>
      <c r="C1415" t="inlineStr">
        <is>
          <t>0                      HQ 0518000B  634</t>
        </is>
      </c>
      <c r="D1415" t="inlineStr">
        <is>
          <t>Parents and children : the ethics of the family / Jeffrey Blustein.</t>
        </is>
      </c>
      <c r="F1415" t="inlineStr">
        <is>
          <t>No</t>
        </is>
      </c>
      <c r="G1415" t="inlineStr">
        <is>
          <t>1</t>
        </is>
      </c>
      <c r="H1415" t="inlineStr">
        <is>
          <t>No</t>
        </is>
      </c>
      <c r="I1415" t="inlineStr">
        <is>
          <t>No</t>
        </is>
      </c>
      <c r="J1415" t="inlineStr">
        <is>
          <t>0</t>
        </is>
      </c>
      <c r="K1415" t="inlineStr">
        <is>
          <t>Blustein, Jeffrey.</t>
        </is>
      </c>
      <c r="L1415" t="inlineStr">
        <is>
          <t>New York : Oxford University Press, 1982.</t>
        </is>
      </c>
      <c r="M1415" t="inlineStr">
        <is>
          <t>1982</t>
        </is>
      </c>
      <c r="O1415" t="inlineStr">
        <is>
          <t>eng</t>
        </is>
      </c>
      <c r="P1415" t="inlineStr">
        <is>
          <t>nyu</t>
        </is>
      </c>
      <c r="R1415" t="inlineStr">
        <is>
          <t xml:space="preserve">HQ </t>
        </is>
      </c>
      <c r="S1415" t="n">
        <v>5</v>
      </c>
      <c r="T1415" t="n">
        <v>5</v>
      </c>
      <c r="U1415" t="inlineStr">
        <is>
          <t>2002-04-24</t>
        </is>
      </c>
      <c r="V1415" t="inlineStr">
        <is>
          <t>2002-04-24</t>
        </is>
      </c>
      <c r="W1415" t="inlineStr">
        <is>
          <t>1994-12-08</t>
        </is>
      </c>
      <c r="X1415" t="inlineStr">
        <is>
          <t>1994-12-08</t>
        </is>
      </c>
      <c r="Y1415" t="n">
        <v>698</v>
      </c>
      <c r="Z1415" t="n">
        <v>578</v>
      </c>
      <c r="AA1415" t="n">
        <v>590</v>
      </c>
      <c r="AB1415" t="n">
        <v>5</v>
      </c>
      <c r="AC1415" t="n">
        <v>5</v>
      </c>
      <c r="AD1415" t="n">
        <v>28</v>
      </c>
      <c r="AE1415" t="n">
        <v>29</v>
      </c>
      <c r="AF1415" t="n">
        <v>12</v>
      </c>
      <c r="AG1415" t="n">
        <v>13</v>
      </c>
      <c r="AH1415" t="n">
        <v>7</v>
      </c>
      <c r="AI1415" t="n">
        <v>7</v>
      </c>
      <c r="AJ1415" t="n">
        <v>15</v>
      </c>
      <c r="AK1415" t="n">
        <v>15</v>
      </c>
      <c r="AL1415" t="n">
        <v>3</v>
      </c>
      <c r="AM1415" t="n">
        <v>3</v>
      </c>
      <c r="AN1415" t="n">
        <v>0</v>
      </c>
      <c r="AO1415" t="n">
        <v>0</v>
      </c>
      <c r="AP1415" t="inlineStr">
        <is>
          <t>No</t>
        </is>
      </c>
      <c r="AQ1415" t="inlineStr">
        <is>
          <t>Yes</t>
        </is>
      </c>
      <c r="AR1415">
        <f>HYPERLINK("http://catalog.hathitrust.org/Record/000270750","HathiTrust Record")</f>
        <v/>
      </c>
      <c r="AS1415">
        <f>HYPERLINK("https://creighton-primo.hosted.exlibrisgroup.com/primo-explore/search?tab=default_tab&amp;search_scope=EVERYTHING&amp;vid=01CRU&amp;lang=en_US&amp;offset=0&amp;query=any,contains,991005176319702656","Catalog Record")</f>
        <v/>
      </c>
      <c r="AT1415">
        <f>HYPERLINK("http://www.worldcat.org/oclc/7923373","WorldCat Record")</f>
        <v/>
      </c>
      <c r="AU1415" t="inlineStr">
        <is>
          <t>889643502:eng</t>
        </is>
      </c>
      <c r="AV1415" t="inlineStr">
        <is>
          <t>7923373</t>
        </is>
      </c>
      <c r="AW1415" t="inlineStr">
        <is>
          <t>991005176319702656</t>
        </is>
      </c>
      <c r="AX1415" t="inlineStr">
        <is>
          <t>991005176319702656</t>
        </is>
      </c>
      <c r="AY1415" t="inlineStr">
        <is>
          <t>2269258400002656</t>
        </is>
      </c>
      <c r="AZ1415" t="inlineStr">
        <is>
          <t>BOOK</t>
        </is>
      </c>
      <c r="BB1415" t="inlineStr">
        <is>
          <t>9780195030723</t>
        </is>
      </c>
      <c r="BC1415" t="inlineStr">
        <is>
          <t>32285001980993</t>
        </is>
      </c>
      <c r="BD1415" t="inlineStr">
        <is>
          <t>893810901</t>
        </is>
      </c>
    </row>
    <row r="1416">
      <c r="A1416" t="inlineStr">
        <is>
          <t>No</t>
        </is>
      </c>
      <c r="B1416" t="inlineStr">
        <is>
          <t>HQ518 .B73 1996</t>
        </is>
      </c>
      <c r="C1416" t="inlineStr">
        <is>
          <t>0                      HQ 0518000B  73          1996</t>
        </is>
      </c>
      <c r="D1416" t="inlineStr">
        <is>
          <t>Family secrets : the path to self-acceptance and reunion / John Bradshaw.</t>
        </is>
      </c>
      <c r="F1416" t="inlineStr">
        <is>
          <t>No</t>
        </is>
      </c>
      <c r="G1416" t="inlineStr">
        <is>
          <t>1</t>
        </is>
      </c>
      <c r="H1416" t="inlineStr">
        <is>
          <t>No</t>
        </is>
      </c>
      <c r="I1416" t="inlineStr">
        <is>
          <t>No</t>
        </is>
      </c>
      <c r="J1416" t="inlineStr">
        <is>
          <t>0</t>
        </is>
      </c>
      <c r="K1416" t="inlineStr">
        <is>
          <t>Bradshaw, John, 1933-2016.</t>
        </is>
      </c>
      <c r="L1416" t="inlineStr">
        <is>
          <t>New York : Bantam, 1996.</t>
        </is>
      </c>
      <c r="M1416" t="inlineStr">
        <is>
          <t>1996</t>
        </is>
      </c>
      <c r="N1416" t="inlineStr">
        <is>
          <t>Bantam trade pbk. ed.</t>
        </is>
      </c>
      <c r="O1416" t="inlineStr">
        <is>
          <t>eng</t>
        </is>
      </c>
      <c r="P1416" t="inlineStr">
        <is>
          <t>nyu</t>
        </is>
      </c>
      <c r="R1416" t="inlineStr">
        <is>
          <t xml:space="preserve">HQ </t>
        </is>
      </c>
      <c r="S1416" t="n">
        <v>3</v>
      </c>
      <c r="T1416" t="n">
        <v>3</v>
      </c>
      <c r="U1416" t="inlineStr">
        <is>
          <t>2005-03-21</t>
        </is>
      </c>
      <c r="V1416" t="inlineStr">
        <is>
          <t>2005-03-21</t>
        </is>
      </c>
      <c r="W1416" t="inlineStr">
        <is>
          <t>2002-11-18</t>
        </is>
      </c>
      <c r="X1416" t="inlineStr">
        <is>
          <t>2002-11-18</t>
        </is>
      </c>
      <c r="Y1416" t="n">
        <v>138</v>
      </c>
      <c r="Z1416" t="n">
        <v>115</v>
      </c>
      <c r="AA1416" t="n">
        <v>128</v>
      </c>
      <c r="AB1416" t="n">
        <v>1</v>
      </c>
      <c r="AC1416" t="n">
        <v>1</v>
      </c>
      <c r="AD1416" t="n">
        <v>0</v>
      </c>
      <c r="AE1416" t="n">
        <v>0</v>
      </c>
      <c r="AF1416" t="n">
        <v>0</v>
      </c>
      <c r="AG1416" t="n">
        <v>0</v>
      </c>
      <c r="AH1416" t="n">
        <v>0</v>
      </c>
      <c r="AI1416" t="n">
        <v>0</v>
      </c>
      <c r="AJ1416" t="n">
        <v>0</v>
      </c>
      <c r="AK1416" t="n">
        <v>0</v>
      </c>
      <c r="AL1416" t="n">
        <v>0</v>
      </c>
      <c r="AM1416" t="n">
        <v>0</v>
      </c>
      <c r="AN1416" t="n">
        <v>0</v>
      </c>
      <c r="AO1416" t="n">
        <v>0</v>
      </c>
      <c r="AP1416" t="inlineStr">
        <is>
          <t>No</t>
        </is>
      </c>
      <c r="AQ1416" t="inlineStr">
        <is>
          <t>No</t>
        </is>
      </c>
      <c r="AS1416">
        <f>HYPERLINK("https://creighton-primo.hosted.exlibrisgroup.com/primo-explore/search?tab=default_tab&amp;search_scope=EVERYTHING&amp;vid=01CRU&amp;lang=en_US&amp;offset=0&amp;query=any,contains,991003930609702656","Catalog Record")</f>
        <v/>
      </c>
      <c r="AT1416">
        <f>HYPERLINK("http://www.worldcat.org/oclc/34591129","WorldCat Record")</f>
        <v/>
      </c>
      <c r="AU1416" t="inlineStr">
        <is>
          <t>5090454313:eng</t>
        </is>
      </c>
      <c r="AV1416" t="inlineStr">
        <is>
          <t>34591129</t>
        </is>
      </c>
      <c r="AW1416" t="inlineStr">
        <is>
          <t>991003930609702656</t>
        </is>
      </c>
      <c r="AX1416" t="inlineStr">
        <is>
          <t>991003930609702656</t>
        </is>
      </c>
      <c r="AY1416" t="inlineStr">
        <is>
          <t>2263630010002656</t>
        </is>
      </c>
      <c r="AZ1416" t="inlineStr">
        <is>
          <t>BOOK</t>
        </is>
      </c>
      <c r="BB1416" t="inlineStr">
        <is>
          <t>9780553374988</t>
        </is>
      </c>
      <c r="BC1416" t="inlineStr">
        <is>
          <t>32285004664628</t>
        </is>
      </c>
      <c r="BD1416" t="inlineStr">
        <is>
          <t>893499897</t>
        </is>
      </c>
    </row>
    <row r="1417">
      <c r="A1417" t="inlineStr">
        <is>
          <t>No</t>
        </is>
      </c>
      <c r="B1417" t="inlineStr">
        <is>
          <t>HQ518 .B875 1994</t>
        </is>
      </c>
      <c r="C1417" t="inlineStr">
        <is>
          <t>0                      HQ 0518000B  875         1994</t>
        </is>
      </c>
      <c r="D1417" t="inlineStr">
        <is>
          <t>Reexamining family stress : new theory and research / Wesley R. Burr, Shirley R. Klein ; with Robert G. Burr ... [et al.].</t>
        </is>
      </c>
      <c r="F1417" t="inlineStr">
        <is>
          <t>No</t>
        </is>
      </c>
      <c r="G1417" t="inlineStr">
        <is>
          <t>1</t>
        </is>
      </c>
      <c r="H1417" t="inlineStr">
        <is>
          <t>No</t>
        </is>
      </c>
      <c r="I1417" t="inlineStr">
        <is>
          <t>No</t>
        </is>
      </c>
      <c r="J1417" t="inlineStr">
        <is>
          <t>0</t>
        </is>
      </c>
      <c r="K1417" t="inlineStr">
        <is>
          <t>Burr, Wesley R., 1936-</t>
        </is>
      </c>
      <c r="L1417" t="inlineStr">
        <is>
          <t>Thousand Oaks, Calif. : Sage Publications, c1994.</t>
        </is>
      </c>
      <c r="M1417" t="inlineStr">
        <is>
          <t>1994</t>
        </is>
      </c>
      <c r="O1417" t="inlineStr">
        <is>
          <t>eng</t>
        </is>
      </c>
      <c r="P1417" t="inlineStr">
        <is>
          <t>cau</t>
        </is>
      </c>
      <c r="Q1417" t="inlineStr">
        <is>
          <t>Sage library of social research ; v. 193</t>
        </is>
      </c>
      <c r="R1417" t="inlineStr">
        <is>
          <t xml:space="preserve">HQ </t>
        </is>
      </c>
      <c r="S1417" t="n">
        <v>10</v>
      </c>
      <c r="T1417" t="n">
        <v>10</v>
      </c>
      <c r="U1417" t="inlineStr">
        <is>
          <t>2007-04-01</t>
        </is>
      </c>
      <c r="V1417" t="inlineStr">
        <is>
          <t>2007-04-01</t>
        </is>
      </c>
      <c r="W1417" t="inlineStr">
        <is>
          <t>1994-03-14</t>
        </is>
      </c>
      <c r="X1417" t="inlineStr">
        <is>
          <t>1994-03-14</t>
        </is>
      </c>
      <c r="Y1417" t="n">
        <v>393</v>
      </c>
      <c r="Z1417" t="n">
        <v>310</v>
      </c>
      <c r="AA1417" t="n">
        <v>318</v>
      </c>
      <c r="AB1417" t="n">
        <v>4</v>
      </c>
      <c r="AC1417" t="n">
        <v>4</v>
      </c>
      <c r="AD1417" t="n">
        <v>22</v>
      </c>
      <c r="AE1417" t="n">
        <v>22</v>
      </c>
      <c r="AF1417" t="n">
        <v>7</v>
      </c>
      <c r="AG1417" t="n">
        <v>7</v>
      </c>
      <c r="AH1417" t="n">
        <v>6</v>
      </c>
      <c r="AI1417" t="n">
        <v>6</v>
      </c>
      <c r="AJ1417" t="n">
        <v>12</v>
      </c>
      <c r="AK1417" t="n">
        <v>12</v>
      </c>
      <c r="AL1417" t="n">
        <v>3</v>
      </c>
      <c r="AM1417" t="n">
        <v>3</v>
      </c>
      <c r="AN1417" t="n">
        <v>0</v>
      </c>
      <c r="AO1417" t="n">
        <v>0</v>
      </c>
      <c r="AP1417" t="inlineStr">
        <is>
          <t>No</t>
        </is>
      </c>
      <c r="AQ1417" t="inlineStr">
        <is>
          <t>Yes</t>
        </is>
      </c>
      <c r="AR1417">
        <f>HYPERLINK("http://catalog.hathitrust.org/Record/002817975","HathiTrust Record")</f>
        <v/>
      </c>
      <c r="AS1417">
        <f>HYPERLINK("https://creighton-primo.hosted.exlibrisgroup.com/primo-explore/search?tab=default_tab&amp;search_scope=EVERYTHING&amp;vid=01CRU&amp;lang=en_US&amp;offset=0&amp;query=any,contains,991002243789702656","Catalog Record")</f>
        <v/>
      </c>
      <c r="AT1417">
        <f>HYPERLINK("http://www.worldcat.org/oclc/28929392","WorldCat Record")</f>
        <v/>
      </c>
      <c r="AU1417" t="inlineStr">
        <is>
          <t>31336216:eng</t>
        </is>
      </c>
      <c r="AV1417" t="inlineStr">
        <is>
          <t>28929392</t>
        </is>
      </c>
      <c r="AW1417" t="inlineStr">
        <is>
          <t>991002243789702656</t>
        </is>
      </c>
      <c r="AX1417" t="inlineStr">
        <is>
          <t>991002243789702656</t>
        </is>
      </c>
      <c r="AY1417" t="inlineStr">
        <is>
          <t>2270676650002656</t>
        </is>
      </c>
      <c r="AZ1417" t="inlineStr">
        <is>
          <t>BOOK</t>
        </is>
      </c>
      <c r="BB1417" t="inlineStr">
        <is>
          <t>9780803949294</t>
        </is>
      </c>
      <c r="BC1417" t="inlineStr">
        <is>
          <t>32285001856474</t>
        </is>
      </c>
      <c r="BD1417" t="inlineStr">
        <is>
          <t>893710048</t>
        </is>
      </c>
    </row>
    <row r="1418">
      <c r="A1418" t="inlineStr">
        <is>
          <t>No</t>
        </is>
      </c>
      <c r="B1418" t="inlineStr">
        <is>
          <t>HQ518 .C74 1989</t>
        </is>
      </c>
      <c r="C1418" t="inlineStr">
        <is>
          <t>0                      HQ 0518000C  74          1989</t>
        </is>
      </c>
      <c r="D1418" t="inlineStr">
        <is>
          <t>Cross-cultural perspectives on families, work, and change / Katja Boh, Giovanni Sgritta, Marvin B. Sussman, editors.</t>
        </is>
      </c>
      <c r="F1418" t="inlineStr">
        <is>
          <t>No</t>
        </is>
      </c>
      <c r="G1418" t="inlineStr">
        <is>
          <t>1</t>
        </is>
      </c>
      <c r="H1418" t="inlineStr">
        <is>
          <t>No</t>
        </is>
      </c>
      <c r="I1418" t="inlineStr">
        <is>
          <t>No</t>
        </is>
      </c>
      <c r="J1418" t="inlineStr">
        <is>
          <t>0</t>
        </is>
      </c>
      <c r="L1418" t="inlineStr">
        <is>
          <t>New York : Haworth Press, c1989.</t>
        </is>
      </c>
      <c r="M1418" t="inlineStr">
        <is>
          <t>1989</t>
        </is>
      </c>
      <c r="O1418" t="inlineStr">
        <is>
          <t>eng</t>
        </is>
      </c>
      <c r="P1418" t="inlineStr">
        <is>
          <t>nyu</t>
        </is>
      </c>
      <c r="R1418" t="inlineStr">
        <is>
          <t xml:space="preserve">HQ </t>
        </is>
      </c>
      <c r="S1418" t="n">
        <v>2</v>
      </c>
      <c r="T1418" t="n">
        <v>2</v>
      </c>
      <c r="U1418" t="inlineStr">
        <is>
          <t>1996-04-23</t>
        </is>
      </c>
      <c r="V1418" t="inlineStr">
        <is>
          <t>1996-04-23</t>
        </is>
      </c>
      <c r="W1418" t="inlineStr">
        <is>
          <t>1990-10-09</t>
        </is>
      </c>
      <c r="X1418" t="inlineStr">
        <is>
          <t>1990-10-09</t>
        </is>
      </c>
      <c r="Y1418" t="n">
        <v>153</v>
      </c>
      <c r="Z1418" t="n">
        <v>118</v>
      </c>
      <c r="AA1418" t="n">
        <v>118</v>
      </c>
      <c r="AB1418" t="n">
        <v>3</v>
      </c>
      <c r="AC1418" t="n">
        <v>3</v>
      </c>
      <c r="AD1418" t="n">
        <v>5</v>
      </c>
      <c r="AE1418" t="n">
        <v>5</v>
      </c>
      <c r="AF1418" t="n">
        <v>0</v>
      </c>
      <c r="AG1418" t="n">
        <v>0</v>
      </c>
      <c r="AH1418" t="n">
        <v>2</v>
      </c>
      <c r="AI1418" t="n">
        <v>2</v>
      </c>
      <c r="AJ1418" t="n">
        <v>2</v>
      </c>
      <c r="AK1418" t="n">
        <v>2</v>
      </c>
      <c r="AL1418" t="n">
        <v>2</v>
      </c>
      <c r="AM1418" t="n">
        <v>2</v>
      </c>
      <c r="AN1418" t="n">
        <v>0</v>
      </c>
      <c r="AO1418" t="n">
        <v>0</v>
      </c>
      <c r="AP1418" t="inlineStr">
        <is>
          <t>No</t>
        </is>
      </c>
      <c r="AQ1418" t="inlineStr">
        <is>
          <t>No</t>
        </is>
      </c>
      <c r="AS1418">
        <f>HYPERLINK("https://creighton-primo.hosted.exlibrisgroup.com/primo-explore/search?tab=default_tab&amp;search_scope=EVERYTHING&amp;vid=01CRU&amp;lang=en_US&amp;offset=0&amp;query=any,contains,991001562349702656","Catalog Record")</f>
        <v/>
      </c>
      <c r="AT1418">
        <f>HYPERLINK("http://www.worldcat.org/oclc/20318365","WorldCat Record")</f>
        <v/>
      </c>
      <c r="AU1418" t="inlineStr">
        <is>
          <t>368095563:eng</t>
        </is>
      </c>
      <c r="AV1418" t="inlineStr">
        <is>
          <t>20318365</t>
        </is>
      </c>
      <c r="AW1418" t="inlineStr">
        <is>
          <t>991001562349702656</t>
        </is>
      </c>
      <c r="AX1418" t="inlineStr">
        <is>
          <t>991001562349702656</t>
        </is>
      </c>
      <c r="AY1418" t="inlineStr">
        <is>
          <t>2257791720002656</t>
        </is>
      </c>
      <c r="AZ1418" t="inlineStr">
        <is>
          <t>BOOK</t>
        </is>
      </c>
      <c r="BB1418" t="inlineStr">
        <is>
          <t>9780866569613</t>
        </is>
      </c>
      <c r="BC1418" t="inlineStr">
        <is>
          <t>32285000279736</t>
        </is>
      </c>
      <c r="BD1418" t="inlineStr">
        <is>
          <t>893721051</t>
        </is>
      </c>
    </row>
    <row r="1419">
      <c r="A1419" t="inlineStr">
        <is>
          <t>No</t>
        </is>
      </c>
      <c r="B1419" t="inlineStr">
        <is>
          <t>HQ518 .F3428 1991, v...</t>
        </is>
      </c>
      <c r="C1419" t="inlineStr">
        <is>
          <t>0                      HQ 0518000F  3428        1991                                        v...</t>
        </is>
      </c>
      <c r="D1419" t="inlineStr">
        <is>
          <t>Family research : a sixty-year review, 1930-1990 / edited by Stephen J. Bahr.</t>
        </is>
      </c>
      <c r="E1419" t="inlineStr">
        <is>
          <t>V.1</t>
        </is>
      </c>
      <c r="F1419" t="inlineStr">
        <is>
          <t>No</t>
        </is>
      </c>
      <c r="G1419" t="inlineStr">
        <is>
          <t>1</t>
        </is>
      </c>
      <c r="H1419" t="inlineStr">
        <is>
          <t>No</t>
        </is>
      </c>
      <c r="I1419" t="inlineStr">
        <is>
          <t>No</t>
        </is>
      </c>
      <c r="J1419" t="inlineStr">
        <is>
          <t>0</t>
        </is>
      </c>
      <c r="L1419" t="inlineStr">
        <is>
          <t>Lexington, Mass. : Lexington Books, 1991-</t>
        </is>
      </c>
      <c r="M1419" t="inlineStr">
        <is>
          <t>1991</t>
        </is>
      </c>
      <c r="O1419" t="inlineStr">
        <is>
          <t>eng</t>
        </is>
      </c>
      <c r="P1419" t="inlineStr">
        <is>
          <t>mau</t>
        </is>
      </c>
      <c r="R1419" t="inlineStr">
        <is>
          <t xml:space="preserve">HQ </t>
        </is>
      </c>
      <c r="S1419" t="n">
        <v>5</v>
      </c>
      <c r="T1419" t="n">
        <v>5</v>
      </c>
      <c r="U1419" t="inlineStr">
        <is>
          <t>1995-10-22</t>
        </is>
      </c>
      <c r="V1419" t="inlineStr">
        <is>
          <t>1995-10-22</t>
        </is>
      </c>
      <c r="W1419" t="inlineStr">
        <is>
          <t>1992-08-25</t>
        </is>
      </c>
      <c r="X1419" t="inlineStr">
        <is>
          <t>1992-08-25</t>
        </is>
      </c>
      <c r="Y1419" t="n">
        <v>364</v>
      </c>
      <c r="Z1419" t="n">
        <v>304</v>
      </c>
      <c r="AA1419" t="n">
        <v>306</v>
      </c>
      <c r="AB1419" t="n">
        <v>3</v>
      </c>
      <c r="AC1419" t="n">
        <v>3</v>
      </c>
      <c r="AD1419" t="n">
        <v>15</v>
      </c>
      <c r="AE1419" t="n">
        <v>15</v>
      </c>
      <c r="AF1419" t="n">
        <v>3</v>
      </c>
      <c r="AG1419" t="n">
        <v>3</v>
      </c>
      <c r="AH1419" t="n">
        <v>5</v>
      </c>
      <c r="AI1419" t="n">
        <v>5</v>
      </c>
      <c r="AJ1419" t="n">
        <v>10</v>
      </c>
      <c r="AK1419" t="n">
        <v>10</v>
      </c>
      <c r="AL1419" t="n">
        <v>2</v>
      </c>
      <c r="AM1419" t="n">
        <v>2</v>
      </c>
      <c r="AN1419" t="n">
        <v>0</v>
      </c>
      <c r="AO1419" t="n">
        <v>0</v>
      </c>
      <c r="AP1419" t="inlineStr">
        <is>
          <t>No</t>
        </is>
      </c>
      <c r="AQ1419" t="inlineStr">
        <is>
          <t>Yes</t>
        </is>
      </c>
      <c r="AR1419">
        <f>HYPERLINK("http://catalog.hathitrust.org/Record/002533201","HathiTrust Record")</f>
        <v/>
      </c>
      <c r="AS1419">
        <f>HYPERLINK("https://creighton-primo.hosted.exlibrisgroup.com/primo-explore/search?tab=default_tab&amp;search_scope=EVERYTHING&amp;vid=01CRU&amp;lang=en_US&amp;offset=0&amp;query=any,contains,991001827279702656","Catalog Record")</f>
        <v/>
      </c>
      <c r="AT1419">
        <f>HYPERLINK("http://www.worldcat.org/oclc/22954204","WorldCat Record")</f>
        <v/>
      </c>
      <c r="AU1419" t="inlineStr">
        <is>
          <t>3373128552:eng</t>
        </is>
      </c>
      <c r="AV1419" t="inlineStr">
        <is>
          <t>22954204</t>
        </is>
      </c>
      <c r="AW1419" t="inlineStr">
        <is>
          <t>991001827279702656</t>
        </is>
      </c>
      <c r="AX1419" t="inlineStr">
        <is>
          <t>991001827279702656</t>
        </is>
      </c>
      <c r="AY1419" t="inlineStr">
        <is>
          <t>2263830040002656</t>
        </is>
      </c>
      <c r="AZ1419" t="inlineStr">
        <is>
          <t>BOOK</t>
        </is>
      </c>
      <c r="BB1419" t="inlineStr">
        <is>
          <t>9780669219272</t>
        </is>
      </c>
      <c r="BC1419" t="inlineStr">
        <is>
          <t>32285001198372</t>
        </is>
      </c>
      <c r="BD1419" t="inlineStr">
        <is>
          <t>893316097</t>
        </is>
      </c>
    </row>
    <row r="1420">
      <c r="A1420" t="inlineStr">
        <is>
          <t>No</t>
        </is>
      </c>
      <c r="B1420" t="inlineStr">
        <is>
          <t>HQ518 .F45 1994</t>
        </is>
      </c>
      <c r="C1420" t="inlineStr">
        <is>
          <t>0                      HQ 0518000F  45          1994</t>
        </is>
      </c>
      <c r="D1420" t="inlineStr">
        <is>
          <t>Gender, families, and close relationships : feminist research journeys / edited by Donna L. Sollie, Leigh A. Leslie.</t>
        </is>
      </c>
      <c r="F1420" t="inlineStr">
        <is>
          <t>No</t>
        </is>
      </c>
      <c r="G1420" t="inlineStr">
        <is>
          <t>1</t>
        </is>
      </c>
      <c r="H1420" t="inlineStr">
        <is>
          <t>No</t>
        </is>
      </c>
      <c r="I1420" t="inlineStr">
        <is>
          <t>No</t>
        </is>
      </c>
      <c r="J1420" t="inlineStr">
        <is>
          <t>0</t>
        </is>
      </c>
      <c r="L1420" t="inlineStr">
        <is>
          <t>Thousand Oaks, Calif. : Sage Publications, c1994.</t>
        </is>
      </c>
      <c r="M1420" t="inlineStr">
        <is>
          <t>1994</t>
        </is>
      </c>
      <c r="O1420" t="inlineStr">
        <is>
          <t>eng</t>
        </is>
      </c>
      <c r="P1420" t="inlineStr">
        <is>
          <t>cau</t>
        </is>
      </c>
      <c r="Q1420" t="inlineStr">
        <is>
          <t>Current issues in the family ; v. 2</t>
        </is>
      </c>
      <c r="R1420" t="inlineStr">
        <is>
          <t xml:space="preserve">HQ </t>
        </is>
      </c>
      <c r="S1420" t="n">
        <v>7</v>
      </c>
      <c r="T1420" t="n">
        <v>7</v>
      </c>
      <c r="U1420" t="inlineStr">
        <is>
          <t>2000-12-01</t>
        </is>
      </c>
      <c r="V1420" t="inlineStr">
        <is>
          <t>2000-12-01</t>
        </is>
      </c>
      <c r="W1420" t="inlineStr">
        <is>
          <t>1994-11-07</t>
        </is>
      </c>
      <c r="X1420" t="inlineStr">
        <is>
          <t>1994-11-07</t>
        </is>
      </c>
      <c r="Y1420" t="n">
        <v>402</v>
      </c>
      <c r="Z1420" t="n">
        <v>287</v>
      </c>
      <c r="AA1420" t="n">
        <v>347</v>
      </c>
      <c r="AB1420" t="n">
        <v>3</v>
      </c>
      <c r="AC1420" t="n">
        <v>3</v>
      </c>
      <c r="AD1420" t="n">
        <v>19</v>
      </c>
      <c r="AE1420" t="n">
        <v>22</v>
      </c>
      <c r="AF1420" t="n">
        <v>6</v>
      </c>
      <c r="AG1420" t="n">
        <v>7</v>
      </c>
      <c r="AH1420" t="n">
        <v>6</v>
      </c>
      <c r="AI1420" t="n">
        <v>7</v>
      </c>
      <c r="AJ1420" t="n">
        <v>11</v>
      </c>
      <c r="AK1420" t="n">
        <v>12</v>
      </c>
      <c r="AL1420" t="n">
        <v>2</v>
      </c>
      <c r="AM1420" t="n">
        <v>2</v>
      </c>
      <c r="AN1420" t="n">
        <v>0</v>
      </c>
      <c r="AO1420" t="n">
        <v>0</v>
      </c>
      <c r="AP1420" t="inlineStr">
        <is>
          <t>No</t>
        </is>
      </c>
      <c r="AQ1420" t="inlineStr">
        <is>
          <t>Yes</t>
        </is>
      </c>
      <c r="AR1420">
        <f>HYPERLINK("http://catalog.hathitrust.org/Record/002883143","HathiTrust Record")</f>
        <v/>
      </c>
      <c r="AS1420">
        <f>HYPERLINK("https://creighton-primo.hosted.exlibrisgroup.com/primo-explore/search?tab=default_tab&amp;search_scope=EVERYTHING&amp;vid=01CRU&amp;lang=en_US&amp;offset=0&amp;query=any,contains,991002335529702656","Catalog Record")</f>
        <v/>
      </c>
      <c r="AT1420">
        <f>HYPERLINK("http://www.worldcat.org/oclc/30398987","WorldCat Record")</f>
        <v/>
      </c>
      <c r="AU1420" t="inlineStr">
        <is>
          <t>836875636:eng</t>
        </is>
      </c>
      <c r="AV1420" t="inlineStr">
        <is>
          <t>30398987</t>
        </is>
      </c>
      <c r="AW1420" t="inlineStr">
        <is>
          <t>991002335529702656</t>
        </is>
      </c>
      <c r="AX1420" t="inlineStr">
        <is>
          <t>991002335529702656</t>
        </is>
      </c>
      <c r="AY1420" t="inlineStr">
        <is>
          <t>2270731790002656</t>
        </is>
      </c>
      <c r="AZ1420" t="inlineStr">
        <is>
          <t>BOOK</t>
        </is>
      </c>
      <c r="BB1420" t="inlineStr">
        <is>
          <t>9780803952072</t>
        </is>
      </c>
      <c r="BC1420" t="inlineStr">
        <is>
          <t>32285001956449</t>
        </is>
      </c>
      <c r="BD1420" t="inlineStr">
        <is>
          <t>893697655</t>
        </is>
      </c>
    </row>
    <row r="1421">
      <c r="A1421" t="inlineStr">
        <is>
          <t>No</t>
        </is>
      </c>
      <c r="B1421" t="inlineStr">
        <is>
          <t>HQ518 .G75 1989</t>
        </is>
      </c>
      <c r="C1421" t="inlineStr">
        <is>
          <t>0                      HQ 0518000G  75          1989</t>
        </is>
      </c>
      <c r="D1421" t="inlineStr">
        <is>
          <t>Family assessment : a guide to methods and measures / Harold D. Grotevant, Cindy I. Carlson.</t>
        </is>
      </c>
      <c r="F1421" t="inlineStr">
        <is>
          <t>No</t>
        </is>
      </c>
      <c r="G1421" t="inlineStr">
        <is>
          <t>1</t>
        </is>
      </c>
      <c r="H1421" t="inlineStr">
        <is>
          <t>No</t>
        </is>
      </c>
      <c r="I1421" t="inlineStr">
        <is>
          <t>No</t>
        </is>
      </c>
      <c r="J1421" t="inlineStr">
        <is>
          <t>0</t>
        </is>
      </c>
      <c r="K1421" t="inlineStr">
        <is>
          <t>Grotevant, Harold D.</t>
        </is>
      </c>
      <c r="L1421" t="inlineStr">
        <is>
          <t>New York : Guilford Press, c1989.</t>
        </is>
      </c>
      <c r="M1421" t="inlineStr">
        <is>
          <t>1989</t>
        </is>
      </c>
      <c r="O1421" t="inlineStr">
        <is>
          <t>eng</t>
        </is>
      </c>
      <c r="P1421" t="inlineStr">
        <is>
          <t>nyu</t>
        </is>
      </c>
      <c r="R1421" t="inlineStr">
        <is>
          <t xml:space="preserve">HQ </t>
        </is>
      </c>
      <c r="S1421" t="n">
        <v>10</v>
      </c>
      <c r="T1421" t="n">
        <v>10</v>
      </c>
      <c r="U1421" t="inlineStr">
        <is>
          <t>1998-02-07</t>
        </is>
      </c>
      <c r="V1421" t="inlineStr">
        <is>
          <t>1998-02-07</t>
        </is>
      </c>
      <c r="W1421" t="inlineStr">
        <is>
          <t>1991-07-03</t>
        </is>
      </c>
      <c r="X1421" t="inlineStr">
        <is>
          <t>1991-07-03</t>
        </is>
      </c>
      <c r="Y1421" t="n">
        <v>497</v>
      </c>
      <c r="Z1421" t="n">
        <v>399</v>
      </c>
      <c r="AA1421" t="n">
        <v>400</v>
      </c>
      <c r="AB1421" t="n">
        <v>3</v>
      </c>
      <c r="AC1421" t="n">
        <v>3</v>
      </c>
      <c r="AD1421" t="n">
        <v>22</v>
      </c>
      <c r="AE1421" t="n">
        <v>22</v>
      </c>
      <c r="AF1421" t="n">
        <v>6</v>
      </c>
      <c r="AG1421" t="n">
        <v>6</v>
      </c>
      <c r="AH1421" t="n">
        <v>6</v>
      </c>
      <c r="AI1421" t="n">
        <v>6</v>
      </c>
      <c r="AJ1421" t="n">
        <v>14</v>
      </c>
      <c r="AK1421" t="n">
        <v>14</v>
      </c>
      <c r="AL1421" t="n">
        <v>2</v>
      </c>
      <c r="AM1421" t="n">
        <v>2</v>
      </c>
      <c r="AN1421" t="n">
        <v>0</v>
      </c>
      <c r="AO1421" t="n">
        <v>0</v>
      </c>
      <c r="AP1421" t="inlineStr">
        <is>
          <t>No</t>
        </is>
      </c>
      <c r="AQ1421" t="inlineStr">
        <is>
          <t>No</t>
        </is>
      </c>
      <c r="AS1421">
        <f>HYPERLINK("https://creighton-primo.hosted.exlibrisgroup.com/primo-explore/search?tab=default_tab&amp;search_scope=EVERYTHING&amp;vid=01CRU&amp;lang=en_US&amp;offset=0&amp;query=any,contains,991001270399702656","Catalog Record")</f>
        <v/>
      </c>
      <c r="AT1421">
        <f>HYPERLINK("http://www.worldcat.org/oclc/17841078","WorldCat Record")</f>
        <v/>
      </c>
      <c r="AU1421" t="inlineStr">
        <is>
          <t>16966646:eng</t>
        </is>
      </c>
      <c r="AV1421" t="inlineStr">
        <is>
          <t>17841078</t>
        </is>
      </c>
      <c r="AW1421" t="inlineStr">
        <is>
          <t>991001270399702656</t>
        </is>
      </c>
      <c r="AX1421" t="inlineStr">
        <is>
          <t>991001270399702656</t>
        </is>
      </c>
      <c r="AY1421" t="inlineStr">
        <is>
          <t>2268855780002656</t>
        </is>
      </c>
      <c r="AZ1421" t="inlineStr">
        <is>
          <t>BOOK</t>
        </is>
      </c>
      <c r="BB1421" t="inlineStr">
        <is>
          <t>9780898627336</t>
        </is>
      </c>
      <c r="BC1421" t="inlineStr">
        <is>
          <t>32285000659648</t>
        </is>
      </c>
      <c r="BD1421" t="inlineStr">
        <is>
          <t>893885196</t>
        </is>
      </c>
    </row>
    <row r="1422">
      <c r="A1422" t="inlineStr">
        <is>
          <t>No</t>
        </is>
      </c>
      <c r="B1422" t="inlineStr">
        <is>
          <t>HQ518 .H57 1995</t>
        </is>
      </c>
      <c r="C1422" t="inlineStr">
        <is>
          <t>0                      HQ 0518000H  57          1995</t>
        </is>
      </c>
      <c r="D1422" t="inlineStr">
        <is>
          <t>The Hite report on the family : growing up under patriarchy / Shere Hite.</t>
        </is>
      </c>
      <c r="F1422" t="inlineStr">
        <is>
          <t>No</t>
        </is>
      </c>
      <c r="G1422" t="inlineStr">
        <is>
          <t>1</t>
        </is>
      </c>
      <c r="H1422" t="inlineStr">
        <is>
          <t>No</t>
        </is>
      </c>
      <c r="I1422" t="inlineStr">
        <is>
          <t>No</t>
        </is>
      </c>
      <c r="J1422" t="inlineStr">
        <is>
          <t>0</t>
        </is>
      </c>
      <c r="K1422" t="inlineStr">
        <is>
          <t>Hite, Shere.</t>
        </is>
      </c>
      <c r="L1422" t="inlineStr">
        <is>
          <t>New York : Grove Press, 1995.</t>
        </is>
      </c>
      <c r="M1422" t="inlineStr">
        <is>
          <t>1995</t>
        </is>
      </c>
      <c r="O1422" t="inlineStr">
        <is>
          <t>eng</t>
        </is>
      </c>
      <c r="P1422" t="inlineStr">
        <is>
          <t>nyu</t>
        </is>
      </c>
      <c r="R1422" t="inlineStr">
        <is>
          <t xml:space="preserve">HQ </t>
        </is>
      </c>
      <c r="S1422" t="n">
        <v>14</v>
      </c>
      <c r="T1422" t="n">
        <v>14</v>
      </c>
      <c r="U1422" t="inlineStr">
        <is>
          <t>2000-11-05</t>
        </is>
      </c>
      <c r="V1422" t="inlineStr">
        <is>
          <t>2000-11-05</t>
        </is>
      </c>
      <c r="W1422" t="inlineStr">
        <is>
          <t>1995-08-01</t>
        </is>
      </c>
      <c r="X1422" t="inlineStr">
        <is>
          <t>1995-08-01</t>
        </is>
      </c>
      <c r="Y1422" t="n">
        <v>929</v>
      </c>
      <c r="Z1422" t="n">
        <v>878</v>
      </c>
      <c r="AA1422" t="n">
        <v>953</v>
      </c>
      <c r="AB1422" t="n">
        <v>7</v>
      </c>
      <c r="AC1422" t="n">
        <v>7</v>
      </c>
      <c r="AD1422" t="n">
        <v>28</v>
      </c>
      <c r="AE1422" t="n">
        <v>30</v>
      </c>
      <c r="AF1422" t="n">
        <v>11</v>
      </c>
      <c r="AG1422" t="n">
        <v>11</v>
      </c>
      <c r="AH1422" t="n">
        <v>7</v>
      </c>
      <c r="AI1422" t="n">
        <v>7</v>
      </c>
      <c r="AJ1422" t="n">
        <v>13</v>
      </c>
      <c r="AK1422" t="n">
        <v>15</v>
      </c>
      <c r="AL1422" t="n">
        <v>5</v>
      </c>
      <c r="AM1422" t="n">
        <v>5</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HYPERLINK("https://creighton-primo.hosted.exlibrisgroup.com/primo-explore/search?tab=default_tab&amp;search_scope=EVERYTHING&amp;vid=01CRU&amp;lang=en_US&amp;offset=0&amp;query=any,contains,991002428439702656","Catalog Record")</f>
        <v/>
      </c>
      <c r="AT1422">
        <f>HYPERLINK("http://www.worldcat.org/oclc/31656098","WorldCat Record")</f>
        <v/>
      </c>
      <c r="AU1422" t="inlineStr">
        <is>
          <t>33634321:eng</t>
        </is>
      </c>
      <c r="AV1422" t="inlineStr">
        <is>
          <t>31656098</t>
        </is>
      </c>
      <c r="AW1422" t="inlineStr">
        <is>
          <t>991002428439702656</t>
        </is>
      </c>
      <c r="AX1422" t="inlineStr">
        <is>
          <t>991002428439702656</t>
        </is>
      </c>
      <c r="AY1422" t="inlineStr">
        <is>
          <t>2268816200002656</t>
        </is>
      </c>
      <c r="AZ1422" t="inlineStr">
        <is>
          <t>BOOK</t>
        </is>
      </c>
      <c r="BB1422" t="inlineStr">
        <is>
          <t>9780802115706</t>
        </is>
      </c>
      <c r="BC1422" t="inlineStr">
        <is>
          <t>32285002076932</t>
        </is>
      </c>
      <c r="BD1422" t="inlineStr">
        <is>
          <t>893892537</t>
        </is>
      </c>
    </row>
    <row r="1423">
      <c r="A1423" t="inlineStr">
        <is>
          <t>No</t>
        </is>
      </c>
      <c r="B1423" t="inlineStr">
        <is>
          <t>HQ518 .H86 1988</t>
        </is>
      </c>
      <c r="C1423" t="inlineStr">
        <is>
          <t>0                      HQ 0518000H  86          1988</t>
        </is>
      </c>
      <c r="D1423" t="inlineStr">
        <is>
          <t>Families with a difference : varieties of surrogate parenthood / Michael and Heather Humphrey.</t>
        </is>
      </c>
      <c r="F1423" t="inlineStr">
        <is>
          <t>No</t>
        </is>
      </c>
      <c r="G1423" t="inlineStr">
        <is>
          <t>1</t>
        </is>
      </c>
      <c r="H1423" t="inlineStr">
        <is>
          <t>No</t>
        </is>
      </c>
      <c r="I1423" t="inlineStr">
        <is>
          <t>No</t>
        </is>
      </c>
      <c r="J1423" t="inlineStr">
        <is>
          <t>0</t>
        </is>
      </c>
      <c r="K1423" t="inlineStr">
        <is>
          <t>Humphrey, Michael.</t>
        </is>
      </c>
      <c r="L1423" t="inlineStr">
        <is>
          <t>London ; New York, NY : Routledge, 1988.</t>
        </is>
      </c>
      <c r="M1423" t="inlineStr">
        <is>
          <t>1988</t>
        </is>
      </c>
      <c r="O1423" t="inlineStr">
        <is>
          <t>eng</t>
        </is>
      </c>
      <c r="P1423" t="inlineStr">
        <is>
          <t>enk</t>
        </is>
      </c>
      <c r="R1423" t="inlineStr">
        <is>
          <t xml:space="preserve">HQ </t>
        </is>
      </c>
      <c r="S1423" t="n">
        <v>24</v>
      </c>
      <c r="T1423" t="n">
        <v>24</v>
      </c>
      <c r="U1423" t="inlineStr">
        <is>
          <t>1998-10-27</t>
        </is>
      </c>
      <c r="V1423" t="inlineStr">
        <is>
          <t>1998-10-27</t>
        </is>
      </c>
      <c r="W1423" t="inlineStr">
        <is>
          <t>1990-02-14</t>
        </is>
      </c>
      <c r="X1423" t="inlineStr">
        <is>
          <t>1990-02-14</t>
        </is>
      </c>
      <c r="Y1423" t="n">
        <v>403</v>
      </c>
      <c r="Z1423" t="n">
        <v>246</v>
      </c>
      <c r="AA1423" t="n">
        <v>253</v>
      </c>
      <c r="AB1423" t="n">
        <v>3</v>
      </c>
      <c r="AC1423" t="n">
        <v>3</v>
      </c>
      <c r="AD1423" t="n">
        <v>9</v>
      </c>
      <c r="AE1423" t="n">
        <v>9</v>
      </c>
      <c r="AF1423" t="n">
        <v>2</v>
      </c>
      <c r="AG1423" t="n">
        <v>2</v>
      </c>
      <c r="AH1423" t="n">
        <v>2</v>
      </c>
      <c r="AI1423" t="n">
        <v>2</v>
      </c>
      <c r="AJ1423" t="n">
        <v>4</v>
      </c>
      <c r="AK1423" t="n">
        <v>4</v>
      </c>
      <c r="AL1423" t="n">
        <v>2</v>
      </c>
      <c r="AM1423" t="n">
        <v>2</v>
      </c>
      <c r="AN1423" t="n">
        <v>1</v>
      </c>
      <c r="AO1423" t="n">
        <v>1</v>
      </c>
      <c r="AP1423" t="inlineStr">
        <is>
          <t>No</t>
        </is>
      </c>
      <c r="AQ1423" t="inlineStr">
        <is>
          <t>Yes</t>
        </is>
      </c>
      <c r="AR1423">
        <f>HYPERLINK("http://catalog.hathitrust.org/Record/000929017","HathiTrust Record")</f>
        <v/>
      </c>
      <c r="AS1423">
        <f>HYPERLINK("https://creighton-primo.hosted.exlibrisgroup.com/primo-explore/search?tab=default_tab&amp;search_scope=EVERYTHING&amp;vid=01CRU&amp;lang=en_US&amp;offset=0&amp;query=any,contains,991001197859702656","Catalog Record")</f>
        <v/>
      </c>
      <c r="AT1423">
        <f>HYPERLINK("http://www.worldcat.org/oclc/17298061","WorldCat Record")</f>
        <v/>
      </c>
      <c r="AU1423" t="inlineStr">
        <is>
          <t>16190136:eng</t>
        </is>
      </c>
      <c r="AV1423" t="inlineStr">
        <is>
          <t>17298061</t>
        </is>
      </c>
      <c r="AW1423" t="inlineStr">
        <is>
          <t>991001197859702656</t>
        </is>
      </c>
      <c r="AX1423" t="inlineStr">
        <is>
          <t>991001197859702656</t>
        </is>
      </c>
      <c r="AY1423" t="inlineStr">
        <is>
          <t>2269173440002656</t>
        </is>
      </c>
      <c r="AZ1423" t="inlineStr">
        <is>
          <t>BOOK</t>
        </is>
      </c>
      <c r="BB1423" t="inlineStr">
        <is>
          <t>9780415006903</t>
        </is>
      </c>
      <c r="BC1423" t="inlineStr">
        <is>
          <t>32285000053230</t>
        </is>
      </c>
      <c r="BD1423" t="inlineStr">
        <is>
          <t>893702827</t>
        </is>
      </c>
    </row>
    <row r="1424">
      <c r="A1424" t="inlineStr">
        <is>
          <t>No</t>
        </is>
      </c>
      <c r="B1424" t="inlineStr">
        <is>
          <t>HQ518 .I58 1977</t>
        </is>
      </c>
      <c r="C1424" t="inlineStr">
        <is>
          <t>0                      HQ 0518000I  58          1977</t>
        </is>
      </c>
      <c r="D1424" t="inlineStr">
        <is>
          <t>Family violence : an international and interdisciplinary study / edited by John M. Eekelaar, Sanford N. Katz ; with an introduction by Anthony Storr.</t>
        </is>
      </c>
      <c r="F1424" t="inlineStr">
        <is>
          <t>No</t>
        </is>
      </c>
      <c r="G1424" t="inlineStr">
        <is>
          <t>1</t>
        </is>
      </c>
      <c r="H1424" t="inlineStr">
        <is>
          <t>No</t>
        </is>
      </c>
      <c r="I1424" t="inlineStr">
        <is>
          <t>No</t>
        </is>
      </c>
      <c r="J1424" t="inlineStr">
        <is>
          <t>0</t>
        </is>
      </c>
      <c r="L1424" t="inlineStr">
        <is>
          <t>Toronto : Butterworths, c1978.</t>
        </is>
      </c>
      <c r="M1424" t="inlineStr">
        <is>
          <t>1978</t>
        </is>
      </c>
      <c r="O1424" t="inlineStr">
        <is>
          <t>eng</t>
        </is>
      </c>
      <c r="P1424" t="inlineStr">
        <is>
          <t>onc</t>
        </is>
      </c>
      <c r="R1424" t="inlineStr">
        <is>
          <t xml:space="preserve">HQ </t>
        </is>
      </c>
      <c r="S1424" t="n">
        <v>4</v>
      </c>
      <c r="T1424" t="n">
        <v>4</v>
      </c>
      <c r="U1424" t="inlineStr">
        <is>
          <t>1996-10-31</t>
        </is>
      </c>
      <c r="V1424" t="inlineStr">
        <is>
          <t>1996-10-31</t>
        </is>
      </c>
      <c r="W1424" t="inlineStr">
        <is>
          <t>1992-10-26</t>
        </is>
      </c>
      <c r="X1424" t="inlineStr">
        <is>
          <t>1992-10-26</t>
        </is>
      </c>
      <c r="Y1424" t="n">
        <v>467</v>
      </c>
      <c r="Z1424" t="n">
        <v>288</v>
      </c>
      <c r="AA1424" t="n">
        <v>292</v>
      </c>
      <c r="AB1424" t="n">
        <v>3</v>
      </c>
      <c r="AC1424" t="n">
        <v>3</v>
      </c>
      <c r="AD1424" t="n">
        <v>27</v>
      </c>
      <c r="AE1424" t="n">
        <v>27</v>
      </c>
      <c r="AF1424" t="n">
        <v>1</v>
      </c>
      <c r="AG1424" t="n">
        <v>1</v>
      </c>
      <c r="AH1424" t="n">
        <v>1</v>
      </c>
      <c r="AI1424" t="n">
        <v>1</v>
      </c>
      <c r="AJ1424" t="n">
        <v>7</v>
      </c>
      <c r="AK1424" t="n">
        <v>7</v>
      </c>
      <c r="AL1424" t="n">
        <v>1</v>
      </c>
      <c r="AM1424" t="n">
        <v>1</v>
      </c>
      <c r="AN1424" t="n">
        <v>18</v>
      </c>
      <c r="AO1424" t="n">
        <v>18</v>
      </c>
      <c r="AP1424" t="inlineStr">
        <is>
          <t>No</t>
        </is>
      </c>
      <c r="AQ1424" t="inlineStr">
        <is>
          <t>Yes</t>
        </is>
      </c>
      <c r="AR1424">
        <f>HYPERLINK("http://catalog.hathitrust.org/Record/000255082","HathiTrust Record")</f>
        <v/>
      </c>
      <c r="AS1424">
        <f>HYPERLINK("https://creighton-primo.hosted.exlibrisgroup.com/primo-explore/search?tab=default_tab&amp;search_scope=EVERYTHING&amp;vid=01CRU&amp;lang=en_US&amp;offset=0&amp;query=any,contains,991004781039702656","Catalog Record")</f>
        <v/>
      </c>
      <c r="AT1424">
        <f>HYPERLINK("http://www.worldcat.org/oclc/7577226","WorldCat Record")</f>
        <v/>
      </c>
      <c r="AU1424" t="inlineStr">
        <is>
          <t>894493764:eng</t>
        </is>
      </c>
      <c r="AV1424" t="inlineStr">
        <is>
          <t>7577226</t>
        </is>
      </c>
      <c r="AW1424" t="inlineStr">
        <is>
          <t>991004781039702656</t>
        </is>
      </c>
      <c r="AX1424" t="inlineStr">
        <is>
          <t>991004781039702656</t>
        </is>
      </c>
      <c r="AY1424" t="inlineStr">
        <is>
          <t>2272599980002656</t>
        </is>
      </c>
      <c r="AZ1424" t="inlineStr">
        <is>
          <t>BOOK</t>
        </is>
      </c>
      <c r="BB1424" t="inlineStr">
        <is>
          <t>9780409874600</t>
        </is>
      </c>
      <c r="BC1424" t="inlineStr">
        <is>
          <t>32285001358489</t>
        </is>
      </c>
      <c r="BD1424" t="inlineStr">
        <is>
          <t>893688141</t>
        </is>
      </c>
    </row>
    <row r="1425">
      <c r="A1425" t="inlineStr">
        <is>
          <t>No</t>
        </is>
      </c>
      <c r="B1425" t="inlineStr">
        <is>
          <t>HQ518 .M42 1988</t>
        </is>
      </c>
      <c r="C1425" t="inlineStr">
        <is>
          <t>0                      HQ 0518000M  42          1988</t>
        </is>
      </c>
      <c r="D1425" t="inlineStr">
        <is>
          <t>Measurement of intergenerational relations / edited by David J. Mangen, Vern L. Bengtson, Pierre H. Landry, Jr.</t>
        </is>
      </c>
      <c r="F1425" t="inlineStr">
        <is>
          <t>No</t>
        </is>
      </c>
      <c r="G1425" t="inlineStr">
        <is>
          <t>1</t>
        </is>
      </c>
      <c r="H1425" t="inlineStr">
        <is>
          <t>No</t>
        </is>
      </c>
      <c r="I1425" t="inlineStr">
        <is>
          <t>No</t>
        </is>
      </c>
      <c r="J1425" t="inlineStr">
        <is>
          <t>0</t>
        </is>
      </c>
      <c r="L1425" t="inlineStr">
        <is>
          <t>Newbury Park, Calif. : Sage Publications, c1988.</t>
        </is>
      </c>
      <c r="M1425" t="inlineStr">
        <is>
          <t>1988</t>
        </is>
      </c>
      <c r="O1425" t="inlineStr">
        <is>
          <t>eng</t>
        </is>
      </c>
      <c r="P1425" t="inlineStr">
        <is>
          <t>cau</t>
        </is>
      </c>
      <c r="Q1425" t="inlineStr">
        <is>
          <t>Sage focus editions ; 92</t>
        </is>
      </c>
      <c r="R1425" t="inlineStr">
        <is>
          <t xml:space="preserve">HQ </t>
        </is>
      </c>
      <c r="S1425" t="n">
        <v>4</v>
      </c>
      <c r="T1425" t="n">
        <v>4</v>
      </c>
      <c r="U1425" t="inlineStr">
        <is>
          <t>1993-04-08</t>
        </is>
      </c>
      <c r="V1425" t="inlineStr">
        <is>
          <t>1993-04-08</t>
        </is>
      </c>
      <c r="W1425" t="inlineStr">
        <is>
          <t>1992-10-26</t>
        </is>
      </c>
      <c r="X1425" t="inlineStr">
        <is>
          <t>1992-10-26</t>
        </is>
      </c>
      <c r="Y1425" t="n">
        <v>392</v>
      </c>
      <c r="Z1425" t="n">
        <v>283</v>
      </c>
      <c r="AA1425" t="n">
        <v>292</v>
      </c>
      <c r="AB1425" t="n">
        <v>2</v>
      </c>
      <c r="AC1425" t="n">
        <v>2</v>
      </c>
      <c r="AD1425" t="n">
        <v>15</v>
      </c>
      <c r="AE1425" t="n">
        <v>15</v>
      </c>
      <c r="AF1425" t="n">
        <v>6</v>
      </c>
      <c r="AG1425" t="n">
        <v>6</v>
      </c>
      <c r="AH1425" t="n">
        <v>4</v>
      </c>
      <c r="AI1425" t="n">
        <v>4</v>
      </c>
      <c r="AJ1425" t="n">
        <v>10</v>
      </c>
      <c r="AK1425" t="n">
        <v>10</v>
      </c>
      <c r="AL1425" t="n">
        <v>1</v>
      </c>
      <c r="AM1425" t="n">
        <v>1</v>
      </c>
      <c r="AN1425" t="n">
        <v>0</v>
      </c>
      <c r="AO1425" t="n">
        <v>0</v>
      </c>
      <c r="AP1425" t="inlineStr">
        <is>
          <t>No</t>
        </is>
      </c>
      <c r="AQ1425" t="inlineStr">
        <is>
          <t>Yes</t>
        </is>
      </c>
      <c r="AR1425">
        <f>HYPERLINK("http://catalog.hathitrust.org/Record/000906011","HathiTrust Record")</f>
        <v/>
      </c>
      <c r="AS1425">
        <f>HYPERLINK("https://creighton-primo.hosted.exlibrisgroup.com/primo-explore/search?tab=default_tab&amp;search_scope=EVERYTHING&amp;vid=01CRU&amp;lang=en_US&amp;offset=0&amp;query=any,contains,991001157599702656","Catalog Record")</f>
        <v/>
      </c>
      <c r="AT1425">
        <f>HYPERLINK("http://www.worldcat.org/oclc/16869363","WorldCat Record")</f>
        <v/>
      </c>
      <c r="AU1425" t="inlineStr">
        <is>
          <t>375537524:eng</t>
        </is>
      </c>
      <c r="AV1425" t="inlineStr">
        <is>
          <t>16869363</t>
        </is>
      </c>
      <c r="AW1425" t="inlineStr">
        <is>
          <t>991001157599702656</t>
        </is>
      </c>
      <c r="AX1425" t="inlineStr">
        <is>
          <t>991001157599702656</t>
        </is>
      </c>
      <c r="AY1425" t="inlineStr">
        <is>
          <t>2255395220002656</t>
        </is>
      </c>
      <c r="AZ1425" t="inlineStr">
        <is>
          <t>BOOK</t>
        </is>
      </c>
      <c r="BB1425" t="inlineStr">
        <is>
          <t>9780803929906</t>
        </is>
      </c>
      <c r="BC1425" t="inlineStr">
        <is>
          <t>32285001358497</t>
        </is>
      </c>
      <c r="BD1425" t="inlineStr">
        <is>
          <t>893878670</t>
        </is>
      </c>
    </row>
    <row r="1426">
      <c r="A1426" t="inlineStr">
        <is>
          <t>No</t>
        </is>
      </c>
      <c r="B1426" t="inlineStr">
        <is>
          <t>HQ518 .R578 1994</t>
        </is>
      </c>
      <c r="C1426" t="inlineStr">
        <is>
          <t>0                      HQ 0518000R  578         1994</t>
        </is>
      </c>
      <c r="D1426" t="inlineStr">
        <is>
          <t>The virtues of the family / Jacob Joshua Ross.</t>
        </is>
      </c>
      <c r="F1426" t="inlineStr">
        <is>
          <t>No</t>
        </is>
      </c>
      <c r="G1426" t="inlineStr">
        <is>
          <t>1</t>
        </is>
      </c>
      <c r="H1426" t="inlineStr">
        <is>
          <t>No</t>
        </is>
      </c>
      <c r="I1426" t="inlineStr">
        <is>
          <t>No</t>
        </is>
      </c>
      <c r="J1426" t="inlineStr">
        <is>
          <t>0</t>
        </is>
      </c>
      <c r="K1426" t="inlineStr">
        <is>
          <t>Ross, Jacob Joshua.</t>
        </is>
      </c>
      <c r="L1426" t="inlineStr">
        <is>
          <t>New York : Free Press, c1994.</t>
        </is>
      </c>
      <c r="M1426" t="inlineStr">
        <is>
          <t>1994</t>
        </is>
      </c>
      <c r="O1426" t="inlineStr">
        <is>
          <t>eng</t>
        </is>
      </c>
      <c r="P1426" t="inlineStr">
        <is>
          <t>nyu</t>
        </is>
      </c>
      <c r="R1426" t="inlineStr">
        <is>
          <t xml:space="preserve">HQ </t>
        </is>
      </c>
      <c r="S1426" t="n">
        <v>9</v>
      </c>
      <c r="T1426" t="n">
        <v>9</v>
      </c>
      <c r="U1426" t="inlineStr">
        <is>
          <t>2002-04-29</t>
        </is>
      </c>
      <c r="V1426" t="inlineStr">
        <is>
          <t>2002-04-29</t>
        </is>
      </c>
      <c r="W1426" t="inlineStr">
        <is>
          <t>1994-05-11</t>
        </is>
      </c>
      <c r="X1426" t="inlineStr">
        <is>
          <t>1994-05-11</t>
        </is>
      </c>
      <c r="Y1426" t="n">
        <v>354</v>
      </c>
      <c r="Z1426" t="n">
        <v>306</v>
      </c>
      <c r="AA1426" t="n">
        <v>332</v>
      </c>
      <c r="AB1426" t="n">
        <v>3</v>
      </c>
      <c r="AC1426" t="n">
        <v>3</v>
      </c>
      <c r="AD1426" t="n">
        <v>10</v>
      </c>
      <c r="AE1426" t="n">
        <v>12</v>
      </c>
      <c r="AF1426" t="n">
        <v>4</v>
      </c>
      <c r="AG1426" t="n">
        <v>5</v>
      </c>
      <c r="AH1426" t="n">
        <v>2</v>
      </c>
      <c r="AI1426" t="n">
        <v>3</v>
      </c>
      <c r="AJ1426" t="n">
        <v>6</v>
      </c>
      <c r="AK1426" t="n">
        <v>6</v>
      </c>
      <c r="AL1426" t="n">
        <v>2</v>
      </c>
      <c r="AM1426" t="n">
        <v>2</v>
      </c>
      <c r="AN1426" t="n">
        <v>0</v>
      </c>
      <c r="AO1426" t="n">
        <v>0</v>
      </c>
      <c r="AP1426" t="inlineStr">
        <is>
          <t>No</t>
        </is>
      </c>
      <c r="AQ1426" t="inlineStr">
        <is>
          <t>Yes</t>
        </is>
      </c>
      <c r="AR1426">
        <f>HYPERLINK("http://catalog.hathitrust.org/Record/002800210","HathiTrust Record")</f>
        <v/>
      </c>
      <c r="AS1426">
        <f>HYPERLINK("https://creighton-primo.hosted.exlibrisgroup.com/primo-explore/search?tab=default_tab&amp;search_scope=EVERYTHING&amp;vid=01CRU&amp;lang=en_US&amp;offset=0&amp;query=any,contains,991002266349702656","Catalog Record")</f>
        <v/>
      </c>
      <c r="AT1426">
        <f>HYPERLINK("http://www.worldcat.org/oclc/29389855","WorldCat Record")</f>
        <v/>
      </c>
      <c r="AU1426" t="inlineStr">
        <is>
          <t>325218:eng</t>
        </is>
      </c>
      <c r="AV1426" t="inlineStr">
        <is>
          <t>29389855</t>
        </is>
      </c>
      <c r="AW1426" t="inlineStr">
        <is>
          <t>991002266349702656</t>
        </is>
      </c>
      <c r="AX1426" t="inlineStr">
        <is>
          <t>991002266349702656</t>
        </is>
      </c>
      <c r="AY1426" t="inlineStr">
        <is>
          <t>2258804860002656</t>
        </is>
      </c>
      <c r="AZ1426" t="inlineStr">
        <is>
          <t>BOOK</t>
        </is>
      </c>
      <c r="BB1426" t="inlineStr">
        <is>
          <t>9780029273852</t>
        </is>
      </c>
      <c r="BC1426" t="inlineStr">
        <is>
          <t>32285001895985</t>
        </is>
      </c>
      <c r="BD1426" t="inlineStr">
        <is>
          <t>893257088</t>
        </is>
      </c>
    </row>
    <row r="1427">
      <c r="A1427" t="inlineStr">
        <is>
          <t>No</t>
        </is>
      </c>
      <c r="B1427" t="inlineStr">
        <is>
          <t>HQ518 .V48 1987</t>
        </is>
      </c>
      <c r="C1427" t="inlineStr">
        <is>
          <t>0                      HQ 0518000V  48          1987</t>
        </is>
      </c>
      <c r="D1427" t="inlineStr">
        <is>
          <t>Ecological studies of family life / Arlene Vetere and Anthony Gale with Sue Lewis, Claire Jolly, and Shirley Reynolds.</t>
        </is>
      </c>
      <c r="F1427" t="inlineStr">
        <is>
          <t>No</t>
        </is>
      </c>
      <c r="G1427" t="inlineStr">
        <is>
          <t>1</t>
        </is>
      </c>
      <c r="H1427" t="inlineStr">
        <is>
          <t>No</t>
        </is>
      </c>
      <c r="I1427" t="inlineStr">
        <is>
          <t>No</t>
        </is>
      </c>
      <c r="J1427" t="inlineStr">
        <is>
          <t>0</t>
        </is>
      </c>
      <c r="K1427" t="inlineStr">
        <is>
          <t>Vetere, Arlene.</t>
        </is>
      </c>
      <c r="L1427" t="inlineStr">
        <is>
          <t>Chichester [West Sussex] ; New York : Wiley, c1987.</t>
        </is>
      </c>
      <c r="M1427" t="inlineStr">
        <is>
          <t>1987</t>
        </is>
      </c>
      <c r="O1427" t="inlineStr">
        <is>
          <t>eng</t>
        </is>
      </c>
      <c r="P1427" t="inlineStr">
        <is>
          <t>enk</t>
        </is>
      </c>
      <c r="R1427" t="inlineStr">
        <is>
          <t xml:space="preserve">HQ </t>
        </is>
      </c>
      <c r="S1427" t="n">
        <v>3</v>
      </c>
      <c r="T1427" t="n">
        <v>3</v>
      </c>
      <c r="U1427" t="inlineStr">
        <is>
          <t>2003-04-27</t>
        </is>
      </c>
      <c r="V1427" t="inlineStr">
        <is>
          <t>2003-04-27</t>
        </is>
      </c>
      <c r="W1427" t="inlineStr">
        <is>
          <t>1992-10-26</t>
        </is>
      </c>
      <c r="X1427" t="inlineStr">
        <is>
          <t>1992-10-26</t>
        </is>
      </c>
      <c r="Y1427" t="n">
        <v>303</v>
      </c>
      <c r="Z1427" t="n">
        <v>200</v>
      </c>
      <c r="AA1427" t="n">
        <v>207</v>
      </c>
      <c r="AB1427" t="n">
        <v>3</v>
      </c>
      <c r="AC1427" t="n">
        <v>3</v>
      </c>
      <c r="AD1427" t="n">
        <v>9</v>
      </c>
      <c r="AE1427" t="n">
        <v>9</v>
      </c>
      <c r="AF1427" t="n">
        <v>1</v>
      </c>
      <c r="AG1427" t="n">
        <v>1</v>
      </c>
      <c r="AH1427" t="n">
        <v>1</v>
      </c>
      <c r="AI1427" t="n">
        <v>1</v>
      </c>
      <c r="AJ1427" t="n">
        <v>7</v>
      </c>
      <c r="AK1427" t="n">
        <v>7</v>
      </c>
      <c r="AL1427" t="n">
        <v>2</v>
      </c>
      <c r="AM1427" t="n">
        <v>2</v>
      </c>
      <c r="AN1427" t="n">
        <v>0</v>
      </c>
      <c r="AO1427" t="n">
        <v>0</v>
      </c>
      <c r="AP1427" t="inlineStr">
        <is>
          <t>No</t>
        </is>
      </c>
      <c r="AQ1427" t="inlineStr">
        <is>
          <t>Yes</t>
        </is>
      </c>
      <c r="AR1427">
        <f>HYPERLINK("http://catalog.hathitrust.org/Record/000824220","HathiTrust Record")</f>
        <v/>
      </c>
      <c r="AS1427">
        <f>HYPERLINK("https://creighton-primo.hosted.exlibrisgroup.com/primo-explore/search?tab=default_tab&amp;search_scope=EVERYTHING&amp;vid=01CRU&amp;lang=en_US&amp;offset=0&amp;query=any,contains,991000905269702656","Catalog Record")</f>
        <v/>
      </c>
      <c r="AT1427">
        <f>HYPERLINK("http://www.worldcat.org/oclc/14097505","WorldCat Record")</f>
        <v/>
      </c>
      <c r="AU1427" t="inlineStr">
        <is>
          <t>8028478:eng</t>
        </is>
      </c>
      <c r="AV1427" t="inlineStr">
        <is>
          <t>14097505</t>
        </is>
      </c>
      <c r="AW1427" t="inlineStr">
        <is>
          <t>991000905269702656</t>
        </is>
      </c>
      <c r="AX1427" t="inlineStr">
        <is>
          <t>991000905269702656</t>
        </is>
      </c>
      <c r="AY1427" t="inlineStr">
        <is>
          <t>2266164800002656</t>
        </is>
      </c>
      <c r="AZ1427" t="inlineStr">
        <is>
          <t>BOOK</t>
        </is>
      </c>
      <c r="BB1427" t="inlineStr">
        <is>
          <t>9780471912538</t>
        </is>
      </c>
      <c r="BC1427" t="inlineStr">
        <is>
          <t>32285001358505</t>
        </is>
      </c>
      <c r="BD1427" t="inlineStr">
        <is>
          <t>893225429</t>
        </is>
      </c>
    </row>
    <row r="1428">
      <c r="A1428" t="inlineStr">
        <is>
          <t>No</t>
        </is>
      </c>
      <c r="B1428" t="inlineStr">
        <is>
          <t>HQ518 .W39 1992</t>
        </is>
      </c>
      <c r="C1428" t="inlineStr">
        <is>
          <t>0                      HQ 0518000W  39          1992</t>
        </is>
      </c>
      <c r="D1428" t="inlineStr">
        <is>
          <t>Families : a context for development / David White and Anne Woollett.</t>
        </is>
      </c>
      <c r="F1428" t="inlineStr">
        <is>
          <t>No</t>
        </is>
      </c>
      <c r="G1428" t="inlineStr">
        <is>
          <t>1</t>
        </is>
      </c>
      <c r="H1428" t="inlineStr">
        <is>
          <t>Yes</t>
        </is>
      </c>
      <c r="I1428" t="inlineStr">
        <is>
          <t>No</t>
        </is>
      </c>
      <c r="J1428" t="inlineStr">
        <is>
          <t>0</t>
        </is>
      </c>
      <c r="K1428" t="inlineStr">
        <is>
          <t>White, David, 1947-</t>
        </is>
      </c>
      <c r="L1428" t="inlineStr">
        <is>
          <t>London ; New York : Falmer, 1992.</t>
        </is>
      </c>
      <c r="M1428" t="inlineStr">
        <is>
          <t>1992</t>
        </is>
      </c>
      <c r="O1428" t="inlineStr">
        <is>
          <t>eng</t>
        </is>
      </c>
      <c r="P1428" t="inlineStr">
        <is>
          <t>enk</t>
        </is>
      </c>
      <c r="Q1428" t="inlineStr">
        <is>
          <t>Contemporary psychology series ; 2</t>
        </is>
      </c>
      <c r="R1428" t="inlineStr">
        <is>
          <t xml:space="preserve">HQ </t>
        </is>
      </c>
      <c r="S1428" t="n">
        <v>6</v>
      </c>
      <c r="T1428" t="n">
        <v>7</v>
      </c>
      <c r="U1428" t="inlineStr">
        <is>
          <t>2008-11-14</t>
        </is>
      </c>
      <c r="V1428" t="inlineStr">
        <is>
          <t>2008-11-14</t>
        </is>
      </c>
      <c r="W1428" t="inlineStr">
        <is>
          <t>1992-06-01</t>
        </is>
      </c>
      <c r="X1428" t="inlineStr">
        <is>
          <t>1992-06-01</t>
        </is>
      </c>
      <c r="Y1428" t="n">
        <v>238</v>
      </c>
      <c r="Z1428" t="n">
        <v>136</v>
      </c>
      <c r="AA1428" t="n">
        <v>144</v>
      </c>
      <c r="AB1428" t="n">
        <v>4</v>
      </c>
      <c r="AC1428" t="n">
        <v>4</v>
      </c>
      <c r="AD1428" t="n">
        <v>9</v>
      </c>
      <c r="AE1428" t="n">
        <v>9</v>
      </c>
      <c r="AF1428" t="n">
        <v>3</v>
      </c>
      <c r="AG1428" t="n">
        <v>3</v>
      </c>
      <c r="AH1428" t="n">
        <v>1</v>
      </c>
      <c r="AI1428" t="n">
        <v>1</v>
      </c>
      <c r="AJ1428" t="n">
        <v>4</v>
      </c>
      <c r="AK1428" t="n">
        <v>4</v>
      </c>
      <c r="AL1428" t="n">
        <v>2</v>
      </c>
      <c r="AM1428" t="n">
        <v>2</v>
      </c>
      <c r="AN1428" t="n">
        <v>0</v>
      </c>
      <c r="AO1428" t="n">
        <v>0</v>
      </c>
      <c r="AP1428" t="inlineStr">
        <is>
          <t>No</t>
        </is>
      </c>
      <c r="AQ1428" t="inlineStr">
        <is>
          <t>No</t>
        </is>
      </c>
      <c r="AS1428">
        <f>HYPERLINK("https://creighton-primo.hosted.exlibrisgroup.com/primo-explore/search?tab=default_tab&amp;search_scope=EVERYTHING&amp;vid=01CRU&amp;lang=en_US&amp;offset=0&amp;query=any,contains,991001793959702656","Catalog Record")</f>
        <v/>
      </c>
      <c r="AT1428">
        <f>HYPERLINK("http://www.worldcat.org/oclc/24318451","WorldCat Record")</f>
        <v/>
      </c>
      <c r="AU1428" t="inlineStr">
        <is>
          <t>836900383:eng</t>
        </is>
      </c>
      <c r="AV1428" t="inlineStr">
        <is>
          <t>24318451</t>
        </is>
      </c>
      <c r="AW1428" t="inlineStr">
        <is>
          <t>991001793959702656</t>
        </is>
      </c>
      <c r="AX1428" t="inlineStr">
        <is>
          <t>991001793959702656</t>
        </is>
      </c>
      <c r="AY1428" t="inlineStr">
        <is>
          <t>2272617020002656</t>
        </is>
      </c>
      <c r="AZ1428" t="inlineStr">
        <is>
          <t>BOOK</t>
        </is>
      </c>
      <c r="BB1428" t="inlineStr">
        <is>
          <t>9781850008378</t>
        </is>
      </c>
      <c r="BC1428" t="inlineStr">
        <is>
          <t>32285001125102</t>
        </is>
      </c>
      <c r="BD1428" t="inlineStr">
        <is>
          <t>893879189</t>
        </is>
      </c>
    </row>
    <row r="1429">
      <c r="A1429" t="inlineStr">
        <is>
          <t>No</t>
        </is>
      </c>
      <c r="B1429" t="inlineStr">
        <is>
          <t>HQ519 .F36 2004</t>
        </is>
      </c>
      <c r="C1429" t="inlineStr">
        <is>
          <t>0                      HQ 0519000F  36          2004</t>
        </is>
      </c>
      <c r="D1429" t="inlineStr">
        <is>
          <t>Families in ageing societies : a multi-disciplinary approach / edited by Sarah Harper.</t>
        </is>
      </c>
      <c r="F1429" t="inlineStr">
        <is>
          <t>No</t>
        </is>
      </c>
      <c r="G1429" t="inlineStr">
        <is>
          <t>1</t>
        </is>
      </c>
      <c r="H1429" t="inlineStr">
        <is>
          <t>No</t>
        </is>
      </c>
      <c r="I1429" t="inlineStr">
        <is>
          <t>No</t>
        </is>
      </c>
      <c r="J1429" t="inlineStr">
        <is>
          <t>0</t>
        </is>
      </c>
      <c r="L1429" t="inlineStr">
        <is>
          <t>Oxford : Oxford University Press, 2004.</t>
        </is>
      </c>
      <c r="M1429" t="inlineStr">
        <is>
          <t>2004</t>
        </is>
      </c>
      <c r="O1429" t="inlineStr">
        <is>
          <t>eng</t>
        </is>
      </c>
      <c r="P1429" t="inlineStr">
        <is>
          <t>enk</t>
        </is>
      </c>
      <c r="R1429" t="inlineStr">
        <is>
          <t xml:space="preserve">HQ </t>
        </is>
      </c>
      <c r="S1429" t="n">
        <v>1</v>
      </c>
      <c r="T1429" t="n">
        <v>1</v>
      </c>
      <c r="U1429" t="inlineStr">
        <is>
          <t>2004-11-22</t>
        </is>
      </c>
      <c r="V1429" t="inlineStr">
        <is>
          <t>2004-11-22</t>
        </is>
      </c>
      <c r="W1429" t="inlineStr">
        <is>
          <t>2004-11-22</t>
        </is>
      </c>
      <c r="X1429" t="inlineStr">
        <is>
          <t>2004-11-22</t>
        </is>
      </c>
      <c r="Y1429" t="n">
        <v>305</v>
      </c>
      <c r="Z1429" t="n">
        <v>213</v>
      </c>
      <c r="AA1429" t="n">
        <v>281</v>
      </c>
      <c r="AB1429" t="n">
        <v>3</v>
      </c>
      <c r="AC1429" t="n">
        <v>3</v>
      </c>
      <c r="AD1429" t="n">
        <v>11</v>
      </c>
      <c r="AE1429" t="n">
        <v>14</v>
      </c>
      <c r="AF1429" t="n">
        <v>3</v>
      </c>
      <c r="AG1429" t="n">
        <v>3</v>
      </c>
      <c r="AH1429" t="n">
        <v>3</v>
      </c>
      <c r="AI1429" t="n">
        <v>6</v>
      </c>
      <c r="AJ1429" t="n">
        <v>6</v>
      </c>
      <c r="AK1429" t="n">
        <v>7</v>
      </c>
      <c r="AL1429" t="n">
        <v>2</v>
      </c>
      <c r="AM1429" t="n">
        <v>2</v>
      </c>
      <c r="AN1429" t="n">
        <v>0</v>
      </c>
      <c r="AO1429" t="n">
        <v>0</v>
      </c>
      <c r="AP1429" t="inlineStr">
        <is>
          <t>No</t>
        </is>
      </c>
      <c r="AQ1429" t="inlineStr">
        <is>
          <t>No</t>
        </is>
      </c>
      <c r="AS1429">
        <f>HYPERLINK("https://creighton-primo.hosted.exlibrisgroup.com/primo-explore/search?tab=default_tab&amp;search_scope=EVERYTHING&amp;vid=01CRU&amp;lang=en_US&amp;offset=0&amp;query=any,contains,991004386089702656","Catalog Record")</f>
        <v/>
      </c>
      <c r="AT1429">
        <f>HYPERLINK("http://www.worldcat.org/oclc/51481731","WorldCat Record")</f>
        <v/>
      </c>
      <c r="AU1429" t="inlineStr">
        <is>
          <t>866436072:eng</t>
        </is>
      </c>
      <c r="AV1429" t="inlineStr">
        <is>
          <t>51481731</t>
        </is>
      </c>
      <c r="AW1429" t="inlineStr">
        <is>
          <t>991004386089702656</t>
        </is>
      </c>
      <c r="AX1429" t="inlineStr">
        <is>
          <t>991004386089702656</t>
        </is>
      </c>
      <c r="AY1429" t="inlineStr">
        <is>
          <t>2265085090002656</t>
        </is>
      </c>
      <c r="AZ1429" t="inlineStr">
        <is>
          <t>BOOK</t>
        </is>
      </c>
      <c r="BB1429" t="inlineStr">
        <is>
          <t>9780199251162</t>
        </is>
      </c>
      <c r="BC1429" t="inlineStr">
        <is>
          <t>32285005012397</t>
        </is>
      </c>
      <c r="BD1429" t="inlineStr">
        <is>
          <t>893532330</t>
        </is>
      </c>
    </row>
    <row r="1430">
      <c r="A1430" t="inlineStr">
        <is>
          <t>No</t>
        </is>
      </c>
      <c r="B1430" t="inlineStr">
        <is>
          <t>HQ519 .I54 2003</t>
        </is>
      </c>
      <c r="C1430" t="inlineStr">
        <is>
          <t>0                      HQ 0519000I  54          2003</t>
        </is>
      </c>
      <c r="D1430" t="inlineStr">
        <is>
          <t>Exploring family theories / Bron B. Ingoldsby, Suzanne R. Smith, J. Elizabeth Miller.</t>
        </is>
      </c>
      <c r="F1430" t="inlineStr">
        <is>
          <t>No</t>
        </is>
      </c>
      <c r="G1430" t="inlineStr">
        <is>
          <t>1</t>
        </is>
      </c>
      <c r="H1430" t="inlineStr">
        <is>
          <t>No</t>
        </is>
      </c>
      <c r="I1430" t="inlineStr">
        <is>
          <t>No</t>
        </is>
      </c>
      <c r="J1430" t="inlineStr">
        <is>
          <t>0</t>
        </is>
      </c>
      <c r="K1430" t="inlineStr">
        <is>
          <t>Ingoldsby, Bron B.</t>
        </is>
      </c>
      <c r="L1430" t="inlineStr">
        <is>
          <t>Los Angeles, CA : Roxbury Pub., 2003.</t>
        </is>
      </c>
      <c r="M1430" t="inlineStr">
        <is>
          <t>2003</t>
        </is>
      </c>
      <c r="O1430" t="inlineStr">
        <is>
          <t>eng</t>
        </is>
      </c>
      <c r="P1430" t="inlineStr">
        <is>
          <t>cau</t>
        </is>
      </c>
      <c r="R1430" t="inlineStr">
        <is>
          <t xml:space="preserve">HQ </t>
        </is>
      </c>
      <c r="S1430" t="n">
        <v>4</v>
      </c>
      <c r="T1430" t="n">
        <v>4</v>
      </c>
      <c r="U1430" t="inlineStr">
        <is>
          <t>2009-10-08</t>
        </is>
      </c>
      <c r="V1430" t="inlineStr">
        <is>
          <t>2009-10-08</t>
        </is>
      </c>
      <c r="W1430" t="inlineStr">
        <is>
          <t>2004-04-07</t>
        </is>
      </c>
      <c r="X1430" t="inlineStr">
        <is>
          <t>2004-04-07</t>
        </is>
      </c>
      <c r="Y1430" t="n">
        <v>69</v>
      </c>
      <c r="Z1430" t="n">
        <v>57</v>
      </c>
      <c r="AA1430" t="n">
        <v>219</v>
      </c>
      <c r="AB1430" t="n">
        <v>2</v>
      </c>
      <c r="AC1430" t="n">
        <v>3</v>
      </c>
      <c r="AD1430" t="n">
        <v>3</v>
      </c>
      <c r="AE1430" t="n">
        <v>13</v>
      </c>
      <c r="AF1430" t="n">
        <v>1</v>
      </c>
      <c r="AG1430" t="n">
        <v>6</v>
      </c>
      <c r="AH1430" t="n">
        <v>1</v>
      </c>
      <c r="AI1430" t="n">
        <v>3</v>
      </c>
      <c r="AJ1430" t="n">
        <v>0</v>
      </c>
      <c r="AK1430" t="n">
        <v>4</v>
      </c>
      <c r="AL1430" t="n">
        <v>1</v>
      </c>
      <c r="AM1430" t="n">
        <v>2</v>
      </c>
      <c r="AN1430" t="n">
        <v>0</v>
      </c>
      <c r="AO1430" t="n">
        <v>0</v>
      </c>
      <c r="AP1430" t="inlineStr">
        <is>
          <t>No</t>
        </is>
      </c>
      <c r="AQ1430" t="inlineStr">
        <is>
          <t>No</t>
        </is>
      </c>
      <c r="AS1430">
        <f>HYPERLINK("https://creighton-primo.hosted.exlibrisgroup.com/primo-explore/search?tab=default_tab&amp;search_scope=EVERYTHING&amp;vid=01CRU&amp;lang=en_US&amp;offset=0&amp;query=any,contains,991004257589702656","Catalog Record")</f>
        <v/>
      </c>
      <c r="AT1430">
        <f>HYPERLINK("http://www.worldcat.org/oclc/51751871","WorldCat Record")</f>
        <v/>
      </c>
      <c r="AU1430" t="inlineStr">
        <is>
          <t>139995080:eng</t>
        </is>
      </c>
      <c r="AV1430" t="inlineStr">
        <is>
          <t>51751871</t>
        </is>
      </c>
      <c r="AW1430" t="inlineStr">
        <is>
          <t>991004257589702656</t>
        </is>
      </c>
      <c r="AX1430" t="inlineStr">
        <is>
          <t>991004257589702656</t>
        </is>
      </c>
      <c r="AY1430" t="inlineStr">
        <is>
          <t>2264183670002656</t>
        </is>
      </c>
      <c r="AZ1430" t="inlineStr">
        <is>
          <t>BOOK</t>
        </is>
      </c>
      <c r="BB1430" t="inlineStr">
        <is>
          <t>9781931719179</t>
        </is>
      </c>
      <c r="BC1430" t="inlineStr">
        <is>
          <t>32285004898499</t>
        </is>
      </c>
      <c r="BD1430" t="inlineStr">
        <is>
          <t>893263166</t>
        </is>
      </c>
    </row>
    <row r="1431">
      <c r="A1431" t="inlineStr">
        <is>
          <t>No</t>
        </is>
      </c>
      <c r="B1431" t="inlineStr">
        <is>
          <t>HQ519 .L44 2004</t>
        </is>
      </c>
      <c r="C1431" t="inlineStr">
        <is>
          <t>0                      HQ 0519000L  44          2004</t>
        </is>
      </c>
      <c r="D1431" t="inlineStr">
        <is>
          <t>The family in global perspective : a gendered journey / Elaine Leeder.</t>
        </is>
      </c>
      <c r="F1431" t="inlineStr">
        <is>
          <t>No</t>
        </is>
      </c>
      <c r="G1431" t="inlineStr">
        <is>
          <t>1</t>
        </is>
      </c>
      <c r="H1431" t="inlineStr">
        <is>
          <t>No</t>
        </is>
      </c>
      <c r="I1431" t="inlineStr">
        <is>
          <t>No</t>
        </is>
      </c>
      <c r="J1431" t="inlineStr">
        <is>
          <t>0</t>
        </is>
      </c>
      <c r="K1431" t="inlineStr">
        <is>
          <t>Leeder, Elaine J.</t>
        </is>
      </c>
      <c r="L1431" t="inlineStr">
        <is>
          <t>Thousand Oaks, Calif. : Sage Publications, c2004.</t>
        </is>
      </c>
      <c r="M1431" t="inlineStr">
        <is>
          <t>2004</t>
        </is>
      </c>
      <c r="O1431" t="inlineStr">
        <is>
          <t>eng</t>
        </is>
      </c>
      <c r="P1431" t="inlineStr">
        <is>
          <t>cau</t>
        </is>
      </c>
      <c r="R1431" t="inlineStr">
        <is>
          <t xml:space="preserve">HQ </t>
        </is>
      </c>
      <c r="S1431" t="n">
        <v>3</v>
      </c>
      <c r="T1431" t="n">
        <v>3</v>
      </c>
      <c r="U1431" t="inlineStr">
        <is>
          <t>2005-06-16</t>
        </is>
      </c>
      <c r="V1431" t="inlineStr">
        <is>
          <t>2005-06-16</t>
        </is>
      </c>
      <c r="W1431" t="inlineStr">
        <is>
          <t>2004-03-22</t>
        </is>
      </c>
      <c r="X1431" t="inlineStr">
        <is>
          <t>2004-03-22</t>
        </is>
      </c>
      <c r="Y1431" t="n">
        <v>372</v>
      </c>
      <c r="Z1431" t="n">
        <v>282</v>
      </c>
      <c r="AA1431" t="n">
        <v>598</v>
      </c>
      <c r="AB1431" t="n">
        <v>4</v>
      </c>
      <c r="AC1431" t="n">
        <v>6</v>
      </c>
      <c r="AD1431" t="n">
        <v>15</v>
      </c>
      <c r="AE1431" t="n">
        <v>20</v>
      </c>
      <c r="AF1431" t="n">
        <v>4</v>
      </c>
      <c r="AG1431" t="n">
        <v>6</v>
      </c>
      <c r="AH1431" t="n">
        <v>4</v>
      </c>
      <c r="AI1431" t="n">
        <v>5</v>
      </c>
      <c r="AJ1431" t="n">
        <v>7</v>
      </c>
      <c r="AK1431" t="n">
        <v>9</v>
      </c>
      <c r="AL1431" t="n">
        <v>3</v>
      </c>
      <c r="AM1431" t="n">
        <v>5</v>
      </c>
      <c r="AN1431" t="n">
        <v>0</v>
      </c>
      <c r="AO1431" t="n">
        <v>0</v>
      </c>
      <c r="AP1431" t="inlineStr">
        <is>
          <t>No</t>
        </is>
      </c>
      <c r="AQ1431" t="inlineStr">
        <is>
          <t>Yes</t>
        </is>
      </c>
      <c r="AR1431">
        <f>HYPERLINK("http://catalog.hathitrust.org/Record/004361752","HathiTrust Record")</f>
        <v/>
      </c>
      <c r="AS1431">
        <f>HYPERLINK("https://creighton-primo.hosted.exlibrisgroup.com/primo-explore/search?tab=default_tab&amp;search_scope=EVERYTHING&amp;vid=01CRU&amp;lang=en_US&amp;offset=0&amp;query=any,contains,991004238199702656","Catalog Record")</f>
        <v/>
      </c>
      <c r="AT1431">
        <f>HYPERLINK("http://www.worldcat.org/oclc/52845658","WorldCat Record")</f>
        <v/>
      </c>
      <c r="AU1431" t="inlineStr">
        <is>
          <t>755554:eng</t>
        </is>
      </c>
      <c r="AV1431" t="inlineStr">
        <is>
          <t>52845658</t>
        </is>
      </c>
      <c r="AW1431" t="inlineStr">
        <is>
          <t>991004238199702656</t>
        </is>
      </c>
      <c r="AX1431" t="inlineStr">
        <is>
          <t>991004238199702656</t>
        </is>
      </c>
      <c r="AY1431" t="inlineStr">
        <is>
          <t>2263211360002656</t>
        </is>
      </c>
      <c r="AZ1431" t="inlineStr">
        <is>
          <t>BOOK</t>
        </is>
      </c>
      <c r="BB1431" t="inlineStr">
        <is>
          <t>9780761928379</t>
        </is>
      </c>
      <c r="BC1431" t="inlineStr">
        <is>
          <t>32285004895834</t>
        </is>
      </c>
      <c r="BD1431" t="inlineStr">
        <is>
          <t>893500309</t>
        </is>
      </c>
    </row>
    <row r="1432">
      <c r="A1432" t="inlineStr">
        <is>
          <t>No</t>
        </is>
      </c>
      <c r="B1432" t="inlineStr">
        <is>
          <t>HQ520 .L85 1990</t>
        </is>
      </c>
      <c r="C1432" t="inlineStr">
        <is>
          <t>0                      HQ 0520000L  85          1990</t>
        </is>
      </c>
      <c r="D1432" t="inlineStr">
        <is>
          <t>Inside family viewing : ethnographic research on television's audiences / James Lull.</t>
        </is>
      </c>
      <c r="F1432" t="inlineStr">
        <is>
          <t>No</t>
        </is>
      </c>
      <c r="G1432" t="inlineStr">
        <is>
          <t>1</t>
        </is>
      </c>
      <c r="H1432" t="inlineStr">
        <is>
          <t>No</t>
        </is>
      </c>
      <c r="I1432" t="inlineStr">
        <is>
          <t>No</t>
        </is>
      </c>
      <c r="J1432" t="inlineStr">
        <is>
          <t>0</t>
        </is>
      </c>
      <c r="K1432" t="inlineStr">
        <is>
          <t>Lull, James.</t>
        </is>
      </c>
      <c r="L1432" t="inlineStr">
        <is>
          <t>London ; New York : Routledge, 1990.</t>
        </is>
      </c>
      <c r="M1432" t="inlineStr">
        <is>
          <t>1990</t>
        </is>
      </c>
      <c r="O1432" t="inlineStr">
        <is>
          <t>eng</t>
        </is>
      </c>
      <c r="P1432" t="inlineStr">
        <is>
          <t>enk</t>
        </is>
      </c>
      <c r="Q1432" t="inlineStr">
        <is>
          <t>Comedia book</t>
        </is>
      </c>
      <c r="R1432" t="inlineStr">
        <is>
          <t xml:space="preserve">HQ </t>
        </is>
      </c>
      <c r="S1432" t="n">
        <v>8</v>
      </c>
      <c r="T1432" t="n">
        <v>8</v>
      </c>
      <c r="U1432" t="inlineStr">
        <is>
          <t>1996-04-19</t>
        </is>
      </c>
      <c r="V1432" t="inlineStr">
        <is>
          <t>1996-04-19</t>
        </is>
      </c>
      <c r="W1432" t="inlineStr">
        <is>
          <t>1991-12-15</t>
        </is>
      </c>
      <c r="X1432" t="inlineStr">
        <is>
          <t>1991-12-15</t>
        </is>
      </c>
      <c r="Y1432" t="n">
        <v>359</v>
      </c>
      <c r="Z1432" t="n">
        <v>195</v>
      </c>
      <c r="AA1432" t="n">
        <v>224</v>
      </c>
      <c r="AB1432" t="n">
        <v>1</v>
      </c>
      <c r="AC1432" t="n">
        <v>1</v>
      </c>
      <c r="AD1432" t="n">
        <v>10</v>
      </c>
      <c r="AE1432" t="n">
        <v>10</v>
      </c>
      <c r="AF1432" t="n">
        <v>3</v>
      </c>
      <c r="AG1432" t="n">
        <v>3</v>
      </c>
      <c r="AH1432" t="n">
        <v>3</v>
      </c>
      <c r="AI1432" t="n">
        <v>3</v>
      </c>
      <c r="AJ1432" t="n">
        <v>8</v>
      </c>
      <c r="AK1432" t="n">
        <v>8</v>
      </c>
      <c r="AL1432" t="n">
        <v>0</v>
      </c>
      <c r="AM1432" t="n">
        <v>0</v>
      </c>
      <c r="AN1432" t="n">
        <v>0</v>
      </c>
      <c r="AO1432" t="n">
        <v>0</v>
      </c>
      <c r="AP1432" t="inlineStr">
        <is>
          <t>No</t>
        </is>
      </c>
      <c r="AQ1432" t="inlineStr">
        <is>
          <t>Yes</t>
        </is>
      </c>
      <c r="AR1432">
        <f>HYPERLINK("http://catalog.hathitrust.org/Record/002437419","HathiTrust Record")</f>
        <v/>
      </c>
      <c r="AS1432">
        <f>HYPERLINK("https://creighton-primo.hosted.exlibrisgroup.com/primo-explore/search?tab=default_tab&amp;search_scope=EVERYTHING&amp;vid=01CRU&amp;lang=en_US&amp;offset=0&amp;query=any,contains,991001665889702656","Catalog Record")</f>
        <v/>
      </c>
      <c r="AT1432">
        <f>HYPERLINK("http://www.worldcat.org/oclc/21226600","WorldCat Record")</f>
        <v/>
      </c>
      <c r="AU1432" t="inlineStr">
        <is>
          <t>836865373:eng</t>
        </is>
      </c>
      <c r="AV1432" t="inlineStr">
        <is>
          <t>21226600</t>
        </is>
      </c>
      <c r="AW1432" t="inlineStr">
        <is>
          <t>991001665889702656</t>
        </is>
      </c>
      <c r="AX1432" t="inlineStr">
        <is>
          <t>991001665889702656</t>
        </is>
      </c>
      <c r="AY1432" t="inlineStr">
        <is>
          <t>2270875740002656</t>
        </is>
      </c>
      <c r="AZ1432" t="inlineStr">
        <is>
          <t>BOOK</t>
        </is>
      </c>
      <c r="BB1432" t="inlineStr">
        <is>
          <t>9780415049979</t>
        </is>
      </c>
      <c r="BC1432" t="inlineStr">
        <is>
          <t>32285000860352</t>
        </is>
      </c>
      <c r="BD1432" t="inlineStr">
        <is>
          <t>893590526</t>
        </is>
      </c>
    </row>
    <row r="1433">
      <c r="A1433" t="inlineStr">
        <is>
          <t>No</t>
        </is>
      </c>
      <c r="B1433" t="inlineStr">
        <is>
          <t>HQ520 .W67 1988</t>
        </is>
      </c>
      <c r="C1433" t="inlineStr">
        <is>
          <t>0                      HQ 0520000W  67          1988</t>
        </is>
      </c>
      <c r="D1433" t="inlineStr">
        <is>
          <t>World families watch television / edited by James Lull.</t>
        </is>
      </c>
      <c r="F1433" t="inlineStr">
        <is>
          <t>No</t>
        </is>
      </c>
      <c r="G1433" t="inlineStr">
        <is>
          <t>1</t>
        </is>
      </c>
      <c r="H1433" t="inlineStr">
        <is>
          <t>No</t>
        </is>
      </c>
      <c r="I1433" t="inlineStr">
        <is>
          <t>No</t>
        </is>
      </c>
      <c r="J1433" t="inlineStr">
        <is>
          <t>0</t>
        </is>
      </c>
      <c r="K1433" t="inlineStr">
        <is>
          <t>Lull, James.</t>
        </is>
      </c>
      <c r="L1433" t="inlineStr">
        <is>
          <t>Newbury Park, Calif. : Sage Publications, c1988.</t>
        </is>
      </c>
      <c r="M1433" t="inlineStr">
        <is>
          <t>1988</t>
        </is>
      </c>
      <c r="O1433" t="inlineStr">
        <is>
          <t>eng</t>
        </is>
      </c>
      <c r="P1433" t="inlineStr">
        <is>
          <t>cau</t>
        </is>
      </c>
      <c r="Q1433" t="inlineStr">
        <is>
          <t>Communication and human values</t>
        </is>
      </c>
      <c r="R1433" t="inlineStr">
        <is>
          <t xml:space="preserve">HQ </t>
        </is>
      </c>
      <c r="S1433" t="n">
        <v>4</v>
      </c>
      <c r="T1433" t="n">
        <v>4</v>
      </c>
      <c r="U1433" t="inlineStr">
        <is>
          <t>1996-04-19</t>
        </is>
      </c>
      <c r="V1433" t="inlineStr">
        <is>
          <t>1996-04-19</t>
        </is>
      </c>
      <c r="W1433" t="inlineStr">
        <is>
          <t>1991-12-06</t>
        </is>
      </c>
      <c r="X1433" t="inlineStr">
        <is>
          <t>1991-12-06</t>
        </is>
      </c>
      <c r="Y1433" t="n">
        <v>548</v>
      </c>
      <c r="Z1433" t="n">
        <v>385</v>
      </c>
      <c r="AA1433" t="n">
        <v>392</v>
      </c>
      <c r="AB1433" t="n">
        <v>4</v>
      </c>
      <c r="AC1433" t="n">
        <v>4</v>
      </c>
      <c r="AD1433" t="n">
        <v>18</v>
      </c>
      <c r="AE1433" t="n">
        <v>18</v>
      </c>
      <c r="AF1433" t="n">
        <v>7</v>
      </c>
      <c r="AG1433" t="n">
        <v>7</v>
      </c>
      <c r="AH1433" t="n">
        <v>2</v>
      </c>
      <c r="AI1433" t="n">
        <v>2</v>
      </c>
      <c r="AJ1433" t="n">
        <v>11</v>
      </c>
      <c r="AK1433" t="n">
        <v>11</v>
      </c>
      <c r="AL1433" t="n">
        <v>3</v>
      </c>
      <c r="AM1433" t="n">
        <v>3</v>
      </c>
      <c r="AN1433" t="n">
        <v>0</v>
      </c>
      <c r="AO1433" t="n">
        <v>0</v>
      </c>
      <c r="AP1433" t="inlineStr">
        <is>
          <t>No</t>
        </is>
      </c>
      <c r="AQ1433" t="inlineStr">
        <is>
          <t>Yes</t>
        </is>
      </c>
      <c r="AR1433">
        <f>HYPERLINK("http://catalog.hathitrust.org/Record/001089457","HathiTrust Record")</f>
        <v/>
      </c>
      <c r="AS1433">
        <f>HYPERLINK("https://creighton-primo.hosted.exlibrisgroup.com/primo-explore/search?tab=default_tab&amp;search_scope=EVERYTHING&amp;vid=01CRU&amp;lang=en_US&amp;offset=0&amp;query=any,contains,991001264909702656","Catalog Record")</f>
        <v/>
      </c>
      <c r="AT1433">
        <f>HYPERLINK("http://www.worldcat.org/oclc/17803953","WorldCat Record")</f>
        <v/>
      </c>
      <c r="AU1433" t="inlineStr">
        <is>
          <t>16310204:eng</t>
        </is>
      </c>
      <c r="AV1433" t="inlineStr">
        <is>
          <t>17803953</t>
        </is>
      </c>
      <c r="AW1433" t="inlineStr">
        <is>
          <t>991001264909702656</t>
        </is>
      </c>
      <c r="AX1433" t="inlineStr">
        <is>
          <t>991001264909702656</t>
        </is>
      </c>
      <c r="AY1433" t="inlineStr">
        <is>
          <t>2264717480002656</t>
        </is>
      </c>
      <c r="AZ1433" t="inlineStr">
        <is>
          <t>BOOK</t>
        </is>
      </c>
      <c r="BB1433" t="inlineStr">
        <is>
          <t>9780803932548</t>
        </is>
      </c>
      <c r="BC1433" t="inlineStr">
        <is>
          <t>32285000829209</t>
        </is>
      </c>
      <c r="BD1433" t="inlineStr">
        <is>
          <t>893321796</t>
        </is>
      </c>
    </row>
    <row r="1434">
      <c r="A1434" t="inlineStr">
        <is>
          <t>No</t>
        </is>
      </c>
      <c r="B1434" t="inlineStr">
        <is>
          <t>HQ525.J4 S34 1987</t>
        </is>
      </c>
      <c r="C1434" t="inlineStr">
        <is>
          <t>0                      HQ 0525000J  4                  S  34          1987</t>
        </is>
      </c>
      <c r="D1434" t="inlineStr">
        <is>
          <t>Jewish family issues : a resource guide / Benjamin Schlesinger.</t>
        </is>
      </c>
      <c r="F1434" t="inlineStr">
        <is>
          <t>No</t>
        </is>
      </c>
      <c r="G1434" t="inlineStr">
        <is>
          <t>1</t>
        </is>
      </c>
      <c r="H1434" t="inlineStr">
        <is>
          <t>No</t>
        </is>
      </c>
      <c r="I1434" t="inlineStr">
        <is>
          <t>No</t>
        </is>
      </c>
      <c r="J1434" t="inlineStr">
        <is>
          <t>0</t>
        </is>
      </c>
      <c r="K1434" t="inlineStr">
        <is>
          <t>Schlesinger, Benjamin.</t>
        </is>
      </c>
      <c r="L1434" t="inlineStr">
        <is>
          <t>New York : Garland, 1987.</t>
        </is>
      </c>
      <c r="M1434" t="inlineStr">
        <is>
          <t>1987</t>
        </is>
      </c>
      <c r="O1434" t="inlineStr">
        <is>
          <t>eng</t>
        </is>
      </c>
      <c r="P1434" t="inlineStr">
        <is>
          <t>nyu</t>
        </is>
      </c>
      <c r="Q1434" t="inlineStr">
        <is>
          <t>Garland library of sociology ; v. 10</t>
        </is>
      </c>
      <c r="R1434" t="inlineStr">
        <is>
          <t xml:space="preserve">HQ </t>
        </is>
      </c>
      <c r="S1434" t="n">
        <v>1</v>
      </c>
      <c r="T1434" t="n">
        <v>1</v>
      </c>
      <c r="U1434" t="inlineStr">
        <is>
          <t>2004-05-12</t>
        </is>
      </c>
      <c r="V1434" t="inlineStr">
        <is>
          <t>2004-05-12</t>
        </is>
      </c>
      <c r="W1434" t="inlineStr">
        <is>
          <t>1996-12-20</t>
        </is>
      </c>
      <c r="X1434" t="inlineStr">
        <is>
          <t>1996-12-20</t>
        </is>
      </c>
      <c r="Y1434" t="n">
        <v>270</v>
      </c>
      <c r="Z1434" t="n">
        <v>224</v>
      </c>
      <c r="AA1434" t="n">
        <v>224</v>
      </c>
      <c r="AB1434" t="n">
        <v>3</v>
      </c>
      <c r="AC1434" t="n">
        <v>3</v>
      </c>
      <c r="AD1434" t="n">
        <v>7</v>
      </c>
      <c r="AE1434" t="n">
        <v>7</v>
      </c>
      <c r="AF1434" t="n">
        <v>2</v>
      </c>
      <c r="AG1434" t="n">
        <v>2</v>
      </c>
      <c r="AH1434" t="n">
        <v>2</v>
      </c>
      <c r="AI1434" t="n">
        <v>2</v>
      </c>
      <c r="AJ1434" t="n">
        <v>2</v>
      </c>
      <c r="AK1434" t="n">
        <v>2</v>
      </c>
      <c r="AL1434" t="n">
        <v>2</v>
      </c>
      <c r="AM1434" t="n">
        <v>2</v>
      </c>
      <c r="AN1434" t="n">
        <v>0</v>
      </c>
      <c r="AO1434" t="n">
        <v>0</v>
      </c>
      <c r="AP1434" t="inlineStr">
        <is>
          <t>No</t>
        </is>
      </c>
      <c r="AQ1434" t="inlineStr">
        <is>
          <t>No</t>
        </is>
      </c>
      <c r="AS1434">
        <f>HYPERLINK("https://creighton-primo.hosted.exlibrisgroup.com/primo-explore/search?tab=default_tab&amp;search_scope=EVERYTHING&amp;vid=01CRU&amp;lang=en_US&amp;offset=0&amp;query=any,contains,991000973679702656","Catalog Record")</f>
        <v/>
      </c>
      <c r="AT1434">
        <f>HYPERLINK("http://www.worldcat.org/oclc/14967544","WorldCat Record")</f>
        <v/>
      </c>
      <c r="AU1434" t="inlineStr">
        <is>
          <t>431512835:eng</t>
        </is>
      </c>
      <c r="AV1434" t="inlineStr">
        <is>
          <t>14967544</t>
        </is>
      </c>
      <c r="AW1434" t="inlineStr">
        <is>
          <t>991000973679702656</t>
        </is>
      </c>
      <c r="AX1434" t="inlineStr">
        <is>
          <t>991000973679702656</t>
        </is>
      </c>
      <c r="AY1434" t="inlineStr">
        <is>
          <t>2262375290002656</t>
        </is>
      </c>
      <c r="AZ1434" t="inlineStr">
        <is>
          <t>BOOK</t>
        </is>
      </c>
      <c r="BB1434" t="inlineStr">
        <is>
          <t>9780824084608</t>
        </is>
      </c>
      <c r="BC1434" t="inlineStr">
        <is>
          <t>32285002401387</t>
        </is>
      </c>
      <c r="BD1434" t="inlineStr">
        <is>
          <t>893720879</t>
        </is>
      </c>
    </row>
    <row r="1435">
      <c r="A1435" t="inlineStr">
        <is>
          <t>No</t>
        </is>
      </c>
      <c r="B1435" t="inlineStr">
        <is>
          <t>HQ535 .A61 1982</t>
        </is>
      </c>
      <c r="C1435" t="inlineStr">
        <is>
          <t>0                      HQ 0535000A  61          1982</t>
        </is>
      </c>
      <c r="D1435" t="inlineStr">
        <is>
          <t>America's families : a documentary history / edited by Donald M. Scott and Bernard Wishy.</t>
        </is>
      </c>
      <c r="F1435" t="inlineStr">
        <is>
          <t>No</t>
        </is>
      </c>
      <c r="G1435" t="inlineStr">
        <is>
          <t>1</t>
        </is>
      </c>
      <c r="H1435" t="inlineStr">
        <is>
          <t>No</t>
        </is>
      </c>
      <c r="I1435" t="inlineStr">
        <is>
          <t>No</t>
        </is>
      </c>
      <c r="J1435" t="inlineStr">
        <is>
          <t>0</t>
        </is>
      </c>
      <c r="L1435" t="inlineStr">
        <is>
          <t>New York : Harper &amp; Row, c1982.</t>
        </is>
      </c>
      <c r="M1435" t="inlineStr">
        <is>
          <t>1981</t>
        </is>
      </c>
      <c r="N1435" t="inlineStr">
        <is>
          <t>1st ed.</t>
        </is>
      </c>
      <c r="O1435" t="inlineStr">
        <is>
          <t>eng</t>
        </is>
      </c>
      <c r="P1435" t="inlineStr">
        <is>
          <t>nyu</t>
        </is>
      </c>
      <c r="R1435" t="inlineStr">
        <is>
          <t xml:space="preserve">HQ </t>
        </is>
      </c>
      <c r="S1435" t="n">
        <v>8</v>
      </c>
      <c r="T1435" t="n">
        <v>8</v>
      </c>
      <c r="U1435" t="inlineStr">
        <is>
          <t>1995-03-16</t>
        </is>
      </c>
      <c r="V1435" t="inlineStr">
        <is>
          <t>1995-03-16</t>
        </is>
      </c>
      <c r="W1435" t="inlineStr">
        <is>
          <t>1994-09-27</t>
        </is>
      </c>
      <c r="X1435" t="inlineStr">
        <is>
          <t>1994-09-27</t>
        </is>
      </c>
      <c r="Y1435" t="n">
        <v>1023</v>
      </c>
      <c r="Z1435" t="n">
        <v>965</v>
      </c>
      <c r="AA1435" t="n">
        <v>990</v>
      </c>
      <c r="AB1435" t="n">
        <v>6</v>
      </c>
      <c r="AC1435" t="n">
        <v>6</v>
      </c>
      <c r="AD1435" t="n">
        <v>25</v>
      </c>
      <c r="AE1435" t="n">
        <v>26</v>
      </c>
      <c r="AF1435" t="n">
        <v>11</v>
      </c>
      <c r="AG1435" t="n">
        <v>11</v>
      </c>
      <c r="AH1435" t="n">
        <v>4</v>
      </c>
      <c r="AI1435" t="n">
        <v>5</v>
      </c>
      <c r="AJ1435" t="n">
        <v>12</v>
      </c>
      <c r="AK1435" t="n">
        <v>13</v>
      </c>
      <c r="AL1435" t="n">
        <v>3</v>
      </c>
      <c r="AM1435" t="n">
        <v>3</v>
      </c>
      <c r="AN1435" t="n">
        <v>0</v>
      </c>
      <c r="AO1435" t="n">
        <v>0</v>
      </c>
      <c r="AP1435" t="inlineStr">
        <is>
          <t>No</t>
        </is>
      </c>
      <c r="AQ1435" t="inlineStr">
        <is>
          <t>Yes</t>
        </is>
      </c>
      <c r="AR1435">
        <f>HYPERLINK("http://catalog.hathitrust.org/Record/000307494","HathiTrust Record")</f>
        <v/>
      </c>
      <c r="AS1435">
        <f>HYPERLINK("https://creighton-primo.hosted.exlibrisgroup.com/primo-explore/search?tab=default_tab&amp;search_scope=EVERYTHING&amp;vid=01CRU&amp;lang=en_US&amp;offset=0&amp;query=any,contains,991005100369702656","Catalog Record")</f>
        <v/>
      </c>
      <c r="AT1435">
        <f>HYPERLINK("http://www.worldcat.org/oclc/7282616","WorldCat Record")</f>
        <v/>
      </c>
      <c r="AU1435" t="inlineStr">
        <is>
          <t>889793287:eng</t>
        </is>
      </c>
      <c r="AV1435" t="inlineStr">
        <is>
          <t>7282616</t>
        </is>
      </c>
      <c r="AW1435" t="inlineStr">
        <is>
          <t>991005100369702656</t>
        </is>
      </c>
      <c r="AX1435" t="inlineStr">
        <is>
          <t>991005100369702656</t>
        </is>
      </c>
      <c r="AY1435" t="inlineStr">
        <is>
          <t>2257933020002656</t>
        </is>
      </c>
      <c r="AZ1435" t="inlineStr">
        <is>
          <t>BOOK</t>
        </is>
      </c>
      <c r="BB1435" t="inlineStr">
        <is>
          <t>9780060140489</t>
        </is>
      </c>
      <c r="BC1435" t="inlineStr">
        <is>
          <t>32285001778124</t>
        </is>
      </c>
      <c r="BD1435" t="inlineStr">
        <is>
          <t>893613122</t>
        </is>
      </c>
    </row>
    <row r="1436">
      <c r="A1436" t="inlineStr">
        <is>
          <t>No</t>
        </is>
      </c>
      <c r="B1436" t="inlineStr">
        <is>
          <t>HQ535 .C415</t>
        </is>
      </c>
      <c r="C1436" t="inlineStr">
        <is>
          <t>0                      HQ 0535000C  415</t>
        </is>
      </c>
      <c r="D1436" t="inlineStr">
        <is>
          <t>Marriage, divorce, remarriage / Andrew J. Cherlin.</t>
        </is>
      </c>
      <c r="F1436" t="inlineStr">
        <is>
          <t>No</t>
        </is>
      </c>
      <c r="G1436" t="inlineStr">
        <is>
          <t>1</t>
        </is>
      </c>
      <c r="H1436" t="inlineStr">
        <is>
          <t>Yes</t>
        </is>
      </c>
      <c r="I1436" t="inlineStr">
        <is>
          <t>No</t>
        </is>
      </c>
      <c r="J1436" t="inlineStr">
        <is>
          <t>0</t>
        </is>
      </c>
      <c r="K1436" t="inlineStr">
        <is>
          <t>Cherlin, Andrew J., 1948-</t>
        </is>
      </c>
      <c r="L1436" t="inlineStr">
        <is>
          <t>Cambridge, Mass. : Harvard University Press, c1981.</t>
        </is>
      </c>
      <c r="M1436" t="inlineStr">
        <is>
          <t>1981</t>
        </is>
      </c>
      <c r="O1436" t="inlineStr">
        <is>
          <t>eng</t>
        </is>
      </c>
      <c r="P1436" t="inlineStr">
        <is>
          <t>mau</t>
        </is>
      </c>
      <c r="Q1436" t="inlineStr">
        <is>
          <t>Social trends in the United States</t>
        </is>
      </c>
      <c r="R1436" t="inlineStr">
        <is>
          <t xml:space="preserve">HQ </t>
        </is>
      </c>
      <c r="S1436" t="n">
        <v>21</v>
      </c>
      <c r="T1436" t="n">
        <v>26</v>
      </c>
      <c r="U1436" t="inlineStr">
        <is>
          <t>2002-04-08</t>
        </is>
      </c>
      <c r="V1436" t="inlineStr">
        <is>
          <t>2002-04-08</t>
        </is>
      </c>
      <c r="W1436" t="inlineStr">
        <is>
          <t>1992-10-26</t>
        </is>
      </c>
      <c r="X1436" t="inlineStr">
        <is>
          <t>1992-10-26</t>
        </is>
      </c>
      <c r="Y1436" t="n">
        <v>1030</v>
      </c>
      <c r="Z1436" t="n">
        <v>887</v>
      </c>
      <c r="AA1436" t="n">
        <v>1159</v>
      </c>
      <c r="AB1436" t="n">
        <v>6</v>
      </c>
      <c r="AC1436" t="n">
        <v>8</v>
      </c>
      <c r="AD1436" t="n">
        <v>32</v>
      </c>
      <c r="AE1436" t="n">
        <v>47</v>
      </c>
      <c r="AF1436" t="n">
        <v>13</v>
      </c>
      <c r="AG1436" t="n">
        <v>19</v>
      </c>
      <c r="AH1436" t="n">
        <v>6</v>
      </c>
      <c r="AI1436" t="n">
        <v>8</v>
      </c>
      <c r="AJ1436" t="n">
        <v>15</v>
      </c>
      <c r="AK1436" t="n">
        <v>20</v>
      </c>
      <c r="AL1436" t="n">
        <v>3</v>
      </c>
      <c r="AM1436" t="n">
        <v>5</v>
      </c>
      <c r="AN1436" t="n">
        <v>2</v>
      </c>
      <c r="AO1436" t="n">
        <v>4</v>
      </c>
      <c r="AP1436" t="inlineStr">
        <is>
          <t>No</t>
        </is>
      </c>
      <c r="AQ1436" t="inlineStr">
        <is>
          <t>Yes</t>
        </is>
      </c>
      <c r="AR1436">
        <f>HYPERLINK("http://catalog.hathitrust.org/Record/000180753","HathiTrust Record")</f>
        <v/>
      </c>
      <c r="AS1436">
        <f>HYPERLINK("https://creighton-primo.hosted.exlibrisgroup.com/primo-explore/search?tab=default_tab&amp;search_scope=EVERYTHING&amp;vid=01CRU&amp;lang=en_US&amp;offset=0&amp;query=any,contains,991001766099702656","Catalog Record")</f>
        <v/>
      </c>
      <c r="AT1436">
        <f>HYPERLINK("http://www.worldcat.org/oclc/7462439","WorldCat Record")</f>
        <v/>
      </c>
      <c r="AU1436" t="inlineStr">
        <is>
          <t>521690:eng</t>
        </is>
      </c>
      <c r="AV1436" t="inlineStr">
        <is>
          <t>7462439</t>
        </is>
      </c>
      <c r="AW1436" t="inlineStr">
        <is>
          <t>991001766099702656</t>
        </is>
      </c>
      <c r="AX1436" t="inlineStr">
        <is>
          <t>991001766099702656</t>
        </is>
      </c>
      <c r="AY1436" t="inlineStr">
        <is>
          <t>2262790880002656</t>
        </is>
      </c>
      <c r="AZ1436" t="inlineStr">
        <is>
          <t>BOOK</t>
        </is>
      </c>
      <c r="BB1436" t="inlineStr">
        <is>
          <t>9780674550803</t>
        </is>
      </c>
      <c r="BC1436" t="inlineStr">
        <is>
          <t>32285001358547</t>
        </is>
      </c>
      <c r="BD1436" t="inlineStr">
        <is>
          <t>893872780</t>
        </is>
      </c>
    </row>
    <row r="1437">
      <c r="A1437" t="inlineStr">
        <is>
          <t>No</t>
        </is>
      </c>
      <c r="B1437" t="inlineStr">
        <is>
          <t>HQ535 .C69 2001</t>
        </is>
      </c>
      <c r="C1437" t="inlineStr">
        <is>
          <t>0                      HQ 0535000C  69          2001</t>
        </is>
      </c>
      <c r="D1437" t="inlineStr">
        <is>
          <t>Couples in conflict / edited by Alan Booth, Ann C. Crouter, Mari Clements.</t>
        </is>
      </c>
      <c r="F1437" t="inlineStr">
        <is>
          <t>No</t>
        </is>
      </c>
      <c r="G1437" t="inlineStr">
        <is>
          <t>1</t>
        </is>
      </c>
      <c r="H1437" t="inlineStr">
        <is>
          <t>No</t>
        </is>
      </c>
      <c r="I1437" t="inlineStr">
        <is>
          <t>No</t>
        </is>
      </c>
      <c r="J1437" t="inlineStr">
        <is>
          <t>0</t>
        </is>
      </c>
      <c r="L1437" t="inlineStr">
        <is>
          <t>Mahwah, NJ : L. Erlbaum Associates, c2001.</t>
        </is>
      </c>
      <c r="M1437" t="inlineStr">
        <is>
          <t>2001</t>
        </is>
      </c>
      <c r="O1437" t="inlineStr">
        <is>
          <t>eng</t>
        </is>
      </c>
      <c r="P1437" t="inlineStr">
        <is>
          <t>nju</t>
        </is>
      </c>
      <c r="R1437" t="inlineStr">
        <is>
          <t xml:space="preserve">HQ </t>
        </is>
      </c>
      <c r="S1437" t="n">
        <v>5</v>
      </c>
      <c r="T1437" t="n">
        <v>5</v>
      </c>
      <c r="U1437" t="inlineStr">
        <is>
          <t>2008-04-04</t>
        </is>
      </c>
      <c r="V1437" t="inlineStr">
        <is>
          <t>2008-04-04</t>
        </is>
      </c>
      <c r="W1437" t="inlineStr">
        <is>
          <t>2001-12-12</t>
        </is>
      </c>
      <c r="X1437" t="inlineStr">
        <is>
          <t>2001-12-12</t>
        </is>
      </c>
      <c r="Y1437" t="n">
        <v>296</v>
      </c>
      <c r="Z1437" t="n">
        <v>250</v>
      </c>
      <c r="AA1437" t="n">
        <v>859</v>
      </c>
      <c r="AB1437" t="n">
        <v>3</v>
      </c>
      <c r="AC1437" t="n">
        <v>4</v>
      </c>
      <c r="AD1437" t="n">
        <v>17</v>
      </c>
      <c r="AE1437" t="n">
        <v>22</v>
      </c>
      <c r="AF1437" t="n">
        <v>6</v>
      </c>
      <c r="AG1437" t="n">
        <v>9</v>
      </c>
      <c r="AH1437" t="n">
        <v>4</v>
      </c>
      <c r="AI1437" t="n">
        <v>5</v>
      </c>
      <c r="AJ1437" t="n">
        <v>10</v>
      </c>
      <c r="AK1437" t="n">
        <v>10</v>
      </c>
      <c r="AL1437" t="n">
        <v>2</v>
      </c>
      <c r="AM1437" t="n">
        <v>3</v>
      </c>
      <c r="AN1437" t="n">
        <v>0</v>
      </c>
      <c r="AO1437" t="n">
        <v>0</v>
      </c>
      <c r="AP1437" t="inlineStr">
        <is>
          <t>No</t>
        </is>
      </c>
      <c r="AQ1437" t="inlineStr">
        <is>
          <t>No</t>
        </is>
      </c>
      <c r="AS1437">
        <f>HYPERLINK("https://creighton-primo.hosted.exlibrisgroup.com/primo-explore/search?tab=default_tab&amp;search_scope=EVERYTHING&amp;vid=01CRU&amp;lang=en_US&amp;offset=0&amp;query=any,contains,991003622869702656","Catalog Record")</f>
        <v/>
      </c>
      <c r="AT1437">
        <f>HYPERLINK("http://www.worldcat.org/oclc/45888891","WorldCat Record")</f>
        <v/>
      </c>
      <c r="AU1437" t="inlineStr">
        <is>
          <t>866481122:eng</t>
        </is>
      </c>
      <c r="AV1437" t="inlineStr">
        <is>
          <t>45888891</t>
        </is>
      </c>
      <c r="AW1437" t="inlineStr">
        <is>
          <t>991003622869702656</t>
        </is>
      </c>
      <c r="AX1437" t="inlineStr">
        <is>
          <t>991003622869702656</t>
        </is>
      </c>
      <c r="AY1437" t="inlineStr">
        <is>
          <t>2262390200002656</t>
        </is>
      </c>
      <c r="AZ1437" t="inlineStr">
        <is>
          <t>BOOK</t>
        </is>
      </c>
      <c r="BB1437" t="inlineStr">
        <is>
          <t>9780805835458</t>
        </is>
      </c>
      <c r="BC1437" t="inlineStr">
        <is>
          <t>32285004428040</t>
        </is>
      </c>
      <c r="BD1437" t="inlineStr">
        <is>
          <t>893592698</t>
        </is>
      </c>
    </row>
    <row r="1438">
      <c r="A1438" t="inlineStr">
        <is>
          <t>No</t>
        </is>
      </c>
      <c r="B1438" t="inlineStr">
        <is>
          <t>HQ535 .F34</t>
        </is>
      </c>
      <c r="C1438" t="inlineStr">
        <is>
          <t>0                      HQ 0535000F  34</t>
        </is>
      </c>
      <c r="D1438" t="inlineStr">
        <is>
          <t>Family and population in nineteenth-century America / edited by Tamara K. Hareven and Maris A. Vinovskis ; contributors, George Alter ... [et al.].</t>
        </is>
      </c>
      <c r="F1438" t="inlineStr">
        <is>
          <t>No</t>
        </is>
      </c>
      <c r="G1438" t="inlineStr">
        <is>
          <t>1</t>
        </is>
      </c>
      <c r="H1438" t="inlineStr">
        <is>
          <t>No</t>
        </is>
      </c>
      <c r="I1438" t="inlineStr">
        <is>
          <t>No</t>
        </is>
      </c>
      <c r="J1438" t="inlineStr">
        <is>
          <t>0</t>
        </is>
      </c>
      <c r="L1438" t="inlineStr">
        <is>
          <t>Princeton, N.J. : Princeton University Press, c1978.</t>
        </is>
      </c>
      <c r="M1438" t="inlineStr">
        <is>
          <t>1978</t>
        </is>
      </c>
      <c r="O1438" t="inlineStr">
        <is>
          <t>eng</t>
        </is>
      </c>
      <c r="P1438" t="inlineStr">
        <is>
          <t>nju</t>
        </is>
      </c>
      <c r="Q1438" t="inlineStr">
        <is>
          <t>Quantitative studies in history</t>
        </is>
      </c>
      <c r="R1438" t="inlineStr">
        <is>
          <t xml:space="preserve">HQ </t>
        </is>
      </c>
      <c r="S1438" t="n">
        <v>4</v>
      </c>
      <c r="T1438" t="n">
        <v>4</v>
      </c>
      <c r="U1438" t="inlineStr">
        <is>
          <t>1997-07-07</t>
        </is>
      </c>
      <c r="V1438" t="inlineStr">
        <is>
          <t>1997-07-07</t>
        </is>
      </c>
      <c r="W1438" t="inlineStr">
        <is>
          <t>1992-10-26</t>
        </is>
      </c>
      <c r="X1438" t="inlineStr">
        <is>
          <t>1992-10-26</t>
        </is>
      </c>
      <c r="Y1438" t="n">
        <v>700</v>
      </c>
      <c r="Z1438" t="n">
        <v>586</v>
      </c>
      <c r="AA1438" t="n">
        <v>757</v>
      </c>
      <c r="AB1438" t="n">
        <v>5</v>
      </c>
      <c r="AC1438" t="n">
        <v>7</v>
      </c>
      <c r="AD1438" t="n">
        <v>25</v>
      </c>
      <c r="AE1438" t="n">
        <v>34</v>
      </c>
      <c r="AF1438" t="n">
        <v>10</v>
      </c>
      <c r="AG1438" t="n">
        <v>15</v>
      </c>
      <c r="AH1438" t="n">
        <v>6</v>
      </c>
      <c r="AI1438" t="n">
        <v>10</v>
      </c>
      <c r="AJ1438" t="n">
        <v>14</v>
      </c>
      <c r="AK1438" t="n">
        <v>15</v>
      </c>
      <c r="AL1438" t="n">
        <v>3</v>
      </c>
      <c r="AM1438" t="n">
        <v>4</v>
      </c>
      <c r="AN1438" t="n">
        <v>0</v>
      </c>
      <c r="AO1438" t="n">
        <v>0</v>
      </c>
      <c r="AP1438" t="inlineStr">
        <is>
          <t>No</t>
        </is>
      </c>
      <c r="AQ1438" t="inlineStr">
        <is>
          <t>No</t>
        </is>
      </c>
      <c r="AS1438">
        <f>HYPERLINK("https://creighton-primo.hosted.exlibrisgroup.com/primo-explore/search?tab=default_tab&amp;search_scope=EVERYTHING&amp;vid=01CRU&amp;lang=en_US&amp;offset=0&amp;query=any,contains,991004564179702656","Catalog Record")</f>
        <v/>
      </c>
      <c r="AT1438">
        <f>HYPERLINK("http://www.worldcat.org/oclc/4004118","WorldCat Record")</f>
        <v/>
      </c>
      <c r="AU1438" t="inlineStr">
        <is>
          <t>916035493:eng</t>
        </is>
      </c>
      <c r="AV1438" t="inlineStr">
        <is>
          <t>4004118</t>
        </is>
      </c>
      <c r="AW1438" t="inlineStr">
        <is>
          <t>991004564179702656</t>
        </is>
      </c>
      <c r="AX1438" t="inlineStr">
        <is>
          <t>991004564179702656</t>
        </is>
      </c>
      <c r="AY1438" t="inlineStr">
        <is>
          <t>2265200710002656</t>
        </is>
      </c>
      <c r="AZ1438" t="inlineStr">
        <is>
          <t>BOOK</t>
        </is>
      </c>
      <c r="BB1438" t="inlineStr">
        <is>
          <t>9780691046556</t>
        </is>
      </c>
      <c r="BC1438" t="inlineStr">
        <is>
          <t>32285001358570</t>
        </is>
      </c>
      <c r="BD1438" t="inlineStr">
        <is>
          <t>893593856</t>
        </is>
      </c>
    </row>
    <row r="1439">
      <c r="A1439" t="inlineStr">
        <is>
          <t>No</t>
        </is>
      </c>
      <c r="B1439" t="inlineStr">
        <is>
          <t>HQ535 .F85</t>
        </is>
      </c>
      <c r="C1439" t="inlineStr">
        <is>
          <t>0                      HQ 0535000F  85</t>
        </is>
      </c>
      <c r="D1439" t="inlineStr">
        <is>
          <t>Survival in marriage; introduction to family interaction, conflicts, and alternatives.</t>
        </is>
      </c>
      <c r="F1439" t="inlineStr">
        <is>
          <t>No</t>
        </is>
      </c>
      <c r="G1439" t="inlineStr">
        <is>
          <t>1</t>
        </is>
      </c>
      <c r="H1439" t="inlineStr">
        <is>
          <t>No</t>
        </is>
      </c>
      <c r="I1439" t="inlineStr">
        <is>
          <t>No</t>
        </is>
      </c>
      <c r="J1439" t="inlineStr">
        <is>
          <t>0</t>
        </is>
      </c>
      <c r="K1439" t="inlineStr">
        <is>
          <t>Fullerton, Gail Putney.</t>
        </is>
      </c>
      <c r="L1439" t="inlineStr">
        <is>
          <t>New York, Holt, Rinehart and Winston [1972]</t>
        </is>
      </c>
      <c r="M1439" t="inlineStr">
        <is>
          <t>1972</t>
        </is>
      </c>
      <c r="O1439" t="inlineStr">
        <is>
          <t>eng</t>
        </is>
      </c>
      <c r="P1439" t="inlineStr">
        <is>
          <t>nyu</t>
        </is>
      </c>
      <c r="R1439" t="inlineStr">
        <is>
          <t xml:space="preserve">HQ </t>
        </is>
      </c>
      <c r="S1439" t="n">
        <v>2</v>
      </c>
      <c r="T1439" t="n">
        <v>2</v>
      </c>
      <c r="U1439" t="inlineStr">
        <is>
          <t>2002-04-08</t>
        </is>
      </c>
      <c r="V1439" t="inlineStr">
        <is>
          <t>2002-04-08</t>
        </is>
      </c>
      <c r="W1439" t="inlineStr">
        <is>
          <t>1997-08-08</t>
        </is>
      </c>
      <c r="X1439" t="inlineStr">
        <is>
          <t>1997-08-08</t>
        </is>
      </c>
      <c r="Y1439" t="n">
        <v>321</v>
      </c>
      <c r="Z1439" t="n">
        <v>276</v>
      </c>
      <c r="AA1439" t="n">
        <v>398</v>
      </c>
      <c r="AB1439" t="n">
        <v>4</v>
      </c>
      <c r="AC1439" t="n">
        <v>5</v>
      </c>
      <c r="AD1439" t="n">
        <v>12</v>
      </c>
      <c r="AE1439" t="n">
        <v>14</v>
      </c>
      <c r="AF1439" t="n">
        <v>5</v>
      </c>
      <c r="AG1439" t="n">
        <v>6</v>
      </c>
      <c r="AH1439" t="n">
        <v>0</v>
      </c>
      <c r="AI1439" t="n">
        <v>1</v>
      </c>
      <c r="AJ1439" t="n">
        <v>7</v>
      </c>
      <c r="AK1439" t="n">
        <v>7</v>
      </c>
      <c r="AL1439" t="n">
        <v>3</v>
      </c>
      <c r="AM1439" t="n">
        <v>4</v>
      </c>
      <c r="AN1439" t="n">
        <v>0</v>
      </c>
      <c r="AO1439" t="n">
        <v>0</v>
      </c>
      <c r="AP1439" t="inlineStr">
        <is>
          <t>No</t>
        </is>
      </c>
      <c r="AQ1439" t="inlineStr">
        <is>
          <t>Yes</t>
        </is>
      </c>
      <c r="AR1439">
        <f>HYPERLINK("http://catalog.hathitrust.org/Record/005718705","HathiTrust Record")</f>
        <v/>
      </c>
      <c r="AS1439">
        <f>HYPERLINK("https://creighton-primo.hosted.exlibrisgroup.com/primo-explore/search?tab=default_tab&amp;search_scope=EVERYTHING&amp;vid=01CRU&amp;lang=en_US&amp;offset=0&amp;query=any,contains,991002414179702656","Catalog Record")</f>
        <v/>
      </c>
      <c r="AT1439">
        <f>HYPERLINK("http://www.worldcat.org/oclc/341084","WorldCat Record")</f>
        <v/>
      </c>
      <c r="AU1439" t="inlineStr">
        <is>
          <t>1477111:eng</t>
        </is>
      </c>
      <c r="AV1439" t="inlineStr">
        <is>
          <t>341084</t>
        </is>
      </c>
      <c r="AW1439" t="inlineStr">
        <is>
          <t>991002414179702656</t>
        </is>
      </c>
      <c r="AX1439" t="inlineStr">
        <is>
          <t>991002414179702656</t>
        </is>
      </c>
      <c r="AY1439" t="inlineStr">
        <is>
          <t>2265789430002656</t>
        </is>
      </c>
      <c r="AZ1439" t="inlineStr">
        <is>
          <t>BOOK</t>
        </is>
      </c>
      <c r="BB1439" t="inlineStr">
        <is>
          <t>9780030774607</t>
        </is>
      </c>
      <c r="BC1439" t="inlineStr">
        <is>
          <t>32285003088662</t>
        </is>
      </c>
      <c r="BD1439" t="inlineStr">
        <is>
          <t>893903875</t>
        </is>
      </c>
    </row>
    <row r="1440">
      <c r="A1440" t="inlineStr">
        <is>
          <t>No</t>
        </is>
      </c>
      <c r="B1440" t="inlineStr">
        <is>
          <t>HQ535 .G65</t>
        </is>
      </c>
      <c r="C1440" t="inlineStr">
        <is>
          <t>0                      HQ 0535000G  65</t>
        </is>
      </c>
      <c r="D1440" t="inlineStr">
        <is>
          <t>The contemporary American family / edited with an introd. by William J. Goode.</t>
        </is>
      </c>
      <c r="F1440" t="inlineStr">
        <is>
          <t>No</t>
        </is>
      </c>
      <c r="G1440" t="inlineStr">
        <is>
          <t>1</t>
        </is>
      </c>
      <c r="H1440" t="inlineStr">
        <is>
          <t>No</t>
        </is>
      </c>
      <c r="I1440" t="inlineStr">
        <is>
          <t>No</t>
        </is>
      </c>
      <c r="J1440" t="inlineStr">
        <is>
          <t>0</t>
        </is>
      </c>
      <c r="K1440" t="inlineStr">
        <is>
          <t>Goode, William Josiah compiler.</t>
        </is>
      </c>
      <c r="L1440" t="inlineStr">
        <is>
          <t>Chicago : Quadrangle Books, [1971]</t>
        </is>
      </c>
      <c r="M1440" t="inlineStr">
        <is>
          <t>1971</t>
        </is>
      </c>
      <c r="O1440" t="inlineStr">
        <is>
          <t>eng</t>
        </is>
      </c>
      <c r="P1440" t="inlineStr">
        <is>
          <t>ilu</t>
        </is>
      </c>
      <c r="R1440" t="inlineStr">
        <is>
          <t xml:space="preserve">HQ </t>
        </is>
      </c>
      <c r="S1440" t="n">
        <v>2</v>
      </c>
      <c r="T1440" t="n">
        <v>2</v>
      </c>
      <c r="U1440" t="inlineStr">
        <is>
          <t>1997-11-05</t>
        </is>
      </c>
      <c r="V1440" t="inlineStr">
        <is>
          <t>1997-11-05</t>
        </is>
      </c>
      <c r="W1440" t="inlineStr">
        <is>
          <t>1992-10-07</t>
        </is>
      </c>
      <c r="X1440" t="inlineStr">
        <is>
          <t>1992-10-07</t>
        </is>
      </c>
      <c r="Y1440" t="n">
        <v>520</v>
      </c>
      <c r="Z1440" t="n">
        <v>444</v>
      </c>
      <c r="AA1440" t="n">
        <v>452</v>
      </c>
      <c r="AB1440" t="n">
        <v>6</v>
      </c>
      <c r="AC1440" t="n">
        <v>6</v>
      </c>
      <c r="AD1440" t="n">
        <v>21</v>
      </c>
      <c r="AE1440" t="n">
        <v>21</v>
      </c>
      <c r="AF1440" t="n">
        <v>7</v>
      </c>
      <c r="AG1440" t="n">
        <v>7</v>
      </c>
      <c r="AH1440" t="n">
        <v>4</v>
      </c>
      <c r="AI1440" t="n">
        <v>4</v>
      </c>
      <c r="AJ1440" t="n">
        <v>8</v>
      </c>
      <c r="AK1440" t="n">
        <v>8</v>
      </c>
      <c r="AL1440" t="n">
        <v>4</v>
      </c>
      <c r="AM1440" t="n">
        <v>4</v>
      </c>
      <c r="AN1440" t="n">
        <v>1</v>
      </c>
      <c r="AO1440" t="n">
        <v>1</v>
      </c>
      <c r="AP1440" t="inlineStr">
        <is>
          <t>No</t>
        </is>
      </c>
      <c r="AQ1440" t="inlineStr">
        <is>
          <t>Yes</t>
        </is>
      </c>
      <c r="AR1440">
        <f>HYPERLINK("http://catalog.hathitrust.org/Record/001354453","HathiTrust Record")</f>
        <v/>
      </c>
      <c r="AS1440">
        <f>HYPERLINK("https://creighton-primo.hosted.exlibrisgroup.com/primo-explore/search?tab=default_tab&amp;search_scope=EVERYTHING&amp;vid=01CRU&amp;lang=en_US&amp;offset=0&amp;query=any,contains,991000828409702656","Catalog Record")</f>
        <v/>
      </c>
      <c r="AT1440">
        <f>HYPERLINK("http://www.worldcat.org/oclc/146781","WorldCat Record")</f>
        <v/>
      </c>
      <c r="AU1440" t="inlineStr">
        <is>
          <t>1327535:eng</t>
        </is>
      </c>
      <c r="AV1440" t="inlineStr">
        <is>
          <t>146781</t>
        </is>
      </c>
      <c r="AW1440" t="inlineStr">
        <is>
          <t>991000828409702656</t>
        </is>
      </c>
      <c r="AX1440" t="inlineStr">
        <is>
          <t>991000828409702656</t>
        </is>
      </c>
      <c r="AY1440" t="inlineStr">
        <is>
          <t>2258717250002656</t>
        </is>
      </c>
      <c r="AZ1440" t="inlineStr">
        <is>
          <t>BOOK</t>
        </is>
      </c>
      <c r="BB1440" t="inlineStr">
        <is>
          <t>9780812901498</t>
        </is>
      </c>
      <c r="BC1440" t="inlineStr">
        <is>
          <t>32285001328094</t>
        </is>
      </c>
      <c r="BD1440" t="inlineStr">
        <is>
          <t>893327629</t>
        </is>
      </c>
    </row>
    <row r="1441">
      <c r="A1441" t="inlineStr">
        <is>
          <t>No</t>
        </is>
      </c>
      <c r="B1441" t="inlineStr">
        <is>
          <t>HQ535 .H55</t>
        </is>
      </c>
      <c r="C1441" t="inlineStr">
        <is>
          <t>0                      HQ 0535000H  55</t>
        </is>
      </c>
      <c r="D1441" t="inlineStr">
        <is>
          <t>Family development in three generations : a longitudinal study of changing family patterns of planning and achievement / with chapters in collaboration with Nelson Foote [and others]</t>
        </is>
      </c>
      <c r="F1441" t="inlineStr">
        <is>
          <t>No</t>
        </is>
      </c>
      <c r="G1441" t="inlineStr">
        <is>
          <t>1</t>
        </is>
      </c>
      <c r="H1441" t="inlineStr">
        <is>
          <t>No</t>
        </is>
      </c>
      <c r="I1441" t="inlineStr">
        <is>
          <t>No</t>
        </is>
      </c>
      <c r="J1441" t="inlineStr">
        <is>
          <t>0</t>
        </is>
      </c>
      <c r="K1441" t="inlineStr">
        <is>
          <t>Hill, Reuben, 1912-1985.</t>
        </is>
      </c>
      <c r="L1441" t="inlineStr">
        <is>
          <t>Cambridge, Mass. : Schenkman Pub. Co., [c1970]</t>
        </is>
      </c>
      <c r="M1441" t="inlineStr">
        <is>
          <t>1970</t>
        </is>
      </c>
      <c r="O1441" t="inlineStr">
        <is>
          <t>eng</t>
        </is>
      </c>
      <c r="P1441" t="inlineStr">
        <is>
          <t>mau</t>
        </is>
      </c>
      <c r="R1441" t="inlineStr">
        <is>
          <t xml:space="preserve">HQ </t>
        </is>
      </c>
      <c r="S1441" t="n">
        <v>2</v>
      </c>
      <c r="T1441" t="n">
        <v>2</v>
      </c>
      <c r="U1441" t="inlineStr">
        <is>
          <t>2005-11-21</t>
        </is>
      </c>
      <c r="V1441" t="inlineStr">
        <is>
          <t>2005-11-21</t>
        </is>
      </c>
      <c r="W1441" t="inlineStr">
        <is>
          <t>1992-04-15</t>
        </is>
      </c>
      <c r="X1441" t="inlineStr">
        <is>
          <t>1992-04-15</t>
        </is>
      </c>
      <c r="Y1441" t="n">
        <v>436</v>
      </c>
      <c r="Z1441" t="n">
        <v>338</v>
      </c>
      <c r="AA1441" t="n">
        <v>383</v>
      </c>
      <c r="AB1441" t="n">
        <v>4</v>
      </c>
      <c r="AC1441" t="n">
        <v>4</v>
      </c>
      <c r="AD1441" t="n">
        <v>18</v>
      </c>
      <c r="AE1441" t="n">
        <v>21</v>
      </c>
      <c r="AF1441" t="n">
        <v>6</v>
      </c>
      <c r="AG1441" t="n">
        <v>8</v>
      </c>
      <c r="AH1441" t="n">
        <v>4</v>
      </c>
      <c r="AI1441" t="n">
        <v>5</v>
      </c>
      <c r="AJ1441" t="n">
        <v>11</v>
      </c>
      <c r="AK1441" t="n">
        <v>11</v>
      </c>
      <c r="AL1441" t="n">
        <v>2</v>
      </c>
      <c r="AM1441" t="n">
        <v>2</v>
      </c>
      <c r="AN1441" t="n">
        <v>0</v>
      </c>
      <c r="AO1441" t="n">
        <v>0</v>
      </c>
      <c r="AP1441" t="inlineStr">
        <is>
          <t>No</t>
        </is>
      </c>
      <c r="AQ1441" t="inlineStr">
        <is>
          <t>Yes</t>
        </is>
      </c>
      <c r="AR1441">
        <f>HYPERLINK("http://catalog.hathitrust.org/Record/000977296","HathiTrust Record")</f>
        <v/>
      </c>
      <c r="AS1441">
        <f>HYPERLINK("https://creighton-primo.hosted.exlibrisgroup.com/primo-explore/search?tab=default_tab&amp;search_scope=EVERYTHING&amp;vid=01CRU&amp;lang=en_US&amp;offset=0&amp;query=any,contains,991001365539702656","Catalog Record")</f>
        <v/>
      </c>
      <c r="AT1441">
        <f>HYPERLINK("http://www.worldcat.org/oclc/222290","WorldCat Record")</f>
        <v/>
      </c>
      <c r="AU1441" t="inlineStr">
        <is>
          <t>367602494:eng</t>
        </is>
      </c>
      <c r="AV1441" t="inlineStr">
        <is>
          <t>222290</t>
        </is>
      </c>
      <c r="AW1441" t="inlineStr">
        <is>
          <t>991001365539702656</t>
        </is>
      </c>
      <c r="AX1441" t="inlineStr">
        <is>
          <t>991001365539702656</t>
        </is>
      </c>
      <c r="AY1441" t="inlineStr">
        <is>
          <t>2262141650002656</t>
        </is>
      </c>
      <c r="AZ1441" t="inlineStr">
        <is>
          <t>BOOK</t>
        </is>
      </c>
      <c r="BC1441" t="inlineStr">
        <is>
          <t>32285001061968</t>
        </is>
      </c>
      <c r="BD1441" t="inlineStr">
        <is>
          <t>893340376</t>
        </is>
      </c>
    </row>
    <row r="1442">
      <c r="A1442" t="inlineStr">
        <is>
          <t>No</t>
        </is>
      </c>
      <c r="B1442" t="inlineStr">
        <is>
          <t>HQ535 .H58</t>
        </is>
      </c>
      <c r="C1442" t="inlineStr">
        <is>
          <t>0                      HQ 0535000H  58</t>
        </is>
      </c>
      <c r="D1442" t="inlineStr">
        <is>
          <t>The two-career family.</t>
        </is>
      </c>
      <c r="F1442" t="inlineStr">
        <is>
          <t>No</t>
        </is>
      </c>
      <c r="G1442" t="inlineStr">
        <is>
          <t>1</t>
        </is>
      </c>
      <c r="H1442" t="inlineStr">
        <is>
          <t>No</t>
        </is>
      </c>
      <c r="I1442" t="inlineStr">
        <is>
          <t>No</t>
        </is>
      </c>
      <c r="J1442" t="inlineStr">
        <is>
          <t>0</t>
        </is>
      </c>
      <c r="K1442" t="inlineStr">
        <is>
          <t>Holmstrom, Lynda Lytle.</t>
        </is>
      </c>
      <c r="L1442" t="inlineStr">
        <is>
          <t>Cambridge, Mass. : Schenkman Pub. Co. ; distributed by General Learning Press [Morristown, N.J., 1972]</t>
        </is>
      </c>
      <c r="M1442" t="inlineStr">
        <is>
          <t>1972</t>
        </is>
      </c>
      <c r="O1442" t="inlineStr">
        <is>
          <t>eng</t>
        </is>
      </c>
      <c r="P1442" t="inlineStr">
        <is>
          <t>mau</t>
        </is>
      </c>
      <c r="R1442" t="inlineStr">
        <is>
          <t xml:space="preserve">HQ </t>
        </is>
      </c>
      <c r="S1442" t="n">
        <v>7</v>
      </c>
      <c r="T1442" t="n">
        <v>7</v>
      </c>
      <c r="U1442" t="inlineStr">
        <is>
          <t>2003-12-03</t>
        </is>
      </c>
      <c r="V1442" t="inlineStr">
        <is>
          <t>2003-12-03</t>
        </is>
      </c>
      <c r="W1442" t="inlineStr">
        <is>
          <t>1995-04-11</t>
        </is>
      </c>
      <c r="X1442" t="inlineStr">
        <is>
          <t>1995-04-11</t>
        </is>
      </c>
      <c r="Y1442" t="n">
        <v>623</v>
      </c>
      <c r="Z1442" t="n">
        <v>542</v>
      </c>
      <c r="AA1442" t="n">
        <v>612</v>
      </c>
      <c r="AB1442" t="n">
        <v>5</v>
      </c>
      <c r="AC1442" t="n">
        <v>5</v>
      </c>
      <c r="AD1442" t="n">
        <v>22</v>
      </c>
      <c r="AE1442" t="n">
        <v>26</v>
      </c>
      <c r="AF1442" t="n">
        <v>8</v>
      </c>
      <c r="AG1442" t="n">
        <v>9</v>
      </c>
      <c r="AH1442" t="n">
        <v>4</v>
      </c>
      <c r="AI1442" t="n">
        <v>5</v>
      </c>
      <c r="AJ1442" t="n">
        <v>11</v>
      </c>
      <c r="AK1442" t="n">
        <v>15</v>
      </c>
      <c r="AL1442" t="n">
        <v>4</v>
      </c>
      <c r="AM1442" t="n">
        <v>4</v>
      </c>
      <c r="AN1442" t="n">
        <v>0</v>
      </c>
      <c r="AO1442" t="n">
        <v>0</v>
      </c>
      <c r="AP1442" t="inlineStr">
        <is>
          <t>No</t>
        </is>
      </c>
      <c r="AQ1442" t="inlineStr">
        <is>
          <t>No</t>
        </is>
      </c>
      <c r="AS1442">
        <f>HYPERLINK("https://creighton-primo.hosted.exlibrisgroup.com/primo-explore/search?tab=default_tab&amp;search_scope=EVERYTHING&amp;vid=01CRU&amp;lang=en_US&amp;offset=0&amp;query=any,contains,991002693039702656","Catalog Record")</f>
        <v/>
      </c>
      <c r="AT1442">
        <f>HYPERLINK("http://www.worldcat.org/oclc/402194","WorldCat Record")</f>
        <v/>
      </c>
      <c r="AU1442" t="inlineStr">
        <is>
          <t>1419532:eng</t>
        </is>
      </c>
      <c r="AV1442" t="inlineStr">
        <is>
          <t>402194</t>
        </is>
      </c>
      <c r="AW1442" t="inlineStr">
        <is>
          <t>991002693039702656</t>
        </is>
      </c>
      <c r="AX1442" t="inlineStr">
        <is>
          <t>991002693039702656</t>
        </is>
      </c>
      <c r="AY1442" t="inlineStr">
        <is>
          <t>2267644900002656</t>
        </is>
      </c>
      <c r="AZ1442" t="inlineStr">
        <is>
          <t>BOOK</t>
        </is>
      </c>
      <c r="BC1442" t="inlineStr">
        <is>
          <t>32285002026333</t>
        </is>
      </c>
      <c r="BD1442" t="inlineStr">
        <is>
          <t>893792794</t>
        </is>
      </c>
    </row>
    <row r="1443">
      <c r="A1443" t="inlineStr">
        <is>
          <t>No</t>
        </is>
      </c>
      <c r="B1443" t="inlineStr">
        <is>
          <t>HQ535 .J3</t>
        </is>
      </c>
      <c r="C1443" t="inlineStr">
        <is>
          <t>0                      HQ 0535000J  3</t>
        </is>
      </c>
      <c r="D1443" t="inlineStr">
        <is>
          <t>American marriage and divorce [by] Paul H. Jacobson, in collaboration with Pauline F. Jacobson.</t>
        </is>
      </c>
      <c r="F1443" t="inlineStr">
        <is>
          <t>No</t>
        </is>
      </c>
      <c r="G1443" t="inlineStr">
        <is>
          <t>1</t>
        </is>
      </c>
      <c r="H1443" t="inlineStr">
        <is>
          <t>No</t>
        </is>
      </c>
      <c r="I1443" t="inlineStr">
        <is>
          <t>No</t>
        </is>
      </c>
      <c r="J1443" t="inlineStr">
        <is>
          <t>0</t>
        </is>
      </c>
      <c r="K1443" t="inlineStr">
        <is>
          <t>Jacobson, Paul H. (Paul Harold), 1912-</t>
        </is>
      </c>
      <c r="L1443" t="inlineStr">
        <is>
          <t>New York, Rinehart [1959]</t>
        </is>
      </c>
      <c r="M1443" t="inlineStr">
        <is>
          <t>1959</t>
        </is>
      </c>
      <c r="O1443" t="inlineStr">
        <is>
          <t>eng</t>
        </is>
      </c>
      <c r="P1443" t="inlineStr">
        <is>
          <t>nyu</t>
        </is>
      </c>
      <c r="R1443" t="inlineStr">
        <is>
          <t xml:space="preserve">HQ </t>
        </is>
      </c>
      <c r="S1443" t="n">
        <v>2</v>
      </c>
      <c r="T1443" t="n">
        <v>2</v>
      </c>
      <c r="U1443" t="inlineStr">
        <is>
          <t>1999-04-13</t>
        </is>
      </c>
      <c r="V1443" t="inlineStr">
        <is>
          <t>1999-04-13</t>
        </is>
      </c>
      <c r="W1443" t="inlineStr">
        <is>
          <t>1997-08-08</t>
        </is>
      </c>
      <c r="X1443" t="inlineStr">
        <is>
          <t>1997-08-08</t>
        </is>
      </c>
      <c r="Y1443" t="n">
        <v>379</v>
      </c>
      <c r="Z1443" t="n">
        <v>353</v>
      </c>
      <c r="AA1443" t="n">
        <v>362</v>
      </c>
      <c r="AB1443" t="n">
        <v>4</v>
      </c>
      <c r="AC1443" t="n">
        <v>4</v>
      </c>
      <c r="AD1443" t="n">
        <v>21</v>
      </c>
      <c r="AE1443" t="n">
        <v>21</v>
      </c>
      <c r="AF1443" t="n">
        <v>9</v>
      </c>
      <c r="AG1443" t="n">
        <v>9</v>
      </c>
      <c r="AH1443" t="n">
        <v>2</v>
      </c>
      <c r="AI1443" t="n">
        <v>2</v>
      </c>
      <c r="AJ1443" t="n">
        <v>8</v>
      </c>
      <c r="AK1443" t="n">
        <v>8</v>
      </c>
      <c r="AL1443" t="n">
        <v>2</v>
      </c>
      <c r="AM1443" t="n">
        <v>2</v>
      </c>
      <c r="AN1443" t="n">
        <v>5</v>
      </c>
      <c r="AO1443" t="n">
        <v>5</v>
      </c>
      <c r="AP1443" t="inlineStr">
        <is>
          <t>No</t>
        </is>
      </c>
      <c r="AQ1443" t="inlineStr">
        <is>
          <t>Yes</t>
        </is>
      </c>
      <c r="AR1443">
        <f>HYPERLINK("http://catalog.hathitrust.org/Record/000023032","HathiTrust Record")</f>
        <v/>
      </c>
      <c r="AS1443">
        <f>HYPERLINK("https://creighton-primo.hosted.exlibrisgroup.com/primo-explore/search?tab=default_tab&amp;search_scope=EVERYTHING&amp;vid=01CRU&amp;lang=en_US&amp;offset=0&amp;query=any,contains,991003811859702656","Catalog Record")</f>
        <v/>
      </c>
      <c r="AT1443">
        <f>HYPERLINK("http://www.worldcat.org/oclc/1540551","WorldCat Record")</f>
        <v/>
      </c>
      <c r="AU1443" t="inlineStr">
        <is>
          <t>2434433:eng</t>
        </is>
      </c>
      <c r="AV1443" t="inlineStr">
        <is>
          <t>1540551</t>
        </is>
      </c>
      <c r="AW1443" t="inlineStr">
        <is>
          <t>991003811859702656</t>
        </is>
      </c>
      <c r="AX1443" t="inlineStr">
        <is>
          <t>991003811859702656</t>
        </is>
      </c>
      <c r="AY1443" t="inlineStr">
        <is>
          <t>2264538580002656</t>
        </is>
      </c>
      <c r="AZ1443" t="inlineStr">
        <is>
          <t>BOOK</t>
        </is>
      </c>
      <c r="BC1443" t="inlineStr">
        <is>
          <t>32285003088696</t>
        </is>
      </c>
      <c r="BD1443" t="inlineStr">
        <is>
          <t>893605226</t>
        </is>
      </c>
    </row>
    <row r="1444">
      <c r="A1444" t="inlineStr">
        <is>
          <t>No</t>
        </is>
      </c>
      <c r="B1444" t="inlineStr">
        <is>
          <t>HQ535 .L38</t>
        </is>
      </c>
      <c r="C1444" t="inlineStr">
        <is>
          <t>0                      HQ 0535000L  38</t>
        </is>
      </c>
      <c r="D1444" t="inlineStr">
        <is>
          <t>Parents in modern America : a sociological analysis / by E. E. LeMasters.</t>
        </is>
      </c>
      <c r="F1444" t="inlineStr">
        <is>
          <t>No</t>
        </is>
      </c>
      <c r="G1444" t="inlineStr">
        <is>
          <t>1</t>
        </is>
      </c>
      <c r="H1444" t="inlineStr">
        <is>
          <t>No</t>
        </is>
      </c>
      <c r="I1444" t="inlineStr">
        <is>
          <t>No</t>
        </is>
      </c>
      <c r="J1444" t="inlineStr">
        <is>
          <t>0</t>
        </is>
      </c>
      <c r="K1444" t="inlineStr">
        <is>
          <t>LeMasters, E. E.</t>
        </is>
      </c>
      <c r="L1444" t="inlineStr">
        <is>
          <t>Homewood, Ill. : Dorsey Press, 1970.</t>
        </is>
      </c>
      <c r="M1444" t="inlineStr">
        <is>
          <t>1970</t>
        </is>
      </c>
      <c r="O1444" t="inlineStr">
        <is>
          <t>eng</t>
        </is>
      </c>
      <c r="P1444" t="inlineStr">
        <is>
          <t>ilu</t>
        </is>
      </c>
      <c r="Q1444" t="inlineStr">
        <is>
          <t>The Dorsey series in anthropology and sociology</t>
        </is>
      </c>
      <c r="R1444" t="inlineStr">
        <is>
          <t xml:space="preserve">HQ </t>
        </is>
      </c>
      <c r="S1444" t="n">
        <v>3</v>
      </c>
      <c r="T1444" t="n">
        <v>3</v>
      </c>
      <c r="U1444" t="inlineStr">
        <is>
          <t>1998-10-31</t>
        </is>
      </c>
      <c r="V1444" t="inlineStr">
        <is>
          <t>1998-10-31</t>
        </is>
      </c>
      <c r="W1444" t="inlineStr">
        <is>
          <t>1992-10-07</t>
        </is>
      </c>
      <c r="X1444" t="inlineStr">
        <is>
          <t>1992-10-07</t>
        </is>
      </c>
      <c r="Y1444" t="n">
        <v>513</v>
      </c>
      <c r="Z1444" t="n">
        <v>436</v>
      </c>
      <c r="AA1444" t="n">
        <v>695</v>
      </c>
      <c r="AB1444" t="n">
        <v>6</v>
      </c>
      <c r="AC1444" t="n">
        <v>8</v>
      </c>
      <c r="AD1444" t="n">
        <v>22</v>
      </c>
      <c r="AE1444" t="n">
        <v>31</v>
      </c>
      <c r="AF1444" t="n">
        <v>6</v>
      </c>
      <c r="AG1444" t="n">
        <v>11</v>
      </c>
      <c r="AH1444" t="n">
        <v>3</v>
      </c>
      <c r="AI1444" t="n">
        <v>5</v>
      </c>
      <c r="AJ1444" t="n">
        <v>11</v>
      </c>
      <c r="AK1444" t="n">
        <v>16</v>
      </c>
      <c r="AL1444" t="n">
        <v>5</v>
      </c>
      <c r="AM1444" t="n">
        <v>6</v>
      </c>
      <c r="AN1444" t="n">
        <v>0</v>
      </c>
      <c r="AO1444" t="n">
        <v>0</v>
      </c>
      <c r="AP1444" t="inlineStr">
        <is>
          <t>No</t>
        </is>
      </c>
      <c r="AQ1444" t="inlineStr">
        <is>
          <t>Yes</t>
        </is>
      </c>
      <c r="AR1444">
        <f>HYPERLINK("http://catalog.hathitrust.org/Record/001109914","HathiTrust Record")</f>
        <v/>
      </c>
      <c r="AS1444">
        <f>HYPERLINK("https://creighton-primo.hosted.exlibrisgroup.com/primo-explore/search?tab=default_tab&amp;search_scope=EVERYTHING&amp;vid=01CRU&amp;lang=en_US&amp;offset=0&amp;query=any,contains,991000132169702656","Catalog Record")</f>
        <v/>
      </c>
      <c r="AT1444">
        <f>HYPERLINK("http://www.worldcat.org/oclc/54603","WorldCat Record")</f>
        <v/>
      </c>
      <c r="AU1444" t="inlineStr">
        <is>
          <t>5851813:eng</t>
        </is>
      </c>
      <c r="AV1444" t="inlineStr">
        <is>
          <t>54603</t>
        </is>
      </c>
      <c r="AW1444" t="inlineStr">
        <is>
          <t>991000132169702656</t>
        </is>
      </c>
      <c r="AX1444" t="inlineStr">
        <is>
          <t>991000132169702656</t>
        </is>
      </c>
      <c r="AY1444" t="inlineStr">
        <is>
          <t>2258118470002656</t>
        </is>
      </c>
      <c r="AZ1444" t="inlineStr">
        <is>
          <t>BOOK</t>
        </is>
      </c>
      <c r="BC1444" t="inlineStr">
        <is>
          <t>32285001328086</t>
        </is>
      </c>
      <c r="BD1444" t="inlineStr">
        <is>
          <t>893708147</t>
        </is>
      </c>
    </row>
    <row r="1445">
      <c r="A1445" t="inlineStr">
        <is>
          <t>No</t>
        </is>
      </c>
      <c r="B1445" t="inlineStr">
        <is>
          <t>HQ535 .L4 1989</t>
        </is>
      </c>
      <c r="C1445" t="inlineStr">
        <is>
          <t>0                      HQ 0535000L  4           1989</t>
        </is>
      </c>
      <c r="D1445" t="inlineStr">
        <is>
          <t>The family in social context / by Gerald R. Leslie and Sheila K. Korman.</t>
        </is>
      </c>
      <c r="F1445" t="inlineStr">
        <is>
          <t>No</t>
        </is>
      </c>
      <c r="G1445" t="inlineStr">
        <is>
          <t>1</t>
        </is>
      </c>
      <c r="H1445" t="inlineStr">
        <is>
          <t>No</t>
        </is>
      </c>
      <c r="I1445" t="inlineStr">
        <is>
          <t>No</t>
        </is>
      </c>
      <c r="J1445" t="inlineStr">
        <is>
          <t>0</t>
        </is>
      </c>
      <c r="K1445" t="inlineStr">
        <is>
          <t>Leslie, Gerald R.</t>
        </is>
      </c>
      <c r="L1445" t="inlineStr">
        <is>
          <t>New York : Oxford University Press, 1989.</t>
        </is>
      </c>
      <c r="M1445" t="inlineStr">
        <is>
          <t>1989</t>
        </is>
      </c>
      <c r="N1445" t="inlineStr">
        <is>
          <t>7th ed.</t>
        </is>
      </c>
      <c r="O1445" t="inlineStr">
        <is>
          <t>eng</t>
        </is>
      </c>
      <c r="P1445" t="inlineStr">
        <is>
          <t>nyu</t>
        </is>
      </c>
      <c r="R1445" t="inlineStr">
        <is>
          <t xml:space="preserve">HQ </t>
        </is>
      </c>
      <c r="S1445" t="n">
        <v>18</v>
      </c>
      <c r="T1445" t="n">
        <v>18</v>
      </c>
      <c r="U1445" t="inlineStr">
        <is>
          <t>2005-09-14</t>
        </is>
      </c>
      <c r="V1445" t="inlineStr">
        <is>
          <t>2005-09-14</t>
        </is>
      </c>
      <c r="W1445" t="inlineStr">
        <is>
          <t>1992-04-27</t>
        </is>
      </c>
      <c r="X1445" t="inlineStr">
        <is>
          <t>1992-04-27</t>
        </is>
      </c>
      <c r="Y1445" t="n">
        <v>349</v>
      </c>
      <c r="Z1445" t="n">
        <v>230</v>
      </c>
      <c r="AA1445" t="n">
        <v>950</v>
      </c>
      <c r="AB1445" t="n">
        <v>2</v>
      </c>
      <c r="AC1445" t="n">
        <v>5</v>
      </c>
      <c r="AD1445" t="n">
        <v>7</v>
      </c>
      <c r="AE1445" t="n">
        <v>37</v>
      </c>
      <c r="AF1445" t="n">
        <v>2</v>
      </c>
      <c r="AG1445" t="n">
        <v>15</v>
      </c>
      <c r="AH1445" t="n">
        <v>1</v>
      </c>
      <c r="AI1445" t="n">
        <v>6</v>
      </c>
      <c r="AJ1445" t="n">
        <v>5</v>
      </c>
      <c r="AK1445" t="n">
        <v>22</v>
      </c>
      <c r="AL1445" t="n">
        <v>1</v>
      </c>
      <c r="AM1445" t="n">
        <v>3</v>
      </c>
      <c r="AN1445" t="n">
        <v>0</v>
      </c>
      <c r="AO1445" t="n">
        <v>1</v>
      </c>
      <c r="AP1445" t="inlineStr">
        <is>
          <t>No</t>
        </is>
      </c>
      <c r="AQ1445" t="inlineStr">
        <is>
          <t>No</t>
        </is>
      </c>
      <c r="AS1445">
        <f>HYPERLINK("https://creighton-primo.hosted.exlibrisgroup.com/primo-explore/search?tab=default_tab&amp;search_scope=EVERYTHING&amp;vid=01CRU&amp;lang=en_US&amp;offset=0&amp;query=any,contains,991001297839702656","Catalog Record")</f>
        <v/>
      </c>
      <c r="AT1445">
        <f>HYPERLINK("http://www.worldcat.org/oclc/18050740","WorldCat Record")</f>
        <v/>
      </c>
      <c r="AU1445" t="inlineStr">
        <is>
          <t>1543432:eng</t>
        </is>
      </c>
      <c r="AV1445" t="inlineStr">
        <is>
          <t>18050740</t>
        </is>
      </c>
      <c r="AW1445" t="inlineStr">
        <is>
          <t>991001297839702656</t>
        </is>
      </c>
      <c r="AX1445" t="inlineStr">
        <is>
          <t>991001297839702656</t>
        </is>
      </c>
      <c r="AY1445" t="inlineStr">
        <is>
          <t>2268485610002656</t>
        </is>
      </c>
      <c r="AZ1445" t="inlineStr">
        <is>
          <t>BOOK</t>
        </is>
      </c>
      <c r="BB1445" t="inlineStr">
        <is>
          <t>9780195049749</t>
        </is>
      </c>
      <c r="BC1445" t="inlineStr">
        <is>
          <t>32285001089464</t>
        </is>
      </c>
      <c r="BD1445" t="inlineStr">
        <is>
          <t>893528862</t>
        </is>
      </c>
    </row>
    <row r="1446">
      <c r="A1446" t="inlineStr">
        <is>
          <t>No</t>
        </is>
      </c>
      <c r="B1446" t="inlineStr">
        <is>
          <t>HQ535 .M35 1987</t>
        </is>
      </c>
      <c r="C1446" t="inlineStr">
        <is>
          <t>0                      HQ 0535000M  35          1987</t>
        </is>
      </c>
      <c r="D1446" t="inlineStr">
        <is>
          <t>Building your family to last / Kari Torjesen Malcolm.</t>
        </is>
      </c>
      <c r="F1446" t="inlineStr">
        <is>
          <t>No</t>
        </is>
      </c>
      <c r="G1446" t="inlineStr">
        <is>
          <t>1</t>
        </is>
      </c>
      <c r="H1446" t="inlineStr">
        <is>
          <t>No</t>
        </is>
      </c>
      <c r="I1446" t="inlineStr">
        <is>
          <t>No</t>
        </is>
      </c>
      <c r="J1446" t="inlineStr">
        <is>
          <t>0</t>
        </is>
      </c>
      <c r="K1446" t="inlineStr">
        <is>
          <t>Malcolm, Kari Torjesen, 1925-</t>
        </is>
      </c>
      <c r="L1446" t="inlineStr">
        <is>
          <t>Downers Grove, Ill. : InterVarsity Press, c1987.</t>
        </is>
      </c>
      <c r="M1446" t="inlineStr">
        <is>
          <t>1987</t>
        </is>
      </c>
      <c r="O1446" t="inlineStr">
        <is>
          <t>eng</t>
        </is>
      </c>
      <c r="P1446" t="inlineStr">
        <is>
          <t>ilu</t>
        </is>
      </c>
      <c r="R1446" t="inlineStr">
        <is>
          <t xml:space="preserve">HQ </t>
        </is>
      </c>
      <c r="S1446" t="n">
        <v>2</v>
      </c>
      <c r="T1446" t="n">
        <v>2</v>
      </c>
      <c r="U1446" t="inlineStr">
        <is>
          <t>2009-09-16</t>
        </is>
      </c>
      <c r="V1446" t="inlineStr">
        <is>
          <t>2009-09-16</t>
        </is>
      </c>
      <c r="W1446" t="inlineStr">
        <is>
          <t>2006-04-11</t>
        </is>
      </c>
      <c r="X1446" t="inlineStr">
        <is>
          <t>2006-04-11</t>
        </is>
      </c>
      <c r="Y1446" t="n">
        <v>63</v>
      </c>
      <c r="Z1446" t="n">
        <v>57</v>
      </c>
      <c r="AA1446" t="n">
        <v>64</v>
      </c>
      <c r="AB1446" t="n">
        <v>1</v>
      </c>
      <c r="AC1446" t="n">
        <v>1</v>
      </c>
      <c r="AD1446" t="n">
        <v>0</v>
      </c>
      <c r="AE1446" t="n">
        <v>0</v>
      </c>
      <c r="AF1446" t="n">
        <v>0</v>
      </c>
      <c r="AG1446" t="n">
        <v>0</v>
      </c>
      <c r="AH1446" t="n">
        <v>0</v>
      </c>
      <c r="AI1446" t="n">
        <v>0</v>
      </c>
      <c r="AJ1446" t="n">
        <v>0</v>
      </c>
      <c r="AK1446" t="n">
        <v>0</v>
      </c>
      <c r="AL1446" t="n">
        <v>0</v>
      </c>
      <c r="AM1446" t="n">
        <v>0</v>
      </c>
      <c r="AN1446" t="n">
        <v>0</v>
      </c>
      <c r="AO1446" t="n">
        <v>0</v>
      </c>
      <c r="AP1446" t="inlineStr">
        <is>
          <t>No</t>
        </is>
      </c>
      <c r="AQ1446" t="inlineStr">
        <is>
          <t>No</t>
        </is>
      </c>
      <c r="AS1446">
        <f>HYPERLINK("https://creighton-primo.hosted.exlibrisgroup.com/primo-explore/search?tab=default_tab&amp;search_scope=EVERYTHING&amp;vid=01CRU&amp;lang=en_US&amp;offset=0&amp;query=any,contains,991004794429702656","Catalog Record")</f>
        <v/>
      </c>
      <c r="AT1446">
        <f>HYPERLINK("http://www.worldcat.org/oclc/15550398","WorldCat Record")</f>
        <v/>
      </c>
      <c r="AU1446" t="inlineStr">
        <is>
          <t>9759250:eng</t>
        </is>
      </c>
      <c r="AV1446" t="inlineStr">
        <is>
          <t>15550398</t>
        </is>
      </c>
      <c r="AW1446" t="inlineStr">
        <is>
          <t>991004794429702656</t>
        </is>
      </c>
      <c r="AX1446" t="inlineStr">
        <is>
          <t>991004794429702656</t>
        </is>
      </c>
      <c r="AY1446" t="inlineStr">
        <is>
          <t>2256281730002656</t>
        </is>
      </c>
      <c r="AZ1446" t="inlineStr">
        <is>
          <t>BOOK</t>
        </is>
      </c>
      <c r="BB1446" t="inlineStr">
        <is>
          <t>9780877849841</t>
        </is>
      </c>
      <c r="BC1446" t="inlineStr">
        <is>
          <t>32285005181242</t>
        </is>
      </c>
      <c r="BD1446" t="inlineStr">
        <is>
          <t>893241844</t>
        </is>
      </c>
    </row>
    <row r="1447">
      <c r="A1447" t="inlineStr">
        <is>
          <t>No</t>
        </is>
      </c>
      <c r="B1447" t="inlineStr">
        <is>
          <t>HQ535 .M387 1999</t>
        </is>
      </c>
      <c r="C1447" t="inlineStr">
        <is>
          <t>0                      HQ 0535000M  387         1999</t>
        </is>
      </c>
      <c r="D1447" t="inlineStr">
        <is>
          <t>Homeward bound : American families in the Cold War era / Elaine Tyler May.</t>
        </is>
      </c>
      <c r="F1447" t="inlineStr">
        <is>
          <t>No</t>
        </is>
      </c>
      <c r="G1447" t="inlineStr">
        <is>
          <t>1</t>
        </is>
      </c>
      <c r="H1447" t="inlineStr">
        <is>
          <t>No</t>
        </is>
      </c>
      <c r="I1447" t="inlineStr">
        <is>
          <t>No</t>
        </is>
      </c>
      <c r="J1447" t="inlineStr">
        <is>
          <t>0</t>
        </is>
      </c>
      <c r="K1447" t="inlineStr">
        <is>
          <t>May, Elaine Tyler.</t>
        </is>
      </c>
      <c r="L1447" t="inlineStr">
        <is>
          <t>[New York] : Basic Books, c1999.</t>
        </is>
      </c>
      <c r="M1447" t="inlineStr">
        <is>
          <t>1999</t>
        </is>
      </c>
      <c r="N1447" t="inlineStr">
        <is>
          <t>Rev. and updated ed.</t>
        </is>
      </c>
      <c r="O1447" t="inlineStr">
        <is>
          <t>eng</t>
        </is>
      </c>
      <c r="P1447" t="inlineStr">
        <is>
          <t>nyu</t>
        </is>
      </c>
      <c r="R1447" t="inlineStr">
        <is>
          <t xml:space="preserve">HQ </t>
        </is>
      </c>
      <c r="S1447" t="n">
        <v>13</v>
      </c>
      <c r="T1447" t="n">
        <v>13</v>
      </c>
      <c r="U1447" t="inlineStr">
        <is>
          <t>2008-04-29</t>
        </is>
      </c>
      <c r="V1447" t="inlineStr">
        <is>
          <t>2008-04-29</t>
        </is>
      </c>
      <c r="W1447" t="inlineStr">
        <is>
          <t>2001-01-16</t>
        </is>
      </c>
      <c r="X1447" t="inlineStr">
        <is>
          <t>2001-01-16</t>
        </is>
      </c>
      <c r="Y1447" t="n">
        <v>268</v>
      </c>
      <c r="Z1447" t="n">
        <v>238</v>
      </c>
      <c r="AA1447" t="n">
        <v>1638</v>
      </c>
      <c r="AB1447" t="n">
        <v>1</v>
      </c>
      <c r="AC1447" t="n">
        <v>10</v>
      </c>
      <c r="AD1447" t="n">
        <v>4</v>
      </c>
      <c r="AE1447" t="n">
        <v>54</v>
      </c>
      <c r="AF1447" t="n">
        <v>2</v>
      </c>
      <c r="AG1447" t="n">
        <v>23</v>
      </c>
      <c r="AH1447" t="n">
        <v>0</v>
      </c>
      <c r="AI1447" t="n">
        <v>10</v>
      </c>
      <c r="AJ1447" t="n">
        <v>2</v>
      </c>
      <c r="AK1447" t="n">
        <v>22</v>
      </c>
      <c r="AL1447" t="n">
        <v>0</v>
      </c>
      <c r="AM1447" t="n">
        <v>9</v>
      </c>
      <c r="AN1447" t="n">
        <v>0</v>
      </c>
      <c r="AO1447" t="n">
        <v>1</v>
      </c>
      <c r="AP1447" t="inlineStr">
        <is>
          <t>No</t>
        </is>
      </c>
      <c r="AQ1447" t="inlineStr">
        <is>
          <t>Yes</t>
        </is>
      </c>
      <c r="AR1447">
        <f>HYPERLINK("http://catalog.hathitrust.org/Record/003818146","HathiTrust Record")</f>
        <v/>
      </c>
      <c r="AS1447">
        <f>HYPERLINK("https://creighton-primo.hosted.exlibrisgroup.com/primo-explore/search?tab=default_tab&amp;search_scope=EVERYTHING&amp;vid=01CRU&amp;lang=en_US&amp;offset=0&amp;query=any,contains,991003345169702656","Catalog Record")</f>
        <v/>
      </c>
      <c r="AT1447">
        <f>HYPERLINK("http://www.worldcat.org/oclc/43394774","WorldCat Record")</f>
        <v/>
      </c>
      <c r="AU1447" t="inlineStr">
        <is>
          <t>17216964:eng</t>
        </is>
      </c>
      <c r="AV1447" t="inlineStr">
        <is>
          <t>43394774</t>
        </is>
      </c>
      <c r="AW1447" t="inlineStr">
        <is>
          <t>991003345169702656</t>
        </is>
      </c>
      <c r="AX1447" t="inlineStr">
        <is>
          <t>991003345169702656</t>
        </is>
      </c>
      <c r="AY1447" t="inlineStr">
        <is>
          <t>2265434020002656</t>
        </is>
      </c>
      <c r="AZ1447" t="inlineStr">
        <is>
          <t>BOOK</t>
        </is>
      </c>
      <c r="BB1447" t="inlineStr">
        <is>
          <t>9780465030552</t>
        </is>
      </c>
      <c r="BC1447" t="inlineStr">
        <is>
          <t>32285004284278</t>
        </is>
      </c>
      <c r="BD1447" t="inlineStr">
        <is>
          <t>893227979</t>
        </is>
      </c>
    </row>
    <row r="1448">
      <c r="A1448" t="inlineStr">
        <is>
          <t>No</t>
        </is>
      </c>
      <c r="B1448" t="inlineStr">
        <is>
          <t>HQ535 .M46 1988</t>
        </is>
      </c>
      <c r="C1448" t="inlineStr">
        <is>
          <t>0                      HQ 0535000M  46          1988</t>
        </is>
      </c>
      <c r="D1448" t="inlineStr">
        <is>
          <t>Domestic revolutions : a social history of American family life / Steven Mintz and Susan Kellogg.</t>
        </is>
      </c>
      <c r="F1448" t="inlineStr">
        <is>
          <t>No</t>
        </is>
      </c>
      <c r="G1448" t="inlineStr">
        <is>
          <t>1</t>
        </is>
      </c>
      <c r="H1448" t="inlineStr">
        <is>
          <t>No</t>
        </is>
      </c>
      <c r="I1448" t="inlineStr">
        <is>
          <t>No</t>
        </is>
      </c>
      <c r="J1448" t="inlineStr">
        <is>
          <t>0</t>
        </is>
      </c>
      <c r="K1448" t="inlineStr">
        <is>
          <t>Mintz, Steven, 1953-</t>
        </is>
      </c>
      <c r="L1448" t="inlineStr">
        <is>
          <t>New York : Free Press ; London : Collier Macmillan, c1988.</t>
        </is>
      </c>
      <c r="M1448" t="inlineStr">
        <is>
          <t>1988</t>
        </is>
      </c>
      <c r="O1448" t="inlineStr">
        <is>
          <t>eng</t>
        </is>
      </c>
      <c r="P1448" t="inlineStr">
        <is>
          <t>nyu</t>
        </is>
      </c>
      <c r="R1448" t="inlineStr">
        <is>
          <t xml:space="preserve">HQ </t>
        </is>
      </c>
      <c r="S1448" t="n">
        <v>13</v>
      </c>
      <c r="T1448" t="n">
        <v>13</v>
      </c>
      <c r="U1448" t="inlineStr">
        <is>
          <t>2008-11-06</t>
        </is>
      </c>
      <c r="V1448" t="inlineStr">
        <is>
          <t>2008-11-06</t>
        </is>
      </c>
      <c r="W1448" t="inlineStr">
        <is>
          <t>1992-10-07</t>
        </is>
      </c>
      <c r="X1448" t="inlineStr">
        <is>
          <t>1992-10-07</t>
        </is>
      </c>
      <c r="Y1448" t="n">
        <v>1611</v>
      </c>
      <c r="Z1448" t="n">
        <v>1462</v>
      </c>
      <c r="AA1448" t="n">
        <v>1634</v>
      </c>
      <c r="AB1448" t="n">
        <v>10</v>
      </c>
      <c r="AC1448" t="n">
        <v>11</v>
      </c>
      <c r="AD1448" t="n">
        <v>49</v>
      </c>
      <c r="AE1448" t="n">
        <v>51</v>
      </c>
      <c r="AF1448" t="n">
        <v>19</v>
      </c>
      <c r="AG1448" t="n">
        <v>20</v>
      </c>
      <c r="AH1448" t="n">
        <v>10</v>
      </c>
      <c r="AI1448" t="n">
        <v>10</v>
      </c>
      <c r="AJ1448" t="n">
        <v>23</v>
      </c>
      <c r="AK1448" t="n">
        <v>24</v>
      </c>
      <c r="AL1448" t="n">
        <v>8</v>
      </c>
      <c r="AM1448" t="n">
        <v>9</v>
      </c>
      <c r="AN1448" t="n">
        <v>1</v>
      </c>
      <c r="AO1448" t="n">
        <v>1</v>
      </c>
      <c r="AP1448" t="inlineStr">
        <is>
          <t>No</t>
        </is>
      </c>
      <c r="AQ1448" t="inlineStr">
        <is>
          <t>Yes</t>
        </is>
      </c>
      <c r="AR1448">
        <f>HYPERLINK("http://catalog.hathitrust.org/Record/000843326","HathiTrust Record")</f>
        <v/>
      </c>
      <c r="AS1448">
        <f>HYPERLINK("https://creighton-primo.hosted.exlibrisgroup.com/primo-explore/search?tab=default_tab&amp;search_scope=EVERYTHING&amp;vid=01CRU&amp;lang=en_US&amp;offset=0&amp;query=any,contains,991001158809702656","Catalog Record")</f>
        <v/>
      </c>
      <c r="AT1448">
        <f>HYPERLINK("http://www.worldcat.org/oclc/16871808","WorldCat Record")</f>
        <v/>
      </c>
      <c r="AU1448" t="inlineStr">
        <is>
          <t>13583618:eng</t>
        </is>
      </c>
      <c r="AV1448" t="inlineStr">
        <is>
          <t>16871808</t>
        </is>
      </c>
      <c r="AW1448" t="inlineStr">
        <is>
          <t>991001158809702656</t>
        </is>
      </c>
      <c r="AX1448" t="inlineStr">
        <is>
          <t>991001158809702656</t>
        </is>
      </c>
      <c r="AY1448" t="inlineStr">
        <is>
          <t>2260851770002656</t>
        </is>
      </c>
      <c r="AZ1448" t="inlineStr">
        <is>
          <t>BOOK</t>
        </is>
      </c>
      <c r="BB1448" t="inlineStr">
        <is>
          <t>9780029212905</t>
        </is>
      </c>
      <c r="BC1448" t="inlineStr">
        <is>
          <t>32285001328060</t>
        </is>
      </c>
      <c r="BD1448" t="inlineStr">
        <is>
          <t>893702786</t>
        </is>
      </c>
    </row>
    <row r="1449">
      <c r="A1449" t="inlineStr">
        <is>
          <t>No</t>
        </is>
      </c>
      <c r="B1449" t="inlineStr">
        <is>
          <t>HQ535 .S27 1985</t>
        </is>
      </c>
      <c r="C1449" t="inlineStr">
        <is>
          <t>0                      HQ 0535000S  27          1985</t>
        </is>
      </c>
      <c r="D1449" t="inlineStr">
        <is>
          <t>The one-parent family in the 1980s : perspectives and annotated bibliography 1978-1984 / Benjamin Schlesinger.</t>
        </is>
      </c>
      <c r="F1449" t="inlineStr">
        <is>
          <t>No</t>
        </is>
      </c>
      <c r="G1449" t="inlineStr">
        <is>
          <t>1</t>
        </is>
      </c>
      <c r="H1449" t="inlineStr">
        <is>
          <t>No</t>
        </is>
      </c>
      <c r="I1449" t="inlineStr">
        <is>
          <t>No</t>
        </is>
      </c>
      <c r="J1449" t="inlineStr">
        <is>
          <t>0</t>
        </is>
      </c>
      <c r="K1449" t="inlineStr">
        <is>
          <t>Schlesinger, Benjamin.</t>
        </is>
      </c>
      <c r="L1449" t="inlineStr">
        <is>
          <t>Toronto ; Buffalo : University of Toronto Press, c1985.</t>
        </is>
      </c>
      <c r="M1449" t="inlineStr">
        <is>
          <t>1985</t>
        </is>
      </c>
      <c r="N1449" t="inlineStr">
        <is>
          <t>[5th ed.]</t>
        </is>
      </c>
      <c r="O1449" t="inlineStr">
        <is>
          <t>eng</t>
        </is>
      </c>
      <c r="P1449" t="inlineStr">
        <is>
          <t>onc</t>
        </is>
      </c>
      <c r="R1449" t="inlineStr">
        <is>
          <t xml:space="preserve">HQ </t>
        </is>
      </c>
      <c r="S1449" t="n">
        <v>9</v>
      </c>
      <c r="T1449" t="n">
        <v>9</v>
      </c>
      <c r="U1449" t="inlineStr">
        <is>
          <t>2005-10-25</t>
        </is>
      </c>
      <c r="V1449" t="inlineStr">
        <is>
          <t>2005-10-25</t>
        </is>
      </c>
      <c r="W1449" t="inlineStr">
        <is>
          <t>1990-02-28</t>
        </is>
      </c>
      <c r="X1449" t="inlineStr">
        <is>
          <t>1990-02-28</t>
        </is>
      </c>
      <c r="Y1449" t="n">
        <v>316</v>
      </c>
      <c r="Z1449" t="n">
        <v>260</v>
      </c>
      <c r="AA1449" t="n">
        <v>279</v>
      </c>
      <c r="AB1449" t="n">
        <v>3</v>
      </c>
      <c r="AC1449" t="n">
        <v>3</v>
      </c>
      <c r="AD1449" t="n">
        <v>12</v>
      </c>
      <c r="AE1449" t="n">
        <v>13</v>
      </c>
      <c r="AF1449" t="n">
        <v>2</v>
      </c>
      <c r="AG1449" t="n">
        <v>2</v>
      </c>
      <c r="AH1449" t="n">
        <v>3</v>
      </c>
      <c r="AI1449" t="n">
        <v>4</v>
      </c>
      <c r="AJ1449" t="n">
        <v>7</v>
      </c>
      <c r="AK1449" t="n">
        <v>8</v>
      </c>
      <c r="AL1449" t="n">
        <v>2</v>
      </c>
      <c r="AM1449" t="n">
        <v>2</v>
      </c>
      <c r="AN1449" t="n">
        <v>0</v>
      </c>
      <c r="AO1449" t="n">
        <v>0</v>
      </c>
      <c r="AP1449" t="inlineStr">
        <is>
          <t>No</t>
        </is>
      </c>
      <c r="AQ1449" t="inlineStr">
        <is>
          <t>Yes</t>
        </is>
      </c>
      <c r="AR1449">
        <f>HYPERLINK("http://catalog.hathitrust.org/Record/000646371","HathiTrust Record")</f>
        <v/>
      </c>
      <c r="AS1449">
        <f>HYPERLINK("https://creighton-primo.hosted.exlibrisgroup.com/primo-explore/search?tab=default_tab&amp;search_scope=EVERYTHING&amp;vid=01CRU&amp;lang=en_US&amp;offset=0&amp;query=any,contains,991000608099702656","Catalog Record")</f>
        <v/>
      </c>
      <c r="AT1449">
        <f>HYPERLINK("http://www.worldcat.org/oclc/17675138","WorldCat Record")</f>
        <v/>
      </c>
      <c r="AU1449" t="inlineStr">
        <is>
          <t>3372349321:eng</t>
        </is>
      </c>
      <c r="AV1449" t="inlineStr">
        <is>
          <t>17675138</t>
        </is>
      </c>
      <c r="AW1449" t="inlineStr">
        <is>
          <t>991000608099702656</t>
        </is>
      </c>
      <c r="AX1449" t="inlineStr">
        <is>
          <t>991000608099702656</t>
        </is>
      </c>
      <c r="AY1449" t="inlineStr">
        <is>
          <t>2268556070002656</t>
        </is>
      </c>
      <c r="AZ1449" t="inlineStr">
        <is>
          <t>BOOK</t>
        </is>
      </c>
      <c r="BB1449" t="inlineStr">
        <is>
          <t>9780802065650</t>
        </is>
      </c>
      <c r="BC1449" t="inlineStr">
        <is>
          <t>32285000073022</t>
        </is>
      </c>
      <c r="BD1449" t="inlineStr">
        <is>
          <t>893237455</t>
        </is>
      </c>
    </row>
    <row r="1450">
      <c r="A1450" t="inlineStr">
        <is>
          <t>No</t>
        </is>
      </c>
      <c r="B1450" t="inlineStr">
        <is>
          <t>HQ535 .S33</t>
        </is>
      </c>
      <c r="C1450" t="inlineStr">
        <is>
          <t>0                      HQ 0535000S  33</t>
        </is>
      </c>
      <c r="D1450" t="inlineStr">
        <is>
          <t>American kinship: a cultural account [by] David M. Schneider.</t>
        </is>
      </c>
      <c r="F1450" t="inlineStr">
        <is>
          <t>No</t>
        </is>
      </c>
      <c r="G1450" t="inlineStr">
        <is>
          <t>1</t>
        </is>
      </c>
      <c r="H1450" t="inlineStr">
        <is>
          <t>No</t>
        </is>
      </c>
      <c r="I1450" t="inlineStr">
        <is>
          <t>No</t>
        </is>
      </c>
      <c r="J1450" t="inlineStr">
        <is>
          <t>0</t>
        </is>
      </c>
      <c r="K1450" t="inlineStr">
        <is>
          <t>Schneider, David M. (David Murray), 1918-1995.</t>
        </is>
      </c>
      <c r="L1450" t="inlineStr">
        <is>
          <t>Englewood Cliffs, N.J., Prentice-Hall [1968]</t>
        </is>
      </c>
      <c r="M1450" t="inlineStr">
        <is>
          <t>1968</t>
        </is>
      </c>
      <c r="O1450" t="inlineStr">
        <is>
          <t>eng</t>
        </is>
      </c>
      <c r="P1450" t="inlineStr">
        <is>
          <t>nju</t>
        </is>
      </c>
      <c r="Q1450" t="inlineStr">
        <is>
          <t>Anthropology of modern societies series</t>
        </is>
      </c>
      <c r="R1450" t="inlineStr">
        <is>
          <t xml:space="preserve">HQ </t>
        </is>
      </c>
      <c r="S1450" t="n">
        <v>2</v>
      </c>
      <c r="T1450" t="n">
        <v>2</v>
      </c>
      <c r="U1450" t="inlineStr">
        <is>
          <t>2006-11-06</t>
        </is>
      </c>
      <c r="V1450" t="inlineStr">
        <is>
          <t>2006-11-06</t>
        </is>
      </c>
      <c r="W1450" t="inlineStr">
        <is>
          <t>1997-08-08</t>
        </is>
      </c>
      <c r="X1450" t="inlineStr">
        <is>
          <t>1997-08-08</t>
        </is>
      </c>
      <c r="Y1450" t="n">
        <v>678</v>
      </c>
      <c r="Z1450" t="n">
        <v>544</v>
      </c>
      <c r="AA1450" t="n">
        <v>795</v>
      </c>
      <c r="AB1450" t="n">
        <v>6</v>
      </c>
      <c r="AC1450" t="n">
        <v>7</v>
      </c>
      <c r="AD1450" t="n">
        <v>27</v>
      </c>
      <c r="AE1450" t="n">
        <v>36</v>
      </c>
      <c r="AF1450" t="n">
        <v>9</v>
      </c>
      <c r="AG1450" t="n">
        <v>13</v>
      </c>
      <c r="AH1450" t="n">
        <v>7</v>
      </c>
      <c r="AI1450" t="n">
        <v>9</v>
      </c>
      <c r="AJ1450" t="n">
        <v>13</v>
      </c>
      <c r="AK1450" t="n">
        <v>18</v>
      </c>
      <c r="AL1450" t="n">
        <v>4</v>
      </c>
      <c r="AM1450" t="n">
        <v>5</v>
      </c>
      <c r="AN1450" t="n">
        <v>0</v>
      </c>
      <c r="AO1450" t="n">
        <v>0</v>
      </c>
      <c r="AP1450" t="inlineStr">
        <is>
          <t>No</t>
        </is>
      </c>
      <c r="AQ1450" t="inlineStr">
        <is>
          <t>Yes</t>
        </is>
      </c>
      <c r="AR1450">
        <f>HYPERLINK("http://catalog.hathitrust.org/Record/001109918","HathiTrust Record")</f>
        <v/>
      </c>
      <c r="AS1450">
        <f>HYPERLINK("https://creighton-primo.hosted.exlibrisgroup.com/primo-explore/search?tab=default_tab&amp;search_scope=EVERYTHING&amp;vid=01CRU&amp;lang=en_US&amp;offset=0&amp;query=any,contains,991002784859702656","Catalog Record")</f>
        <v/>
      </c>
      <c r="AT1450">
        <f>HYPERLINK("http://www.worldcat.org/oclc/441250","WorldCat Record")</f>
        <v/>
      </c>
      <c r="AU1450" t="inlineStr">
        <is>
          <t>503082143:eng</t>
        </is>
      </c>
      <c r="AV1450" t="inlineStr">
        <is>
          <t>441250</t>
        </is>
      </c>
      <c r="AW1450" t="inlineStr">
        <is>
          <t>991002784859702656</t>
        </is>
      </c>
      <c r="AX1450" t="inlineStr">
        <is>
          <t>991002784859702656</t>
        </is>
      </c>
      <c r="AY1450" t="inlineStr">
        <is>
          <t>2255459660002656</t>
        </is>
      </c>
      <c r="AZ1450" t="inlineStr">
        <is>
          <t>BOOK</t>
        </is>
      </c>
      <c r="BC1450" t="inlineStr">
        <is>
          <t>32285003088746</t>
        </is>
      </c>
      <c r="BD1450" t="inlineStr">
        <is>
          <t>893245646</t>
        </is>
      </c>
    </row>
    <row r="1451">
      <c r="A1451" t="inlineStr">
        <is>
          <t>No</t>
        </is>
      </c>
      <c r="B1451" t="inlineStr">
        <is>
          <t>HQ535 .S44</t>
        </is>
      </c>
      <c r="C1451" t="inlineStr">
        <is>
          <t>0                      HQ 0535000S  44</t>
        </is>
      </c>
      <c r="D1451" t="inlineStr">
        <is>
          <t>The American family : a demographic history / Rudy Ray Seward ; foreword by Herman R. Lantz.</t>
        </is>
      </c>
      <c r="F1451" t="inlineStr">
        <is>
          <t>No</t>
        </is>
      </c>
      <c r="G1451" t="inlineStr">
        <is>
          <t>1</t>
        </is>
      </c>
      <c r="H1451" t="inlineStr">
        <is>
          <t>No</t>
        </is>
      </c>
      <c r="I1451" t="inlineStr">
        <is>
          <t>No</t>
        </is>
      </c>
      <c r="J1451" t="inlineStr">
        <is>
          <t>0</t>
        </is>
      </c>
      <c r="K1451" t="inlineStr">
        <is>
          <t>Seward, Rudy Ray.</t>
        </is>
      </c>
      <c r="L1451" t="inlineStr">
        <is>
          <t>Beverly Hills, Calif. : Sage Publications, c1978.</t>
        </is>
      </c>
      <c r="M1451" t="inlineStr">
        <is>
          <t>1978</t>
        </is>
      </c>
      <c r="O1451" t="inlineStr">
        <is>
          <t>eng</t>
        </is>
      </c>
      <c r="P1451" t="inlineStr">
        <is>
          <t>cau</t>
        </is>
      </c>
      <c r="Q1451" t="inlineStr">
        <is>
          <t>Sage library of social research ; v. 70</t>
        </is>
      </c>
      <c r="R1451" t="inlineStr">
        <is>
          <t xml:space="preserve">HQ </t>
        </is>
      </c>
      <c r="S1451" t="n">
        <v>3</v>
      </c>
      <c r="T1451" t="n">
        <v>3</v>
      </c>
      <c r="U1451" t="inlineStr">
        <is>
          <t>1995-03-16</t>
        </is>
      </c>
      <c r="V1451" t="inlineStr">
        <is>
          <t>1995-03-16</t>
        </is>
      </c>
      <c r="W1451" t="inlineStr">
        <is>
          <t>1992-10-26</t>
        </is>
      </c>
      <c r="X1451" t="inlineStr">
        <is>
          <t>1992-10-26</t>
        </is>
      </c>
      <c r="Y1451" t="n">
        <v>747</v>
      </c>
      <c r="Z1451" t="n">
        <v>653</v>
      </c>
      <c r="AA1451" t="n">
        <v>660</v>
      </c>
      <c r="AB1451" t="n">
        <v>4</v>
      </c>
      <c r="AC1451" t="n">
        <v>4</v>
      </c>
      <c r="AD1451" t="n">
        <v>24</v>
      </c>
      <c r="AE1451" t="n">
        <v>24</v>
      </c>
      <c r="AF1451" t="n">
        <v>11</v>
      </c>
      <c r="AG1451" t="n">
        <v>11</v>
      </c>
      <c r="AH1451" t="n">
        <v>6</v>
      </c>
      <c r="AI1451" t="n">
        <v>6</v>
      </c>
      <c r="AJ1451" t="n">
        <v>15</v>
      </c>
      <c r="AK1451" t="n">
        <v>15</v>
      </c>
      <c r="AL1451" t="n">
        <v>2</v>
      </c>
      <c r="AM1451" t="n">
        <v>2</v>
      </c>
      <c r="AN1451" t="n">
        <v>0</v>
      </c>
      <c r="AO1451" t="n">
        <v>0</v>
      </c>
      <c r="AP1451" t="inlineStr">
        <is>
          <t>No</t>
        </is>
      </c>
      <c r="AQ1451" t="inlineStr">
        <is>
          <t>Yes</t>
        </is>
      </c>
      <c r="AR1451">
        <f>HYPERLINK("http://catalog.hathitrust.org/Record/000256298","HathiTrust Record")</f>
        <v/>
      </c>
      <c r="AS1451">
        <f>HYPERLINK("https://creighton-primo.hosted.exlibrisgroup.com/primo-explore/search?tab=default_tab&amp;search_scope=EVERYTHING&amp;vid=01CRU&amp;lang=en_US&amp;offset=0&amp;query=any,contains,991004657469702656","Catalog Record")</f>
        <v/>
      </c>
      <c r="AT1451">
        <f>HYPERLINK("http://www.worldcat.org/oclc/4495689","WorldCat Record")</f>
        <v/>
      </c>
      <c r="AU1451" t="inlineStr">
        <is>
          <t>836725388:eng</t>
        </is>
      </c>
      <c r="AV1451" t="inlineStr">
        <is>
          <t>4495689</t>
        </is>
      </c>
      <c r="AW1451" t="inlineStr">
        <is>
          <t>991004657469702656</t>
        </is>
      </c>
      <c r="AX1451" t="inlineStr">
        <is>
          <t>991004657469702656</t>
        </is>
      </c>
      <c r="AY1451" t="inlineStr">
        <is>
          <t>2268101580002656</t>
        </is>
      </c>
      <c r="AZ1451" t="inlineStr">
        <is>
          <t>BOOK</t>
        </is>
      </c>
      <c r="BB1451" t="inlineStr">
        <is>
          <t>9780803911123</t>
        </is>
      </c>
      <c r="BC1451" t="inlineStr">
        <is>
          <t>32285001358604</t>
        </is>
      </c>
      <c r="BD1451" t="inlineStr">
        <is>
          <t>893526362</t>
        </is>
      </c>
    </row>
    <row r="1452">
      <c r="A1452" t="inlineStr">
        <is>
          <t>No</t>
        </is>
      </c>
      <c r="B1452" t="inlineStr">
        <is>
          <t>HQ535 .S56 1991</t>
        </is>
      </c>
      <c r="C1452" t="inlineStr">
        <is>
          <t>0                      HQ 0535000S  56          1991</t>
        </is>
      </c>
      <c r="D1452" t="inlineStr">
        <is>
          <t>Embattled paradise : the American family in an age of uncertainty / Arlene Skolnick.</t>
        </is>
      </c>
      <c r="F1452" t="inlineStr">
        <is>
          <t>No</t>
        </is>
      </c>
      <c r="G1452" t="inlineStr">
        <is>
          <t>1</t>
        </is>
      </c>
      <c r="H1452" t="inlineStr">
        <is>
          <t>No</t>
        </is>
      </c>
      <c r="I1452" t="inlineStr">
        <is>
          <t>No</t>
        </is>
      </c>
      <c r="J1452" t="inlineStr">
        <is>
          <t>0</t>
        </is>
      </c>
      <c r="K1452" t="inlineStr">
        <is>
          <t>Skolnick, Arlene S., 1933-</t>
        </is>
      </c>
      <c r="L1452" t="inlineStr">
        <is>
          <t>[New York] : BasicBooks, c1991.</t>
        </is>
      </c>
      <c r="M1452" t="inlineStr">
        <is>
          <t>1991</t>
        </is>
      </c>
      <c r="O1452" t="inlineStr">
        <is>
          <t>eng</t>
        </is>
      </c>
      <c r="P1452" t="inlineStr">
        <is>
          <t>nyu</t>
        </is>
      </c>
      <c r="R1452" t="inlineStr">
        <is>
          <t xml:space="preserve">HQ </t>
        </is>
      </c>
      <c r="S1452" t="n">
        <v>6</v>
      </c>
      <c r="T1452" t="n">
        <v>6</v>
      </c>
      <c r="U1452" t="inlineStr">
        <is>
          <t>1996-01-02</t>
        </is>
      </c>
      <c r="V1452" t="inlineStr">
        <is>
          <t>1996-01-02</t>
        </is>
      </c>
      <c r="W1452" t="inlineStr">
        <is>
          <t>1991-12-30</t>
        </is>
      </c>
      <c r="X1452" t="inlineStr">
        <is>
          <t>1991-12-30</t>
        </is>
      </c>
      <c r="Y1452" t="n">
        <v>1084</v>
      </c>
      <c r="Z1452" t="n">
        <v>983</v>
      </c>
      <c r="AA1452" t="n">
        <v>1033</v>
      </c>
      <c r="AB1452" t="n">
        <v>9</v>
      </c>
      <c r="AC1452" t="n">
        <v>9</v>
      </c>
      <c r="AD1452" t="n">
        <v>39</v>
      </c>
      <c r="AE1452" t="n">
        <v>39</v>
      </c>
      <c r="AF1452" t="n">
        <v>14</v>
      </c>
      <c r="AG1452" t="n">
        <v>14</v>
      </c>
      <c r="AH1452" t="n">
        <v>8</v>
      </c>
      <c r="AI1452" t="n">
        <v>8</v>
      </c>
      <c r="AJ1452" t="n">
        <v>21</v>
      </c>
      <c r="AK1452" t="n">
        <v>21</v>
      </c>
      <c r="AL1452" t="n">
        <v>7</v>
      </c>
      <c r="AM1452" t="n">
        <v>7</v>
      </c>
      <c r="AN1452" t="n">
        <v>0</v>
      </c>
      <c r="AO1452" t="n">
        <v>0</v>
      </c>
      <c r="AP1452" t="inlineStr">
        <is>
          <t>No</t>
        </is>
      </c>
      <c r="AQ1452" t="inlineStr">
        <is>
          <t>Yes</t>
        </is>
      </c>
      <c r="AR1452">
        <f>HYPERLINK("http://catalog.hathitrust.org/Record/002497764","HathiTrust Record")</f>
        <v/>
      </c>
      <c r="AS1452">
        <f>HYPERLINK("https://creighton-primo.hosted.exlibrisgroup.com/primo-explore/search?tab=default_tab&amp;search_scope=EVERYTHING&amp;vid=01CRU&amp;lang=en_US&amp;offset=0&amp;query=any,contains,991001918129702656","Catalog Record")</f>
        <v/>
      </c>
      <c r="AT1452">
        <f>HYPERLINK("http://www.worldcat.org/oclc/24217252","WorldCat Record")</f>
        <v/>
      </c>
      <c r="AU1452" t="inlineStr">
        <is>
          <t>26219452:eng</t>
        </is>
      </c>
      <c r="AV1452" t="inlineStr">
        <is>
          <t>24217252</t>
        </is>
      </c>
      <c r="AW1452" t="inlineStr">
        <is>
          <t>991001918129702656</t>
        </is>
      </c>
      <c r="AX1452" t="inlineStr">
        <is>
          <t>991001918129702656</t>
        </is>
      </c>
      <c r="AY1452" t="inlineStr">
        <is>
          <t>2272258350002656</t>
        </is>
      </c>
      <c r="AZ1452" t="inlineStr">
        <is>
          <t>BOOK</t>
        </is>
      </c>
      <c r="BB1452" t="inlineStr">
        <is>
          <t>9780465019236</t>
        </is>
      </c>
      <c r="BC1452" t="inlineStr">
        <is>
          <t>32285000862341</t>
        </is>
      </c>
      <c r="BD1452" t="inlineStr">
        <is>
          <t>893340825</t>
        </is>
      </c>
    </row>
    <row r="1453">
      <c r="A1453" t="inlineStr">
        <is>
          <t>No</t>
        </is>
      </c>
      <c r="B1453" t="inlineStr">
        <is>
          <t>HQ536 .A225 1994</t>
        </is>
      </c>
      <c r="C1453" t="inlineStr">
        <is>
          <t>0                      HQ 0536000A  225         1994</t>
        </is>
      </c>
      <c r="D1453" t="inlineStr">
        <is>
          <t>Family diversity and well-being / Alan C. Acock, David H. Demo.</t>
        </is>
      </c>
      <c r="F1453" t="inlineStr">
        <is>
          <t>No</t>
        </is>
      </c>
      <c r="G1453" t="inlineStr">
        <is>
          <t>1</t>
        </is>
      </c>
      <c r="H1453" t="inlineStr">
        <is>
          <t>No</t>
        </is>
      </c>
      <c r="I1453" t="inlineStr">
        <is>
          <t>No</t>
        </is>
      </c>
      <c r="J1453" t="inlineStr">
        <is>
          <t>0</t>
        </is>
      </c>
      <c r="K1453" t="inlineStr">
        <is>
          <t>Acock, Alan C., 1944-</t>
        </is>
      </c>
      <c r="L1453" t="inlineStr">
        <is>
          <t>Thousand Oaks, Calif. : Sage, c1994.</t>
        </is>
      </c>
      <c r="M1453" t="inlineStr">
        <is>
          <t>1994</t>
        </is>
      </c>
      <c r="O1453" t="inlineStr">
        <is>
          <t>eng</t>
        </is>
      </c>
      <c r="P1453" t="inlineStr">
        <is>
          <t>cau</t>
        </is>
      </c>
      <c r="Q1453" t="inlineStr">
        <is>
          <t>Sage library of social research ; 195</t>
        </is>
      </c>
      <c r="R1453" t="inlineStr">
        <is>
          <t xml:space="preserve">HQ </t>
        </is>
      </c>
      <c r="S1453" t="n">
        <v>14</v>
      </c>
      <c r="T1453" t="n">
        <v>14</v>
      </c>
      <c r="U1453" t="inlineStr">
        <is>
          <t>2004-02-16</t>
        </is>
      </c>
      <c r="V1453" t="inlineStr">
        <is>
          <t>2004-02-16</t>
        </is>
      </c>
      <c r="W1453" t="inlineStr">
        <is>
          <t>1994-12-06</t>
        </is>
      </c>
      <c r="X1453" t="inlineStr">
        <is>
          <t>1994-12-06</t>
        </is>
      </c>
      <c r="Y1453" t="n">
        <v>752</v>
      </c>
      <c r="Z1453" t="n">
        <v>642</v>
      </c>
      <c r="AA1453" t="n">
        <v>658</v>
      </c>
      <c r="AB1453" t="n">
        <v>7</v>
      </c>
      <c r="AC1453" t="n">
        <v>7</v>
      </c>
      <c r="AD1453" t="n">
        <v>32</v>
      </c>
      <c r="AE1453" t="n">
        <v>33</v>
      </c>
      <c r="AF1453" t="n">
        <v>14</v>
      </c>
      <c r="AG1453" t="n">
        <v>14</v>
      </c>
      <c r="AH1453" t="n">
        <v>6</v>
      </c>
      <c r="AI1453" t="n">
        <v>6</v>
      </c>
      <c r="AJ1453" t="n">
        <v>16</v>
      </c>
      <c r="AK1453" t="n">
        <v>17</v>
      </c>
      <c r="AL1453" t="n">
        <v>6</v>
      </c>
      <c r="AM1453" t="n">
        <v>6</v>
      </c>
      <c r="AN1453" t="n">
        <v>0</v>
      </c>
      <c r="AO1453" t="n">
        <v>0</v>
      </c>
      <c r="AP1453" t="inlineStr">
        <is>
          <t>No</t>
        </is>
      </c>
      <c r="AQ1453" t="inlineStr">
        <is>
          <t>Yes</t>
        </is>
      </c>
      <c r="AR1453">
        <f>HYPERLINK("http://catalog.hathitrust.org/Record/002952496","HathiTrust Record")</f>
        <v/>
      </c>
      <c r="AS1453">
        <f>HYPERLINK("https://creighton-primo.hosted.exlibrisgroup.com/primo-explore/search?tab=default_tab&amp;search_scope=EVERYTHING&amp;vid=01CRU&amp;lang=en_US&amp;offset=0&amp;query=any,contains,991002343439702656","Catalog Record")</f>
        <v/>
      </c>
      <c r="AT1453">
        <f>HYPERLINK("http://www.worldcat.org/oclc/30516559","WorldCat Record")</f>
        <v/>
      </c>
      <c r="AU1453" t="inlineStr">
        <is>
          <t>32294788:eng</t>
        </is>
      </c>
      <c r="AV1453" t="inlineStr">
        <is>
          <t>30516559</t>
        </is>
      </c>
      <c r="AW1453" t="inlineStr">
        <is>
          <t>991002343439702656</t>
        </is>
      </c>
      <c r="AX1453" t="inlineStr">
        <is>
          <t>991002343439702656</t>
        </is>
      </c>
      <c r="AY1453" t="inlineStr">
        <is>
          <t>2259119550002656</t>
        </is>
      </c>
      <c r="AZ1453" t="inlineStr">
        <is>
          <t>BOOK</t>
        </is>
      </c>
      <c r="BB1453" t="inlineStr">
        <is>
          <t>9780803942660</t>
        </is>
      </c>
      <c r="BC1453" t="inlineStr">
        <is>
          <t>32285001975563</t>
        </is>
      </c>
      <c r="BD1453" t="inlineStr">
        <is>
          <t>893245053</t>
        </is>
      </c>
    </row>
    <row r="1454">
      <c r="A1454" t="inlineStr">
        <is>
          <t>No</t>
        </is>
      </c>
      <c r="B1454" t="inlineStr">
        <is>
          <t>HQ536 .A54 1982</t>
        </is>
      </c>
      <c r="C1454" t="inlineStr">
        <is>
          <t>0                      HQ 0536000A  54          1982</t>
        </is>
      </c>
      <c r="D1454" t="inlineStr">
        <is>
          <t>Alternatives to traditional family living / Harriet Gross and Marvin B. Sussman, editors.</t>
        </is>
      </c>
      <c r="F1454" t="inlineStr">
        <is>
          <t>No</t>
        </is>
      </c>
      <c r="G1454" t="inlineStr">
        <is>
          <t>1</t>
        </is>
      </c>
      <c r="H1454" t="inlineStr">
        <is>
          <t>No</t>
        </is>
      </c>
      <c r="I1454" t="inlineStr">
        <is>
          <t>No</t>
        </is>
      </c>
      <c r="J1454" t="inlineStr">
        <is>
          <t>0</t>
        </is>
      </c>
      <c r="L1454" t="inlineStr">
        <is>
          <t>New York : Haworth Press, c1982.</t>
        </is>
      </c>
      <c r="M1454" t="inlineStr">
        <is>
          <t>1982</t>
        </is>
      </c>
      <c r="O1454" t="inlineStr">
        <is>
          <t>eng</t>
        </is>
      </c>
      <c r="P1454" t="inlineStr">
        <is>
          <t>nyu</t>
        </is>
      </c>
      <c r="Q1454" t="inlineStr">
        <is>
          <t>Marriage &amp; family review ; v. 5, no. 2</t>
        </is>
      </c>
      <c r="R1454" t="inlineStr">
        <is>
          <t xml:space="preserve">HQ </t>
        </is>
      </c>
      <c r="S1454" t="n">
        <v>6</v>
      </c>
      <c r="T1454" t="n">
        <v>6</v>
      </c>
      <c r="U1454" t="inlineStr">
        <is>
          <t>1999-01-24</t>
        </is>
      </c>
      <c r="V1454" t="inlineStr">
        <is>
          <t>1999-01-24</t>
        </is>
      </c>
      <c r="W1454" t="inlineStr">
        <is>
          <t>1992-10-26</t>
        </is>
      </c>
      <c r="X1454" t="inlineStr">
        <is>
          <t>1992-10-26</t>
        </is>
      </c>
      <c r="Y1454" t="n">
        <v>243</v>
      </c>
      <c r="Z1454" t="n">
        <v>197</v>
      </c>
      <c r="AA1454" t="n">
        <v>204</v>
      </c>
      <c r="AB1454" t="n">
        <v>2</v>
      </c>
      <c r="AC1454" t="n">
        <v>2</v>
      </c>
      <c r="AD1454" t="n">
        <v>8</v>
      </c>
      <c r="AE1454" t="n">
        <v>8</v>
      </c>
      <c r="AF1454" t="n">
        <v>5</v>
      </c>
      <c r="AG1454" t="n">
        <v>5</v>
      </c>
      <c r="AH1454" t="n">
        <v>1</v>
      </c>
      <c r="AI1454" t="n">
        <v>1</v>
      </c>
      <c r="AJ1454" t="n">
        <v>2</v>
      </c>
      <c r="AK1454" t="n">
        <v>2</v>
      </c>
      <c r="AL1454" t="n">
        <v>1</v>
      </c>
      <c r="AM1454" t="n">
        <v>1</v>
      </c>
      <c r="AN1454" t="n">
        <v>0</v>
      </c>
      <c r="AO1454" t="n">
        <v>0</v>
      </c>
      <c r="AP1454" t="inlineStr">
        <is>
          <t>No</t>
        </is>
      </c>
      <c r="AQ1454" t="inlineStr">
        <is>
          <t>Yes</t>
        </is>
      </c>
      <c r="AR1454">
        <f>HYPERLINK("http://catalog.hathitrust.org/Record/000821132","HathiTrust Record")</f>
        <v/>
      </c>
      <c r="AS1454">
        <f>HYPERLINK("https://creighton-primo.hosted.exlibrisgroup.com/primo-explore/search?tab=default_tab&amp;search_scope=EVERYTHING&amp;vid=01CRU&amp;lang=en_US&amp;offset=0&amp;query=any,contains,991005248259702656","Catalog Record")</f>
        <v/>
      </c>
      <c r="AT1454">
        <f>HYPERLINK("http://www.worldcat.org/oclc/8475286","WorldCat Record")</f>
        <v/>
      </c>
      <c r="AU1454" t="inlineStr">
        <is>
          <t>441112080:eng</t>
        </is>
      </c>
      <c r="AV1454" t="inlineStr">
        <is>
          <t>8475286</t>
        </is>
      </c>
      <c r="AW1454" t="inlineStr">
        <is>
          <t>991005248259702656</t>
        </is>
      </c>
      <c r="AX1454" t="inlineStr">
        <is>
          <t>991005248259702656</t>
        </is>
      </c>
      <c r="AY1454" t="inlineStr">
        <is>
          <t>2259484100002656</t>
        </is>
      </c>
      <c r="AZ1454" t="inlineStr">
        <is>
          <t>BOOK</t>
        </is>
      </c>
      <c r="BB1454" t="inlineStr">
        <is>
          <t>9780917724596</t>
        </is>
      </c>
      <c r="BC1454" t="inlineStr">
        <is>
          <t>32285001358620</t>
        </is>
      </c>
      <c r="BD1454" t="inlineStr">
        <is>
          <t>893688834</t>
        </is>
      </c>
    </row>
    <row r="1455">
      <c r="A1455" t="inlineStr">
        <is>
          <t>No</t>
        </is>
      </c>
      <c r="B1455" t="inlineStr">
        <is>
          <t>HQ536 .A544</t>
        </is>
      </c>
      <c r="C1455" t="inlineStr">
        <is>
          <t>0                      HQ 0536000A  544</t>
        </is>
      </c>
      <c r="D1455" t="inlineStr">
        <is>
          <t>American families / edited by Elizabeth Douvan, Helen Weingarten, Jane L. Scheiber ; [cover photo by Bob Coyle].</t>
        </is>
      </c>
      <c r="F1455" t="inlineStr">
        <is>
          <t>No</t>
        </is>
      </c>
      <c r="G1455" t="inlineStr">
        <is>
          <t>1</t>
        </is>
      </c>
      <c r="H1455" t="inlineStr">
        <is>
          <t>No</t>
        </is>
      </c>
      <c r="I1455" t="inlineStr">
        <is>
          <t>No</t>
        </is>
      </c>
      <c r="J1455" t="inlineStr">
        <is>
          <t>0</t>
        </is>
      </c>
      <c r="L1455" t="inlineStr">
        <is>
          <t>Dubuque, Iowa : Kendall/Hunt Pub. Co., c1980.</t>
        </is>
      </c>
      <c r="M1455" t="inlineStr">
        <is>
          <t>1980</t>
        </is>
      </c>
      <c r="O1455" t="inlineStr">
        <is>
          <t>eng</t>
        </is>
      </c>
      <c r="P1455" t="inlineStr">
        <is>
          <t>iau</t>
        </is>
      </c>
      <c r="R1455" t="inlineStr">
        <is>
          <t xml:space="preserve">HQ </t>
        </is>
      </c>
      <c r="S1455" t="n">
        <v>2</v>
      </c>
      <c r="T1455" t="n">
        <v>2</v>
      </c>
      <c r="U1455" t="inlineStr">
        <is>
          <t>1994-08-09</t>
        </is>
      </c>
      <c r="V1455" t="inlineStr">
        <is>
          <t>1994-08-09</t>
        </is>
      </c>
      <c r="W1455" t="inlineStr">
        <is>
          <t>1992-10-26</t>
        </is>
      </c>
      <c r="X1455" t="inlineStr">
        <is>
          <t>1992-10-26</t>
        </is>
      </c>
      <c r="Y1455" t="n">
        <v>115</v>
      </c>
      <c r="Z1455" t="n">
        <v>114</v>
      </c>
      <c r="AA1455" t="n">
        <v>114</v>
      </c>
      <c r="AB1455" t="n">
        <v>1</v>
      </c>
      <c r="AC1455" t="n">
        <v>1</v>
      </c>
      <c r="AD1455" t="n">
        <v>5</v>
      </c>
      <c r="AE1455" t="n">
        <v>5</v>
      </c>
      <c r="AF1455" t="n">
        <v>1</v>
      </c>
      <c r="AG1455" t="n">
        <v>1</v>
      </c>
      <c r="AH1455" t="n">
        <v>1</v>
      </c>
      <c r="AI1455" t="n">
        <v>1</v>
      </c>
      <c r="AJ1455" t="n">
        <v>4</v>
      </c>
      <c r="AK1455" t="n">
        <v>4</v>
      </c>
      <c r="AL1455" t="n">
        <v>0</v>
      </c>
      <c r="AM1455" t="n">
        <v>0</v>
      </c>
      <c r="AN1455" t="n">
        <v>0</v>
      </c>
      <c r="AO1455" t="n">
        <v>0</v>
      </c>
      <c r="AP1455" t="inlineStr">
        <is>
          <t>No</t>
        </is>
      </c>
      <c r="AQ1455" t="inlineStr">
        <is>
          <t>No</t>
        </is>
      </c>
      <c r="AS1455">
        <f>HYPERLINK("https://creighton-primo.hosted.exlibrisgroup.com/primo-explore/search?tab=default_tab&amp;search_scope=EVERYTHING&amp;vid=01CRU&amp;lang=en_US&amp;offset=0&amp;query=any,contains,991005075969702656","Catalog Record")</f>
        <v/>
      </c>
      <c r="AT1455">
        <f>HYPERLINK("http://www.worldcat.org/oclc/7113006","WorldCat Record")</f>
        <v/>
      </c>
      <c r="AU1455" t="inlineStr">
        <is>
          <t>54423668:eng</t>
        </is>
      </c>
      <c r="AV1455" t="inlineStr">
        <is>
          <t>7113006</t>
        </is>
      </c>
      <c r="AW1455" t="inlineStr">
        <is>
          <t>991005075969702656</t>
        </is>
      </c>
      <c r="AX1455" t="inlineStr">
        <is>
          <t>991005075969702656</t>
        </is>
      </c>
      <c r="AY1455" t="inlineStr">
        <is>
          <t>2262007130002656</t>
        </is>
      </c>
      <c r="AZ1455" t="inlineStr">
        <is>
          <t>BOOK</t>
        </is>
      </c>
      <c r="BB1455" t="inlineStr">
        <is>
          <t>9780840322159</t>
        </is>
      </c>
      <c r="BC1455" t="inlineStr">
        <is>
          <t>32285001358638</t>
        </is>
      </c>
      <c r="BD1455" t="inlineStr">
        <is>
          <t>893437100</t>
        </is>
      </c>
    </row>
    <row r="1456">
      <c r="A1456" t="inlineStr">
        <is>
          <t>No</t>
        </is>
      </c>
      <c r="B1456" t="inlineStr">
        <is>
          <t>HQ536 .A88 1982</t>
        </is>
      </c>
      <c r="C1456" t="inlineStr">
        <is>
          <t>0                      HQ 0536000A  88          1982</t>
        </is>
      </c>
      <c r="D1456" t="inlineStr">
        <is>
          <t>In praise of marriage / by Edith Atkin.</t>
        </is>
      </c>
      <c r="F1456" t="inlineStr">
        <is>
          <t>No</t>
        </is>
      </c>
      <c r="G1456" t="inlineStr">
        <is>
          <t>1</t>
        </is>
      </c>
      <c r="H1456" t="inlineStr">
        <is>
          <t>No</t>
        </is>
      </c>
      <c r="I1456" t="inlineStr">
        <is>
          <t>No</t>
        </is>
      </c>
      <c r="J1456" t="inlineStr">
        <is>
          <t>0</t>
        </is>
      </c>
      <c r="K1456" t="inlineStr">
        <is>
          <t>Atkin, Edith Lesser, 1907-</t>
        </is>
      </c>
      <c r="L1456" t="inlineStr">
        <is>
          <t>New York : Vanguard Press, c1982.</t>
        </is>
      </c>
      <c r="M1456" t="inlineStr">
        <is>
          <t>1982</t>
        </is>
      </c>
      <c r="O1456" t="inlineStr">
        <is>
          <t>eng</t>
        </is>
      </c>
      <c r="P1456" t="inlineStr">
        <is>
          <t>nyu</t>
        </is>
      </c>
      <c r="R1456" t="inlineStr">
        <is>
          <t xml:space="preserve">HQ </t>
        </is>
      </c>
      <c r="S1456" t="n">
        <v>4</v>
      </c>
      <c r="T1456" t="n">
        <v>4</v>
      </c>
      <c r="U1456" t="inlineStr">
        <is>
          <t>1995-02-19</t>
        </is>
      </c>
      <c r="V1456" t="inlineStr">
        <is>
          <t>1995-02-19</t>
        </is>
      </c>
      <c r="W1456" t="inlineStr">
        <is>
          <t>1990-04-30</t>
        </is>
      </c>
      <c r="X1456" t="inlineStr">
        <is>
          <t>1990-04-30</t>
        </is>
      </c>
      <c r="Y1456" t="n">
        <v>200</v>
      </c>
      <c r="Z1456" t="n">
        <v>192</v>
      </c>
      <c r="AA1456" t="n">
        <v>198</v>
      </c>
      <c r="AB1456" t="n">
        <v>3</v>
      </c>
      <c r="AC1456" t="n">
        <v>3</v>
      </c>
      <c r="AD1456" t="n">
        <v>6</v>
      </c>
      <c r="AE1456" t="n">
        <v>6</v>
      </c>
      <c r="AF1456" t="n">
        <v>2</v>
      </c>
      <c r="AG1456" t="n">
        <v>2</v>
      </c>
      <c r="AH1456" t="n">
        <v>1</v>
      </c>
      <c r="AI1456" t="n">
        <v>1</v>
      </c>
      <c r="AJ1456" t="n">
        <v>2</v>
      </c>
      <c r="AK1456" t="n">
        <v>2</v>
      </c>
      <c r="AL1456" t="n">
        <v>2</v>
      </c>
      <c r="AM1456" t="n">
        <v>2</v>
      </c>
      <c r="AN1456" t="n">
        <v>0</v>
      </c>
      <c r="AO1456" t="n">
        <v>0</v>
      </c>
      <c r="AP1456" t="inlineStr">
        <is>
          <t>No</t>
        </is>
      </c>
      <c r="AQ1456" t="inlineStr">
        <is>
          <t>Yes</t>
        </is>
      </c>
      <c r="AR1456">
        <f>HYPERLINK("http://catalog.hathitrust.org/Record/101929408","HathiTrust Record")</f>
        <v/>
      </c>
      <c r="AS1456">
        <f>HYPERLINK("https://creighton-primo.hosted.exlibrisgroup.com/primo-explore/search?tab=default_tab&amp;search_scope=EVERYTHING&amp;vid=01CRU&amp;lang=en_US&amp;offset=0&amp;query=any,contains,991005182629702656","Catalog Record")</f>
        <v/>
      </c>
      <c r="AT1456">
        <f>HYPERLINK("http://www.worldcat.org/oclc/7947292","WorldCat Record")</f>
        <v/>
      </c>
      <c r="AU1456" t="inlineStr">
        <is>
          <t>30624879:eng</t>
        </is>
      </c>
      <c r="AV1456" t="inlineStr">
        <is>
          <t>7947292</t>
        </is>
      </c>
      <c r="AW1456" t="inlineStr">
        <is>
          <t>991005182629702656</t>
        </is>
      </c>
      <c r="AX1456" t="inlineStr">
        <is>
          <t>991005182629702656</t>
        </is>
      </c>
      <c r="AY1456" t="inlineStr">
        <is>
          <t>2267575470002656</t>
        </is>
      </c>
      <c r="AZ1456" t="inlineStr">
        <is>
          <t>BOOK</t>
        </is>
      </c>
      <c r="BB1456" t="inlineStr">
        <is>
          <t>9780814908549</t>
        </is>
      </c>
      <c r="BC1456" t="inlineStr">
        <is>
          <t>32285000127844</t>
        </is>
      </c>
      <c r="BD1456" t="inlineStr">
        <is>
          <t>893260691</t>
        </is>
      </c>
    </row>
    <row r="1457">
      <c r="A1457" t="inlineStr">
        <is>
          <t>No</t>
        </is>
      </c>
      <c r="B1457" t="inlineStr">
        <is>
          <t>HQ536 .B44 2001</t>
        </is>
      </c>
      <c r="C1457" t="inlineStr">
        <is>
          <t>0                      HQ 0536000B  44          2001</t>
        </is>
      </c>
      <c r="D1457" t="inlineStr">
        <is>
          <t>The broken hearth : reversing the moral collapse of the American family / William J. Bennett.</t>
        </is>
      </c>
      <c r="F1457" t="inlineStr">
        <is>
          <t>No</t>
        </is>
      </c>
      <c r="G1457" t="inlineStr">
        <is>
          <t>1</t>
        </is>
      </c>
      <c r="H1457" t="inlineStr">
        <is>
          <t>No</t>
        </is>
      </c>
      <c r="I1457" t="inlineStr">
        <is>
          <t>No</t>
        </is>
      </c>
      <c r="J1457" t="inlineStr">
        <is>
          <t>0</t>
        </is>
      </c>
      <c r="K1457" t="inlineStr">
        <is>
          <t>Bennett, William J. (William John), 1943-</t>
        </is>
      </c>
      <c r="L1457" t="inlineStr">
        <is>
          <t>New York : Doubleday ; Colorado Springs : WaterBrook Press, c2001.</t>
        </is>
      </c>
      <c r="M1457" t="inlineStr">
        <is>
          <t>2001</t>
        </is>
      </c>
      <c r="N1457" t="inlineStr">
        <is>
          <t>1st ed.</t>
        </is>
      </c>
      <c r="O1457" t="inlineStr">
        <is>
          <t>eng</t>
        </is>
      </c>
      <c r="P1457" t="inlineStr">
        <is>
          <t>nyu</t>
        </is>
      </c>
      <c r="R1457" t="inlineStr">
        <is>
          <t xml:space="preserve">HQ </t>
        </is>
      </c>
      <c r="S1457" t="n">
        <v>3</v>
      </c>
      <c r="T1457" t="n">
        <v>3</v>
      </c>
      <c r="U1457" t="inlineStr">
        <is>
          <t>2003-03-25</t>
        </is>
      </c>
      <c r="V1457" t="inlineStr">
        <is>
          <t>2003-03-25</t>
        </is>
      </c>
      <c r="W1457" t="inlineStr">
        <is>
          <t>2001-10-15</t>
        </is>
      </c>
      <c r="X1457" t="inlineStr">
        <is>
          <t>2001-10-15</t>
        </is>
      </c>
      <c r="Y1457" t="n">
        <v>1126</v>
      </c>
      <c r="Z1457" t="n">
        <v>1096</v>
      </c>
      <c r="AA1457" t="n">
        <v>1190</v>
      </c>
      <c r="AB1457" t="n">
        <v>10</v>
      </c>
      <c r="AC1457" t="n">
        <v>12</v>
      </c>
      <c r="AD1457" t="n">
        <v>25</v>
      </c>
      <c r="AE1457" t="n">
        <v>27</v>
      </c>
      <c r="AF1457" t="n">
        <v>8</v>
      </c>
      <c r="AG1457" t="n">
        <v>8</v>
      </c>
      <c r="AH1457" t="n">
        <v>5</v>
      </c>
      <c r="AI1457" t="n">
        <v>5</v>
      </c>
      <c r="AJ1457" t="n">
        <v>12</v>
      </c>
      <c r="AK1457" t="n">
        <v>12</v>
      </c>
      <c r="AL1457" t="n">
        <v>5</v>
      </c>
      <c r="AM1457" t="n">
        <v>7</v>
      </c>
      <c r="AN1457" t="n">
        <v>0</v>
      </c>
      <c r="AO1457" t="n">
        <v>0</v>
      </c>
      <c r="AP1457" t="inlineStr">
        <is>
          <t>No</t>
        </is>
      </c>
      <c r="AQ1457" t="inlineStr">
        <is>
          <t>Yes</t>
        </is>
      </c>
      <c r="AR1457">
        <f>HYPERLINK("http://catalog.hathitrust.org/Record/003567810","HathiTrust Record")</f>
        <v/>
      </c>
      <c r="AS1457">
        <f>HYPERLINK("https://creighton-primo.hosted.exlibrisgroup.com/primo-explore/search?tab=default_tab&amp;search_scope=EVERYTHING&amp;vid=01CRU&amp;lang=en_US&amp;offset=0&amp;query=any,contains,991003584479702656","Catalog Record")</f>
        <v/>
      </c>
      <c r="AT1457">
        <f>HYPERLINK("http://www.worldcat.org/oclc/46785053","WorldCat Record")</f>
        <v/>
      </c>
      <c r="AU1457" t="inlineStr">
        <is>
          <t>9948901:eng</t>
        </is>
      </c>
      <c r="AV1457" t="inlineStr">
        <is>
          <t>46785053</t>
        </is>
      </c>
      <c r="AW1457" t="inlineStr">
        <is>
          <t>991003584479702656</t>
        </is>
      </c>
      <c r="AX1457" t="inlineStr">
        <is>
          <t>991003584479702656</t>
        </is>
      </c>
      <c r="AY1457" t="inlineStr">
        <is>
          <t>2260916580002656</t>
        </is>
      </c>
      <c r="AZ1457" t="inlineStr">
        <is>
          <t>BOOK</t>
        </is>
      </c>
      <c r="BB1457" t="inlineStr">
        <is>
          <t>9780385499156</t>
        </is>
      </c>
      <c r="BC1457" t="inlineStr">
        <is>
          <t>32285004396262</t>
        </is>
      </c>
      <c r="BD1457" t="inlineStr">
        <is>
          <t>893228188</t>
        </is>
      </c>
    </row>
    <row r="1458">
      <c r="A1458" t="inlineStr">
        <is>
          <t>No</t>
        </is>
      </c>
      <c r="B1458" t="inlineStr">
        <is>
          <t>HQ536 .B48</t>
        </is>
      </c>
      <c r="C1458" t="inlineStr">
        <is>
          <t>0                      HQ 0536000B  48</t>
        </is>
      </c>
      <c r="D1458" t="inlineStr">
        <is>
          <t>The melting pot and the altar : marital assimilation in early twentieth-century Wisconsin / Richard M. Bernard.</t>
        </is>
      </c>
      <c r="F1458" t="inlineStr">
        <is>
          <t>No</t>
        </is>
      </c>
      <c r="G1458" t="inlineStr">
        <is>
          <t>1</t>
        </is>
      </c>
      <c r="H1458" t="inlineStr">
        <is>
          <t>No</t>
        </is>
      </c>
      <c r="I1458" t="inlineStr">
        <is>
          <t>No</t>
        </is>
      </c>
      <c r="J1458" t="inlineStr">
        <is>
          <t>0</t>
        </is>
      </c>
      <c r="K1458" t="inlineStr">
        <is>
          <t>Bernard, Richard M., 1948-</t>
        </is>
      </c>
      <c r="L1458" t="inlineStr">
        <is>
          <t>Minneapolis : University of Minnesota Press, 1980.</t>
        </is>
      </c>
      <c r="M1458" t="inlineStr">
        <is>
          <t>1980</t>
        </is>
      </c>
      <c r="O1458" t="inlineStr">
        <is>
          <t>eng</t>
        </is>
      </c>
      <c r="P1458" t="inlineStr">
        <is>
          <t>mnu</t>
        </is>
      </c>
      <c r="R1458" t="inlineStr">
        <is>
          <t xml:space="preserve">HQ </t>
        </is>
      </c>
      <c r="S1458" t="n">
        <v>4</v>
      </c>
      <c r="T1458" t="n">
        <v>4</v>
      </c>
      <c r="U1458" t="inlineStr">
        <is>
          <t>1996-04-09</t>
        </is>
      </c>
      <c r="V1458" t="inlineStr">
        <is>
          <t>1996-04-09</t>
        </is>
      </c>
      <c r="W1458" t="inlineStr">
        <is>
          <t>1992-04-01</t>
        </is>
      </c>
      <c r="X1458" t="inlineStr">
        <is>
          <t>1992-04-01</t>
        </is>
      </c>
      <c r="Y1458" t="n">
        <v>278</v>
      </c>
      <c r="Z1458" t="n">
        <v>245</v>
      </c>
      <c r="AA1458" t="n">
        <v>724</v>
      </c>
      <c r="AB1458" t="n">
        <v>3</v>
      </c>
      <c r="AC1458" t="n">
        <v>6</v>
      </c>
      <c r="AD1458" t="n">
        <v>13</v>
      </c>
      <c r="AE1458" t="n">
        <v>37</v>
      </c>
      <c r="AF1458" t="n">
        <v>3</v>
      </c>
      <c r="AG1458" t="n">
        <v>15</v>
      </c>
      <c r="AH1458" t="n">
        <v>5</v>
      </c>
      <c r="AI1458" t="n">
        <v>10</v>
      </c>
      <c r="AJ1458" t="n">
        <v>8</v>
      </c>
      <c r="AK1458" t="n">
        <v>16</v>
      </c>
      <c r="AL1458" t="n">
        <v>2</v>
      </c>
      <c r="AM1458" t="n">
        <v>5</v>
      </c>
      <c r="AN1458" t="n">
        <v>0</v>
      </c>
      <c r="AO1458" t="n">
        <v>1</v>
      </c>
      <c r="AP1458" t="inlineStr">
        <is>
          <t>No</t>
        </is>
      </c>
      <c r="AQ1458" t="inlineStr">
        <is>
          <t>No</t>
        </is>
      </c>
      <c r="AS1458">
        <f>HYPERLINK("https://creighton-primo.hosted.exlibrisgroup.com/primo-explore/search?tab=default_tab&amp;search_scope=EVERYTHING&amp;vid=01CRU&amp;lang=en_US&amp;offset=0&amp;query=any,contains,991004960849702656","Catalog Record")</f>
        <v/>
      </c>
      <c r="AT1458">
        <f>HYPERLINK("http://www.worldcat.org/oclc/6304874","WorldCat Record")</f>
        <v/>
      </c>
      <c r="AU1458" t="inlineStr">
        <is>
          <t>480486:eng</t>
        </is>
      </c>
      <c r="AV1458" t="inlineStr">
        <is>
          <t>6304874</t>
        </is>
      </c>
      <c r="AW1458" t="inlineStr">
        <is>
          <t>991004960849702656</t>
        </is>
      </c>
      <c r="AX1458" t="inlineStr">
        <is>
          <t>991004960849702656</t>
        </is>
      </c>
      <c r="AY1458" t="inlineStr">
        <is>
          <t>2259271400002656</t>
        </is>
      </c>
      <c r="AZ1458" t="inlineStr">
        <is>
          <t>BOOK</t>
        </is>
      </c>
      <c r="BB1458" t="inlineStr">
        <is>
          <t>9780816609888</t>
        </is>
      </c>
      <c r="BC1458" t="inlineStr">
        <is>
          <t>32285001047314</t>
        </is>
      </c>
      <c r="BD1458" t="inlineStr">
        <is>
          <t>893254270</t>
        </is>
      </c>
    </row>
    <row r="1459">
      <c r="A1459" t="inlineStr">
        <is>
          <t>No</t>
        </is>
      </c>
      <c r="B1459" t="inlineStr">
        <is>
          <t>HQ536 .B5</t>
        </is>
      </c>
      <c r="C1459" t="inlineStr">
        <is>
          <t>0                      HQ 0536000B  5</t>
        </is>
      </c>
      <c r="D1459" t="inlineStr">
        <is>
          <t>Household composition and racial inequality / Suzanne M. Bianchi.</t>
        </is>
      </c>
      <c r="F1459" t="inlineStr">
        <is>
          <t>No</t>
        </is>
      </c>
      <c r="G1459" t="inlineStr">
        <is>
          <t>1</t>
        </is>
      </c>
      <c r="H1459" t="inlineStr">
        <is>
          <t>No</t>
        </is>
      </c>
      <c r="I1459" t="inlineStr">
        <is>
          <t>No</t>
        </is>
      </c>
      <c r="J1459" t="inlineStr">
        <is>
          <t>0</t>
        </is>
      </c>
      <c r="K1459" t="inlineStr">
        <is>
          <t>Bianchi, Suzanne M.</t>
        </is>
      </c>
      <c r="L1459" t="inlineStr">
        <is>
          <t>New Brunswick, N.J. : Rutgers University Press, c1981.</t>
        </is>
      </c>
      <c r="M1459" t="inlineStr">
        <is>
          <t>1981</t>
        </is>
      </c>
      <c r="O1459" t="inlineStr">
        <is>
          <t>eng</t>
        </is>
      </c>
      <c r="P1459" t="inlineStr">
        <is>
          <t>nju</t>
        </is>
      </c>
      <c r="R1459" t="inlineStr">
        <is>
          <t xml:space="preserve">HQ </t>
        </is>
      </c>
      <c r="S1459" t="n">
        <v>8</v>
      </c>
      <c r="T1459" t="n">
        <v>8</v>
      </c>
      <c r="U1459" t="inlineStr">
        <is>
          <t>1997-04-25</t>
        </is>
      </c>
      <c r="V1459" t="inlineStr">
        <is>
          <t>1997-04-25</t>
        </is>
      </c>
      <c r="W1459" t="inlineStr">
        <is>
          <t>1992-10-26</t>
        </is>
      </c>
      <c r="X1459" t="inlineStr">
        <is>
          <t>1992-10-26</t>
        </is>
      </c>
      <c r="Y1459" t="n">
        <v>359</v>
      </c>
      <c r="Z1459" t="n">
        <v>330</v>
      </c>
      <c r="AA1459" t="n">
        <v>341</v>
      </c>
      <c r="AB1459" t="n">
        <v>4</v>
      </c>
      <c r="AC1459" t="n">
        <v>4</v>
      </c>
      <c r="AD1459" t="n">
        <v>14</v>
      </c>
      <c r="AE1459" t="n">
        <v>14</v>
      </c>
      <c r="AF1459" t="n">
        <v>4</v>
      </c>
      <c r="AG1459" t="n">
        <v>4</v>
      </c>
      <c r="AH1459" t="n">
        <v>4</v>
      </c>
      <c r="AI1459" t="n">
        <v>4</v>
      </c>
      <c r="AJ1459" t="n">
        <v>8</v>
      </c>
      <c r="AK1459" t="n">
        <v>8</v>
      </c>
      <c r="AL1459" t="n">
        <v>2</v>
      </c>
      <c r="AM1459" t="n">
        <v>2</v>
      </c>
      <c r="AN1459" t="n">
        <v>0</v>
      </c>
      <c r="AO1459" t="n">
        <v>0</v>
      </c>
      <c r="AP1459" t="inlineStr">
        <is>
          <t>No</t>
        </is>
      </c>
      <c r="AQ1459" t="inlineStr">
        <is>
          <t>Yes</t>
        </is>
      </c>
      <c r="AR1459">
        <f>HYPERLINK("http://catalog.hathitrust.org/Record/000181594","HathiTrust Record")</f>
        <v/>
      </c>
      <c r="AS1459">
        <f>HYPERLINK("https://creighton-primo.hosted.exlibrisgroup.com/primo-explore/search?tab=default_tab&amp;search_scope=EVERYTHING&amp;vid=01CRU&amp;lang=en_US&amp;offset=0&amp;query=any,contains,991005080349702656","Catalog Record")</f>
        <v/>
      </c>
      <c r="AT1459">
        <f>HYPERLINK("http://www.worldcat.org/oclc/7171136","WorldCat Record")</f>
        <v/>
      </c>
      <c r="AU1459" t="inlineStr">
        <is>
          <t>474595:eng</t>
        </is>
      </c>
      <c r="AV1459" t="inlineStr">
        <is>
          <t>7171136</t>
        </is>
      </c>
      <c r="AW1459" t="inlineStr">
        <is>
          <t>991005080349702656</t>
        </is>
      </c>
      <c r="AX1459" t="inlineStr">
        <is>
          <t>991005080349702656</t>
        </is>
      </c>
      <c r="AY1459" t="inlineStr">
        <is>
          <t>2255365090002656</t>
        </is>
      </c>
      <c r="AZ1459" t="inlineStr">
        <is>
          <t>BOOK</t>
        </is>
      </c>
      <c r="BB1459" t="inlineStr">
        <is>
          <t>9780813509136</t>
        </is>
      </c>
      <c r="BC1459" t="inlineStr">
        <is>
          <t>32285001358661</t>
        </is>
      </c>
      <c r="BD1459" t="inlineStr">
        <is>
          <t>893248327</t>
        </is>
      </c>
    </row>
    <row r="1460">
      <c r="A1460" t="inlineStr">
        <is>
          <t>No</t>
        </is>
      </c>
      <c r="B1460" t="inlineStr">
        <is>
          <t>HQ536 .B69 1988</t>
        </is>
      </c>
      <c r="C1460" t="inlineStr">
        <is>
          <t>0                      HQ 0536000B  69          1988</t>
        </is>
      </c>
      <c r="D1460" t="inlineStr">
        <is>
          <t>Family stress management / Pauline Boss.</t>
        </is>
      </c>
      <c r="F1460" t="inlineStr">
        <is>
          <t>No</t>
        </is>
      </c>
      <c r="G1460" t="inlineStr">
        <is>
          <t>1</t>
        </is>
      </c>
      <c r="H1460" t="inlineStr">
        <is>
          <t>No</t>
        </is>
      </c>
      <c r="I1460" t="inlineStr">
        <is>
          <t>No</t>
        </is>
      </c>
      <c r="J1460" t="inlineStr">
        <is>
          <t>0</t>
        </is>
      </c>
      <c r="K1460" t="inlineStr">
        <is>
          <t>Boss, Pauline.</t>
        </is>
      </c>
      <c r="L1460" t="inlineStr">
        <is>
          <t>Newbury Park, Calif. : Sage Publications, c1988.</t>
        </is>
      </c>
      <c r="M1460" t="inlineStr">
        <is>
          <t>1988</t>
        </is>
      </c>
      <c r="O1460" t="inlineStr">
        <is>
          <t>eng</t>
        </is>
      </c>
      <c r="P1460" t="inlineStr">
        <is>
          <t>cau</t>
        </is>
      </c>
      <c r="Q1460" t="inlineStr">
        <is>
          <t>Family studies text series ; 8</t>
        </is>
      </c>
      <c r="R1460" t="inlineStr">
        <is>
          <t xml:space="preserve">HQ </t>
        </is>
      </c>
      <c r="S1460" t="n">
        <v>13</v>
      </c>
      <c r="T1460" t="n">
        <v>13</v>
      </c>
      <c r="U1460" t="inlineStr">
        <is>
          <t>2002-09-24</t>
        </is>
      </c>
      <c r="V1460" t="inlineStr">
        <is>
          <t>2002-09-24</t>
        </is>
      </c>
      <c r="W1460" t="inlineStr">
        <is>
          <t>1990-02-02</t>
        </is>
      </c>
      <c r="X1460" t="inlineStr">
        <is>
          <t>1990-02-02</t>
        </is>
      </c>
      <c r="Y1460" t="n">
        <v>387</v>
      </c>
      <c r="Z1460" t="n">
        <v>283</v>
      </c>
      <c r="AA1460" t="n">
        <v>521</v>
      </c>
      <c r="AB1460" t="n">
        <v>3</v>
      </c>
      <c r="AC1460" t="n">
        <v>4</v>
      </c>
      <c r="AD1460" t="n">
        <v>13</v>
      </c>
      <c r="AE1460" t="n">
        <v>26</v>
      </c>
      <c r="AF1460" t="n">
        <v>3</v>
      </c>
      <c r="AG1460" t="n">
        <v>10</v>
      </c>
      <c r="AH1460" t="n">
        <v>2</v>
      </c>
      <c r="AI1460" t="n">
        <v>4</v>
      </c>
      <c r="AJ1460" t="n">
        <v>9</v>
      </c>
      <c r="AK1460" t="n">
        <v>14</v>
      </c>
      <c r="AL1460" t="n">
        <v>2</v>
      </c>
      <c r="AM1460" t="n">
        <v>3</v>
      </c>
      <c r="AN1460" t="n">
        <v>0</v>
      </c>
      <c r="AO1460" t="n">
        <v>0</v>
      </c>
      <c r="AP1460" t="inlineStr">
        <is>
          <t>No</t>
        </is>
      </c>
      <c r="AQ1460" t="inlineStr">
        <is>
          <t>Yes</t>
        </is>
      </c>
      <c r="AR1460">
        <f>HYPERLINK("http://catalog.hathitrust.org/Record/000924684","HathiTrust Record")</f>
        <v/>
      </c>
      <c r="AS1460">
        <f>HYPERLINK("https://creighton-primo.hosted.exlibrisgroup.com/primo-explore/search?tab=default_tab&amp;search_scope=EVERYTHING&amp;vid=01CRU&amp;lang=en_US&amp;offset=0&amp;query=any,contains,991001114669702656","Catalog Record")</f>
        <v/>
      </c>
      <c r="AT1460">
        <f>HYPERLINK("http://www.worldcat.org/oclc/16524598","WorldCat Record")</f>
        <v/>
      </c>
      <c r="AU1460" t="inlineStr">
        <is>
          <t>12430165:eng</t>
        </is>
      </c>
      <c r="AV1460" t="inlineStr">
        <is>
          <t>16524598</t>
        </is>
      </c>
      <c r="AW1460" t="inlineStr">
        <is>
          <t>991001114669702656</t>
        </is>
      </c>
      <c r="AX1460" t="inlineStr">
        <is>
          <t>991001114669702656</t>
        </is>
      </c>
      <c r="AY1460" t="inlineStr">
        <is>
          <t>2259331780002656</t>
        </is>
      </c>
      <c r="AZ1460" t="inlineStr">
        <is>
          <t>BOOK</t>
        </is>
      </c>
      <c r="BB1460" t="inlineStr">
        <is>
          <t>9780803923812</t>
        </is>
      </c>
      <c r="BC1460" t="inlineStr">
        <is>
          <t>32285000038355</t>
        </is>
      </c>
      <c r="BD1460" t="inlineStr">
        <is>
          <t>893690355</t>
        </is>
      </c>
    </row>
    <row r="1461">
      <c r="A1461" t="inlineStr">
        <is>
          <t>No</t>
        </is>
      </c>
      <c r="B1461" t="inlineStr">
        <is>
          <t>HQ536 .B863 1997</t>
        </is>
      </c>
      <c r="C1461" t="inlineStr">
        <is>
          <t>0                      HQ 0536000B  863         1997</t>
        </is>
      </c>
      <c r="D1461" t="inlineStr">
        <is>
          <t>The feminine economy and economic man : reviving the role of family in the post-industrial age / Shirley P. Burggraf.</t>
        </is>
      </c>
      <c r="F1461" t="inlineStr">
        <is>
          <t>No</t>
        </is>
      </c>
      <c r="G1461" t="inlineStr">
        <is>
          <t>1</t>
        </is>
      </c>
      <c r="H1461" t="inlineStr">
        <is>
          <t>No</t>
        </is>
      </c>
      <c r="I1461" t="inlineStr">
        <is>
          <t>No</t>
        </is>
      </c>
      <c r="J1461" t="inlineStr">
        <is>
          <t>0</t>
        </is>
      </c>
      <c r="K1461" t="inlineStr">
        <is>
          <t>Burggraf, Shirley P.</t>
        </is>
      </c>
      <c r="L1461" t="inlineStr">
        <is>
          <t>Reading, Mass. : Addison-Wesley, c1997.</t>
        </is>
      </c>
      <c r="M1461" t="inlineStr">
        <is>
          <t>1997</t>
        </is>
      </c>
      <c r="O1461" t="inlineStr">
        <is>
          <t>eng</t>
        </is>
      </c>
      <c r="P1461" t="inlineStr">
        <is>
          <t>mau</t>
        </is>
      </c>
      <c r="R1461" t="inlineStr">
        <is>
          <t xml:space="preserve">HQ </t>
        </is>
      </c>
      <c r="S1461" t="n">
        <v>5</v>
      </c>
      <c r="T1461" t="n">
        <v>5</v>
      </c>
      <c r="U1461" t="inlineStr">
        <is>
          <t>1998-10-07</t>
        </is>
      </c>
      <c r="V1461" t="inlineStr">
        <is>
          <t>1998-10-07</t>
        </is>
      </c>
      <c r="W1461" t="inlineStr">
        <is>
          <t>1997-04-10</t>
        </is>
      </c>
      <c r="X1461" t="inlineStr">
        <is>
          <t>1997-04-10</t>
        </is>
      </c>
      <c r="Y1461" t="n">
        <v>594</v>
      </c>
      <c r="Z1461" t="n">
        <v>530</v>
      </c>
      <c r="AA1461" t="n">
        <v>567</v>
      </c>
      <c r="AB1461" t="n">
        <v>4</v>
      </c>
      <c r="AC1461" t="n">
        <v>4</v>
      </c>
      <c r="AD1461" t="n">
        <v>33</v>
      </c>
      <c r="AE1461" t="n">
        <v>33</v>
      </c>
      <c r="AF1461" t="n">
        <v>11</v>
      </c>
      <c r="AG1461" t="n">
        <v>11</v>
      </c>
      <c r="AH1461" t="n">
        <v>8</v>
      </c>
      <c r="AI1461" t="n">
        <v>8</v>
      </c>
      <c r="AJ1461" t="n">
        <v>17</v>
      </c>
      <c r="AK1461" t="n">
        <v>17</v>
      </c>
      <c r="AL1461" t="n">
        <v>3</v>
      </c>
      <c r="AM1461" t="n">
        <v>3</v>
      </c>
      <c r="AN1461" t="n">
        <v>3</v>
      </c>
      <c r="AO1461" t="n">
        <v>3</v>
      </c>
      <c r="AP1461" t="inlineStr">
        <is>
          <t>No</t>
        </is>
      </c>
      <c r="AQ1461" t="inlineStr">
        <is>
          <t>Yes</t>
        </is>
      </c>
      <c r="AR1461">
        <f>HYPERLINK("http://catalog.hathitrust.org/Record/003120756","HathiTrust Record")</f>
        <v/>
      </c>
      <c r="AS1461">
        <f>HYPERLINK("https://creighton-primo.hosted.exlibrisgroup.com/primo-explore/search?tab=default_tab&amp;search_scope=EVERYTHING&amp;vid=01CRU&amp;lang=en_US&amp;offset=0&amp;query=any,contains,991002688469702656","Catalog Record")</f>
        <v/>
      </c>
      <c r="AT1461">
        <f>HYPERLINK("http://www.worldcat.org/oclc/35121696","WorldCat Record")</f>
        <v/>
      </c>
      <c r="AU1461" t="inlineStr">
        <is>
          <t>20824918:eng</t>
        </is>
      </c>
      <c r="AV1461" t="inlineStr">
        <is>
          <t>35121696</t>
        </is>
      </c>
      <c r="AW1461" t="inlineStr">
        <is>
          <t>991002688469702656</t>
        </is>
      </c>
      <c r="AX1461" t="inlineStr">
        <is>
          <t>991002688469702656</t>
        </is>
      </c>
      <c r="AY1461" t="inlineStr">
        <is>
          <t>2258567830002656</t>
        </is>
      </c>
      <c r="AZ1461" t="inlineStr">
        <is>
          <t>BOOK</t>
        </is>
      </c>
      <c r="BB1461" t="inlineStr">
        <is>
          <t>9780201479614</t>
        </is>
      </c>
      <c r="BC1461" t="inlineStr">
        <is>
          <t>32285002496064</t>
        </is>
      </c>
      <c r="BD1461" t="inlineStr">
        <is>
          <t>893440393</t>
        </is>
      </c>
    </row>
    <row r="1462">
      <c r="A1462" t="inlineStr">
        <is>
          <t>No</t>
        </is>
      </c>
      <c r="B1462" t="inlineStr">
        <is>
          <t>HQ536 .B865 1981</t>
        </is>
      </c>
      <c r="C1462" t="inlineStr">
        <is>
          <t>0                      HQ 0536000B  865         1981</t>
        </is>
      </c>
      <c r="D1462" t="inlineStr">
        <is>
          <t>Marriage without children / Diana Burgwyn.</t>
        </is>
      </c>
      <c r="F1462" t="inlineStr">
        <is>
          <t>No</t>
        </is>
      </c>
      <c r="G1462" t="inlineStr">
        <is>
          <t>1</t>
        </is>
      </c>
      <c r="H1462" t="inlineStr">
        <is>
          <t>Yes</t>
        </is>
      </c>
      <c r="I1462" t="inlineStr">
        <is>
          <t>No</t>
        </is>
      </c>
      <c r="J1462" t="inlineStr">
        <is>
          <t>0</t>
        </is>
      </c>
      <c r="K1462" t="inlineStr">
        <is>
          <t>Burgwyn, Diana.</t>
        </is>
      </c>
      <c r="L1462" t="inlineStr">
        <is>
          <t>New York : Harper &amp; Row, c1981.</t>
        </is>
      </c>
      <c r="M1462" t="inlineStr">
        <is>
          <t>1981</t>
        </is>
      </c>
      <c r="N1462" t="inlineStr">
        <is>
          <t>1st ed.</t>
        </is>
      </c>
      <c r="O1462" t="inlineStr">
        <is>
          <t>eng</t>
        </is>
      </c>
      <c r="P1462" t="inlineStr">
        <is>
          <t>nyu</t>
        </is>
      </c>
      <c r="R1462" t="inlineStr">
        <is>
          <t xml:space="preserve">HQ </t>
        </is>
      </c>
      <c r="S1462" t="n">
        <v>1</v>
      </c>
      <c r="T1462" t="n">
        <v>2</v>
      </c>
      <c r="U1462" t="inlineStr">
        <is>
          <t>1993-12-09</t>
        </is>
      </c>
      <c r="V1462" t="inlineStr">
        <is>
          <t>1993-12-09</t>
        </is>
      </c>
      <c r="W1462" t="inlineStr">
        <is>
          <t>1992-04-24</t>
        </is>
      </c>
      <c r="X1462" t="inlineStr">
        <is>
          <t>1992-04-24</t>
        </is>
      </c>
      <c r="Y1462" t="n">
        <v>543</v>
      </c>
      <c r="Z1462" t="n">
        <v>510</v>
      </c>
      <c r="AA1462" t="n">
        <v>556</v>
      </c>
      <c r="AB1462" t="n">
        <v>5</v>
      </c>
      <c r="AC1462" t="n">
        <v>5</v>
      </c>
      <c r="AD1462" t="n">
        <v>5</v>
      </c>
      <c r="AE1462" t="n">
        <v>8</v>
      </c>
      <c r="AF1462" t="n">
        <v>1</v>
      </c>
      <c r="AG1462" t="n">
        <v>3</v>
      </c>
      <c r="AH1462" t="n">
        <v>0</v>
      </c>
      <c r="AI1462" t="n">
        <v>0</v>
      </c>
      <c r="AJ1462" t="n">
        <v>2</v>
      </c>
      <c r="AK1462" t="n">
        <v>3</v>
      </c>
      <c r="AL1462" t="n">
        <v>2</v>
      </c>
      <c r="AM1462" t="n">
        <v>2</v>
      </c>
      <c r="AN1462" t="n">
        <v>0</v>
      </c>
      <c r="AO1462" t="n">
        <v>0</v>
      </c>
      <c r="AP1462" t="inlineStr">
        <is>
          <t>No</t>
        </is>
      </c>
      <c r="AQ1462" t="inlineStr">
        <is>
          <t>Yes</t>
        </is>
      </c>
      <c r="AR1462">
        <f>HYPERLINK("http://catalog.hathitrust.org/Record/004397873","HathiTrust Record")</f>
        <v/>
      </c>
      <c r="AS1462">
        <f>HYPERLINK("https://creighton-primo.hosted.exlibrisgroup.com/primo-explore/search?tab=default_tab&amp;search_scope=EVERYTHING&amp;vid=01CRU&amp;lang=en_US&amp;offset=0&amp;query=any,contains,991001766299702656","Catalog Record")</f>
        <v/>
      </c>
      <c r="AT1462">
        <f>HYPERLINK("http://www.worldcat.org/oclc/7574204","WorldCat Record")</f>
        <v/>
      </c>
      <c r="AU1462" t="inlineStr">
        <is>
          <t>28851349:eng</t>
        </is>
      </c>
      <c r="AV1462" t="inlineStr">
        <is>
          <t>7574204</t>
        </is>
      </c>
      <c r="AW1462" t="inlineStr">
        <is>
          <t>991001766299702656</t>
        </is>
      </c>
      <c r="AX1462" t="inlineStr">
        <is>
          <t>991001766299702656</t>
        </is>
      </c>
      <c r="AY1462" t="inlineStr">
        <is>
          <t>2270934530002656</t>
        </is>
      </c>
      <c r="AZ1462" t="inlineStr">
        <is>
          <t>BOOK</t>
        </is>
      </c>
      <c r="BB1462" t="inlineStr">
        <is>
          <t>9780060148829</t>
        </is>
      </c>
      <c r="BC1462" t="inlineStr">
        <is>
          <t>32285001070803</t>
        </is>
      </c>
      <c r="BD1462" t="inlineStr">
        <is>
          <t>893316024</t>
        </is>
      </c>
    </row>
    <row r="1463">
      <c r="A1463" t="inlineStr">
        <is>
          <t>No</t>
        </is>
      </c>
      <c r="B1463" t="inlineStr">
        <is>
          <t>HQ536 .C34 1986</t>
        </is>
      </c>
      <c r="C1463" t="inlineStr">
        <is>
          <t>0                      HQ 0536000C  34          1986</t>
        </is>
      </c>
      <c r="D1463" t="inlineStr">
        <is>
          <t>Successful women, angry men : backlash in the two-career marriage / Bebe Moore Campbell.</t>
        </is>
      </c>
      <c r="F1463" t="inlineStr">
        <is>
          <t>No</t>
        </is>
      </c>
      <c r="G1463" t="inlineStr">
        <is>
          <t>1</t>
        </is>
      </c>
      <c r="H1463" t="inlineStr">
        <is>
          <t>No</t>
        </is>
      </c>
      <c r="I1463" t="inlineStr">
        <is>
          <t>No</t>
        </is>
      </c>
      <c r="J1463" t="inlineStr">
        <is>
          <t>0</t>
        </is>
      </c>
      <c r="K1463" t="inlineStr">
        <is>
          <t>Campbell, Bebe Moore, 1950-2006.</t>
        </is>
      </c>
      <c r="L1463" t="inlineStr">
        <is>
          <t>New York : Random House, 1986.</t>
        </is>
      </c>
      <c r="M1463" t="inlineStr">
        <is>
          <t>1986</t>
        </is>
      </c>
      <c r="N1463" t="inlineStr">
        <is>
          <t>1st ed.</t>
        </is>
      </c>
      <c r="O1463" t="inlineStr">
        <is>
          <t>eng</t>
        </is>
      </c>
      <c r="P1463" t="inlineStr">
        <is>
          <t>nyu</t>
        </is>
      </c>
      <c r="R1463" t="inlineStr">
        <is>
          <t xml:space="preserve">HQ </t>
        </is>
      </c>
      <c r="S1463" t="n">
        <v>9</v>
      </c>
      <c r="T1463" t="n">
        <v>9</v>
      </c>
      <c r="U1463" t="inlineStr">
        <is>
          <t>2001-12-11</t>
        </is>
      </c>
      <c r="V1463" t="inlineStr">
        <is>
          <t>2001-12-11</t>
        </is>
      </c>
      <c r="W1463" t="inlineStr">
        <is>
          <t>1990-02-20</t>
        </is>
      </c>
      <c r="X1463" t="inlineStr">
        <is>
          <t>1990-02-20</t>
        </is>
      </c>
      <c r="Y1463" t="n">
        <v>552</v>
      </c>
      <c r="Z1463" t="n">
        <v>508</v>
      </c>
      <c r="AA1463" t="n">
        <v>593</v>
      </c>
      <c r="AB1463" t="n">
        <v>4</v>
      </c>
      <c r="AC1463" t="n">
        <v>4</v>
      </c>
      <c r="AD1463" t="n">
        <v>11</v>
      </c>
      <c r="AE1463" t="n">
        <v>13</v>
      </c>
      <c r="AF1463" t="n">
        <v>4</v>
      </c>
      <c r="AG1463" t="n">
        <v>4</v>
      </c>
      <c r="AH1463" t="n">
        <v>2</v>
      </c>
      <c r="AI1463" t="n">
        <v>3</v>
      </c>
      <c r="AJ1463" t="n">
        <v>6</v>
      </c>
      <c r="AK1463" t="n">
        <v>8</v>
      </c>
      <c r="AL1463" t="n">
        <v>1</v>
      </c>
      <c r="AM1463" t="n">
        <v>1</v>
      </c>
      <c r="AN1463" t="n">
        <v>0</v>
      </c>
      <c r="AO1463" t="n">
        <v>0</v>
      </c>
      <c r="AP1463" t="inlineStr">
        <is>
          <t>No</t>
        </is>
      </c>
      <c r="AQ1463" t="inlineStr">
        <is>
          <t>Yes</t>
        </is>
      </c>
      <c r="AR1463">
        <f>HYPERLINK("http://catalog.hathitrust.org/Record/000804958","HathiTrust Record")</f>
        <v/>
      </c>
      <c r="AS1463">
        <f>HYPERLINK("https://creighton-primo.hosted.exlibrisgroup.com/primo-explore/search?tab=default_tab&amp;search_scope=EVERYTHING&amp;vid=01CRU&amp;lang=en_US&amp;offset=0&amp;query=any,contains,991000848989702656","Catalog Record")</f>
        <v/>
      </c>
      <c r="AT1463">
        <f>HYPERLINK("http://www.worldcat.org/oclc/13581163","WorldCat Record")</f>
        <v/>
      </c>
      <c r="AU1463" t="inlineStr">
        <is>
          <t>196506194:eng</t>
        </is>
      </c>
      <c r="AV1463" t="inlineStr">
        <is>
          <t>13581163</t>
        </is>
      </c>
      <c r="AW1463" t="inlineStr">
        <is>
          <t>991000848989702656</t>
        </is>
      </c>
      <c r="AX1463" t="inlineStr">
        <is>
          <t>991000848989702656</t>
        </is>
      </c>
      <c r="AY1463" t="inlineStr">
        <is>
          <t>2259644950002656</t>
        </is>
      </c>
      <c r="AZ1463" t="inlineStr">
        <is>
          <t>BOOK</t>
        </is>
      </c>
      <c r="BB1463" t="inlineStr">
        <is>
          <t>9780394551494</t>
        </is>
      </c>
      <c r="BC1463" t="inlineStr">
        <is>
          <t>32285000056407</t>
        </is>
      </c>
      <c r="BD1463" t="inlineStr">
        <is>
          <t>893339941</t>
        </is>
      </c>
    </row>
    <row r="1464">
      <c r="A1464" t="inlineStr">
        <is>
          <t>No</t>
        </is>
      </c>
      <c r="B1464" t="inlineStr">
        <is>
          <t>HQ536 .C37 1988</t>
        </is>
      </c>
      <c r="C1464" t="inlineStr">
        <is>
          <t>0                      HQ 0536000C  37          1988</t>
        </is>
      </c>
      <c r="D1464" t="inlineStr">
        <is>
          <t>Family questions : reflections on the American social crisis / Allan C. Carlson.</t>
        </is>
      </c>
      <c r="F1464" t="inlineStr">
        <is>
          <t>No</t>
        </is>
      </c>
      <c r="G1464" t="inlineStr">
        <is>
          <t>1</t>
        </is>
      </c>
      <c r="H1464" t="inlineStr">
        <is>
          <t>No</t>
        </is>
      </c>
      <c r="I1464" t="inlineStr">
        <is>
          <t>No</t>
        </is>
      </c>
      <c r="J1464" t="inlineStr">
        <is>
          <t>0</t>
        </is>
      </c>
      <c r="K1464" t="inlineStr">
        <is>
          <t>Carlson, Allan C.</t>
        </is>
      </c>
      <c r="L1464" t="inlineStr">
        <is>
          <t>New Brunswick, U.S.A. : Transaction Books, c1988.</t>
        </is>
      </c>
      <c r="M1464" t="inlineStr">
        <is>
          <t>1988</t>
        </is>
      </c>
      <c r="O1464" t="inlineStr">
        <is>
          <t>eng</t>
        </is>
      </c>
      <c r="P1464" t="inlineStr">
        <is>
          <t>nju</t>
        </is>
      </c>
      <c r="R1464" t="inlineStr">
        <is>
          <t xml:space="preserve">HQ </t>
        </is>
      </c>
      <c r="S1464" t="n">
        <v>1</v>
      </c>
      <c r="T1464" t="n">
        <v>1</v>
      </c>
      <c r="U1464" t="inlineStr">
        <is>
          <t>1992-10-07</t>
        </is>
      </c>
      <c r="V1464" t="inlineStr">
        <is>
          <t>1992-10-07</t>
        </is>
      </c>
      <c r="W1464" t="inlineStr">
        <is>
          <t>1990-05-24</t>
        </is>
      </c>
      <c r="X1464" t="inlineStr">
        <is>
          <t>1990-05-24</t>
        </is>
      </c>
      <c r="Y1464" t="n">
        <v>503</v>
      </c>
      <c r="Z1464" t="n">
        <v>443</v>
      </c>
      <c r="AA1464" t="n">
        <v>451</v>
      </c>
      <c r="AB1464" t="n">
        <v>6</v>
      </c>
      <c r="AC1464" t="n">
        <v>6</v>
      </c>
      <c r="AD1464" t="n">
        <v>23</v>
      </c>
      <c r="AE1464" t="n">
        <v>23</v>
      </c>
      <c r="AF1464" t="n">
        <v>7</v>
      </c>
      <c r="AG1464" t="n">
        <v>7</v>
      </c>
      <c r="AH1464" t="n">
        <v>6</v>
      </c>
      <c r="AI1464" t="n">
        <v>6</v>
      </c>
      <c r="AJ1464" t="n">
        <v>11</v>
      </c>
      <c r="AK1464" t="n">
        <v>11</v>
      </c>
      <c r="AL1464" t="n">
        <v>5</v>
      </c>
      <c r="AM1464" t="n">
        <v>5</v>
      </c>
      <c r="AN1464" t="n">
        <v>0</v>
      </c>
      <c r="AO1464" t="n">
        <v>0</v>
      </c>
      <c r="AP1464" t="inlineStr">
        <is>
          <t>No</t>
        </is>
      </c>
      <c r="AQ1464" t="inlineStr">
        <is>
          <t>No</t>
        </is>
      </c>
      <c r="AS1464">
        <f>HYPERLINK("https://creighton-primo.hosted.exlibrisgroup.com/primo-explore/search?tab=default_tab&amp;search_scope=EVERYTHING&amp;vid=01CRU&amp;lang=en_US&amp;offset=0&amp;query=any,contains,991001180319702656","Catalog Record")</f>
        <v/>
      </c>
      <c r="AT1464">
        <f>HYPERLINK("http://www.worldcat.org/oclc/17107873","WorldCat Record")</f>
        <v/>
      </c>
      <c r="AU1464" t="inlineStr">
        <is>
          <t>836735587:eng</t>
        </is>
      </c>
      <c r="AV1464" t="inlineStr">
        <is>
          <t>17107873</t>
        </is>
      </c>
      <c r="AW1464" t="inlineStr">
        <is>
          <t>991001180319702656</t>
        </is>
      </c>
      <c r="AX1464" t="inlineStr">
        <is>
          <t>991001180319702656</t>
        </is>
      </c>
      <c r="AY1464" t="inlineStr">
        <is>
          <t>2257888020002656</t>
        </is>
      </c>
      <c r="AZ1464" t="inlineStr">
        <is>
          <t>BOOK</t>
        </is>
      </c>
      <c r="BB1464" t="inlineStr">
        <is>
          <t>9780887382062</t>
        </is>
      </c>
      <c r="BC1464" t="inlineStr">
        <is>
          <t>32285000165349</t>
        </is>
      </c>
      <c r="BD1464" t="inlineStr">
        <is>
          <t>893231772</t>
        </is>
      </c>
    </row>
    <row r="1465">
      <c r="A1465" t="inlineStr">
        <is>
          <t>No</t>
        </is>
      </c>
      <c r="B1465" t="inlineStr">
        <is>
          <t>HQ536 .C373 2005</t>
        </is>
      </c>
      <c r="C1465" t="inlineStr">
        <is>
          <t>0                      HQ 0536000C  373         2005</t>
        </is>
      </c>
      <c r="D1465" t="inlineStr">
        <is>
          <t>Fractured generations : crafting a family policy for twenty-first-century America / Allan Carlson.</t>
        </is>
      </c>
      <c r="F1465" t="inlineStr">
        <is>
          <t>No</t>
        </is>
      </c>
      <c r="G1465" t="inlineStr">
        <is>
          <t>1</t>
        </is>
      </c>
      <c r="H1465" t="inlineStr">
        <is>
          <t>No</t>
        </is>
      </c>
      <c r="I1465" t="inlineStr">
        <is>
          <t>No</t>
        </is>
      </c>
      <c r="J1465" t="inlineStr">
        <is>
          <t>0</t>
        </is>
      </c>
      <c r="K1465" t="inlineStr">
        <is>
          <t>Carlson, Allan C.</t>
        </is>
      </c>
      <c r="L1465" t="inlineStr">
        <is>
          <t>New Brunswick, N.J. : Transaction Publishers, c2005.</t>
        </is>
      </c>
      <c r="M1465" t="inlineStr">
        <is>
          <t>2005</t>
        </is>
      </c>
      <c r="O1465" t="inlineStr">
        <is>
          <t>eng</t>
        </is>
      </c>
      <c r="P1465" t="inlineStr">
        <is>
          <t>nju</t>
        </is>
      </c>
      <c r="R1465" t="inlineStr">
        <is>
          <t xml:space="preserve">HQ </t>
        </is>
      </c>
      <c r="S1465" t="n">
        <v>1</v>
      </c>
      <c r="T1465" t="n">
        <v>1</v>
      </c>
      <c r="U1465" t="inlineStr">
        <is>
          <t>2005-07-20</t>
        </is>
      </c>
      <c r="V1465" t="inlineStr">
        <is>
          <t>2005-07-20</t>
        </is>
      </c>
      <c r="W1465" t="inlineStr">
        <is>
          <t>2005-07-20</t>
        </is>
      </c>
      <c r="X1465" t="inlineStr">
        <is>
          <t>2005-07-20</t>
        </is>
      </c>
      <c r="Y1465" t="n">
        <v>331</v>
      </c>
      <c r="Z1465" t="n">
        <v>291</v>
      </c>
      <c r="AA1465" t="n">
        <v>317</v>
      </c>
      <c r="AB1465" t="n">
        <v>2</v>
      </c>
      <c r="AC1465" t="n">
        <v>2</v>
      </c>
      <c r="AD1465" t="n">
        <v>12</v>
      </c>
      <c r="AE1465" t="n">
        <v>12</v>
      </c>
      <c r="AF1465" t="n">
        <v>5</v>
      </c>
      <c r="AG1465" t="n">
        <v>5</v>
      </c>
      <c r="AH1465" t="n">
        <v>2</v>
      </c>
      <c r="AI1465" t="n">
        <v>2</v>
      </c>
      <c r="AJ1465" t="n">
        <v>7</v>
      </c>
      <c r="AK1465" t="n">
        <v>7</v>
      </c>
      <c r="AL1465" t="n">
        <v>1</v>
      </c>
      <c r="AM1465" t="n">
        <v>1</v>
      </c>
      <c r="AN1465" t="n">
        <v>0</v>
      </c>
      <c r="AO1465" t="n">
        <v>0</v>
      </c>
      <c r="AP1465" t="inlineStr">
        <is>
          <t>No</t>
        </is>
      </c>
      <c r="AQ1465" t="inlineStr">
        <is>
          <t>No</t>
        </is>
      </c>
      <c r="AS1465">
        <f>HYPERLINK("https://creighton-primo.hosted.exlibrisgroup.com/primo-explore/search?tab=default_tab&amp;search_scope=EVERYTHING&amp;vid=01CRU&amp;lang=en_US&amp;offset=0&amp;query=any,contains,991004586829702656","Catalog Record")</f>
        <v/>
      </c>
      <c r="AT1465">
        <f>HYPERLINK("http://www.worldcat.org/oclc/56334063","WorldCat Record")</f>
        <v/>
      </c>
      <c r="AU1465" t="inlineStr">
        <is>
          <t>196441487:eng</t>
        </is>
      </c>
      <c r="AV1465" t="inlineStr">
        <is>
          <t>56334063</t>
        </is>
      </c>
      <c r="AW1465" t="inlineStr">
        <is>
          <t>991004586829702656</t>
        </is>
      </c>
      <c r="AX1465" t="inlineStr">
        <is>
          <t>991004586829702656</t>
        </is>
      </c>
      <c r="AY1465" t="inlineStr">
        <is>
          <t>2267780770002656</t>
        </is>
      </c>
      <c r="AZ1465" t="inlineStr">
        <is>
          <t>BOOK</t>
        </is>
      </c>
      <c r="BB1465" t="inlineStr">
        <is>
          <t>9780765802750</t>
        </is>
      </c>
      <c r="BC1465" t="inlineStr">
        <is>
          <t>32285005096986</t>
        </is>
      </c>
      <c r="BD1465" t="inlineStr">
        <is>
          <t>893500756</t>
        </is>
      </c>
    </row>
    <row r="1466">
      <c r="A1466" t="inlineStr">
        <is>
          <t>No</t>
        </is>
      </c>
      <c r="B1466" t="inlineStr">
        <is>
          <t>HQ536 .C377 1995</t>
        </is>
      </c>
      <c r="C1466" t="inlineStr">
        <is>
          <t>0                      HQ 0536000C  377         1995</t>
        </is>
      </c>
      <c r="D1466" t="inlineStr">
        <is>
          <t>He works, she works : successful strategies for working couples / Jaine Carter, James D. Carter.</t>
        </is>
      </c>
      <c r="F1466" t="inlineStr">
        <is>
          <t>No</t>
        </is>
      </c>
      <c r="G1466" t="inlineStr">
        <is>
          <t>1</t>
        </is>
      </c>
      <c r="H1466" t="inlineStr">
        <is>
          <t>No</t>
        </is>
      </c>
      <c r="I1466" t="inlineStr">
        <is>
          <t>No</t>
        </is>
      </c>
      <c r="J1466" t="inlineStr">
        <is>
          <t>0</t>
        </is>
      </c>
      <c r="K1466" t="inlineStr">
        <is>
          <t>Carter, Jaine.</t>
        </is>
      </c>
      <c r="L1466" t="inlineStr">
        <is>
          <t>New York : Amacom, c1995.</t>
        </is>
      </c>
      <c r="M1466" t="inlineStr">
        <is>
          <t>1995</t>
        </is>
      </c>
      <c r="O1466" t="inlineStr">
        <is>
          <t>eng</t>
        </is>
      </c>
      <c r="P1466" t="inlineStr">
        <is>
          <t>nyu</t>
        </is>
      </c>
      <c r="R1466" t="inlineStr">
        <is>
          <t xml:space="preserve">HQ </t>
        </is>
      </c>
      <c r="S1466" t="n">
        <v>13</v>
      </c>
      <c r="T1466" t="n">
        <v>13</v>
      </c>
      <c r="U1466" t="inlineStr">
        <is>
          <t>2003-12-03</t>
        </is>
      </c>
      <c r="V1466" t="inlineStr">
        <is>
          <t>2003-12-03</t>
        </is>
      </c>
      <c r="W1466" t="inlineStr">
        <is>
          <t>1995-11-20</t>
        </is>
      </c>
      <c r="X1466" t="inlineStr">
        <is>
          <t>1995-11-20</t>
        </is>
      </c>
      <c r="Y1466" t="n">
        <v>329</v>
      </c>
      <c r="Z1466" t="n">
        <v>305</v>
      </c>
      <c r="AA1466" t="n">
        <v>311</v>
      </c>
      <c r="AB1466" t="n">
        <v>3</v>
      </c>
      <c r="AC1466" t="n">
        <v>3</v>
      </c>
      <c r="AD1466" t="n">
        <v>11</v>
      </c>
      <c r="AE1466" t="n">
        <v>11</v>
      </c>
      <c r="AF1466" t="n">
        <v>2</v>
      </c>
      <c r="AG1466" t="n">
        <v>2</v>
      </c>
      <c r="AH1466" t="n">
        <v>3</v>
      </c>
      <c r="AI1466" t="n">
        <v>3</v>
      </c>
      <c r="AJ1466" t="n">
        <v>5</v>
      </c>
      <c r="AK1466" t="n">
        <v>5</v>
      </c>
      <c r="AL1466" t="n">
        <v>2</v>
      </c>
      <c r="AM1466" t="n">
        <v>2</v>
      </c>
      <c r="AN1466" t="n">
        <v>0</v>
      </c>
      <c r="AO1466" t="n">
        <v>0</v>
      </c>
      <c r="AP1466" t="inlineStr">
        <is>
          <t>No</t>
        </is>
      </c>
      <c r="AQ1466" t="inlineStr">
        <is>
          <t>No</t>
        </is>
      </c>
      <c r="AS1466">
        <f>HYPERLINK("https://creighton-primo.hosted.exlibrisgroup.com/primo-explore/search?tab=default_tab&amp;search_scope=EVERYTHING&amp;vid=01CRU&amp;lang=en_US&amp;offset=0&amp;query=any,contains,991002532739702656","Catalog Record")</f>
        <v/>
      </c>
      <c r="AT1466">
        <f>HYPERLINK("http://www.worldcat.org/oclc/32921783","WorldCat Record")</f>
        <v/>
      </c>
      <c r="AU1466" t="inlineStr">
        <is>
          <t>890307618:eng</t>
        </is>
      </c>
      <c r="AV1466" t="inlineStr">
        <is>
          <t>32921783</t>
        </is>
      </c>
      <c r="AW1466" t="inlineStr">
        <is>
          <t>991002532739702656</t>
        </is>
      </c>
      <c r="AX1466" t="inlineStr">
        <is>
          <t>991002532739702656</t>
        </is>
      </c>
      <c r="AY1466" t="inlineStr">
        <is>
          <t>2256870580002656</t>
        </is>
      </c>
      <c r="AZ1466" t="inlineStr">
        <is>
          <t>BOOK</t>
        </is>
      </c>
      <c r="BB1466" t="inlineStr">
        <is>
          <t>9780814478967</t>
        </is>
      </c>
      <c r="BC1466" t="inlineStr">
        <is>
          <t>32285002088408</t>
        </is>
      </c>
      <c r="BD1466" t="inlineStr">
        <is>
          <t>893603711</t>
        </is>
      </c>
    </row>
    <row r="1467">
      <c r="A1467" t="inlineStr">
        <is>
          <t>No</t>
        </is>
      </c>
      <c r="B1467" t="inlineStr">
        <is>
          <t>HQ536 .C48 1990</t>
        </is>
      </c>
      <c r="C1467" t="inlineStr">
        <is>
          <t>0                      HQ 0536000C  48          1990</t>
        </is>
      </c>
      <c r="D1467" t="inlineStr">
        <is>
          <t>Utopia against the family : the problems and politics of the American family / Bryce J. Christensen.</t>
        </is>
      </c>
      <c r="F1467" t="inlineStr">
        <is>
          <t>No</t>
        </is>
      </c>
      <c r="G1467" t="inlineStr">
        <is>
          <t>1</t>
        </is>
      </c>
      <c r="H1467" t="inlineStr">
        <is>
          <t>No</t>
        </is>
      </c>
      <c r="I1467" t="inlineStr">
        <is>
          <t>No</t>
        </is>
      </c>
      <c r="J1467" t="inlineStr">
        <is>
          <t>0</t>
        </is>
      </c>
      <c r="K1467" t="inlineStr">
        <is>
          <t>Christensen, Bryce J.</t>
        </is>
      </c>
      <c r="L1467" t="inlineStr">
        <is>
          <t>San Francisco : Ignatius Press, c1990.</t>
        </is>
      </c>
      <c r="M1467" t="inlineStr">
        <is>
          <t>1990</t>
        </is>
      </c>
      <c r="O1467" t="inlineStr">
        <is>
          <t>eng</t>
        </is>
      </c>
      <c r="P1467" t="inlineStr">
        <is>
          <t>cau</t>
        </is>
      </c>
      <c r="R1467" t="inlineStr">
        <is>
          <t xml:space="preserve">HQ </t>
        </is>
      </c>
      <c r="S1467" t="n">
        <v>15</v>
      </c>
      <c r="T1467" t="n">
        <v>15</v>
      </c>
      <c r="U1467" t="inlineStr">
        <is>
          <t>1997-07-17</t>
        </is>
      </c>
      <c r="V1467" t="inlineStr">
        <is>
          <t>1997-07-17</t>
        </is>
      </c>
      <c r="W1467" t="inlineStr">
        <is>
          <t>1991-02-28</t>
        </is>
      </c>
      <c r="X1467" t="inlineStr">
        <is>
          <t>1991-02-28</t>
        </is>
      </c>
      <c r="Y1467" t="n">
        <v>207</v>
      </c>
      <c r="Z1467" t="n">
        <v>182</v>
      </c>
      <c r="AA1467" t="n">
        <v>183</v>
      </c>
      <c r="AB1467" t="n">
        <v>4</v>
      </c>
      <c r="AC1467" t="n">
        <v>4</v>
      </c>
      <c r="AD1467" t="n">
        <v>15</v>
      </c>
      <c r="AE1467" t="n">
        <v>15</v>
      </c>
      <c r="AF1467" t="n">
        <v>6</v>
      </c>
      <c r="AG1467" t="n">
        <v>6</v>
      </c>
      <c r="AH1467" t="n">
        <v>2</v>
      </c>
      <c r="AI1467" t="n">
        <v>2</v>
      </c>
      <c r="AJ1467" t="n">
        <v>8</v>
      </c>
      <c r="AK1467" t="n">
        <v>8</v>
      </c>
      <c r="AL1467" t="n">
        <v>2</v>
      </c>
      <c r="AM1467" t="n">
        <v>2</v>
      </c>
      <c r="AN1467" t="n">
        <v>0</v>
      </c>
      <c r="AO1467" t="n">
        <v>0</v>
      </c>
      <c r="AP1467" t="inlineStr">
        <is>
          <t>No</t>
        </is>
      </c>
      <c r="AQ1467" t="inlineStr">
        <is>
          <t>Yes</t>
        </is>
      </c>
      <c r="AR1467">
        <f>HYPERLINK("http://catalog.hathitrust.org/Record/002473530","HathiTrust Record")</f>
        <v/>
      </c>
      <c r="AS1467">
        <f>HYPERLINK("https://creighton-primo.hosted.exlibrisgroup.com/primo-explore/search?tab=default_tab&amp;search_scope=EVERYTHING&amp;vid=01CRU&amp;lang=en_US&amp;offset=0&amp;query=any,contains,991001694309702656","Catalog Record")</f>
        <v/>
      </c>
      <c r="AT1467">
        <f>HYPERLINK("http://www.worldcat.org/oclc/21469870","WorldCat Record")</f>
        <v/>
      </c>
      <c r="AU1467" t="inlineStr">
        <is>
          <t>311891559:eng</t>
        </is>
      </c>
      <c r="AV1467" t="inlineStr">
        <is>
          <t>21469870</t>
        </is>
      </c>
      <c r="AW1467" t="inlineStr">
        <is>
          <t>991001694309702656</t>
        </is>
      </c>
      <c r="AX1467" t="inlineStr">
        <is>
          <t>991001694309702656</t>
        </is>
      </c>
      <c r="AY1467" t="inlineStr">
        <is>
          <t>2254855610002656</t>
        </is>
      </c>
      <c r="AZ1467" t="inlineStr">
        <is>
          <t>BOOK</t>
        </is>
      </c>
      <c r="BB1467" t="inlineStr">
        <is>
          <t>9780898702828</t>
        </is>
      </c>
      <c r="BC1467" t="inlineStr">
        <is>
          <t>32285000492180</t>
        </is>
      </c>
      <c r="BD1467" t="inlineStr">
        <is>
          <t>893503605</t>
        </is>
      </c>
    </row>
    <row r="1468">
      <c r="A1468" t="inlineStr">
        <is>
          <t>No</t>
        </is>
      </c>
      <c r="B1468" t="inlineStr">
        <is>
          <t>HQ536 .C73 1980</t>
        </is>
      </c>
      <c r="C1468" t="inlineStr">
        <is>
          <t>0                      HQ 0536000C  73          1980</t>
        </is>
      </c>
      <c r="D1468" t="inlineStr">
        <is>
          <t>American families and the economy : the high costs of living / Richard R. Nelson and Felicity Skidmore, editors ; Conference on Families and the Economy ; Committee on Child Development Research and Public Policy, Commission on Behavioral and Social Sciences and Education, National Research Council.</t>
        </is>
      </c>
      <c r="F1468" t="inlineStr">
        <is>
          <t>No</t>
        </is>
      </c>
      <c r="G1468" t="inlineStr">
        <is>
          <t>1</t>
        </is>
      </c>
      <c r="H1468" t="inlineStr">
        <is>
          <t>No</t>
        </is>
      </c>
      <c r="I1468" t="inlineStr">
        <is>
          <t>No</t>
        </is>
      </c>
      <c r="J1468" t="inlineStr">
        <is>
          <t>0</t>
        </is>
      </c>
      <c r="K1468" t="inlineStr">
        <is>
          <t>Conference on Families and the Economy (1980 : Woods Hole, Mass.)</t>
        </is>
      </c>
      <c r="L1468" t="inlineStr">
        <is>
          <t>Washington, D.C. : National Academy Press, 1983.</t>
        </is>
      </c>
      <c r="M1468" t="inlineStr">
        <is>
          <t>1983</t>
        </is>
      </c>
      <c r="O1468" t="inlineStr">
        <is>
          <t>eng</t>
        </is>
      </c>
      <c r="P1468" t="inlineStr">
        <is>
          <t>dcu</t>
        </is>
      </c>
      <c r="R1468" t="inlineStr">
        <is>
          <t xml:space="preserve">HQ </t>
        </is>
      </c>
      <c r="S1468" t="n">
        <v>3</v>
      </c>
      <c r="T1468" t="n">
        <v>3</v>
      </c>
      <c r="U1468" t="inlineStr">
        <is>
          <t>1994-03-27</t>
        </is>
      </c>
      <c r="V1468" t="inlineStr">
        <is>
          <t>1994-03-27</t>
        </is>
      </c>
      <c r="W1468" t="inlineStr">
        <is>
          <t>1990-04-20</t>
        </is>
      </c>
      <c r="X1468" t="inlineStr">
        <is>
          <t>1990-04-20</t>
        </is>
      </c>
      <c r="Y1468" t="n">
        <v>364</v>
      </c>
      <c r="Z1468" t="n">
        <v>324</v>
      </c>
      <c r="AA1468" t="n">
        <v>331</v>
      </c>
      <c r="AB1468" t="n">
        <v>2</v>
      </c>
      <c r="AC1468" t="n">
        <v>2</v>
      </c>
      <c r="AD1468" t="n">
        <v>8</v>
      </c>
      <c r="AE1468" t="n">
        <v>8</v>
      </c>
      <c r="AF1468" t="n">
        <v>1</v>
      </c>
      <c r="AG1468" t="n">
        <v>1</v>
      </c>
      <c r="AH1468" t="n">
        <v>3</v>
      </c>
      <c r="AI1468" t="n">
        <v>3</v>
      </c>
      <c r="AJ1468" t="n">
        <v>4</v>
      </c>
      <c r="AK1468" t="n">
        <v>4</v>
      </c>
      <c r="AL1468" t="n">
        <v>1</v>
      </c>
      <c r="AM1468" t="n">
        <v>1</v>
      </c>
      <c r="AN1468" t="n">
        <v>0</v>
      </c>
      <c r="AO1468" t="n">
        <v>0</v>
      </c>
      <c r="AP1468" t="inlineStr">
        <is>
          <t>No</t>
        </is>
      </c>
      <c r="AQ1468" t="inlineStr">
        <is>
          <t>Yes</t>
        </is>
      </c>
      <c r="AR1468">
        <f>HYPERLINK("http://catalog.hathitrust.org/Record/000775794","HathiTrust Record")</f>
        <v/>
      </c>
      <c r="AS1468">
        <f>HYPERLINK("https://creighton-primo.hosted.exlibrisgroup.com/primo-explore/search?tab=default_tab&amp;search_scope=EVERYTHING&amp;vid=01CRU&amp;lang=en_US&amp;offset=0&amp;query=any,contains,991000232159702656","Catalog Record")</f>
        <v/>
      </c>
      <c r="AT1468">
        <f>HYPERLINK("http://www.worldcat.org/oclc/9644572","WorldCat Record")</f>
        <v/>
      </c>
      <c r="AU1468" t="inlineStr">
        <is>
          <t>367716019:eng</t>
        </is>
      </c>
      <c r="AV1468" t="inlineStr">
        <is>
          <t>9644572</t>
        </is>
      </c>
      <c r="AW1468" t="inlineStr">
        <is>
          <t>991000232159702656</t>
        </is>
      </c>
      <c r="AX1468" t="inlineStr">
        <is>
          <t>991000232159702656</t>
        </is>
      </c>
      <c r="AY1468" t="inlineStr">
        <is>
          <t>2267414290002656</t>
        </is>
      </c>
      <c r="AZ1468" t="inlineStr">
        <is>
          <t>BOOK</t>
        </is>
      </c>
      <c r="BB1468" t="inlineStr">
        <is>
          <t>9780309033763</t>
        </is>
      </c>
      <c r="BC1468" t="inlineStr">
        <is>
          <t>32285000123702</t>
        </is>
      </c>
      <c r="BD1468" t="inlineStr">
        <is>
          <t>893802621</t>
        </is>
      </c>
    </row>
    <row r="1469">
      <c r="A1469" t="inlineStr">
        <is>
          <t>No</t>
        </is>
      </c>
      <c r="B1469" t="inlineStr">
        <is>
          <t>HQ536 .C749 1983</t>
        </is>
      </c>
      <c r="C1469" t="inlineStr">
        <is>
          <t>0                      HQ 0536000C  749         1983</t>
        </is>
      </c>
      <c r="D1469" t="inlineStr">
        <is>
          <t>Contemporary families and alternative lifestyles : handbook on research and theory / edited by Eleanor D. Macklin and Roger H. Rubin.</t>
        </is>
      </c>
      <c r="F1469" t="inlineStr">
        <is>
          <t>No</t>
        </is>
      </c>
      <c r="G1469" t="inlineStr">
        <is>
          <t>1</t>
        </is>
      </c>
      <c r="H1469" t="inlineStr">
        <is>
          <t>No</t>
        </is>
      </c>
      <c r="I1469" t="inlineStr">
        <is>
          <t>No</t>
        </is>
      </c>
      <c r="J1469" t="inlineStr">
        <is>
          <t>0</t>
        </is>
      </c>
      <c r="L1469" t="inlineStr">
        <is>
          <t>Beverley Hills : Sage, c1983.</t>
        </is>
      </c>
      <c r="M1469" t="inlineStr">
        <is>
          <t>1982</t>
        </is>
      </c>
      <c r="O1469" t="inlineStr">
        <is>
          <t>eng</t>
        </is>
      </c>
      <c r="P1469" t="inlineStr">
        <is>
          <t>cau</t>
        </is>
      </c>
      <c r="R1469" t="inlineStr">
        <is>
          <t xml:space="preserve">HQ </t>
        </is>
      </c>
      <c r="S1469" t="n">
        <v>11</v>
      </c>
      <c r="T1469" t="n">
        <v>11</v>
      </c>
      <c r="U1469" t="inlineStr">
        <is>
          <t>2002-09-24</t>
        </is>
      </c>
      <c r="V1469" t="inlineStr">
        <is>
          <t>2002-09-24</t>
        </is>
      </c>
      <c r="W1469" t="inlineStr">
        <is>
          <t>1992-10-29</t>
        </is>
      </c>
      <c r="X1469" t="inlineStr">
        <is>
          <t>1992-10-29</t>
        </is>
      </c>
      <c r="Y1469" t="n">
        <v>568</v>
      </c>
      <c r="Z1469" t="n">
        <v>434</v>
      </c>
      <c r="AA1469" t="n">
        <v>442</v>
      </c>
      <c r="AB1469" t="n">
        <v>2</v>
      </c>
      <c r="AC1469" t="n">
        <v>2</v>
      </c>
      <c r="AD1469" t="n">
        <v>15</v>
      </c>
      <c r="AE1469" t="n">
        <v>15</v>
      </c>
      <c r="AF1469" t="n">
        <v>4</v>
      </c>
      <c r="AG1469" t="n">
        <v>4</v>
      </c>
      <c r="AH1469" t="n">
        <v>4</v>
      </c>
      <c r="AI1469" t="n">
        <v>4</v>
      </c>
      <c r="AJ1469" t="n">
        <v>8</v>
      </c>
      <c r="AK1469" t="n">
        <v>8</v>
      </c>
      <c r="AL1469" t="n">
        <v>1</v>
      </c>
      <c r="AM1469" t="n">
        <v>1</v>
      </c>
      <c r="AN1469" t="n">
        <v>0</v>
      </c>
      <c r="AO1469" t="n">
        <v>0</v>
      </c>
      <c r="AP1469" t="inlineStr">
        <is>
          <t>No</t>
        </is>
      </c>
      <c r="AQ1469" t="inlineStr">
        <is>
          <t>Yes</t>
        </is>
      </c>
      <c r="AR1469">
        <f>HYPERLINK("http://catalog.hathitrust.org/Record/000111059","HathiTrust Record")</f>
        <v/>
      </c>
      <c r="AS1469">
        <f>HYPERLINK("https://creighton-primo.hosted.exlibrisgroup.com/primo-explore/search?tab=default_tab&amp;search_scope=EVERYTHING&amp;vid=01CRU&amp;lang=en_US&amp;offset=0&amp;query=any,contains,991000059389702656","Catalog Record")</f>
        <v/>
      </c>
      <c r="AT1469">
        <f>HYPERLINK("http://www.worldcat.org/oclc/8727573","WorldCat Record")</f>
        <v/>
      </c>
      <c r="AU1469" t="inlineStr">
        <is>
          <t>836700897:eng</t>
        </is>
      </c>
      <c r="AV1469" t="inlineStr">
        <is>
          <t>8727573</t>
        </is>
      </c>
      <c r="AW1469" t="inlineStr">
        <is>
          <t>991000059389702656</t>
        </is>
      </c>
      <c r="AX1469" t="inlineStr">
        <is>
          <t>991000059389702656</t>
        </is>
      </c>
      <c r="AY1469" t="inlineStr">
        <is>
          <t>2272715250002656</t>
        </is>
      </c>
      <c r="AZ1469" t="inlineStr">
        <is>
          <t>BOOK</t>
        </is>
      </c>
      <c r="BB1469" t="inlineStr">
        <is>
          <t>9780803910539</t>
        </is>
      </c>
      <c r="BC1469" t="inlineStr">
        <is>
          <t>32285001358687</t>
        </is>
      </c>
      <c r="BD1469" t="inlineStr">
        <is>
          <t>893345340</t>
        </is>
      </c>
    </row>
    <row r="1470">
      <c r="A1470" t="inlineStr">
        <is>
          <t>No</t>
        </is>
      </c>
      <c r="B1470" t="inlineStr">
        <is>
          <t>HQ536 .D53 1995</t>
        </is>
      </c>
      <c r="C1470" t="inlineStr">
        <is>
          <t>0                      HQ 0536000D  53          1995</t>
        </is>
      </c>
      <c r="D1470" t="inlineStr">
        <is>
          <t>Understanding families : diversity, continuity, and change / George E. Dickinson, Michael R. Leming.</t>
        </is>
      </c>
      <c r="F1470" t="inlineStr">
        <is>
          <t>No</t>
        </is>
      </c>
      <c r="G1470" t="inlineStr">
        <is>
          <t>1</t>
        </is>
      </c>
      <c r="H1470" t="inlineStr">
        <is>
          <t>No</t>
        </is>
      </c>
      <c r="I1470" t="inlineStr">
        <is>
          <t>No</t>
        </is>
      </c>
      <c r="J1470" t="inlineStr">
        <is>
          <t>0</t>
        </is>
      </c>
      <c r="K1470" t="inlineStr">
        <is>
          <t>Dickinson, George E.</t>
        </is>
      </c>
      <c r="L1470" t="inlineStr">
        <is>
          <t>Fort Worth : Harcourt Barce College Publishers, c1995.</t>
        </is>
      </c>
      <c r="M1470" t="inlineStr">
        <is>
          <t>1995</t>
        </is>
      </c>
      <c r="N1470" t="inlineStr">
        <is>
          <t>2nd ed.</t>
        </is>
      </c>
      <c r="O1470" t="inlineStr">
        <is>
          <t>eng</t>
        </is>
      </c>
      <c r="P1470" t="inlineStr">
        <is>
          <t>txu</t>
        </is>
      </c>
      <c r="R1470" t="inlineStr">
        <is>
          <t xml:space="preserve">HQ </t>
        </is>
      </c>
      <c r="S1470" t="n">
        <v>34</v>
      </c>
      <c r="T1470" t="n">
        <v>34</v>
      </c>
      <c r="U1470" t="inlineStr">
        <is>
          <t>2006-11-30</t>
        </is>
      </c>
      <c r="V1470" t="inlineStr">
        <is>
          <t>2006-11-30</t>
        </is>
      </c>
      <c r="W1470" t="inlineStr">
        <is>
          <t>1995-10-30</t>
        </is>
      </c>
      <c r="X1470" t="inlineStr">
        <is>
          <t>1995-10-30</t>
        </is>
      </c>
      <c r="Y1470" t="n">
        <v>98</v>
      </c>
      <c r="Z1470" t="n">
        <v>85</v>
      </c>
      <c r="AA1470" t="n">
        <v>170</v>
      </c>
      <c r="AB1470" t="n">
        <v>2</v>
      </c>
      <c r="AC1470" t="n">
        <v>3</v>
      </c>
      <c r="AD1470" t="n">
        <v>4</v>
      </c>
      <c r="AE1470" t="n">
        <v>8</v>
      </c>
      <c r="AF1470" t="n">
        <v>1</v>
      </c>
      <c r="AG1470" t="n">
        <v>1</v>
      </c>
      <c r="AH1470" t="n">
        <v>2</v>
      </c>
      <c r="AI1470" t="n">
        <v>4</v>
      </c>
      <c r="AJ1470" t="n">
        <v>2</v>
      </c>
      <c r="AK1470" t="n">
        <v>3</v>
      </c>
      <c r="AL1470" t="n">
        <v>1</v>
      </c>
      <c r="AM1470" t="n">
        <v>2</v>
      </c>
      <c r="AN1470" t="n">
        <v>0</v>
      </c>
      <c r="AO1470" t="n">
        <v>0</v>
      </c>
      <c r="AP1470" t="inlineStr">
        <is>
          <t>No</t>
        </is>
      </c>
      <c r="AQ1470" t="inlineStr">
        <is>
          <t>No</t>
        </is>
      </c>
      <c r="AS1470">
        <f>HYPERLINK("https://creighton-primo.hosted.exlibrisgroup.com/primo-explore/search?tab=default_tab&amp;search_scope=EVERYTHING&amp;vid=01CRU&amp;lang=en_US&amp;offset=0&amp;query=any,contains,991002464069702656","Catalog Record")</f>
        <v/>
      </c>
      <c r="AT1470">
        <f>HYPERLINK("http://www.worldcat.org/oclc/32112463","WorldCat Record")</f>
        <v/>
      </c>
      <c r="AU1470" t="inlineStr">
        <is>
          <t>595838:eng</t>
        </is>
      </c>
      <c r="AV1470" t="inlineStr">
        <is>
          <t>32112463</t>
        </is>
      </c>
      <c r="AW1470" t="inlineStr">
        <is>
          <t>991002464069702656</t>
        </is>
      </c>
      <c r="AX1470" t="inlineStr">
        <is>
          <t>991002464069702656</t>
        </is>
      </c>
      <c r="AY1470" t="inlineStr">
        <is>
          <t>2271845040002656</t>
        </is>
      </c>
      <c r="AZ1470" t="inlineStr">
        <is>
          <t>BOOK</t>
        </is>
      </c>
      <c r="BB1470" t="inlineStr">
        <is>
          <t>9780155005778</t>
        </is>
      </c>
      <c r="BC1470" t="inlineStr">
        <is>
          <t>32285002069713</t>
        </is>
      </c>
      <c r="BD1470" t="inlineStr">
        <is>
          <t>893322971</t>
        </is>
      </c>
    </row>
    <row r="1471">
      <c r="A1471" t="inlineStr">
        <is>
          <t>No</t>
        </is>
      </c>
      <c r="B1471" t="inlineStr">
        <is>
          <t>HQ536 .D797</t>
        </is>
      </c>
      <c r="C1471" t="inlineStr">
        <is>
          <t>0                      HQ 0536000D  797</t>
        </is>
      </c>
      <c r="D1471" t="inlineStr">
        <is>
          <t>Dual-career couples / edited by Fran Pepitone-Rockwell.</t>
        </is>
      </c>
      <c r="F1471" t="inlineStr">
        <is>
          <t>No</t>
        </is>
      </c>
      <c r="G1471" t="inlineStr">
        <is>
          <t>1</t>
        </is>
      </c>
      <c r="H1471" t="inlineStr">
        <is>
          <t>No</t>
        </is>
      </c>
      <c r="I1471" t="inlineStr">
        <is>
          <t>No</t>
        </is>
      </c>
      <c r="J1471" t="inlineStr">
        <is>
          <t>0</t>
        </is>
      </c>
      <c r="L1471" t="inlineStr">
        <is>
          <t>Beverly Hills : Sage Publications, c1980.</t>
        </is>
      </c>
      <c r="M1471" t="inlineStr">
        <is>
          <t>1980</t>
        </is>
      </c>
      <c r="O1471" t="inlineStr">
        <is>
          <t>eng</t>
        </is>
      </c>
      <c r="P1471" t="inlineStr">
        <is>
          <t>cau</t>
        </is>
      </c>
      <c r="Q1471" t="inlineStr">
        <is>
          <t>Sage focus editions ; 24</t>
        </is>
      </c>
      <c r="R1471" t="inlineStr">
        <is>
          <t xml:space="preserve">HQ </t>
        </is>
      </c>
      <c r="S1471" t="n">
        <v>10</v>
      </c>
      <c r="T1471" t="n">
        <v>10</v>
      </c>
      <c r="U1471" t="inlineStr">
        <is>
          <t>1996-11-03</t>
        </is>
      </c>
      <c r="V1471" t="inlineStr">
        <is>
          <t>1996-11-03</t>
        </is>
      </c>
      <c r="W1471" t="inlineStr">
        <is>
          <t>1995-06-30</t>
        </is>
      </c>
      <c r="X1471" t="inlineStr">
        <is>
          <t>1995-06-30</t>
        </is>
      </c>
      <c r="Y1471" t="n">
        <v>674</v>
      </c>
      <c r="Z1471" t="n">
        <v>580</v>
      </c>
      <c r="AA1471" t="n">
        <v>654</v>
      </c>
      <c r="AB1471" t="n">
        <v>7</v>
      </c>
      <c r="AC1471" t="n">
        <v>8</v>
      </c>
      <c r="AD1471" t="n">
        <v>30</v>
      </c>
      <c r="AE1471" t="n">
        <v>35</v>
      </c>
      <c r="AF1471" t="n">
        <v>12</v>
      </c>
      <c r="AG1471" t="n">
        <v>15</v>
      </c>
      <c r="AH1471" t="n">
        <v>6</v>
      </c>
      <c r="AI1471" t="n">
        <v>7</v>
      </c>
      <c r="AJ1471" t="n">
        <v>15</v>
      </c>
      <c r="AK1471" t="n">
        <v>15</v>
      </c>
      <c r="AL1471" t="n">
        <v>6</v>
      </c>
      <c r="AM1471" t="n">
        <v>7</v>
      </c>
      <c r="AN1471" t="n">
        <v>0</v>
      </c>
      <c r="AO1471" t="n">
        <v>1</v>
      </c>
      <c r="AP1471" t="inlineStr">
        <is>
          <t>No</t>
        </is>
      </c>
      <c r="AQ1471" t="inlineStr">
        <is>
          <t>Yes</t>
        </is>
      </c>
      <c r="AR1471">
        <f>HYPERLINK("http://catalog.hathitrust.org/Record/000126630","HathiTrust Record")</f>
        <v/>
      </c>
      <c r="AS1471">
        <f>HYPERLINK("https://creighton-primo.hosted.exlibrisgroup.com/primo-explore/search?tab=default_tab&amp;search_scope=EVERYTHING&amp;vid=01CRU&amp;lang=en_US&amp;offset=0&amp;query=any,contains,991004969749702656","Catalog Record")</f>
        <v/>
      </c>
      <c r="AT1471">
        <f>HYPERLINK("http://www.worldcat.org/oclc/6356427","WorldCat Record")</f>
        <v/>
      </c>
      <c r="AU1471" t="inlineStr">
        <is>
          <t>15137779:eng</t>
        </is>
      </c>
      <c r="AV1471" t="inlineStr">
        <is>
          <t>6356427</t>
        </is>
      </c>
      <c r="AW1471" t="inlineStr">
        <is>
          <t>991004969749702656</t>
        </is>
      </c>
      <c r="AX1471" t="inlineStr">
        <is>
          <t>991004969749702656</t>
        </is>
      </c>
      <c r="AY1471" t="inlineStr">
        <is>
          <t>2257030680002656</t>
        </is>
      </c>
      <c r="AZ1471" t="inlineStr">
        <is>
          <t>BOOK</t>
        </is>
      </c>
      <c r="BB1471" t="inlineStr">
        <is>
          <t>9780803914360</t>
        </is>
      </c>
      <c r="BC1471" t="inlineStr">
        <is>
          <t>32285002021847</t>
        </is>
      </c>
      <c r="BD1471" t="inlineStr">
        <is>
          <t>893719609</t>
        </is>
      </c>
    </row>
    <row r="1472">
      <c r="A1472" t="inlineStr">
        <is>
          <t>No</t>
        </is>
      </c>
      <c r="B1472" t="inlineStr">
        <is>
          <t>HQ536 .D8</t>
        </is>
      </c>
      <c r="C1472" t="inlineStr">
        <is>
          <t>0                      HQ 0536000D  8</t>
        </is>
      </c>
      <c r="D1472" t="inlineStr">
        <is>
          <t>Marriage and its alternatives.</t>
        </is>
      </c>
      <c r="F1472" t="inlineStr">
        <is>
          <t>No</t>
        </is>
      </c>
      <c r="G1472" t="inlineStr">
        <is>
          <t>1</t>
        </is>
      </c>
      <c r="H1472" t="inlineStr">
        <is>
          <t>No</t>
        </is>
      </c>
      <c r="I1472" t="inlineStr">
        <is>
          <t>No</t>
        </is>
      </c>
      <c r="J1472" t="inlineStr">
        <is>
          <t>0</t>
        </is>
      </c>
      <c r="K1472" t="inlineStr">
        <is>
          <t>Duberman, Lucile, 1926-</t>
        </is>
      </c>
      <c r="L1472" t="inlineStr">
        <is>
          <t>New York : Praeger, 1974.</t>
        </is>
      </c>
      <c r="M1472" t="inlineStr">
        <is>
          <t>1974</t>
        </is>
      </c>
      <c r="O1472" t="inlineStr">
        <is>
          <t>eng</t>
        </is>
      </c>
      <c r="P1472" t="inlineStr">
        <is>
          <t>nyu</t>
        </is>
      </c>
      <c r="Q1472" t="inlineStr">
        <is>
          <t>Viewpoints in sociology</t>
        </is>
      </c>
      <c r="R1472" t="inlineStr">
        <is>
          <t xml:space="preserve">HQ </t>
        </is>
      </c>
      <c r="S1472" t="n">
        <v>9</v>
      </c>
      <c r="T1472" t="n">
        <v>9</v>
      </c>
      <c r="U1472" t="inlineStr">
        <is>
          <t>1997-09-14</t>
        </is>
      </c>
      <c r="V1472" t="inlineStr">
        <is>
          <t>1997-09-14</t>
        </is>
      </c>
      <c r="W1472" t="inlineStr">
        <is>
          <t>1991-12-09</t>
        </is>
      </c>
      <c r="X1472" t="inlineStr">
        <is>
          <t>1991-12-09</t>
        </is>
      </c>
      <c r="Y1472" t="n">
        <v>494</v>
      </c>
      <c r="Z1472" t="n">
        <v>434</v>
      </c>
      <c r="AA1472" t="n">
        <v>436</v>
      </c>
      <c r="AB1472" t="n">
        <v>3</v>
      </c>
      <c r="AC1472" t="n">
        <v>3</v>
      </c>
      <c r="AD1472" t="n">
        <v>18</v>
      </c>
      <c r="AE1472" t="n">
        <v>18</v>
      </c>
      <c r="AF1472" t="n">
        <v>7</v>
      </c>
      <c r="AG1472" t="n">
        <v>7</v>
      </c>
      <c r="AH1472" t="n">
        <v>7</v>
      </c>
      <c r="AI1472" t="n">
        <v>7</v>
      </c>
      <c r="AJ1472" t="n">
        <v>9</v>
      </c>
      <c r="AK1472" t="n">
        <v>9</v>
      </c>
      <c r="AL1472" t="n">
        <v>1</v>
      </c>
      <c r="AM1472" t="n">
        <v>1</v>
      </c>
      <c r="AN1472" t="n">
        <v>0</v>
      </c>
      <c r="AO1472" t="n">
        <v>0</v>
      </c>
      <c r="AP1472" t="inlineStr">
        <is>
          <t>No</t>
        </is>
      </c>
      <c r="AQ1472" t="inlineStr">
        <is>
          <t>Yes</t>
        </is>
      </c>
      <c r="AR1472">
        <f>HYPERLINK("http://catalog.hathitrust.org/Record/000977315","HathiTrust Record")</f>
        <v/>
      </c>
      <c r="AS1472">
        <f>HYPERLINK("https://creighton-primo.hosted.exlibrisgroup.com/primo-explore/search?tab=default_tab&amp;search_scope=EVERYTHING&amp;vid=01CRU&amp;lang=en_US&amp;offset=0&amp;query=any,contains,991003171179702656","Catalog Record")</f>
        <v/>
      </c>
      <c r="AT1472">
        <f>HYPERLINK("http://www.worldcat.org/oclc/707068","WorldCat Record")</f>
        <v/>
      </c>
      <c r="AU1472" t="inlineStr">
        <is>
          <t>1635478:eng</t>
        </is>
      </c>
      <c r="AV1472" t="inlineStr">
        <is>
          <t>707068</t>
        </is>
      </c>
      <c r="AW1472" t="inlineStr">
        <is>
          <t>991003171179702656</t>
        </is>
      </c>
      <c r="AX1472" t="inlineStr">
        <is>
          <t>991003171179702656</t>
        </is>
      </c>
      <c r="AY1472" t="inlineStr">
        <is>
          <t>2268956680002656</t>
        </is>
      </c>
      <c r="AZ1472" t="inlineStr">
        <is>
          <t>BOOK</t>
        </is>
      </c>
      <c r="BC1472" t="inlineStr">
        <is>
          <t>32285000848159</t>
        </is>
      </c>
      <c r="BD1472" t="inlineStr">
        <is>
          <t>893518213</t>
        </is>
      </c>
    </row>
    <row r="1473">
      <c r="A1473" t="inlineStr">
        <is>
          <t>No</t>
        </is>
      </c>
      <c r="B1473" t="inlineStr">
        <is>
          <t>HQ536 .D82</t>
        </is>
      </c>
      <c r="C1473" t="inlineStr">
        <is>
          <t>0                      HQ 0536000D  82</t>
        </is>
      </c>
      <c r="D1473" t="inlineStr">
        <is>
          <t>The reconstituted family : a study of remarried couples and their children / Lucile Duberman.</t>
        </is>
      </c>
      <c r="F1473" t="inlineStr">
        <is>
          <t>No</t>
        </is>
      </c>
      <c r="G1473" t="inlineStr">
        <is>
          <t>1</t>
        </is>
      </c>
      <c r="H1473" t="inlineStr">
        <is>
          <t>No</t>
        </is>
      </c>
      <c r="I1473" t="inlineStr">
        <is>
          <t>No</t>
        </is>
      </c>
      <c r="J1473" t="inlineStr">
        <is>
          <t>0</t>
        </is>
      </c>
      <c r="K1473" t="inlineStr">
        <is>
          <t>Duberman, Lucile, 1926-</t>
        </is>
      </c>
      <c r="L1473" t="inlineStr">
        <is>
          <t>Chicago : Nelson-Hall, [1975]</t>
        </is>
      </c>
      <c r="M1473" t="inlineStr">
        <is>
          <t>1975</t>
        </is>
      </c>
      <c r="O1473" t="inlineStr">
        <is>
          <t>eng</t>
        </is>
      </c>
      <c r="P1473" t="inlineStr">
        <is>
          <t>ilu</t>
        </is>
      </c>
      <c r="R1473" t="inlineStr">
        <is>
          <t xml:space="preserve">HQ </t>
        </is>
      </c>
      <c r="S1473" t="n">
        <v>10</v>
      </c>
      <c r="T1473" t="n">
        <v>10</v>
      </c>
      <c r="U1473" t="inlineStr">
        <is>
          <t>1996-02-05</t>
        </is>
      </c>
      <c r="V1473" t="inlineStr">
        <is>
          <t>1996-02-05</t>
        </is>
      </c>
      <c r="W1473" t="inlineStr">
        <is>
          <t>1991-12-11</t>
        </is>
      </c>
      <c r="X1473" t="inlineStr">
        <is>
          <t>1991-12-11</t>
        </is>
      </c>
      <c r="Y1473" t="n">
        <v>605</v>
      </c>
      <c r="Z1473" t="n">
        <v>525</v>
      </c>
      <c r="AA1473" t="n">
        <v>532</v>
      </c>
      <c r="AB1473" t="n">
        <v>6</v>
      </c>
      <c r="AC1473" t="n">
        <v>6</v>
      </c>
      <c r="AD1473" t="n">
        <v>20</v>
      </c>
      <c r="AE1473" t="n">
        <v>20</v>
      </c>
      <c r="AF1473" t="n">
        <v>8</v>
      </c>
      <c r="AG1473" t="n">
        <v>8</v>
      </c>
      <c r="AH1473" t="n">
        <v>2</v>
      </c>
      <c r="AI1473" t="n">
        <v>2</v>
      </c>
      <c r="AJ1473" t="n">
        <v>10</v>
      </c>
      <c r="AK1473" t="n">
        <v>10</v>
      </c>
      <c r="AL1473" t="n">
        <v>4</v>
      </c>
      <c r="AM1473" t="n">
        <v>4</v>
      </c>
      <c r="AN1473" t="n">
        <v>0</v>
      </c>
      <c r="AO1473" t="n">
        <v>0</v>
      </c>
      <c r="AP1473" t="inlineStr">
        <is>
          <t>No</t>
        </is>
      </c>
      <c r="AQ1473" t="inlineStr">
        <is>
          <t>Yes</t>
        </is>
      </c>
      <c r="AR1473">
        <f>HYPERLINK("http://catalog.hathitrust.org/Record/000027159","HathiTrust Record")</f>
        <v/>
      </c>
      <c r="AS1473">
        <f>HYPERLINK("https://creighton-primo.hosted.exlibrisgroup.com/primo-explore/search?tab=default_tab&amp;search_scope=EVERYTHING&amp;vid=01CRU&amp;lang=en_US&amp;offset=0&amp;query=any,contains,991003653959702656","Catalog Record")</f>
        <v/>
      </c>
      <c r="AT1473">
        <f>HYPERLINK("http://www.worldcat.org/oclc/1257109","WorldCat Record")</f>
        <v/>
      </c>
      <c r="AU1473" t="inlineStr">
        <is>
          <t>196540852:eng</t>
        </is>
      </c>
      <c r="AV1473" t="inlineStr">
        <is>
          <t>1257109</t>
        </is>
      </c>
      <c r="AW1473" t="inlineStr">
        <is>
          <t>991003653959702656</t>
        </is>
      </c>
      <c r="AX1473" t="inlineStr">
        <is>
          <t>991003653959702656</t>
        </is>
      </c>
      <c r="AY1473" t="inlineStr">
        <is>
          <t>2257490090002656</t>
        </is>
      </c>
      <c r="AZ1473" t="inlineStr">
        <is>
          <t>BOOK</t>
        </is>
      </c>
      <c r="BB1473" t="inlineStr">
        <is>
          <t>9780882291680</t>
        </is>
      </c>
      <c r="BC1473" t="inlineStr">
        <is>
          <t>32285000875871</t>
        </is>
      </c>
      <c r="BD1473" t="inlineStr">
        <is>
          <t>893598805</t>
        </is>
      </c>
    </row>
    <row r="1474">
      <c r="A1474" t="inlineStr">
        <is>
          <t>No</t>
        </is>
      </c>
      <c r="B1474" t="inlineStr">
        <is>
          <t>HQ536 .E54 1986</t>
        </is>
      </c>
      <c r="C1474" t="inlineStr">
        <is>
          <t>0                      HQ 0536000E  54          1986</t>
        </is>
      </c>
      <c r="D1474" t="inlineStr">
        <is>
          <t>Households, employment, and gender : a social, economic, and demographic view / Paula England and George Farkas.</t>
        </is>
      </c>
      <c r="F1474" t="inlineStr">
        <is>
          <t>No</t>
        </is>
      </c>
      <c r="G1474" t="inlineStr">
        <is>
          <t>1</t>
        </is>
      </c>
      <c r="H1474" t="inlineStr">
        <is>
          <t>No</t>
        </is>
      </c>
      <c r="I1474" t="inlineStr">
        <is>
          <t>No</t>
        </is>
      </c>
      <c r="J1474" t="inlineStr">
        <is>
          <t>0</t>
        </is>
      </c>
      <c r="K1474" t="inlineStr">
        <is>
          <t>England, Paula.</t>
        </is>
      </c>
      <c r="L1474" t="inlineStr">
        <is>
          <t>New York : Aldine Pub. Co., c1986.</t>
        </is>
      </c>
      <c r="M1474" t="inlineStr">
        <is>
          <t>1986</t>
        </is>
      </c>
      <c r="O1474" t="inlineStr">
        <is>
          <t>eng</t>
        </is>
      </c>
      <c r="P1474" t="inlineStr">
        <is>
          <t>nyu</t>
        </is>
      </c>
      <c r="R1474" t="inlineStr">
        <is>
          <t xml:space="preserve">HQ </t>
        </is>
      </c>
      <c r="S1474" t="n">
        <v>9</v>
      </c>
      <c r="T1474" t="n">
        <v>9</v>
      </c>
      <c r="U1474" t="inlineStr">
        <is>
          <t>1997-04-25</t>
        </is>
      </c>
      <c r="V1474" t="inlineStr">
        <is>
          <t>1997-04-25</t>
        </is>
      </c>
      <c r="W1474" t="inlineStr">
        <is>
          <t>1992-10-29</t>
        </is>
      </c>
      <c r="X1474" t="inlineStr">
        <is>
          <t>1992-10-29</t>
        </is>
      </c>
      <c r="Y1474" t="n">
        <v>817</v>
      </c>
      <c r="Z1474" t="n">
        <v>674</v>
      </c>
      <c r="AA1474" t="n">
        <v>695</v>
      </c>
      <c r="AB1474" t="n">
        <v>3</v>
      </c>
      <c r="AC1474" t="n">
        <v>3</v>
      </c>
      <c r="AD1474" t="n">
        <v>34</v>
      </c>
      <c r="AE1474" t="n">
        <v>34</v>
      </c>
      <c r="AF1474" t="n">
        <v>16</v>
      </c>
      <c r="AG1474" t="n">
        <v>16</v>
      </c>
      <c r="AH1474" t="n">
        <v>9</v>
      </c>
      <c r="AI1474" t="n">
        <v>9</v>
      </c>
      <c r="AJ1474" t="n">
        <v>17</v>
      </c>
      <c r="AK1474" t="n">
        <v>17</v>
      </c>
      <c r="AL1474" t="n">
        <v>2</v>
      </c>
      <c r="AM1474" t="n">
        <v>2</v>
      </c>
      <c r="AN1474" t="n">
        <v>0</v>
      </c>
      <c r="AO1474" t="n">
        <v>0</v>
      </c>
      <c r="AP1474" t="inlineStr">
        <is>
          <t>No</t>
        </is>
      </c>
      <c r="AQ1474" t="inlineStr">
        <is>
          <t>No</t>
        </is>
      </c>
      <c r="AS1474">
        <f>HYPERLINK("https://creighton-primo.hosted.exlibrisgroup.com/primo-explore/search?tab=default_tab&amp;search_scope=EVERYTHING&amp;vid=01CRU&amp;lang=en_US&amp;offset=0&amp;query=any,contains,991000684469702656","Catalog Record")</f>
        <v/>
      </c>
      <c r="AT1474">
        <f>HYPERLINK("http://www.worldcat.org/oclc/12420000","WorldCat Record")</f>
        <v/>
      </c>
      <c r="AU1474" t="inlineStr">
        <is>
          <t>890485448:eng</t>
        </is>
      </c>
      <c r="AV1474" t="inlineStr">
        <is>
          <t>12420000</t>
        </is>
      </c>
      <c r="AW1474" t="inlineStr">
        <is>
          <t>991000684469702656</t>
        </is>
      </c>
      <c r="AX1474" t="inlineStr">
        <is>
          <t>991000684469702656</t>
        </is>
      </c>
      <c r="AY1474" t="inlineStr">
        <is>
          <t>2256567160002656</t>
        </is>
      </c>
      <c r="AZ1474" t="inlineStr">
        <is>
          <t>BOOK</t>
        </is>
      </c>
      <c r="BB1474" t="inlineStr">
        <is>
          <t>9780202303239</t>
        </is>
      </c>
      <c r="BC1474" t="inlineStr">
        <is>
          <t>32285001358695</t>
        </is>
      </c>
      <c r="BD1474" t="inlineStr">
        <is>
          <t>893802997</t>
        </is>
      </c>
    </row>
    <row r="1475">
      <c r="A1475" t="inlineStr">
        <is>
          <t>No</t>
        </is>
      </c>
      <c r="B1475" t="inlineStr">
        <is>
          <t>HQ536 .E94 1994</t>
        </is>
      </c>
      <c r="C1475" t="inlineStr">
        <is>
          <t>0                      HQ 0536000E  94          1994</t>
        </is>
      </c>
      <c r="D1475" t="inlineStr">
        <is>
          <t>Exploring family relationships with other social contexts / edited by Ross D. Parke, Sheppard G. Kellam.</t>
        </is>
      </c>
      <c r="F1475" t="inlineStr">
        <is>
          <t>No</t>
        </is>
      </c>
      <c r="G1475" t="inlineStr">
        <is>
          <t>1</t>
        </is>
      </c>
      <c r="H1475" t="inlineStr">
        <is>
          <t>No</t>
        </is>
      </c>
      <c r="I1475" t="inlineStr">
        <is>
          <t>No</t>
        </is>
      </c>
      <c r="J1475" t="inlineStr">
        <is>
          <t>0</t>
        </is>
      </c>
      <c r="L1475" t="inlineStr">
        <is>
          <t>Hillsdale, N.J. : L. Erlbaum Associates, 1994.</t>
        </is>
      </c>
      <c r="M1475" t="inlineStr">
        <is>
          <t>1994</t>
        </is>
      </c>
      <c r="O1475" t="inlineStr">
        <is>
          <t>eng</t>
        </is>
      </c>
      <c r="P1475" t="inlineStr">
        <is>
          <t>nju</t>
        </is>
      </c>
      <c r="Q1475" t="inlineStr">
        <is>
          <t>Advances in family research</t>
        </is>
      </c>
      <c r="R1475" t="inlineStr">
        <is>
          <t xml:space="preserve">HQ </t>
        </is>
      </c>
      <c r="S1475" t="n">
        <v>7</v>
      </c>
      <c r="T1475" t="n">
        <v>7</v>
      </c>
      <c r="U1475" t="inlineStr">
        <is>
          <t>2001-05-11</t>
        </is>
      </c>
      <c r="V1475" t="inlineStr">
        <is>
          <t>2001-05-11</t>
        </is>
      </c>
      <c r="W1475" t="inlineStr">
        <is>
          <t>1996-09-09</t>
        </is>
      </c>
      <c r="X1475" t="inlineStr">
        <is>
          <t>1996-09-09</t>
        </is>
      </c>
      <c r="Y1475" t="n">
        <v>308</v>
      </c>
      <c r="Z1475" t="n">
        <v>256</v>
      </c>
      <c r="AA1475" t="n">
        <v>282</v>
      </c>
      <c r="AB1475" t="n">
        <v>3</v>
      </c>
      <c r="AC1475" t="n">
        <v>3</v>
      </c>
      <c r="AD1475" t="n">
        <v>14</v>
      </c>
      <c r="AE1475" t="n">
        <v>14</v>
      </c>
      <c r="AF1475" t="n">
        <v>2</v>
      </c>
      <c r="AG1475" t="n">
        <v>2</v>
      </c>
      <c r="AH1475" t="n">
        <v>4</v>
      </c>
      <c r="AI1475" t="n">
        <v>4</v>
      </c>
      <c r="AJ1475" t="n">
        <v>9</v>
      </c>
      <c r="AK1475" t="n">
        <v>9</v>
      </c>
      <c r="AL1475" t="n">
        <v>2</v>
      </c>
      <c r="AM1475" t="n">
        <v>2</v>
      </c>
      <c r="AN1475" t="n">
        <v>0</v>
      </c>
      <c r="AO1475" t="n">
        <v>0</v>
      </c>
      <c r="AP1475" t="inlineStr">
        <is>
          <t>No</t>
        </is>
      </c>
      <c r="AQ1475" t="inlineStr">
        <is>
          <t>No</t>
        </is>
      </c>
      <c r="AS1475">
        <f>HYPERLINK("https://creighton-primo.hosted.exlibrisgroup.com/primo-explore/search?tab=default_tab&amp;search_scope=EVERYTHING&amp;vid=01CRU&amp;lang=en_US&amp;offset=0&amp;query=any,contains,991002115909702656","Catalog Record")</f>
        <v/>
      </c>
      <c r="AT1475">
        <f>HYPERLINK("http://www.worldcat.org/oclc/27109059","WorldCat Record")</f>
        <v/>
      </c>
      <c r="AU1475" t="inlineStr">
        <is>
          <t>351659686:eng</t>
        </is>
      </c>
      <c r="AV1475" t="inlineStr">
        <is>
          <t>27109059</t>
        </is>
      </c>
      <c r="AW1475" t="inlineStr">
        <is>
          <t>991002115909702656</t>
        </is>
      </c>
      <c r="AX1475" t="inlineStr">
        <is>
          <t>991002115909702656</t>
        </is>
      </c>
      <c r="AY1475" t="inlineStr">
        <is>
          <t>2264174920002656</t>
        </is>
      </c>
      <c r="AZ1475" t="inlineStr">
        <is>
          <t>BOOK</t>
        </is>
      </c>
      <c r="BB1475" t="inlineStr">
        <is>
          <t>9780805810738</t>
        </is>
      </c>
      <c r="BC1475" t="inlineStr">
        <is>
          <t>32285002316221</t>
        </is>
      </c>
      <c r="BD1475" t="inlineStr">
        <is>
          <t>893721288</t>
        </is>
      </c>
    </row>
    <row r="1476">
      <c r="A1476" t="inlineStr">
        <is>
          <t>No</t>
        </is>
      </c>
      <c r="B1476" t="inlineStr">
        <is>
          <t>HQ536 .F32 1981</t>
        </is>
      </c>
      <c r="C1476" t="inlineStr">
        <is>
          <t>0                      HQ 0536000F  32          1981</t>
        </is>
      </c>
      <c r="D1476" t="inlineStr">
        <is>
          <t>Families at work : strengths and strains.</t>
        </is>
      </c>
      <c r="F1476" t="inlineStr">
        <is>
          <t>No</t>
        </is>
      </c>
      <c r="G1476" t="inlineStr">
        <is>
          <t>1</t>
        </is>
      </c>
      <c r="H1476" t="inlineStr">
        <is>
          <t>No</t>
        </is>
      </c>
      <c r="I1476" t="inlineStr">
        <is>
          <t>No</t>
        </is>
      </c>
      <c r="J1476" t="inlineStr">
        <is>
          <t>0</t>
        </is>
      </c>
      <c r="L1476" t="inlineStr">
        <is>
          <t>Minneapolis, Minn. : General Mills, c1981.</t>
        </is>
      </c>
      <c r="M1476" t="inlineStr">
        <is>
          <t>1981</t>
        </is>
      </c>
      <c r="O1476" t="inlineStr">
        <is>
          <t>eng</t>
        </is>
      </c>
      <c r="P1476" t="inlineStr">
        <is>
          <t>mnu</t>
        </is>
      </c>
      <c r="Q1476" t="inlineStr">
        <is>
          <t>The General Mills American family report ; 1980-81</t>
        </is>
      </c>
      <c r="R1476" t="inlineStr">
        <is>
          <t xml:space="preserve">HQ </t>
        </is>
      </c>
      <c r="S1476" t="n">
        <v>10</v>
      </c>
      <c r="T1476" t="n">
        <v>10</v>
      </c>
      <c r="U1476" t="inlineStr">
        <is>
          <t>1995-10-28</t>
        </is>
      </c>
      <c r="V1476" t="inlineStr">
        <is>
          <t>1995-10-28</t>
        </is>
      </c>
      <c r="W1476" t="inlineStr">
        <is>
          <t>1990-06-15</t>
        </is>
      </c>
      <c r="X1476" t="inlineStr">
        <is>
          <t>1990-06-15</t>
        </is>
      </c>
      <c r="Y1476" t="n">
        <v>96</v>
      </c>
      <c r="Z1476" t="n">
        <v>94</v>
      </c>
      <c r="AA1476" t="n">
        <v>96</v>
      </c>
      <c r="AB1476" t="n">
        <v>1</v>
      </c>
      <c r="AC1476" t="n">
        <v>1</v>
      </c>
      <c r="AD1476" t="n">
        <v>2</v>
      </c>
      <c r="AE1476" t="n">
        <v>2</v>
      </c>
      <c r="AF1476" t="n">
        <v>1</v>
      </c>
      <c r="AG1476" t="n">
        <v>1</v>
      </c>
      <c r="AH1476" t="n">
        <v>1</v>
      </c>
      <c r="AI1476" t="n">
        <v>1</v>
      </c>
      <c r="AJ1476" t="n">
        <v>1</v>
      </c>
      <c r="AK1476" t="n">
        <v>1</v>
      </c>
      <c r="AL1476" t="n">
        <v>0</v>
      </c>
      <c r="AM1476" t="n">
        <v>0</v>
      </c>
      <c r="AN1476" t="n">
        <v>0</v>
      </c>
      <c r="AO1476" t="n">
        <v>0</v>
      </c>
      <c r="AP1476" t="inlineStr">
        <is>
          <t>No</t>
        </is>
      </c>
      <c r="AQ1476" t="inlineStr">
        <is>
          <t>Yes</t>
        </is>
      </c>
      <c r="AR1476">
        <f>HYPERLINK("http://catalog.hathitrust.org/Record/000166921","HathiTrust Record")</f>
        <v/>
      </c>
      <c r="AS1476">
        <f>HYPERLINK("https://creighton-primo.hosted.exlibrisgroup.com/primo-explore/search?tab=default_tab&amp;search_scope=EVERYTHING&amp;vid=01CRU&amp;lang=en_US&amp;offset=0&amp;query=any,contains,991005120039702656","Catalog Record")</f>
        <v/>
      </c>
      <c r="AT1476">
        <f>HYPERLINK("http://www.worldcat.org/oclc/7495984","WorldCat Record")</f>
        <v/>
      </c>
      <c r="AU1476" t="inlineStr">
        <is>
          <t>50633671:eng</t>
        </is>
      </c>
      <c r="AV1476" t="inlineStr">
        <is>
          <t>7495984</t>
        </is>
      </c>
      <c r="AW1476" t="inlineStr">
        <is>
          <t>991005120039702656</t>
        </is>
      </c>
      <c r="AX1476" t="inlineStr">
        <is>
          <t>991005120039702656</t>
        </is>
      </c>
      <c r="AY1476" t="inlineStr">
        <is>
          <t>2268649640002656</t>
        </is>
      </c>
      <c r="AZ1476" t="inlineStr">
        <is>
          <t>BOOK</t>
        </is>
      </c>
      <c r="BC1476" t="inlineStr">
        <is>
          <t>32285000197359</t>
        </is>
      </c>
      <c r="BD1476" t="inlineStr">
        <is>
          <t>893807846</t>
        </is>
      </c>
    </row>
    <row r="1477">
      <c r="A1477" t="inlineStr">
        <is>
          <t>No</t>
        </is>
      </c>
      <c r="B1477" t="inlineStr">
        <is>
          <t>HQ536 .F3334 1988</t>
        </is>
      </c>
      <c r="C1477" t="inlineStr">
        <is>
          <t>0                      HQ 0536000F  3334        1988</t>
        </is>
      </c>
      <c r="D1477" t="inlineStr">
        <is>
          <t>Families and economic distress : coping strategies and social policy / edited by Patricia Voydanoff, Linda C. Majka.</t>
        </is>
      </c>
      <c r="F1477" t="inlineStr">
        <is>
          <t>No</t>
        </is>
      </c>
      <c r="G1477" t="inlineStr">
        <is>
          <t>1</t>
        </is>
      </c>
      <c r="H1477" t="inlineStr">
        <is>
          <t>No</t>
        </is>
      </c>
      <c r="I1477" t="inlineStr">
        <is>
          <t>No</t>
        </is>
      </c>
      <c r="J1477" t="inlineStr">
        <is>
          <t>0</t>
        </is>
      </c>
      <c r="L1477" t="inlineStr">
        <is>
          <t>Beverly Hills, Calif. : Sage Publications, c1988.</t>
        </is>
      </c>
      <c r="M1477" t="inlineStr">
        <is>
          <t>1988</t>
        </is>
      </c>
      <c r="O1477" t="inlineStr">
        <is>
          <t>eng</t>
        </is>
      </c>
      <c r="P1477" t="inlineStr">
        <is>
          <t>cau</t>
        </is>
      </c>
      <c r="Q1477" t="inlineStr">
        <is>
          <t>New perspectives on family</t>
        </is>
      </c>
      <c r="R1477" t="inlineStr">
        <is>
          <t xml:space="preserve">HQ </t>
        </is>
      </c>
      <c r="S1477" t="n">
        <v>2</v>
      </c>
      <c r="T1477" t="n">
        <v>2</v>
      </c>
      <c r="U1477" t="inlineStr">
        <is>
          <t>1994-03-04</t>
        </is>
      </c>
      <c r="V1477" t="inlineStr">
        <is>
          <t>1994-03-04</t>
        </is>
      </c>
      <c r="W1477" t="inlineStr">
        <is>
          <t>1992-10-29</t>
        </is>
      </c>
      <c r="X1477" t="inlineStr">
        <is>
          <t>1992-10-29</t>
        </is>
      </c>
      <c r="Y1477" t="n">
        <v>335</v>
      </c>
      <c r="Z1477" t="n">
        <v>269</v>
      </c>
      <c r="AA1477" t="n">
        <v>276</v>
      </c>
      <c r="AB1477" t="n">
        <v>3</v>
      </c>
      <c r="AC1477" t="n">
        <v>3</v>
      </c>
      <c r="AD1477" t="n">
        <v>11</v>
      </c>
      <c r="AE1477" t="n">
        <v>11</v>
      </c>
      <c r="AF1477" t="n">
        <v>2</v>
      </c>
      <c r="AG1477" t="n">
        <v>2</v>
      </c>
      <c r="AH1477" t="n">
        <v>2</v>
      </c>
      <c r="AI1477" t="n">
        <v>2</v>
      </c>
      <c r="AJ1477" t="n">
        <v>7</v>
      </c>
      <c r="AK1477" t="n">
        <v>7</v>
      </c>
      <c r="AL1477" t="n">
        <v>2</v>
      </c>
      <c r="AM1477" t="n">
        <v>2</v>
      </c>
      <c r="AN1477" t="n">
        <v>0</v>
      </c>
      <c r="AO1477" t="n">
        <v>0</v>
      </c>
      <c r="AP1477" t="inlineStr">
        <is>
          <t>No</t>
        </is>
      </c>
      <c r="AQ1477" t="inlineStr">
        <is>
          <t>Yes</t>
        </is>
      </c>
      <c r="AR1477">
        <f>HYPERLINK("http://catalog.hathitrust.org/Record/001078508","HathiTrust Record")</f>
        <v/>
      </c>
      <c r="AS1477">
        <f>HYPERLINK("https://creighton-primo.hosted.exlibrisgroup.com/primo-explore/search?tab=default_tab&amp;search_scope=EVERYTHING&amp;vid=01CRU&amp;lang=en_US&amp;offset=0&amp;query=any,contains,991001212179702656","Catalog Record")</f>
        <v/>
      </c>
      <c r="AT1477">
        <f>HYPERLINK("http://www.worldcat.org/oclc/17386112","WorldCat Record")</f>
        <v/>
      </c>
      <c r="AU1477" t="inlineStr">
        <is>
          <t>836755994:eng</t>
        </is>
      </c>
      <c r="AV1477" t="inlineStr">
        <is>
          <t>17386112</t>
        </is>
      </c>
      <c r="AW1477" t="inlineStr">
        <is>
          <t>991001212179702656</t>
        </is>
      </c>
      <c r="AX1477" t="inlineStr">
        <is>
          <t>991001212179702656</t>
        </is>
      </c>
      <c r="AY1477" t="inlineStr">
        <is>
          <t>2270602670002656</t>
        </is>
      </c>
      <c r="AZ1477" t="inlineStr">
        <is>
          <t>BOOK</t>
        </is>
      </c>
      <c r="BB1477" t="inlineStr">
        <is>
          <t>9780803930001</t>
        </is>
      </c>
      <c r="BC1477" t="inlineStr">
        <is>
          <t>32285001358703</t>
        </is>
      </c>
      <c r="BD1477" t="inlineStr">
        <is>
          <t>893590113</t>
        </is>
      </c>
    </row>
    <row r="1478">
      <c r="A1478" t="inlineStr">
        <is>
          <t>No</t>
        </is>
      </c>
      <c r="B1478" t="inlineStr">
        <is>
          <t>HQ536 .F3335 1988</t>
        </is>
      </c>
      <c r="C1478" t="inlineStr">
        <is>
          <t>0                      HQ 0536000F  3335        1988</t>
        </is>
      </c>
      <c r="D1478" t="inlineStr">
        <is>
          <t>Families and social networks / edited by Robert M. Milardo.</t>
        </is>
      </c>
      <c r="F1478" t="inlineStr">
        <is>
          <t>No</t>
        </is>
      </c>
      <c r="G1478" t="inlineStr">
        <is>
          <t>1</t>
        </is>
      </c>
      <c r="H1478" t="inlineStr">
        <is>
          <t>No</t>
        </is>
      </c>
      <c r="I1478" t="inlineStr">
        <is>
          <t>No</t>
        </is>
      </c>
      <c r="J1478" t="inlineStr">
        <is>
          <t>0</t>
        </is>
      </c>
      <c r="L1478" t="inlineStr">
        <is>
          <t>Newbury Park : Sage Publications, c1988.</t>
        </is>
      </c>
      <c r="M1478" t="inlineStr">
        <is>
          <t>1988</t>
        </is>
      </c>
      <c r="O1478" t="inlineStr">
        <is>
          <t>eng</t>
        </is>
      </c>
      <c r="P1478" t="inlineStr">
        <is>
          <t>cau</t>
        </is>
      </c>
      <c r="Q1478" t="inlineStr">
        <is>
          <t>New perspectives on family</t>
        </is>
      </c>
      <c r="R1478" t="inlineStr">
        <is>
          <t xml:space="preserve">HQ </t>
        </is>
      </c>
      <c r="S1478" t="n">
        <v>6</v>
      </c>
      <c r="T1478" t="n">
        <v>6</v>
      </c>
      <c r="U1478" t="inlineStr">
        <is>
          <t>1996-10-29</t>
        </is>
      </c>
      <c r="V1478" t="inlineStr">
        <is>
          <t>1996-10-29</t>
        </is>
      </c>
      <c r="W1478" t="inlineStr">
        <is>
          <t>1990-02-14</t>
        </is>
      </c>
      <c r="X1478" t="inlineStr">
        <is>
          <t>1990-02-14</t>
        </is>
      </c>
      <c r="Y1478" t="n">
        <v>420</v>
      </c>
      <c r="Z1478" t="n">
        <v>308</v>
      </c>
      <c r="AA1478" t="n">
        <v>318</v>
      </c>
      <c r="AB1478" t="n">
        <v>6</v>
      </c>
      <c r="AC1478" t="n">
        <v>6</v>
      </c>
      <c r="AD1478" t="n">
        <v>15</v>
      </c>
      <c r="AE1478" t="n">
        <v>15</v>
      </c>
      <c r="AF1478" t="n">
        <v>2</v>
      </c>
      <c r="AG1478" t="n">
        <v>2</v>
      </c>
      <c r="AH1478" t="n">
        <v>4</v>
      </c>
      <c r="AI1478" t="n">
        <v>4</v>
      </c>
      <c r="AJ1478" t="n">
        <v>7</v>
      </c>
      <c r="AK1478" t="n">
        <v>7</v>
      </c>
      <c r="AL1478" t="n">
        <v>5</v>
      </c>
      <c r="AM1478" t="n">
        <v>5</v>
      </c>
      <c r="AN1478" t="n">
        <v>0</v>
      </c>
      <c r="AO1478" t="n">
        <v>0</v>
      </c>
      <c r="AP1478" t="inlineStr">
        <is>
          <t>No</t>
        </is>
      </c>
      <c r="AQ1478" t="inlineStr">
        <is>
          <t>Yes</t>
        </is>
      </c>
      <c r="AR1478">
        <f>HYPERLINK("http://catalog.hathitrust.org/Record/000922814","HathiTrust Record")</f>
        <v/>
      </c>
      <c r="AS1478">
        <f>HYPERLINK("https://creighton-primo.hosted.exlibrisgroup.com/primo-explore/search?tab=default_tab&amp;search_scope=EVERYTHING&amp;vid=01CRU&amp;lang=en_US&amp;offset=0&amp;query=any,contains,991001098129702656","Catalog Record")</f>
        <v/>
      </c>
      <c r="AT1478">
        <f>HYPERLINK("http://www.worldcat.org/oclc/16277616","WorldCat Record")</f>
        <v/>
      </c>
      <c r="AU1478" t="inlineStr">
        <is>
          <t>369487435:eng</t>
        </is>
      </c>
      <c r="AV1478" t="inlineStr">
        <is>
          <t>16277616</t>
        </is>
      </c>
      <c r="AW1478" t="inlineStr">
        <is>
          <t>991001098129702656</t>
        </is>
      </c>
      <c r="AX1478" t="inlineStr">
        <is>
          <t>991001098129702656</t>
        </is>
      </c>
      <c r="AY1478" t="inlineStr">
        <is>
          <t>2260778400002656</t>
        </is>
      </c>
      <c r="AZ1478" t="inlineStr">
        <is>
          <t>BOOK</t>
        </is>
      </c>
      <c r="BB1478" t="inlineStr">
        <is>
          <t>9780803926448</t>
        </is>
      </c>
      <c r="BC1478" t="inlineStr">
        <is>
          <t>32285000053255</t>
        </is>
      </c>
      <c r="BD1478" t="inlineStr">
        <is>
          <t>893684028</t>
        </is>
      </c>
    </row>
    <row r="1479">
      <c r="A1479" t="inlineStr">
        <is>
          <t>No</t>
        </is>
      </c>
      <c r="B1479" t="inlineStr">
        <is>
          <t>HQ536 .F335 1983</t>
        </is>
      </c>
      <c r="C1479" t="inlineStr">
        <is>
          <t>0                      HQ 0536000F  335         1983</t>
        </is>
      </c>
      <c r="D1479" t="inlineStr">
        <is>
          <t>Families, what makes them work / David H. Olson ... [et al.] ; foreword by Reuben Hill.</t>
        </is>
      </c>
      <c r="F1479" t="inlineStr">
        <is>
          <t>No</t>
        </is>
      </c>
      <c r="G1479" t="inlineStr">
        <is>
          <t>1</t>
        </is>
      </c>
      <c r="H1479" t="inlineStr">
        <is>
          <t>Yes</t>
        </is>
      </c>
      <c r="I1479" t="inlineStr">
        <is>
          <t>No</t>
        </is>
      </c>
      <c r="J1479" t="inlineStr">
        <is>
          <t>0</t>
        </is>
      </c>
      <c r="L1479" t="inlineStr">
        <is>
          <t>Beverly Hills, Calif. : Sage Publications, c1983.</t>
        </is>
      </c>
      <c r="M1479" t="inlineStr">
        <is>
          <t>1983</t>
        </is>
      </c>
      <c r="O1479" t="inlineStr">
        <is>
          <t>eng</t>
        </is>
      </c>
      <c r="P1479" t="inlineStr">
        <is>
          <t>cau</t>
        </is>
      </c>
      <c r="R1479" t="inlineStr">
        <is>
          <t xml:space="preserve">HQ </t>
        </is>
      </c>
      <c r="S1479" t="n">
        <v>7</v>
      </c>
      <c r="T1479" t="n">
        <v>19</v>
      </c>
      <c r="U1479" t="inlineStr">
        <is>
          <t>1997-06-29</t>
        </is>
      </c>
      <c r="V1479" t="inlineStr">
        <is>
          <t>1997-06-29</t>
        </is>
      </c>
      <c r="W1479" t="inlineStr">
        <is>
          <t>1990-02-14</t>
        </is>
      </c>
      <c r="X1479" t="inlineStr">
        <is>
          <t>1990-02-14</t>
        </is>
      </c>
      <c r="Y1479" t="n">
        <v>708</v>
      </c>
      <c r="Z1479" t="n">
        <v>590</v>
      </c>
      <c r="AA1479" t="n">
        <v>681</v>
      </c>
      <c r="AB1479" t="n">
        <v>4</v>
      </c>
      <c r="AC1479" t="n">
        <v>4</v>
      </c>
      <c r="AD1479" t="n">
        <v>26</v>
      </c>
      <c r="AE1479" t="n">
        <v>27</v>
      </c>
      <c r="AF1479" t="n">
        <v>11</v>
      </c>
      <c r="AG1479" t="n">
        <v>12</v>
      </c>
      <c r="AH1479" t="n">
        <v>5</v>
      </c>
      <c r="AI1479" t="n">
        <v>5</v>
      </c>
      <c r="AJ1479" t="n">
        <v>14</v>
      </c>
      <c r="AK1479" t="n">
        <v>15</v>
      </c>
      <c r="AL1479" t="n">
        <v>2</v>
      </c>
      <c r="AM1479" t="n">
        <v>2</v>
      </c>
      <c r="AN1479" t="n">
        <v>0</v>
      </c>
      <c r="AO1479" t="n">
        <v>0</v>
      </c>
      <c r="AP1479" t="inlineStr">
        <is>
          <t>No</t>
        </is>
      </c>
      <c r="AQ1479" t="inlineStr">
        <is>
          <t>Yes</t>
        </is>
      </c>
      <c r="AR1479">
        <f>HYPERLINK("http://catalog.hathitrust.org/Record/000315300","HathiTrust Record")</f>
        <v/>
      </c>
      <c r="AS1479">
        <f>HYPERLINK("https://creighton-primo.hosted.exlibrisgroup.com/primo-explore/search?tab=default_tab&amp;search_scope=EVERYTHING&amp;vid=01CRU&amp;lang=en_US&amp;offset=0&amp;query=any,contains,991001766339702656","Catalog Record")</f>
        <v/>
      </c>
      <c r="AT1479">
        <f>HYPERLINK("http://www.worldcat.org/oclc/9394284","WorldCat Record")</f>
        <v/>
      </c>
      <c r="AU1479" t="inlineStr">
        <is>
          <t>54562393:eng</t>
        </is>
      </c>
      <c r="AV1479" t="inlineStr">
        <is>
          <t>9394284</t>
        </is>
      </c>
      <c r="AW1479" t="inlineStr">
        <is>
          <t>991001766339702656</t>
        </is>
      </c>
      <c r="AX1479" t="inlineStr">
        <is>
          <t>991001766339702656</t>
        </is>
      </c>
      <c r="AY1479" t="inlineStr">
        <is>
          <t>2262944600002656</t>
        </is>
      </c>
      <c r="AZ1479" t="inlineStr">
        <is>
          <t>BOOK</t>
        </is>
      </c>
      <c r="BB1479" t="inlineStr">
        <is>
          <t>9780803920118</t>
        </is>
      </c>
      <c r="BC1479" t="inlineStr">
        <is>
          <t>32285000053263</t>
        </is>
      </c>
      <c r="BD1479" t="inlineStr">
        <is>
          <t>893785377</t>
        </is>
      </c>
    </row>
    <row r="1480">
      <c r="A1480" t="inlineStr">
        <is>
          <t>No</t>
        </is>
      </c>
      <c r="B1480" t="inlineStr">
        <is>
          <t>HQ536 .F364 1984</t>
        </is>
      </c>
      <c r="C1480" t="inlineStr">
        <is>
          <t>0                      HQ 0536000F  364         1984</t>
        </is>
      </c>
      <c r="D1480" t="inlineStr">
        <is>
          <t>Family case studies : a sociological perspective / edited by Ralph LaRossa.</t>
        </is>
      </c>
      <c r="F1480" t="inlineStr">
        <is>
          <t>No</t>
        </is>
      </c>
      <c r="G1480" t="inlineStr">
        <is>
          <t>1</t>
        </is>
      </c>
      <c r="H1480" t="inlineStr">
        <is>
          <t>Yes</t>
        </is>
      </c>
      <c r="I1480" t="inlineStr">
        <is>
          <t>No</t>
        </is>
      </c>
      <c r="J1480" t="inlineStr">
        <is>
          <t>0</t>
        </is>
      </c>
      <c r="L1480" t="inlineStr">
        <is>
          <t>New York : Free Press ; London : Collier Macmillan, c1984.</t>
        </is>
      </c>
      <c r="M1480" t="inlineStr">
        <is>
          <t>1984</t>
        </is>
      </c>
      <c r="O1480" t="inlineStr">
        <is>
          <t>eng</t>
        </is>
      </c>
      <c r="P1480" t="inlineStr">
        <is>
          <t>nyu</t>
        </is>
      </c>
      <c r="R1480" t="inlineStr">
        <is>
          <t xml:space="preserve">HQ </t>
        </is>
      </c>
      <c r="S1480" t="n">
        <v>8</v>
      </c>
      <c r="T1480" t="n">
        <v>11</v>
      </c>
      <c r="U1480" t="inlineStr">
        <is>
          <t>1995-03-08</t>
        </is>
      </c>
      <c r="V1480" t="inlineStr">
        <is>
          <t>1995-03-08</t>
        </is>
      </c>
      <c r="W1480" t="inlineStr">
        <is>
          <t>1991-12-06</t>
        </is>
      </c>
      <c r="X1480" t="inlineStr">
        <is>
          <t>1991-12-06</t>
        </is>
      </c>
      <c r="Y1480" t="n">
        <v>265</v>
      </c>
      <c r="Z1480" t="n">
        <v>206</v>
      </c>
      <c r="AA1480" t="n">
        <v>211</v>
      </c>
      <c r="AB1480" t="n">
        <v>4</v>
      </c>
      <c r="AC1480" t="n">
        <v>4</v>
      </c>
      <c r="AD1480" t="n">
        <v>9</v>
      </c>
      <c r="AE1480" t="n">
        <v>9</v>
      </c>
      <c r="AF1480" t="n">
        <v>2</v>
      </c>
      <c r="AG1480" t="n">
        <v>2</v>
      </c>
      <c r="AH1480" t="n">
        <v>3</v>
      </c>
      <c r="AI1480" t="n">
        <v>3</v>
      </c>
      <c r="AJ1480" t="n">
        <v>5</v>
      </c>
      <c r="AK1480" t="n">
        <v>5</v>
      </c>
      <c r="AL1480" t="n">
        <v>2</v>
      </c>
      <c r="AM1480" t="n">
        <v>2</v>
      </c>
      <c r="AN1480" t="n">
        <v>0</v>
      </c>
      <c r="AO1480" t="n">
        <v>0</v>
      </c>
      <c r="AP1480" t="inlineStr">
        <is>
          <t>No</t>
        </is>
      </c>
      <c r="AQ1480" t="inlineStr">
        <is>
          <t>No</t>
        </is>
      </c>
      <c r="AS1480">
        <f>HYPERLINK("https://creighton-primo.hosted.exlibrisgroup.com/primo-explore/search?tab=default_tab&amp;search_scope=EVERYTHING&amp;vid=01CRU&amp;lang=en_US&amp;offset=0&amp;query=any,contains,991001805169702656","Catalog Record")</f>
        <v/>
      </c>
      <c r="AT1480">
        <f>HYPERLINK("http://www.worldcat.org/oclc/10072341","WorldCat Record")</f>
        <v/>
      </c>
      <c r="AU1480" t="inlineStr">
        <is>
          <t>836637864:eng</t>
        </is>
      </c>
      <c r="AV1480" t="inlineStr">
        <is>
          <t>10072341</t>
        </is>
      </c>
      <c r="AW1480" t="inlineStr">
        <is>
          <t>991001805169702656</t>
        </is>
      </c>
      <c r="AX1480" t="inlineStr">
        <is>
          <t>991001805169702656</t>
        </is>
      </c>
      <c r="AY1480" t="inlineStr">
        <is>
          <t>2264776140002656</t>
        </is>
      </c>
      <c r="AZ1480" t="inlineStr">
        <is>
          <t>BOOK</t>
        </is>
      </c>
      <c r="BB1480" t="inlineStr">
        <is>
          <t>9780029180105</t>
        </is>
      </c>
      <c r="BC1480" t="inlineStr">
        <is>
          <t>32285000829217</t>
        </is>
      </c>
      <c r="BD1480" t="inlineStr">
        <is>
          <t>893232282</t>
        </is>
      </c>
    </row>
    <row r="1481">
      <c r="A1481" t="inlineStr">
        <is>
          <t>No</t>
        </is>
      </c>
      <c r="B1481" t="inlineStr">
        <is>
          <t>HQ536 .F3644 1988</t>
        </is>
      </c>
      <c r="C1481" t="inlineStr">
        <is>
          <t>0                      HQ 0536000F  3644        1988</t>
        </is>
      </c>
      <c r="D1481" t="inlineStr">
        <is>
          <t>The Changing American family and public policy / Andrew J. Cherlin, editor.</t>
        </is>
      </c>
      <c r="F1481" t="inlineStr">
        <is>
          <t>No</t>
        </is>
      </c>
      <c r="G1481" t="inlineStr">
        <is>
          <t>1</t>
        </is>
      </c>
      <c r="H1481" t="inlineStr">
        <is>
          <t>No</t>
        </is>
      </c>
      <c r="I1481" t="inlineStr">
        <is>
          <t>No</t>
        </is>
      </c>
      <c r="J1481" t="inlineStr">
        <is>
          <t>0</t>
        </is>
      </c>
      <c r="L1481" t="inlineStr">
        <is>
          <t>Washington, D.C. : Urban Institute Press, 1988.</t>
        </is>
      </c>
      <c r="M1481" t="inlineStr">
        <is>
          <t>1988</t>
        </is>
      </c>
      <c r="O1481" t="inlineStr">
        <is>
          <t>eng</t>
        </is>
      </c>
      <c r="P1481" t="inlineStr">
        <is>
          <t>dcu</t>
        </is>
      </c>
      <c r="Q1481" t="inlineStr">
        <is>
          <t>Changing domestic priorities</t>
        </is>
      </c>
      <c r="R1481" t="inlineStr">
        <is>
          <t xml:space="preserve">HQ </t>
        </is>
      </c>
      <c r="S1481" t="n">
        <v>23</v>
      </c>
      <c r="T1481" t="n">
        <v>23</v>
      </c>
      <c r="U1481" t="inlineStr">
        <is>
          <t>1997-07-23</t>
        </is>
      </c>
      <c r="V1481" t="inlineStr">
        <is>
          <t>1997-07-23</t>
        </is>
      </c>
      <c r="W1481" t="inlineStr">
        <is>
          <t>1989-12-29</t>
        </is>
      </c>
      <c r="X1481" t="inlineStr">
        <is>
          <t>1989-12-29</t>
        </is>
      </c>
      <c r="Y1481" t="n">
        <v>714</v>
      </c>
      <c r="Z1481" t="n">
        <v>642</v>
      </c>
      <c r="AA1481" t="n">
        <v>648</v>
      </c>
      <c r="AB1481" t="n">
        <v>5</v>
      </c>
      <c r="AC1481" t="n">
        <v>5</v>
      </c>
      <c r="AD1481" t="n">
        <v>37</v>
      </c>
      <c r="AE1481" t="n">
        <v>37</v>
      </c>
      <c r="AF1481" t="n">
        <v>14</v>
      </c>
      <c r="AG1481" t="n">
        <v>14</v>
      </c>
      <c r="AH1481" t="n">
        <v>6</v>
      </c>
      <c r="AI1481" t="n">
        <v>6</v>
      </c>
      <c r="AJ1481" t="n">
        <v>15</v>
      </c>
      <c r="AK1481" t="n">
        <v>15</v>
      </c>
      <c r="AL1481" t="n">
        <v>4</v>
      </c>
      <c r="AM1481" t="n">
        <v>4</v>
      </c>
      <c r="AN1481" t="n">
        <v>6</v>
      </c>
      <c r="AO1481" t="n">
        <v>6</v>
      </c>
      <c r="AP1481" t="inlineStr">
        <is>
          <t>No</t>
        </is>
      </c>
      <c r="AQ1481" t="inlineStr">
        <is>
          <t>Yes</t>
        </is>
      </c>
      <c r="AR1481">
        <f>HYPERLINK("http://catalog.hathitrust.org/Record/001076978","HathiTrust Record")</f>
        <v/>
      </c>
      <c r="AS1481">
        <f>HYPERLINK("https://creighton-primo.hosted.exlibrisgroup.com/primo-explore/search?tab=default_tab&amp;search_scope=EVERYTHING&amp;vid=01CRU&amp;lang=en_US&amp;offset=0&amp;query=any,contains,991001308529702656","Catalog Record")</f>
        <v/>
      </c>
      <c r="AT1481">
        <f>HYPERLINK("http://www.worldcat.org/oclc/18134813","WorldCat Record")</f>
        <v/>
      </c>
      <c r="AU1481" t="inlineStr">
        <is>
          <t>55107700:eng</t>
        </is>
      </c>
      <c r="AV1481" t="inlineStr">
        <is>
          <t>18134813</t>
        </is>
      </c>
      <c r="AW1481" t="inlineStr">
        <is>
          <t>991001308529702656</t>
        </is>
      </c>
      <c r="AX1481" t="inlineStr">
        <is>
          <t>991001308529702656</t>
        </is>
      </c>
      <c r="AY1481" t="inlineStr">
        <is>
          <t>2259900580002656</t>
        </is>
      </c>
      <c r="AZ1481" t="inlineStr">
        <is>
          <t>BOOK</t>
        </is>
      </c>
      <c r="BB1481" t="inlineStr">
        <is>
          <t>9780877664215</t>
        </is>
      </c>
      <c r="BC1481" t="inlineStr">
        <is>
          <t>32285000025386</t>
        </is>
      </c>
      <c r="BD1481" t="inlineStr">
        <is>
          <t>893772503</t>
        </is>
      </c>
    </row>
    <row r="1482">
      <c r="A1482" t="inlineStr">
        <is>
          <t>No</t>
        </is>
      </c>
      <c r="B1482" t="inlineStr">
        <is>
          <t>HQ536 .F3655 1991</t>
        </is>
      </c>
      <c r="C1482" t="inlineStr">
        <is>
          <t>0                      HQ 0536000F  3655        1991</t>
        </is>
      </c>
      <c r="D1482" t="inlineStr">
        <is>
          <t>The Family experience : a reader in cultural diversity / edited, and with introductions by Mark Hutter.</t>
        </is>
      </c>
      <c r="F1482" t="inlineStr">
        <is>
          <t>No</t>
        </is>
      </c>
      <c r="G1482" t="inlineStr">
        <is>
          <t>1</t>
        </is>
      </c>
      <c r="H1482" t="inlineStr">
        <is>
          <t>No</t>
        </is>
      </c>
      <c r="I1482" t="inlineStr">
        <is>
          <t>No</t>
        </is>
      </c>
      <c r="J1482" t="inlineStr">
        <is>
          <t>0</t>
        </is>
      </c>
      <c r="L1482" t="inlineStr">
        <is>
          <t>New York : Macmillan ; Toronto : Collier Macmillan Canada, c1991.</t>
        </is>
      </c>
      <c r="M1482" t="inlineStr">
        <is>
          <t>1991</t>
        </is>
      </c>
      <c r="O1482" t="inlineStr">
        <is>
          <t>eng</t>
        </is>
      </c>
      <c r="P1482" t="inlineStr">
        <is>
          <t>nyu</t>
        </is>
      </c>
      <c r="R1482" t="inlineStr">
        <is>
          <t xml:space="preserve">HQ </t>
        </is>
      </c>
      <c r="S1482" t="n">
        <v>18</v>
      </c>
      <c r="T1482" t="n">
        <v>18</v>
      </c>
      <c r="U1482" t="inlineStr">
        <is>
          <t>1998-09-09</t>
        </is>
      </c>
      <c r="V1482" t="inlineStr">
        <is>
          <t>1998-09-09</t>
        </is>
      </c>
      <c r="W1482" t="inlineStr">
        <is>
          <t>1991-08-06</t>
        </is>
      </c>
      <c r="X1482" t="inlineStr">
        <is>
          <t>1991-08-06</t>
        </is>
      </c>
      <c r="Y1482" t="n">
        <v>195</v>
      </c>
      <c r="Z1482" t="n">
        <v>164</v>
      </c>
      <c r="AA1482" t="n">
        <v>380</v>
      </c>
      <c r="AB1482" t="n">
        <v>3</v>
      </c>
      <c r="AC1482" t="n">
        <v>3</v>
      </c>
      <c r="AD1482" t="n">
        <v>9</v>
      </c>
      <c r="AE1482" t="n">
        <v>15</v>
      </c>
      <c r="AF1482" t="n">
        <v>2</v>
      </c>
      <c r="AG1482" t="n">
        <v>5</v>
      </c>
      <c r="AH1482" t="n">
        <v>3</v>
      </c>
      <c r="AI1482" t="n">
        <v>5</v>
      </c>
      <c r="AJ1482" t="n">
        <v>4</v>
      </c>
      <c r="AK1482" t="n">
        <v>8</v>
      </c>
      <c r="AL1482" t="n">
        <v>2</v>
      </c>
      <c r="AM1482" t="n">
        <v>2</v>
      </c>
      <c r="AN1482" t="n">
        <v>0</v>
      </c>
      <c r="AO1482" t="n">
        <v>0</v>
      </c>
      <c r="AP1482" t="inlineStr">
        <is>
          <t>No</t>
        </is>
      </c>
      <c r="AQ1482" t="inlineStr">
        <is>
          <t>No</t>
        </is>
      </c>
      <c r="AS1482">
        <f>HYPERLINK("https://creighton-primo.hosted.exlibrisgroup.com/primo-explore/search?tab=default_tab&amp;search_scope=EVERYTHING&amp;vid=01CRU&amp;lang=en_US&amp;offset=0&amp;query=any,contains,991001724759702656","Catalog Record")</f>
        <v/>
      </c>
      <c r="AT1482">
        <f>HYPERLINK("http://www.worldcat.org/oclc/21874701","WorldCat Record")</f>
        <v/>
      </c>
      <c r="AU1482" t="inlineStr">
        <is>
          <t>796420571:eng</t>
        </is>
      </c>
      <c r="AV1482" t="inlineStr">
        <is>
          <t>21874701</t>
        </is>
      </c>
      <c r="AW1482" t="inlineStr">
        <is>
          <t>991001724759702656</t>
        </is>
      </c>
      <c r="AX1482" t="inlineStr">
        <is>
          <t>991001724759702656</t>
        </is>
      </c>
      <c r="AY1482" t="inlineStr">
        <is>
          <t>2270405080002656</t>
        </is>
      </c>
      <c r="AZ1482" t="inlineStr">
        <is>
          <t>BOOK</t>
        </is>
      </c>
      <c r="BB1482" t="inlineStr">
        <is>
          <t>9780023592355</t>
        </is>
      </c>
      <c r="BC1482" t="inlineStr">
        <is>
          <t>32285000664283</t>
        </is>
      </c>
      <c r="BD1482" t="inlineStr">
        <is>
          <t>893791652</t>
        </is>
      </c>
    </row>
    <row r="1483">
      <c r="A1483" t="inlineStr">
        <is>
          <t>No</t>
        </is>
      </c>
      <c r="B1483" t="inlineStr">
        <is>
          <t>HQ536 .F37835 2007</t>
        </is>
      </c>
      <c r="C1483" t="inlineStr">
        <is>
          <t>0                      HQ 0536000F  37835       2007</t>
        </is>
      </c>
      <c r="D1483" t="inlineStr">
        <is>
          <t>Family talk : discourse and identity in four American families / edited by Deborah Tannen, Shari Kendall, Cynthia Gordon.</t>
        </is>
      </c>
      <c r="F1483" t="inlineStr">
        <is>
          <t>No</t>
        </is>
      </c>
      <c r="G1483" t="inlineStr">
        <is>
          <t>1</t>
        </is>
      </c>
      <c r="H1483" t="inlineStr">
        <is>
          <t>No</t>
        </is>
      </c>
      <c r="I1483" t="inlineStr">
        <is>
          <t>No</t>
        </is>
      </c>
      <c r="J1483" t="inlineStr">
        <is>
          <t>0</t>
        </is>
      </c>
      <c r="L1483" t="inlineStr">
        <is>
          <t>Oxford ; New York : Oxford University Press, 2007.</t>
        </is>
      </c>
      <c r="M1483" t="inlineStr">
        <is>
          <t>2007</t>
        </is>
      </c>
      <c r="O1483" t="inlineStr">
        <is>
          <t>eng</t>
        </is>
      </c>
      <c r="P1483" t="inlineStr">
        <is>
          <t>enk</t>
        </is>
      </c>
      <c r="R1483" t="inlineStr">
        <is>
          <t xml:space="preserve">HQ </t>
        </is>
      </c>
      <c r="S1483" t="n">
        <v>2</v>
      </c>
      <c r="T1483" t="n">
        <v>2</v>
      </c>
      <c r="U1483" t="inlineStr">
        <is>
          <t>2008-04-04</t>
        </is>
      </c>
      <c r="V1483" t="inlineStr">
        <is>
          <t>2008-04-04</t>
        </is>
      </c>
      <c r="W1483" t="inlineStr">
        <is>
          <t>2007-05-08</t>
        </is>
      </c>
      <c r="X1483" t="inlineStr">
        <is>
          <t>2007-05-08</t>
        </is>
      </c>
      <c r="Y1483" t="n">
        <v>502</v>
      </c>
      <c r="Z1483" t="n">
        <v>432</v>
      </c>
      <c r="AA1483" t="n">
        <v>987</v>
      </c>
      <c r="AB1483" t="n">
        <v>7</v>
      </c>
      <c r="AC1483" t="n">
        <v>11</v>
      </c>
      <c r="AD1483" t="n">
        <v>28</v>
      </c>
      <c r="AE1483" t="n">
        <v>44</v>
      </c>
      <c r="AF1483" t="n">
        <v>13</v>
      </c>
      <c r="AG1483" t="n">
        <v>16</v>
      </c>
      <c r="AH1483" t="n">
        <v>5</v>
      </c>
      <c r="AI1483" t="n">
        <v>9</v>
      </c>
      <c r="AJ1483" t="n">
        <v>10</v>
      </c>
      <c r="AK1483" t="n">
        <v>16</v>
      </c>
      <c r="AL1483" t="n">
        <v>6</v>
      </c>
      <c r="AM1483" t="n">
        <v>10</v>
      </c>
      <c r="AN1483" t="n">
        <v>0</v>
      </c>
      <c r="AO1483" t="n">
        <v>1</v>
      </c>
      <c r="AP1483" t="inlineStr">
        <is>
          <t>No</t>
        </is>
      </c>
      <c r="AQ1483" t="inlineStr">
        <is>
          <t>Yes</t>
        </is>
      </c>
      <c r="AR1483">
        <f>HYPERLINK("http://catalog.hathitrust.org/Record/005702449","HathiTrust Record")</f>
        <v/>
      </c>
      <c r="AS1483">
        <f>HYPERLINK("https://creighton-primo.hosted.exlibrisgroup.com/primo-explore/search?tab=default_tab&amp;search_scope=EVERYTHING&amp;vid=01CRU&amp;lang=en_US&amp;offset=0&amp;query=any,contains,991005077039702656","Catalog Record")</f>
        <v/>
      </c>
      <c r="AT1483">
        <f>HYPERLINK("http://www.worldcat.org/oclc/70232410","WorldCat Record")</f>
        <v/>
      </c>
      <c r="AU1483" t="inlineStr">
        <is>
          <t>1039070679:eng</t>
        </is>
      </c>
      <c r="AV1483" t="inlineStr">
        <is>
          <t>70232410</t>
        </is>
      </c>
      <c r="AW1483" t="inlineStr">
        <is>
          <t>991005077039702656</t>
        </is>
      </c>
      <c r="AX1483" t="inlineStr">
        <is>
          <t>991005077039702656</t>
        </is>
      </c>
      <c r="AY1483" t="inlineStr">
        <is>
          <t>2263603480002656</t>
        </is>
      </c>
      <c r="AZ1483" t="inlineStr">
        <is>
          <t>BOOK</t>
        </is>
      </c>
      <c r="BB1483" t="inlineStr">
        <is>
          <t>9780195313888</t>
        </is>
      </c>
      <c r="BC1483" t="inlineStr">
        <is>
          <t>32285005311302</t>
        </is>
      </c>
      <c r="BD1483" t="inlineStr">
        <is>
          <t>893536350</t>
        </is>
      </c>
    </row>
    <row r="1484">
      <c r="A1484" t="inlineStr">
        <is>
          <t>No</t>
        </is>
      </c>
      <c r="B1484" t="inlineStr">
        <is>
          <t>HQ536 .F3787 1991</t>
        </is>
      </c>
      <c r="C1484" t="inlineStr">
        <is>
          <t>0                      HQ 0536000F  3787        1991</t>
        </is>
      </c>
      <c r="D1484" t="inlineStr">
        <is>
          <t>Family transitions / edited by Philip A. Cowan, Mavis Hetherington.</t>
        </is>
      </c>
      <c r="F1484" t="inlineStr">
        <is>
          <t>No</t>
        </is>
      </c>
      <c r="G1484" t="inlineStr">
        <is>
          <t>1</t>
        </is>
      </c>
      <c r="H1484" t="inlineStr">
        <is>
          <t>No</t>
        </is>
      </c>
      <c r="I1484" t="inlineStr">
        <is>
          <t>No</t>
        </is>
      </c>
      <c r="J1484" t="inlineStr">
        <is>
          <t>0</t>
        </is>
      </c>
      <c r="L1484" t="inlineStr">
        <is>
          <t>Hillsdale, N.J. : L. Erlbaum Associates, 1991.</t>
        </is>
      </c>
      <c r="M1484" t="inlineStr">
        <is>
          <t>1991</t>
        </is>
      </c>
      <c r="O1484" t="inlineStr">
        <is>
          <t>eng</t>
        </is>
      </c>
      <c r="P1484" t="inlineStr">
        <is>
          <t>cau</t>
        </is>
      </c>
      <c r="Q1484" t="inlineStr">
        <is>
          <t>Advances in family research series</t>
        </is>
      </c>
      <c r="R1484" t="inlineStr">
        <is>
          <t xml:space="preserve">HQ </t>
        </is>
      </c>
      <c r="S1484" t="n">
        <v>21</v>
      </c>
      <c r="T1484" t="n">
        <v>21</v>
      </c>
      <c r="U1484" t="inlineStr">
        <is>
          <t>2010-03-11</t>
        </is>
      </c>
      <c r="V1484" t="inlineStr">
        <is>
          <t>2010-03-11</t>
        </is>
      </c>
      <c r="W1484" t="inlineStr">
        <is>
          <t>1991-08-19</t>
        </is>
      </c>
      <c r="X1484" t="inlineStr">
        <is>
          <t>1991-08-19</t>
        </is>
      </c>
      <c r="Y1484" t="n">
        <v>355</v>
      </c>
      <c r="Z1484" t="n">
        <v>288</v>
      </c>
      <c r="AA1484" t="n">
        <v>311</v>
      </c>
      <c r="AB1484" t="n">
        <v>4</v>
      </c>
      <c r="AC1484" t="n">
        <v>4</v>
      </c>
      <c r="AD1484" t="n">
        <v>18</v>
      </c>
      <c r="AE1484" t="n">
        <v>18</v>
      </c>
      <c r="AF1484" t="n">
        <v>6</v>
      </c>
      <c r="AG1484" t="n">
        <v>6</v>
      </c>
      <c r="AH1484" t="n">
        <v>3</v>
      </c>
      <c r="AI1484" t="n">
        <v>3</v>
      </c>
      <c r="AJ1484" t="n">
        <v>9</v>
      </c>
      <c r="AK1484" t="n">
        <v>9</v>
      </c>
      <c r="AL1484" t="n">
        <v>3</v>
      </c>
      <c r="AM1484" t="n">
        <v>3</v>
      </c>
      <c r="AN1484" t="n">
        <v>0</v>
      </c>
      <c r="AO1484" t="n">
        <v>0</v>
      </c>
      <c r="AP1484" t="inlineStr">
        <is>
          <t>No</t>
        </is>
      </c>
      <c r="AQ1484" t="inlineStr">
        <is>
          <t>No</t>
        </is>
      </c>
      <c r="AS1484">
        <f>HYPERLINK("https://creighton-primo.hosted.exlibrisgroup.com/primo-explore/search?tab=default_tab&amp;search_scope=EVERYTHING&amp;vid=01CRU&amp;lang=en_US&amp;offset=0&amp;query=any,contains,991001757849702656","Catalog Record")</f>
        <v/>
      </c>
      <c r="AT1484">
        <f>HYPERLINK("http://www.worldcat.org/oclc/22239747","WorldCat Record")</f>
        <v/>
      </c>
      <c r="AU1484" t="inlineStr">
        <is>
          <t>351052410:eng</t>
        </is>
      </c>
      <c r="AV1484" t="inlineStr">
        <is>
          <t>22239747</t>
        </is>
      </c>
      <c r="AW1484" t="inlineStr">
        <is>
          <t>991001757849702656</t>
        </is>
      </c>
      <c r="AX1484" t="inlineStr">
        <is>
          <t>991001757849702656</t>
        </is>
      </c>
      <c r="AY1484" t="inlineStr">
        <is>
          <t>2258654760002656</t>
        </is>
      </c>
      <c r="AZ1484" t="inlineStr">
        <is>
          <t>BOOK</t>
        </is>
      </c>
      <c r="BB1484" t="inlineStr">
        <is>
          <t>9780805807844</t>
        </is>
      </c>
      <c r="BC1484" t="inlineStr">
        <is>
          <t>32285000701044</t>
        </is>
      </c>
      <c r="BD1484" t="inlineStr">
        <is>
          <t>893615356</t>
        </is>
      </c>
    </row>
    <row r="1485">
      <c r="A1485" t="inlineStr">
        <is>
          <t>No</t>
        </is>
      </c>
      <c r="B1485" t="inlineStr">
        <is>
          <t>HQ536 .G349 2000</t>
        </is>
      </c>
      <c r="C1485" t="inlineStr">
        <is>
          <t>0                      HQ 0536000G  349         2000</t>
        </is>
      </c>
      <c r="D1485" t="inlineStr">
        <is>
          <t>Sex and real estate : why we love houses / Majorie Garber.</t>
        </is>
      </c>
      <c r="F1485" t="inlineStr">
        <is>
          <t>No</t>
        </is>
      </c>
      <c r="G1485" t="inlineStr">
        <is>
          <t>1</t>
        </is>
      </c>
      <c r="H1485" t="inlineStr">
        <is>
          <t>No</t>
        </is>
      </c>
      <c r="I1485" t="inlineStr">
        <is>
          <t>No</t>
        </is>
      </c>
      <c r="J1485" t="inlineStr">
        <is>
          <t>0</t>
        </is>
      </c>
      <c r="K1485" t="inlineStr">
        <is>
          <t>Garber, Marjorie B.</t>
        </is>
      </c>
      <c r="L1485" t="inlineStr">
        <is>
          <t>New York Pantheon Books, c2000.</t>
        </is>
      </c>
      <c r="M1485" t="inlineStr">
        <is>
          <t>2000</t>
        </is>
      </c>
      <c r="N1485" t="inlineStr">
        <is>
          <t>1st ed.</t>
        </is>
      </c>
      <c r="O1485" t="inlineStr">
        <is>
          <t>eng</t>
        </is>
      </c>
      <c r="P1485" t="inlineStr">
        <is>
          <t>nyu</t>
        </is>
      </c>
      <c r="R1485" t="inlineStr">
        <is>
          <t xml:space="preserve">HQ </t>
        </is>
      </c>
      <c r="S1485" t="n">
        <v>4</v>
      </c>
      <c r="T1485" t="n">
        <v>4</v>
      </c>
      <c r="U1485" t="inlineStr">
        <is>
          <t>2006-12-22</t>
        </is>
      </c>
      <c r="V1485" t="inlineStr">
        <is>
          <t>2006-12-22</t>
        </is>
      </c>
      <c r="W1485" t="inlineStr">
        <is>
          <t>2001-12-18</t>
        </is>
      </c>
      <c r="X1485" t="inlineStr">
        <is>
          <t>2001-12-18</t>
        </is>
      </c>
      <c r="Y1485" t="n">
        <v>542</v>
      </c>
      <c r="Z1485" t="n">
        <v>496</v>
      </c>
      <c r="AA1485" t="n">
        <v>560</v>
      </c>
      <c r="AB1485" t="n">
        <v>6</v>
      </c>
      <c r="AC1485" t="n">
        <v>7</v>
      </c>
      <c r="AD1485" t="n">
        <v>16</v>
      </c>
      <c r="AE1485" t="n">
        <v>18</v>
      </c>
      <c r="AF1485" t="n">
        <v>3</v>
      </c>
      <c r="AG1485" t="n">
        <v>4</v>
      </c>
      <c r="AH1485" t="n">
        <v>4</v>
      </c>
      <c r="AI1485" t="n">
        <v>4</v>
      </c>
      <c r="AJ1485" t="n">
        <v>8</v>
      </c>
      <c r="AK1485" t="n">
        <v>8</v>
      </c>
      <c r="AL1485" t="n">
        <v>4</v>
      </c>
      <c r="AM1485" t="n">
        <v>5</v>
      </c>
      <c r="AN1485" t="n">
        <v>0</v>
      </c>
      <c r="AO1485" t="n">
        <v>0</v>
      </c>
      <c r="AP1485" t="inlineStr">
        <is>
          <t>No</t>
        </is>
      </c>
      <c r="AQ1485" t="inlineStr">
        <is>
          <t>Yes</t>
        </is>
      </c>
      <c r="AR1485">
        <f>HYPERLINK("http://catalog.hathitrust.org/Record/004113010","HathiTrust Record")</f>
        <v/>
      </c>
      <c r="AS1485">
        <f>HYPERLINK("https://creighton-primo.hosted.exlibrisgroup.com/primo-explore/search?tab=default_tab&amp;search_scope=EVERYTHING&amp;vid=01CRU&amp;lang=en_US&amp;offset=0&amp;query=any,contains,991003574799702656","Catalog Record")</f>
        <v/>
      </c>
      <c r="AT1485">
        <f>HYPERLINK("http://www.worldcat.org/oclc/42935713","WorldCat Record")</f>
        <v/>
      </c>
      <c r="AU1485" t="inlineStr">
        <is>
          <t>37968799:eng</t>
        </is>
      </c>
      <c r="AV1485" t="inlineStr">
        <is>
          <t>42935713</t>
        </is>
      </c>
      <c r="AW1485" t="inlineStr">
        <is>
          <t>991003574799702656</t>
        </is>
      </c>
      <c r="AX1485" t="inlineStr">
        <is>
          <t>991003574799702656</t>
        </is>
      </c>
      <c r="AY1485" t="inlineStr">
        <is>
          <t>2270122520002656</t>
        </is>
      </c>
      <c r="AZ1485" t="inlineStr">
        <is>
          <t>BOOK</t>
        </is>
      </c>
      <c r="BB1485" t="inlineStr">
        <is>
          <t>9780375420542</t>
        </is>
      </c>
      <c r="BC1485" t="inlineStr">
        <is>
          <t>32285004428966</t>
        </is>
      </c>
      <c r="BD1485" t="inlineStr">
        <is>
          <t>893805940</t>
        </is>
      </c>
    </row>
    <row r="1486">
      <c r="A1486" t="inlineStr">
        <is>
          <t>No</t>
        </is>
      </c>
      <c r="B1486" t="inlineStr">
        <is>
          <t>HQ536 .G44 1974</t>
        </is>
      </c>
      <c r="C1486" t="inlineStr">
        <is>
          <t>0                      HQ 0536000G  44          1974</t>
        </is>
      </c>
      <c r="D1486" t="inlineStr">
        <is>
          <t>The violent home : a study of physical aggression between husbands and wives / Richard J. Gelles.</t>
        </is>
      </c>
      <c r="F1486" t="inlineStr">
        <is>
          <t>No</t>
        </is>
      </c>
      <c r="G1486" t="inlineStr">
        <is>
          <t>1</t>
        </is>
      </c>
      <c r="H1486" t="inlineStr">
        <is>
          <t>No</t>
        </is>
      </c>
      <c r="I1486" t="inlineStr">
        <is>
          <t>No</t>
        </is>
      </c>
      <c r="J1486" t="inlineStr">
        <is>
          <t>0</t>
        </is>
      </c>
      <c r="K1486" t="inlineStr">
        <is>
          <t>Gelles, Richard J.</t>
        </is>
      </c>
      <c r="L1486" t="inlineStr">
        <is>
          <t>Beverly Hills, Calif. : Sage Publications, [1974] c1972.</t>
        </is>
      </c>
      <c r="M1486" t="inlineStr">
        <is>
          <t>1974</t>
        </is>
      </c>
      <c r="O1486" t="inlineStr">
        <is>
          <t>eng</t>
        </is>
      </c>
      <c r="P1486" t="inlineStr">
        <is>
          <t>cau</t>
        </is>
      </c>
      <c r="Q1486" t="inlineStr">
        <is>
          <t>Sage library of social research ; v. 13</t>
        </is>
      </c>
      <c r="R1486" t="inlineStr">
        <is>
          <t xml:space="preserve">HQ </t>
        </is>
      </c>
      <c r="S1486" t="n">
        <v>9</v>
      </c>
      <c r="T1486" t="n">
        <v>9</v>
      </c>
      <c r="U1486" t="inlineStr">
        <is>
          <t>1995-03-16</t>
        </is>
      </c>
      <c r="V1486" t="inlineStr">
        <is>
          <t>1995-03-16</t>
        </is>
      </c>
      <c r="W1486" t="inlineStr">
        <is>
          <t>1991-04-19</t>
        </is>
      </c>
      <c r="X1486" t="inlineStr">
        <is>
          <t>1991-04-19</t>
        </is>
      </c>
      <c r="Y1486" t="n">
        <v>723</v>
      </c>
      <c r="Z1486" t="n">
        <v>646</v>
      </c>
      <c r="AA1486" t="n">
        <v>712</v>
      </c>
      <c r="AB1486" t="n">
        <v>9</v>
      </c>
      <c r="AC1486" t="n">
        <v>9</v>
      </c>
      <c r="AD1486" t="n">
        <v>31</v>
      </c>
      <c r="AE1486" t="n">
        <v>33</v>
      </c>
      <c r="AF1486" t="n">
        <v>12</v>
      </c>
      <c r="AG1486" t="n">
        <v>12</v>
      </c>
      <c r="AH1486" t="n">
        <v>6</v>
      </c>
      <c r="AI1486" t="n">
        <v>7</v>
      </c>
      <c r="AJ1486" t="n">
        <v>12</v>
      </c>
      <c r="AK1486" t="n">
        <v>13</v>
      </c>
      <c r="AL1486" t="n">
        <v>6</v>
      </c>
      <c r="AM1486" t="n">
        <v>6</v>
      </c>
      <c r="AN1486" t="n">
        <v>2</v>
      </c>
      <c r="AO1486" t="n">
        <v>2</v>
      </c>
      <c r="AP1486" t="inlineStr">
        <is>
          <t>No</t>
        </is>
      </c>
      <c r="AQ1486" t="inlineStr">
        <is>
          <t>Yes</t>
        </is>
      </c>
      <c r="AR1486">
        <f>HYPERLINK("http://catalog.hathitrust.org/Record/006759517","HathiTrust Record")</f>
        <v/>
      </c>
      <c r="AS1486">
        <f>HYPERLINK("https://creighton-primo.hosted.exlibrisgroup.com/primo-explore/search?tab=default_tab&amp;search_scope=EVERYTHING&amp;vid=01CRU&amp;lang=en_US&amp;offset=0&amp;query=any,contains,991003666549702656","Catalog Record")</f>
        <v/>
      </c>
      <c r="AT1486">
        <f>HYPERLINK("http://www.worldcat.org/oclc/1280266","WorldCat Record")</f>
        <v/>
      </c>
      <c r="AU1486" t="inlineStr">
        <is>
          <t>5453618785:eng</t>
        </is>
      </c>
      <c r="AV1486" t="inlineStr">
        <is>
          <t>1280266</t>
        </is>
      </c>
      <c r="AW1486" t="inlineStr">
        <is>
          <t>991003666549702656</t>
        </is>
      </c>
      <c r="AX1486" t="inlineStr">
        <is>
          <t>991003666549702656</t>
        </is>
      </c>
      <c r="AY1486" t="inlineStr">
        <is>
          <t>2271453560002656</t>
        </is>
      </c>
      <c r="AZ1486" t="inlineStr">
        <is>
          <t>BOOK</t>
        </is>
      </c>
      <c r="BB1486" t="inlineStr">
        <is>
          <t>9780803903814</t>
        </is>
      </c>
      <c r="BC1486" t="inlineStr">
        <is>
          <t>32285000583509</t>
        </is>
      </c>
      <c r="BD1486" t="inlineStr">
        <is>
          <t>893787607</t>
        </is>
      </c>
    </row>
    <row r="1487">
      <c r="A1487" t="inlineStr">
        <is>
          <t>No</t>
        </is>
      </c>
      <c r="B1487" t="inlineStr">
        <is>
          <t>HQ536 .G53 1985</t>
        </is>
      </c>
      <c r="C1487" t="inlineStr">
        <is>
          <t>0                      HQ 0536000G  53          1985</t>
        </is>
      </c>
      <c r="D1487" t="inlineStr">
        <is>
          <t>Men in dual-career families : current realities and future prospects / Lucia Albino Gilbert.</t>
        </is>
      </c>
      <c r="F1487" t="inlineStr">
        <is>
          <t>No</t>
        </is>
      </c>
      <c r="G1487" t="inlineStr">
        <is>
          <t>1</t>
        </is>
      </c>
      <c r="H1487" t="inlineStr">
        <is>
          <t>No</t>
        </is>
      </c>
      <c r="I1487" t="inlineStr">
        <is>
          <t>No</t>
        </is>
      </c>
      <c r="J1487" t="inlineStr">
        <is>
          <t>0</t>
        </is>
      </c>
      <c r="K1487" t="inlineStr">
        <is>
          <t>Gilbert, Lucia Albino.</t>
        </is>
      </c>
      <c r="L1487" t="inlineStr">
        <is>
          <t>Hillsdale, N.J. : L. Erlbaum Associates, 1985.</t>
        </is>
      </c>
      <c r="M1487" t="inlineStr">
        <is>
          <t>1985</t>
        </is>
      </c>
      <c r="O1487" t="inlineStr">
        <is>
          <t>eng</t>
        </is>
      </c>
      <c r="P1487" t="inlineStr">
        <is>
          <t>nju</t>
        </is>
      </c>
      <c r="Q1487" t="inlineStr">
        <is>
          <t>Vocational psychology</t>
        </is>
      </c>
      <c r="R1487" t="inlineStr">
        <is>
          <t xml:space="preserve">HQ </t>
        </is>
      </c>
      <c r="S1487" t="n">
        <v>18</v>
      </c>
      <c r="T1487" t="n">
        <v>18</v>
      </c>
      <c r="U1487" t="inlineStr">
        <is>
          <t>2001-12-11</t>
        </is>
      </c>
      <c r="V1487" t="inlineStr">
        <is>
          <t>2001-12-11</t>
        </is>
      </c>
      <c r="W1487" t="inlineStr">
        <is>
          <t>1990-05-24</t>
        </is>
      </c>
      <c r="X1487" t="inlineStr">
        <is>
          <t>1990-05-24</t>
        </is>
      </c>
      <c r="Y1487" t="n">
        <v>649</v>
      </c>
      <c r="Z1487" t="n">
        <v>572</v>
      </c>
      <c r="AA1487" t="n">
        <v>592</v>
      </c>
      <c r="AB1487" t="n">
        <v>6</v>
      </c>
      <c r="AC1487" t="n">
        <v>6</v>
      </c>
      <c r="AD1487" t="n">
        <v>33</v>
      </c>
      <c r="AE1487" t="n">
        <v>33</v>
      </c>
      <c r="AF1487" t="n">
        <v>13</v>
      </c>
      <c r="AG1487" t="n">
        <v>13</v>
      </c>
      <c r="AH1487" t="n">
        <v>9</v>
      </c>
      <c r="AI1487" t="n">
        <v>9</v>
      </c>
      <c r="AJ1487" t="n">
        <v>16</v>
      </c>
      <c r="AK1487" t="n">
        <v>16</v>
      </c>
      <c r="AL1487" t="n">
        <v>5</v>
      </c>
      <c r="AM1487" t="n">
        <v>5</v>
      </c>
      <c r="AN1487" t="n">
        <v>0</v>
      </c>
      <c r="AO1487" t="n">
        <v>0</v>
      </c>
      <c r="AP1487" t="inlineStr">
        <is>
          <t>No</t>
        </is>
      </c>
      <c r="AQ1487" t="inlineStr">
        <is>
          <t>No</t>
        </is>
      </c>
      <c r="AS1487">
        <f>HYPERLINK("https://creighton-primo.hosted.exlibrisgroup.com/primo-explore/search?tab=default_tab&amp;search_scope=EVERYTHING&amp;vid=01CRU&amp;lang=en_US&amp;offset=0&amp;query=any,contains,991000638729702656","Catalog Record")</f>
        <v/>
      </c>
      <c r="AT1487">
        <f>HYPERLINK("http://www.worldcat.org/oclc/12094396","WorldCat Record")</f>
        <v/>
      </c>
      <c r="AU1487" t="inlineStr">
        <is>
          <t>196543074:eng</t>
        </is>
      </c>
      <c r="AV1487" t="inlineStr">
        <is>
          <t>12094396</t>
        </is>
      </c>
      <c r="AW1487" t="inlineStr">
        <is>
          <t>991000638729702656</t>
        </is>
      </c>
      <c r="AX1487" t="inlineStr">
        <is>
          <t>991000638729702656</t>
        </is>
      </c>
      <c r="AY1487" t="inlineStr">
        <is>
          <t>2264907360002656</t>
        </is>
      </c>
      <c r="AZ1487" t="inlineStr">
        <is>
          <t>BOOK</t>
        </is>
      </c>
      <c r="BB1487" t="inlineStr">
        <is>
          <t>9780898595604</t>
        </is>
      </c>
      <c r="BC1487" t="inlineStr">
        <is>
          <t>32285000165356</t>
        </is>
      </c>
      <c r="BD1487" t="inlineStr">
        <is>
          <t>893508969</t>
        </is>
      </c>
    </row>
    <row r="1488">
      <c r="A1488" t="inlineStr">
        <is>
          <t>No</t>
        </is>
      </c>
      <c r="B1488" t="inlineStr">
        <is>
          <t>HQ536 .G534 1993</t>
        </is>
      </c>
      <c r="C1488" t="inlineStr">
        <is>
          <t>0                      HQ 0536000G  534         1993</t>
        </is>
      </c>
      <c r="D1488" t="inlineStr">
        <is>
          <t>Two careers, one family : the promise of gender equality / Lucia Albino Gilbert.</t>
        </is>
      </c>
      <c r="F1488" t="inlineStr">
        <is>
          <t>No</t>
        </is>
      </c>
      <c r="G1488" t="inlineStr">
        <is>
          <t>1</t>
        </is>
      </c>
      <c r="H1488" t="inlineStr">
        <is>
          <t>No</t>
        </is>
      </c>
      <c r="I1488" t="inlineStr">
        <is>
          <t>No</t>
        </is>
      </c>
      <c r="J1488" t="inlineStr">
        <is>
          <t>0</t>
        </is>
      </c>
      <c r="K1488" t="inlineStr">
        <is>
          <t>Gilbert, Lucia Albino.</t>
        </is>
      </c>
      <c r="L1488" t="inlineStr">
        <is>
          <t>Newbury Park, Calif. : Sage Publications, c1993.</t>
        </is>
      </c>
      <c r="M1488" t="inlineStr">
        <is>
          <t>1993</t>
        </is>
      </c>
      <c r="O1488" t="inlineStr">
        <is>
          <t>eng</t>
        </is>
      </c>
      <c r="P1488" t="inlineStr">
        <is>
          <t>cau</t>
        </is>
      </c>
      <c r="Q1488" t="inlineStr">
        <is>
          <t>Sage series on close relationships</t>
        </is>
      </c>
      <c r="R1488" t="inlineStr">
        <is>
          <t xml:space="preserve">HQ </t>
        </is>
      </c>
      <c r="S1488" t="n">
        <v>25</v>
      </c>
      <c r="T1488" t="n">
        <v>25</v>
      </c>
      <c r="U1488" t="inlineStr">
        <is>
          <t>2007-09-26</t>
        </is>
      </c>
      <c r="V1488" t="inlineStr">
        <is>
          <t>2007-09-26</t>
        </is>
      </c>
      <c r="W1488" t="inlineStr">
        <is>
          <t>1995-01-10</t>
        </is>
      </c>
      <c r="X1488" t="inlineStr">
        <is>
          <t>1995-01-10</t>
        </is>
      </c>
      <c r="Y1488" t="n">
        <v>537</v>
      </c>
      <c r="Z1488" t="n">
        <v>425</v>
      </c>
      <c r="AA1488" t="n">
        <v>426</v>
      </c>
      <c r="AB1488" t="n">
        <v>6</v>
      </c>
      <c r="AC1488" t="n">
        <v>6</v>
      </c>
      <c r="AD1488" t="n">
        <v>28</v>
      </c>
      <c r="AE1488" t="n">
        <v>28</v>
      </c>
      <c r="AF1488" t="n">
        <v>9</v>
      </c>
      <c r="AG1488" t="n">
        <v>9</v>
      </c>
      <c r="AH1488" t="n">
        <v>6</v>
      </c>
      <c r="AI1488" t="n">
        <v>6</v>
      </c>
      <c r="AJ1488" t="n">
        <v>15</v>
      </c>
      <c r="AK1488" t="n">
        <v>15</v>
      </c>
      <c r="AL1488" t="n">
        <v>5</v>
      </c>
      <c r="AM1488" t="n">
        <v>5</v>
      </c>
      <c r="AN1488" t="n">
        <v>0</v>
      </c>
      <c r="AO1488" t="n">
        <v>0</v>
      </c>
      <c r="AP1488" t="inlineStr">
        <is>
          <t>No</t>
        </is>
      </c>
      <c r="AQ1488" t="inlineStr">
        <is>
          <t>No</t>
        </is>
      </c>
      <c r="AS1488">
        <f>HYPERLINK("https://creighton-primo.hosted.exlibrisgroup.com/primo-explore/search?tab=default_tab&amp;search_scope=EVERYTHING&amp;vid=01CRU&amp;lang=en_US&amp;offset=0&amp;query=any,contains,991002113529702656","Catalog Record")</f>
        <v/>
      </c>
      <c r="AT1488">
        <f>HYPERLINK("http://www.worldcat.org/oclc/27071337","WorldCat Record")</f>
        <v/>
      </c>
      <c r="AU1488" t="inlineStr">
        <is>
          <t>836885001:eng</t>
        </is>
      </c>
      <c r="AV1488" t="inlineStr">
        <is>
          <t>27071337</t>
        </is>
      </c>
      <c r="AW1488" t="inlineStr">
        <is>
          <t>991002113529702656</t>
        </is>
      </c>
      <c r="AX1488" t="inlineStr">
        <is>
          <t>991002113529702656</t>
        </is>
      </c>
      <c r="AY1488" t="inlineStr">
        <is>
          <t>2271802530002656</t>
        </is>
      </c>
      <c r="AZ1488" t="inlineStr">
        <is>
          <t>BOOK</t>
        </is>
      </c>
      <c r="BB1488" t="inlineStr">
        <is>
          <t>9780803950726</t>
        </is>
      </c>
      <c r="BC1488" t="inlineStr">
        <is>
          <t>32285001992238</t>
        </is>
      </c>
      <c r="BD1488" t="inlineStr">
        <is>
          <t>893427222</t>
        </is>
      </c>
    </row>
    <row r="1489">
      <c r="A1489" t="inlineStr">
        <is>
          <t>No</t>
        </is>
      </c>
      <c r="B1489" t="inlineStr">
        <is>
          <t>HQ536 .G57</t>
        </is>
      </c>
      <c r="C1489" t="inlineStr">
        <is>
          <t>0                      HQ 0536000G  57</t>
        </is>
      </c>
      <c r="D1489" t="inlineStr">
        <is>
          <t>Public policy and the family : wives and mothers in the labor force / Z. I. Giraldo.</t>
        </is>
      </c>
      <c r="F1489" t="inlineStr">
        <is>
          <t>No</t>
        </is>
      </c>
      <c r="G1489" t="inlineStr">
        <is>
          <t>1</t>
        </is>
      </c>
      <c r="H1489" t="inlineStr">
        <is>
          <t>No</t>
        </is>
      </c>
      <c r="I1489" t="inlineStr">
        <is>
          <t>No</t>
        </is>
      </c>
      <c r="J1489" t="inlineStr">
        <is>
          <t>0</t>
        </is>
      </c>
      <c r="K1489" t="inlineStr">
        <is>
          <t>Giraldo, Z. I. (Zaida Irene), 1938-</t>
        </is>
      </c>
      <c r="L1489" t="inlineStr">
        <is>
          <t>Lexington, Mass. : LexingtonBooks, c1980.</t>
        </is>
      </c>
      <c r="M1489" t="inlineStr">
        <is>
          <t>1980</t>
        </is>
      </c>
      <c r="O1489" t="inlineStr">
        <is>
          <t>eng</t>
        </is>
      </c>
      <c r="P1489" t="inlineStr">
        <is>
          <t>mau</t>
        </is>
      </c>
      <c r="R1489" t="inlineStr">
        <is>
          <t xml:space="preserve">HQ </t>
        </is>
      </c>
      <c r="S1489" t="n">
        <v>2</v>
      </c>
      <c r="T1489" t="n">
        <v>2</v>
      </c>
      <c r="U1489" t="inlineStr">
        <is>
          <t>1993-10-09</t>
        </is>
      </c>
      <c r="V1489" t="inlineStr">
        <is>
          <t>1993-10-09</t>
        </is>
      </c>
      <c r="W1489" t="inlineStr">
        <is>
          <t>1990-03-28</t>
        </is>
      </c>
      <c r="X1489" t="inlineStr">
        <is>
          <t>1990-03-28</t>
        </is>
      </c>
      <c r="Y1489" t="n">
        <v>481</v>
      </c>
      <c r="Z1489" t="n">
        <v>412</v>
      </c>
      <c r="AA1489" t="n">
        <v>417</v>
      </c>
      <c r="AB1489" t="n">
        <v>2</v>
      </c>
      <c r="AC1489" t="n">
        <v>2</v>
      </c>
      <c r="AD1489" t="n">
        <v>15</v>
      </c>
      <c r="AE1489" t="n">
        <v>15</v>
      </c>
      <c r="AF1489" t="n">
        <v>5</v>
      </c>
      <c r="AG1489" t="n">
        <v>5</v>
      </c>
      <c r="AH1489" t="n">
        <v>5</v>
      </c>
      <c r="AI1489" t="n">
        <v>5</v>
      </c>
      <c r="AJ1489" t="n">
        <v>7</v>
      </c>
      <c r="AK1489" t="n">
        <v>7</v>
      </c>
      <c r="AL1489" t="n">
        <v>1</v>
      </c>
      <c r="AM1489" t="n">
        <v>1</v>
      </c>
      <c r="AN1489" t="n">
        <v>1</v>
      </c>
      <c r="AO1489" t="n">
        <v>1</v>
      </c>
      <c r="AP1489" t="inlineStr">
        <is>
          <t>No</t>
        </is>
      </c>
      <c r="AQ1489" t="inlineStr">
        <is>
          <t>No</t>
        </is>
      </c>
      <c r="AS1489">
        <f>HYPERLINK("https://creighton-primo.hosted.exlibrisgroup.com/primo-explore/search?tab=default_tab&amp;search_scope=EVERYTHING&amp;vid=01CRU&amp;lang=en_US&amp;offset=0&amp;query=any,contains,991004978699702656","Catalog Record")</f>
        <v/>
      </c>
      <c r="AT1489">
        <f>HYPERLINK("http://www.worldcat.org/oclc/6420691","WorldCat Record")</f>
        <v/>
      </c>
      <c r="AU1489" t="inlineStr">
        <is>
          <t>22190466:eng</t>
        </is>
      </c>
      <c r="AV1489" t="inlineStr">
        <is>
          <t>6420691</t>
        </is>
      </c>
      <c r="AW1489" t="inlineStr">
        <is>
          <t>991004978699702656</t>
        </is>
      </c>
      <c r="AX1489" t="inlineStr">
        <is>
          <t>991004978699702656</t>
        </is>
      </c>
      <c r="AY1489" t="inlineStr">
        <is>
          <t>2267093800002656</t>
        </is>
      </c>
      <c r="AZ1489" t="inlineStr">
        <is>
          <t>BOOK</t>
        </is>
      </c>
      <c r="BB1489" t="inlineStr">
        <is>
          <t>9780669037623</t>
        </is>
      </c>
      <c r="BC1489" t="inlineStr">
        <is>
          <t>32285000099902</t>
        </is>
      </c>
      <c r="BD1489" t="inlineStr">
        <is>
          <t>893895702</t>
        </is>
      </c>
    </row>
    <row r="1490">
      <c r="A1490" t="inlineStr">
        <is>
          <t>No</t>
        </is>
      </c>
      <c r="B1490" t="inlineStr">
        <is>
          <t>HQ536 .G78 1982</t>
        </is>
      </c>
      <c r="C1490" t="inlineStr">
        <is>
          <t>0                      HQ 0536000G  78          1982</t>
        </is>
      </c>
      <c r="D1490" t="inlineStr">
        <is>
          <t>Broken promises : how Americans fail their children / W. Norton Grubb, Marvin Lazerson.</t>
        </is>
      </c>
      <c r="F1490" t="inlineStr">
        <is>
          <t>No</t>
        </is>
      </c>
      <c r="G1490" t="inlineStr">
        <is>
          <t>1</t>
        </is>
      </c>
      <c r="H1490" t="inlineStr">
        <is>
          <t>No</t>
        </is>
      </c>
      <c r="I1490" t="inlineStr">
        <is>
          <t>No</t>
        </is>
      </c>
      <c r="J1490" t="inlineStr">
        <is>
          <t>0</t>
        </is>
      </c>
      <c r="K1490" t="inlineStr">
        <is>
          <t>Grubb, W. Norton.</t>
        </is>
      </c>
      <c r="L1490" t="inlineStr">
        <is>
          <t>New York : Basic Books, c1982.</t>
        </is>
      </c>
      <c r="M1490" t="inlineStr">
        <is>
          <t>1982</t>
        </is>
      </c>
      <c r="O1490" t="inlineStr">
        <is>
          <t>eng</t>
        </is>
      </c>
      <c r="P1490" t="inlineStr">
        <is>
          <t>nyu</t>
        </is>
      </c>
      <c r="R1490" t="inlineStr">
        <is>
          <t xml:space="preserve">HQ </t>
        </is>
      </c>
      <c r="S1490" t="n">
        <v>2</v>
      </c>
      <c r="T1490" t="n">
        <v>2</v>
      </c>
      <c r="U1490" t="inlineStr">
        <is>
          <t>1998-11-09</t>
        </is>
      </c>
      <c r="V1490" t="inlineStr">
        <is>
          <t>1998-11-09</t>
        </is>
      </c>
      <c r="W1490" t="inlineStr">
        <is>
          <t>1992-10-29</t>
        </is>
      </c>
      <c r="X1490" t="inlineStr">
        <is>
          <t>1992-10-29</t>
        </is>
      </c>
      <c r="Y1490" t="n">
        <v>670</v>
      </c>
      <c r="Z1490" t="n">
        <v>589</v>
      </c>
      <c r="AA1490" t="n">
        <v>707</v>
      </c>
      <c r="AB1490" t="n">
        <v>4</v>
      </c>
      <c r="AC1490" t="n">
        <v>5</v>
      </c>
      <c r="AD1490" t="n">
        <v>16</v>
      </c>
      <c r="AE1490" t="n">
        <v>22</v>
      </c>
      <c r="AF1490" t="n">
        <v>6</v>
      </c>
      <c r="AG1490" t="n">
        <v>9</v>
      </c>
      <c r="AH1490" t="n">
        <v>3</v>
      </c>
      <c r="AI1490" t="n">
        <v>4</v>
      </c>
      <c r="AJ1490" t="n">
        <v>11</v>
      </c>
      <c r="AK1490" t="n">
        <v>12</v>
      </c>
      <c r="AL1490" t="n">
        <v>2</v>
      </c>
      <c r="AM1490" t="n">
        <v>3</v>
      </c>
      <c r="AN1490" t="n">
        <v>0</v>
      </c>
      <c r="AO1490" t="n">
        <v>0</v>
      </c>
      <c r="AP1490" t="inlineStr">
        <is>
          <t>No</t>
        </is>
      </c>
      <c r="AQ1490" t="inlineStr">
        <is>
          <t>Yes</t>
        </is>
      </c>
      <c r="AR1490">
        <f>HYPERLINK("http://catalog.hathitrust.org/Record/000189779","HathiTrust Record")</f>
        <v/>
      </c>
      <c r="AS1490">
        <f>HYPERLINK("https://creighton-primo.hosted.exlibrisgroup.com/primo-explore/search?tab=default_tab&amp;search_scope=EVERYTHING&amp;vid=01CRU&amp;lang=en_US&amp;offset=0&amp;query=any,contains,991005245379702656","Catalog Record")</f>
        <v/>
      </c>
      <c r="AT1490">
        <f>HYPERLINK("http://www.worldcat.org/oclc/8452091","WorldCat Record")</f>
        <v/>
      </c>
      <c r="AU1490" t="inlineStr">
        <is>
          <t>487244:eng</t>
        </is>
      </c>
      <c r="AV1490" t="inlineStr">
        <is>
          <t>8452091</t>
        </is>
      </c>
      <c r="AW1490" t="inlineStr">
        <is>
          <t>991005245379702656</t>
        </is>
      </c>
      <c r="AX1490" t="inlineStr">
        <is>
          <t>991005245379702656</t>
        </is>
      </c>
      <c r="AY1490" t="inlineStr">
        <is>
          <t>2262951780002656</t>
        </is>
      </c>
      <c r="AZ1490" t="inlineStr">
        <is>
          <t>BOOK</t>
        </is>
      </c>
      <c r="BB1490" t="inlineStr">
        <is>
          <t>9780465007745</t>
        </is>
      </c>
      <c r="BC1490" t="inlineStr">
        <is>
          <t>32285001358729</t>
        </is>
      </c>
      <c r="BD1490" t="inlineStr">
        <is>
          <t>893707514</t>
        </is>
      </c>
    </row>
    <row r="1491">
      <c r="A1491" t="inlineStr">
        <is>
          <t>No</t>
        </is>
      </c>
      <c r="B1491" t="inlineStr">
        <is>
          <t>HQ536 .H319 2000</t>
        </is>
      </c>
      <c r="C1491" t="inlineStr">
        <is>
          <t>0                      HQ 0536000H  319         2000</t>
        </is>
      </c>
      <c r="D1491" t="inlineStr">
        <is>
          <t>Becoming a family : parents' stories and their implications for practice, policy, and research / Rena D. Harold, with Lisa G. Colarossi ... [et al.].</t>
        </is>
      </c>
      <c r="F1491" t="inlineStr">
        <is>
          <t>No</t>
        </is>
      </c>
      <c r="G1491" t="inlineStr">
        <is>
          <t>1</t>
        </is>
      </c>
      <c r="H1491" t="inlineStr">
        <is>
          <t>No</t>
        </is>
      </c>
      <c r="I1491" t="inlineStr">
        <is>
          <t>No</t>
        </is>
      </c>
      <c r="J1491" t="inlineStr">
        <is>
          <t>0</t>
        </is>
      </c>
      <c r="K1491" t="inlineStr">
        <is>
          <t>Harold, Rena D.</t>
        </is>
      </c>
      <c r="L1491" t="inlineStr">
        <is>
          <t>Mahwah, N.J. : Lawrence Erlbaum Associates, 2000.</t>
        </is>
      </c>
      <c r="M1491" t="inlineStr">
        <is>
          <t>2000</t>
        </is>
      </c>
      <c r="O1491" t="inlineStr">
        <is>
          <t>eng</t>
        </is>
      </c>
      <c r="P1491" t="inlineStr">
        <is>
          <t>nju</t>
        </is>
      </c>
      <c r="R1491" t="inlineStr">
        <is>
          <t xml:space="preserve">HQ </t>
        </is>
      </c>
      <c r="S1491" t="n">
        <v>2</v>
      </c>
      <c r="T1491" t="n">
        <v>2</v>
      </c>
      <c r="U1491" t="inlineStr">
        <is>
          <t>2008-04-04</t>
        </is>
      </c>
      <c r="V1491" t="inlineStr">
        <is>
          <t>2008-04-04</t>
        </is>
      </c>
      <c r="W1491" t="inlineStr">
        <is>
          <t>2001-11-06</t>
        </is>
      </c>
      <c r="X1491" t="inlineStr">
        <is>
          <t>2001-11-06</t>
        </is>
      </c>
      <c r="Y1491" t="n">
        <v>267</v>
      </c>
      <c r="Z1491" t="n">
        <v>230</v>
      </c>
      <c r="AA1491" t="n">
        <v>976</v>
      </c>
      <c r="AB1491" t="n">
        <v>3</v>
      </c>
      <c r="AC1491" t="n">
        <v>4</v>
      </c>
      <c r="AD1491" t="n">
        <v>9</v>
      </c>
      <c r="AE1491" t="n">
        <v>15</v>
      </c>
      <c r="AF1491" t="n">
        <v>2</v>
      </c>
      <c r="AG1491" t="n">
        <v>6</v>
      </c>
      <c r="AH1491" t="n">
        <v>3</v>
      </c>
      <c r="AI1491" t="n">
        <v>4</v>
      </c>
      <c r="AJ1491" t="n">
        <v>6</v>
      </c>
      <c r="AK1491" t="n">
        <v>6</v>
      </c>
      <c r="AL1491" t="n">
        <v>2</v>
      </c>
      <c r="AM1491" t="n">
        <v>3</v>
      </c>
      <c r="AN1491" t="n">
        <v>0</v>
      </c>
      <c r="AO1491" t="n">
        <v>0</v>
      </c>
      <c r="AP1491" t="inlineStr">
        <is>
          <t>No</t>
        </is>
      </c>
      <c r="AQ1491" t="inlineStr">
        <is>
          <t>No</t>
        </is>
      </c>
      <c r="AS1491">
        <f>HYPERLINK("https://creighton-primo.hosted.exlibrisgroup.com/primo-explore/search?tab=default_tab&amp;search_scope=EVERYTHING&amp;vid=01CRU&amp;lang=en_US&amp;offset=0&amp;query=any,contains,991003622699702656","Catalog Record")</f>
        <v/>
      </c>
      <c r="AT1491">
        <f>HYPERLINK("http://www.worldcat.org/oclc/43567357","WorldCat Record")</f>
        <v/>
      </c>
      <c r="AU1491" t="inlineStr">
        <is>
          <t>1001443:eng</t>
        </is>
      </c>
      <c r="AV1491" t="inlineStr">
        <is>
          <t>43567357</t>
        </is>
      </c>
      <c r="AW1491" t="inlineStr">
        <is>
          <t>991003622699702656</t>
        </is>
      </c>
      <c r="AX1491" t="inlineStr">
        <is>
          <t>991003622699702656</t>
        </is>
      </c>
      <c r="AY1491" t="inlineStr">
        <is>
          <t>2261987820002656</t>
        </is>
      </c>
      <c r="AZ1491" t="inlineStr">
        <is>
          <t>BOOK</t>
        </is>
      </c>
      <c r="BB1491" t="inlineStr">
        <is>
          <t>9780805819618</t>
        </is>
      </c>
      <c r="BC1491" t="inlineStr">
        <is>
          <t>32285004418405</t>
        </is>
      </c>
      <c r="BD1491" t="inlineStr">
        <is>
          <t>893793829</t>
        </is>
      </c>
    </row>
    <row r="1492">
      <c r="A1492" t="inlineStr">
        <is>
          <t>No</t>
        </is>
      </c>
      <c r="B1492" t="inlineStr">
        <is>
          <t>HQ536 .H325 1999</t>
        </is>
      </c>
      <c r="C1492" t="inlineStr">
        <is>
          <t>0                      HQ 0536000H  325         1999</t>
        </is>
      </c>
      <c r="D1492" t="inlineStr">
        <is>
          <t>Care and equality : inventing a new family politics / Mona Harrington.</t>
        </is>
      </c>
      <c r="F1492" t="inlineStr">
        <is>
          <t>No</t>
        </is>
      </c>
      <c r="G1492" t="inlineStr">
        <is>
          <t>1</t>
        </is>
      </c>
      <c r="H1492" t="inlineStr">
        <is>
          <t>No</t>
        </is>
      </c>
      <c r="I1492" t="inlineStr">
        <is>
          <t>No</t>
        </is>
      </c>
      <c r="J1492" t="inlineStr">
        <is>
          <t>0</t>
        </is>
      </c>
      <c r="K1492" t="inlineStr">
        <is>
          <t>Harrington, Mona, 1936-</t>
        </is>
      </c>
      <c r="L1492" t="inlineStr">
        <is>
          <t>New York : Knopf, 1999.</t>
        </is>
      </c>
      <c r="M1492" t="inlineStr">
        <is>
          <t>1999</t>
        </is>
      </c>
      <c r="N1492" t="inlineStr">
        <is>
          <t>1st ed.</t>
        </is>
      </c>
      <c r="O1492" t="inlineStr">
        <is>
          <t>eng</t>
        </is>
      </c>
      <c r="P1492" t="inlineStr">
        <is>
          <t>nyu</t>
        </is>
      </c>
      <c r="R1492" t="inlineStr">
        <is>
          <t xml:space="preserve">HQ </t>
        </is>
      </c>
      <c r="S1492" t="n">
        <v>1</v>
      </c>
      <c r="T1492" t="n">
        <v>1</v>
      </c>
      <c r="U1492" t="inlineStr">
        <is>
          <t>2002-04-25</t>
        </is>
      </c>
      <c r="V1492" t="inlineStr">
        <is>
          <t>2002-04-25</t>
        </is>
      </c>
      <c r="W1492" t="inlineStr">
        <is>
          <t>2000-03-08</t>
        </is>
      </c>
      <c r="X1492" t="inlineStr">
        <is>
          <t>2000-03-08</t>
        </is>
      </c>
      <c r="Y1492" t="n">
        <v>607</v>
      </c>
      <c r="Z1492" t="n">
        <v>559</v>
      </c>
      <c r="AA1492" t="n">
        <v>626</v>
      </c>
      <c r="AB1492" t="n">
        <v>5</v>
      </c>
      <c r="AC1492" t="n">
        <v>5</v>
      </c>
      <c r="AD1492" t="n">
        <v>25</v>
      </c>
      <c r="AE1492" t="n">
        <v>29</v>
      </c>
      <c r="AF1492" t="n">
        <v>7</v>
      </c>
      <c r="AG1492" t="n">
        <v>10</v>
      </c>
      <c r="AH1492" t="n">
        <v>6</v>
      </c>
      <c r="AI1492" t="n">
        <v>6</v>
      </c>
      <c r="AJ1492" t="n">
        <v>13</v>
      </c>
      <c r="AK1492" t="n">
        <v>15</v>
      </c>
      <c r="AL1492" t="n">
        <v>4</v>
      </c>
      <c r="AM1492" t="n">
        <v>4</v>
      </c>
      <c r="AN1492" t="n">
        <v>0</v>
      </c>
      <c r="AO1492" t="n">
        <v>0</v>
      </c>
      <c r="AP1492" t="inlineStr">
        <is>
          <t>No</t>
        </is>
      </c>
      <c r="AQ1492" t="inlineStr">
        <is>
          <t>Yes</t>
        </is>
      </c>
      <c r="AR1492">
        <f>HYPERLINK("http://catalog.hathitrust.org/Record/004048716","HathiTrust Record")</f>
        <v/>
      </c>
      <c r="AS1492">
        <f>HYPERLINK("https://creighton-primo.hosted.exlibrisgroup.com/primo-explore/search?tab=default_tab&amp;search_scope=EVERYTHING&amp;vid=01CRU&amp;lang=en_US&amp;offset=0&amp;query=any,contains,991002983149702656","Catalog Record")</f>
        <v/>
      </c>
      <c r="AT1492">
        <f>HYPERLINK("http://www.worldcat.org/oclc/40163466","WorldCat Record")</f>
        <v/>
      </c>
      <c r="AU1492" t="inlineStr">
        <is>
          <t>25227702:eng</t>
        </is>
      </c>
      <c r="AV1492" t="inlineStr">
        <is>
          <t>40163466</t>
        </is>
      </c>
      <c r="AW1492" t="inlineStr">
        <is>
          <t>991002983149702656</t>
        </is>
      </c>
      <c r="AX1492" t="inlineStr">
        <is>
          <t>991002983149702656</t>
        </is>
      </c>
      <c r="AY1492" t="inlineStr">
        <is>
          <t>2263862290002656</t>
        </is>
      </c>
      <c r="AZ1492" t="inlineStr">
        <is>
          <t>BOOK</t>
        </is>
      </c>
      <c r="BB1492" t="inlineStr">
        <is>
          <t>9780375400155</t>
        </is>
      </c>
      <c r="BC1492" t="inlineStr">
        <is>
          <t>32285003667812</t>
        </is>
      </c>
      <c r="BD1492" t="inlineStr">
        <is>
          <t>893335994</t>
        </is>
      </c>
    </row>
    <row r="1493">
      <c r="A1493" t="inlineStr">
        <is>
          <t>No</t>
        </is>
      </c>
      <c r="B1493" t="inlineStr">
        <is>
          <t>HQ536 .H64 1983</t>
        </is>
      </c>
      <c r="C1493" t="inlineStr">
        <is>
          <t>0                      HQ 0536000H  64          1983</t>
        </is>
      </c>
      <c r="D1493" t="inlineStr">
        <is>
          <t>Becoming a two-job family / Jane C. Hood.</t>
        </is>
      </c>
      <c r="F1493" t="inlineStr">
        <is>
          <t>No</t>
        </is>
      </c>
      <c r="G1493" t="inlineStr">
        <is>
          <t>1</t>
        </is>
      </c>
      <c r="H1493" t="inlineStr">
        <is>
          <t>No</t>
        </is>
      </c>
      <c r="I1493" t="inlineStr">
        <is>
          <t>No</t>
        </is>
      </c>
      <c r="J1493" t="inlineStr">
        <is>
          <t>0</t>
        </is>
      </c>
      <c r="K1493" t="inlineStr">
        <is>
          <t>Hood, Jane C.</t>
        </is>
      </c>
      <c r="L1493" t="inlineStr">
        <is>
          <t>New York, NY : Praeger, 1983.</t>
        </is>
      </c>
      <c r="M1493" t="inlineStr">
        <is>
          <t>1983</t>
        </is>
      </c>
      <c r="O1493" t="inlineStr">
        <is>
          <t>eng</t>
        </is>
      </c>
      <c r="P1493" t="inlineStr">
        <is>
          <t>nyu</t>
        </is>
      </c>
      <c r="R1493" t="inlineStr">
        <is>
          <t xml:space="preserve">HQ </t>
        </is>
      </c>
      <c r="S1493" t="n">
        <v>10</v>
      </c>
      <c r="T1493" t="n">
        <v>10</v>
      </c>
      <c r="U1493" t="inlineStr">
        <is>
          <t>1997-05-03</t>
        </is>
      </c>
      <c r="V1493" t="inlineStr">
        <is>
          <t>1997-05-03</t>
        </is>
      </c>
      <c r="W1493" t="inlineStr">
        <is>
          <t>1992-03-01</t>
        </is>
      </c>
      <c r="X1493" t="inlineStr">
        <is>
          <t>1992-03-01</t>
        </is>
      </c>
      <c r="Y1493" t="n">
        <v>536</v>
      </c>
      <c r="Z1493" t="n">
        <v>463</v>
      </c>
      <c r="AA1493" t="n">
        <v>465</v>
      </c>
      <c r="AB1493" t="n">
        <v>5</v>
      </c>
      <c r="AC1493" t="n">
        <v>5</v>
      </c>
      <c r="AD1493" t="n">
        <v>22</v>
      </c>
      <c r="AE1493" t="n">
        <v>22</v>
      </c>
      <c r="AF1493" t="n">
        <v>8</v>
      </c>
      <c r="AG1493" t="n">
        <v>8</v>
      </c>
      <c r="AH1493" t="n">
        <v>5</v>
      </c>
      <c r="AI1493" t="n">
        <v>5</v>
      </c>
      <c r="AJ1493" t="n">
        <v>12</v>
      </c>
      <c r="AK1493" t="n">
        <v>12</v>
      </c>
      <c r="AL1493" t="n">
        <v>4</v>
      </c>
      <c r="AM1493" t="n">
        <v>4</v>
      </c>
      <c r="AN1493" t="n">
        <v>0</v>
      </c>
      <c r="AO1493" t="n">
        <v>0</v>
      </c>
      <c r="AP1493" t="inlineStr">
        <is>
          <t>No</t>
        </is>
      </c>
      <c r="AQ1493" t="inlineStr">
        <is>
          <t>Yes</t>
        </is>
      </c>
      <c r="AR1493">
        <f>HYPERLINK("http://catalog.hathitrust.org/Record/000204152","HathiTrust Record")</f>
        <v/>
      </c>
      <c r="AS1493">
        <f>HYPERLINK("https://creighton-primo.hosted.exlibrisgroup.com/primo-explore/search?tab=default_tab&amp;search_scope=EVERYTHING&amp;vid=01CRU&amp;lang=en_US&amp;offset=0&amp;query=any,contains,991000296609702656","Catalog Record")</f>
        <v/>
      </c>
      <c r="AT1493">
        <f>HYPERLINK("http://www.worldcat.org/oclc/10017522","WorldCat Record")</f>
        <v/>
      </c>
      <c r="AU1493" t="inlineStr">
        <is>
          <t>2985595:eng</t>
        </is>
      </c>
      <c r="AV1493" t="inlineStr">
        <is>
          <t>10017522</t>
        </is>
      </c>
      <c r="AW1493" t="inlineStr">
        <is>
          <t>991000296609702656</t>
        </is>
      </c>
      <c r="AX1493" t="inlineStr">
        <is>
          <t>991000296609702656</t>
        </is>
      </c>
      <c r="AY1493" t="inlineStr">
        <is>
          <t>2271833230002656</t>
        </is>
      </c>
      <c r="AZ1493" t="inlineStr">
        <is>
          <t>BOOK</t>
        </is>
      </c>
      <c r="BB1493" t="inlineStr">
        <is>
          <t>9780030636387</t>
        </is>
      </c>
      <c r="BC1493" t="inlineStr">
        <is>
          <t>32285000979350</t>
        </is>
      </c>
      <c r="BD1493" t="inlineStr">
        <is>
          <t>893527948</t>
        </is>
      </c>
    </row>
    <row r="1494">
      <c r="A1494" t="inlineStr">
        <is>
          <t>No</t>
        </is>
      </c>
      <c r="B1494" t="inlineStr">
        <is>
          <t>HQ536 .I5 1986</t>
        </is>
      </c>
      <c r="C1494" t="inlineStr">
        <is>
          <t>0                      HQ 0536000I  5           1986</t>
        </is>
      </c>
      <c r="D1494" t="inlineStr">
        <is>
          <t>In support of families / edited by Michael W. Yogman and T. Berry Brazelton.</t>
        </is>
      </c>
      <c r="F1494" t="inlineStr">
        <is>
          <t>No</t>
        </is>
      </c>
      <c r="G1494" t="inlineStr">
        <is>
          <t>1</t>
        </is>
      </c>
      <c r="H1494" t="inlineStr">
        <is>
          <t>No</t>
        </is>
      </c>
      <c r="I1494" t="inlineStr">
        <is>
          <t>No</t>
        </is>
      </c>
      <c r="J1494" t="inlineStr">
        <is>
          <t>0</t>
        </is>
      </c>
      <c r="L1494" t="inlineStr">
        <is>
          <t>Cambridge, Mass. : Harvard University Press, 1986.</t>
        </is>
      </c>
      <c r="M1494" t="inlineStr">
        <is>
          <t>1986</t>
        </is>
      </c>
      <c r="O1494" t="inlineStr">
        <is>
          <t>eng</t>
        </is>
      </c>
      <c r="P1494" t="inlineStr">
        <is>
          <t>mau</t>
        </is>
      </c>
      <c r="R1494" t="inlineStr">
        <is>
          <t xml:space="preserve">HQ </t>
        </is>
      </c>
      <c r="S1494" t="n">
        <v>5</v>
      </c>
      <c r="T1494" t="n">
        <v>5</v>
      </c>
      <c r="U1494" t="inlineStr">
        <is>
          <t>1996-07-01</t>
        </is>
      </c>
      <c r="V1494" t="inlineStr">
        <is>
          <t>1996-07-01</t>
        </is>
      </c>
      <c r="W1494" t="inlineStr">
        <is>
          <t>1992-06-10</t>
        </is>
      </c>
      <c r="X1494" t="inlineStr">
        <is>
          <t>1992-06-10</t>
        </is>
      </c>
      <c r="Y1494" t="n">
        <v>817</v>
      </c>
      <c r="Z1494" t="n">
        <v>708</v>
      </c>
      <c r="AA1494" t="n">
        <v>716</v>
      </c>
      <c r="AB1494" t="n">
        <v>3</v>
      </c>
      <c r="AC1494" t="n">
        <v>3</v>
      </c>
      <c r="AD1494" t="n">
        <v>20</v>
      </c>
      <c r="AE1494" t="n">
        <v>20</v>
      </c>
      <c r="AF1494" t="n">
        <v>7</v>
      </c>
      <c r="AG1494" t="n">
        <v>7</v>
      </c>
      <c r="AH1494" t="n">
        <v>5</v>
      </c>
      <c r="AI1494" t="n">
        <v>5</v>
      </c>
      <c r="AJ1494" t="n">
        <v>9</v>
      </c>
      <c r="AK1494" t="n">
        <v>9</v>
      </c>
      <c r="AL1494" t="n">
        <v>2</v>
      </c>
      <c r="AM1494" t="n">
        <v>2</v>
      </c>
      <c r="AN1494" t="n">
        <v>0</v>
      </c>
      <c r="AO1494" t="n">
        <v>0</v>
      </c>
      <c r="AP1494" t="inlineStr">
        <is>
          <t>No</t>
        </is>
      </c>
      <c r="AQ1494" t="inlineStr">
        <is>
          <t>Yes</t>
        </is>
      </c>
      <c r="AR1494">
        <f>HYPERLINK("http://catalog.hathitrust.org/Record/000556296","HathiTrust Record")</f>
        <v/>
      </c>
      <c r="AS1494">
        <f>HYPERLINK("https://creighton-primo.hosted.exlibrisgroup.com/primo-explore/search?tab=default_tab&amp;search_scope=EVERYTHING&amp;vid=01CRU&amp;lang=en_US&amp;offset=0&amp;query=any,contains,991000836929702656","Catalog Record")</f>
        <v/>
      </c>
      <c r="AT1494">
        <f>HYPERLINK("http://www.worldcat.org/oclc/13498118","WorldCat Record")</f>
        <v/>
      </c>
      <c r="AU1494" t="inlineStr">
        <is>
          <t>350093344:eng</t>
        </is>
      </c>
      <c r="AV1494" t="inlineStr">
        <is>
          <t>13498118</t>
        </is>
      </c>
      <c r="AW1494" t="inlineStr">
        <is>
          <t>991000836929702656</t>
        </is>
      </c>
      <c r="AX1494" t="inlineStr">
        <is>
          <t>991000836929702656</t>
        </is>
      </c>
      <c r="AY1494" t="inlineStr">
        <is>
          <t>2263931730002656</t>
        </is>
      </c>
      <c r="AZ1494" t="inlineStr">
        <is>
          <t>BOOK</t>
        </is>
      </c>
      <c r="BB1494" t="inlineStr">
        <is>
          <t>9780674447356</t>
        </is>
      </c>
      <c r="BC1494" t="inlineStr">
        <is>
          <t>32285001099133</t>
        </is>
      </c>
      <c r="BD1494" t="inlineStr">
        <is>
          <t>893351674</t>
        </is>
      </c>
    </row>
    <row r="1495">
      <c r="A1495" t="inlineStr">
        <is>
          <t>No</t>
        </is>
      </c>
      <c r="B1495" t="inlineStr">
        <is>
          <t>HQ536 .J36 1992</t>
        </is>
      </c>
      <c r="C1495" t="inlineStr">
        <is>
          <t>0                      HQ 0536000J  36          1992</t>
        </is>
      </c>
      <c r="D1495" t="inlineStr">
        <is>
          <t>Family life : process and practice / Ellen Janosik, Elta Green.</t>
        </is>
      </c>
      <c r="F1495" t="inlineStr">
        <is>
          <t>No</t>
        </is>
      </c>
      <c r="G1495" t="inlineStr">
        <is>
          <t>1</t>
        </is>
      </c>
      <c r="H1495" t="inlineStr">
        <is>
          <t>No</t>
        </is>
      </c>
      <c r="I1495" t="inlineStr">
        <is>
          <t>No</t>
        </is>
      </c>
      <c r="J1495" t="inlineStr">
        <is>
          <t>0</t>
        </is>
      </c>
      <c r="K1495" t="inlineStr">
        <is>
          <t>Janosik, Ellen Hastings.</t>
        </is>
      </c>
      <c r="L1495" t="inlineStr">
        <is>
          <t>Boston : Jones and Bartlett, c1992.</t>
        </is>
      </c>
      <c r="M1495" t="inlineStr">
        <is>
          <t>1992</t>
        </is>
      </c>
      <c r="O1495" t="inlineStr">
        <is>
          <t>eng</t>
        </is>
      </c>
      <c r="P1495" t="inlineStr">
        <is>
          <t>mau</t>
        </is>
      </c>
      <c r="Q1495" t="inlineStr">
        <is>
          <t>The Jones and Bartlett series in nursing</t>
        </is>
      </c>
      <c r="R1495" t="inlineStr">
        <is>
          <t xml:space="preserve">HQ </t>
        </is>
      </c>
      <c r="S1495" t="n">
        <v>15</v>
      </c>
      <c r="T1495" t="n">
        <v>15</v>
      </c>
      <c r="U1495" t="inlineStr">
        <is>
          <t>2000-02-01</t>
        </is>
      </c>
      <c r="V1495" t="inlineStr">
        <is>
          <t>2000-02-01</t>
        </is>
      </c>
      <c r="W1495" t="inlineStr">
        <is>
          <t>1992-08-04</t>
        </is>
      </c>
      <c r="X1495" t="inlineStr">
        <is>
          <t>1992-08-04</t>
        </is>
      </c>
      <c r="Y1495" t="n">
        <v>332</v>
      </c>
      <c r="Z1495" t="n">
        <v>292</v>
      </c>
      <c r="AA1495" t="n">
        <v>299</v>
      </c>
      <c r="AB1495" t="n">
        <v>1</v>
      </c>
      <c r="AC1495" t="n">
        <v>1</v>
      </c>
      <c r="AD1495" t="n">
        <v>15</v>
      </c>
      <c r="AE1495" t="n">
        <v>15</v>
      </c>
      <c r="AF1495" t="n">
        <v>12</v>
      </c>
      <c r="AG1495" t="n">
        <v>12</v>
      </c>
      <c r="AH1495" t="n">
        <v>2</v>
      </c>
      <c r="AI1495" t="n">
        <v>2</v>
      </c>
      <c r="AJ1495" t="n">
        <v>7</v>
      </c>
      <c r="AK1495" t="n">
        <v>7</v>
      </c>
      <c r="AL1495" t="n">
        <v>0</v>
      </c>
      <c r="AM1495" t="n">
        <v>0</v>
      </c>
      <c r="AN1495" t="n">
        <v>0</v>
      </c>
      <c r="AO1495" t="n">
        <v>0</v>
      </c>
      <c r="AP1495" t="inlineStr">
        <is>
          <t>No</t>
        </is>
      </c>
      <c r="AQ1495" t="inlineStr">
        <is>
          <t>Yes</t>
        </is>
      </c>
      <c r="AR1495">
        <f>HYPERLINK("http://catalog.hathitrust.org/Record/002607716","HathiTrust Record")</f>
        <v/>
      </c>
      <c r="AS1495">
        <f>HYPERLINK("https://creighton-primo.hosted.exlibrisgroup.com/primo-explore/search?tab=default_tab&amp;search_scope=EVERYTHING&amp;vid=01CRU&amp;lang=en_US&amp;offset=0&amp;query=any,contains,991001923539702656","Catalog Record")</f>
        <v/>
      </c>
      <c r="AT1495">
        <f>HYPERLINK("http://www.worldcat.org/oclc/24286627","WorldCat Record")</f>
        <v/>
      </c>
      <c r="AU1495" t="inlineStr">
        <is>
          <t>908029660:eng</t>
        </is>
      </c>
      <c r="AV1495" t="inlineStr">
        <is>
          <t>24286627</t>
        </is>
      </c>
      <c r="AW1495" t="inlineStr">
        <is>
          <t>991001923539702656</t>
        </is>
      </c>
      <c r="AX1495" t="inlineStr">
        <is>
          <t>991001923539702656</t>
        </is>
      </c>
      <c r="AY1495" t="inlineStr">
        <is>
          <t>2268030880002656</t>
        </is>
      </c>
      <c r="AZ1495" t="inlineStr">
        <is>
          <t>BOOK</t>
        </is>
      </c>
      <c r="BB1495" t="inlineStr">
        <is>
          <t>9780867203189</t>
        </is>
      </c>
      <c r="BC1495" t="inlineStr">
        <is>
          <t>32285001196178</t>
        </is>
      </c>
      <c r="BD1495" t="inlineStr">
        <is>
          <t>893684763</t>
        </is>
      </c>
    </row>
    <row r="1496">
      <c r="A1496" t="inlineStr">
        <is>
          <t>No</t>
        </is>
      </c>
      <c r="B1496" t="inlineStr">
        <is>
          <t>HQ536 .J48 1988</t>
        </is>
      </c>
      <c r="C1496" t="inlineStr">
        <is>
          <t>0                      HQ 0536000J  48          1988</t>
        </is>
      </c>
      <c r="D1496" t="inlineStr">
        <is>
          <t>Survival of the black family : the institutional impact of U.S. social policy / K. Sue Jewell.</t>
        </is>
      </c>
      <c r="F1496" t="inlineStr">
        <is>
          <t>No</t>
        </is>
      </c>
      <c r="G1496" t="inlineStr">
        <is>
          <t>1</t>
        </is>
      </c>
      <c r="H1496" t="inlineStr">
        <is>
          <t>No</t>
        </is>
      </c>
      <c r="I1496" t="inlineStr">
        <is>
          <t>No</t>
        </is>
      </c>
      <c r="J1496" t="inlineStr">
        <is>
          <t>0</t>
        </is>
      </c>
      <c r="K1496" t="inlineStr">
        <is>
          <t>Jewell, K. Sue.</t>
        </is>
      </c>
      <c r="L1496" t="inlineStr">
        <is>
          <t>New York : Praeger, 1988.</t>
        </is>
      </c>
      <c r="M1496" t="inlineStr">
        <is>
          <t>1988</t>
        </is>
      </c>
      <c r="O1496" t="inlineStr">
        <is>
          <t>eng</t>
        </is>
      </c>
      <c r="P1496" t="inlineStr">
        <is>
          <t>nyu</t>
        </is>
      </c>
      <c r="R1496" t="inlineStr">
        <is>
          <t xml:space="preserve">HQ </t>
        </is>
      </c>
      <c r="S1496" t="n">
        <v>5</v>
      </c>
      <c r="T1496" t="n">
        <v>5</v>
      </c>
      <c r="U1496" t="inlineStr">
        <is>
          <t>1999-10-04</t>
        </is>
      </c>
      <c r="V1496" t="inlineStr">
        <is>
          <t>1999-10-04</t>
        </is>
      </c>
      <c r="W1496" t="inlineStr">
        <is>
          <t>1991-12-09</t>
        </is>
      </c>
      <c r="X1496" t="inlineStr">
        <is>
          <t>1991-12-09</t>
        </is>
      </c>
      <c r="Y1496" t="n">
        <v>609</v>
      </c>
      <c r="Z1496" t="n">
        <v>569</v>
      </c>
      <c r="AA1496" t="n">
        <v>580</v>
      </c>
      <c r="AB1496" t="n">
        <v>3</v>
      </c>
      <c r="AC1496" t="n">
        <v>3</v>
      </c>
      <c r="AD1496" t="n">
        <v>24</v>
      </c>
      <c r="AE1496" t="n">
        <v>24</v>
      </c>
      <c r="AF1496" t="n">
        <v>8</v>
      </c>
      <c r="AG1496" t="n">
        <v>8</v>
      </c>
      <c r="AH1496" t="n">
        <v>5</v>
      </c>
      <c r="AI1496" t="n">
        <v>5</v>
      </c>
      <c r="AJ1496" t="n">
        <v>15</v>
      </c>
      <c r="AK1496" t="n">
        <v>15</v>
      </c>
      <c r="AL1496" t="n">
        <v>2</v>
      </c>
      <c r="AM1496" t="n">
        <v>2</v>
      </c>
      <c r="AN1496" t="n">
        <v>0</v>
      </c>
      <c r="AO1496" t="n">
        <v>0</v>
      </c>
      <c r="AP1496" t="inlineStr">
        <is>
          <t>No</t>
        </is>
      </c>
      <c r="AQ1496" t="inlineStr">
        <is>
          <t>Yes</t>
        </is>
      </c>
      <c r="AR1496">
        <f>HYPERLINK("http://catalog.hathitrust.org/Record/001082353","HathiTrust Record")</f>
        <v/>
      </c>
      <c r="AS1496">
        <f>HYPERLINK("https://creighton-primo.hosted.exlibrisgroup.com/primo-explore/search?tab=default_tab&amp;search_scope=EVERYTHING&amp;vid=01CRU&amp;lang=en_US&amp;offset=0&amp;query=any,contains,991001214559702656","Catalog Record")</f>
        <v/>
      </c>
      <c r="AT1496">
        <f>HYPERLINK("http://www.worldcat.org/oclc/17413153","WorldCat Record")</f>
        <v/>
      </c>
      <c r="AU1496" t="inlineStr">
        <is>
          <t>669772:eng</t>
        </is>
      </c>
      <c r="AV1496" t="inlineStr">
        <is>
          <t>17413153</t>
        </is>
      </c>
      <c r="AW1496" t="inlineStr">
        <is>
          <t>991001214559702656</t>
        </is>
      </c>
      <c r="AX1496" t="inlineStr">
        <is>
          <t>991001214559702656</t>
        </is>
      </c>
      <c r="AY1496" t="inlineStr">
        <is>
          <t>2265045330002656</t>
        </is>
      </c>
      <c r="AZ1496" t="inlineStr">
        <is>
          <t>BOOK</t>
        </is>
      </c>
      <c r="BB1496" t="inlineStr">
        <is>
          <t>9780275929855</t>
        </is>
      </c>
      <c r="BC1496" t="inlineStr">
        <is>
          <t>32285000829365</t>
        </is>
      </c>
      <c r="BD1496" t="inlineStr">
        <is>
          <t>893420173</t>
        </is>
      </c>
    </row>
    <row r="1497">
      <c r="A1497" t="inlineStr">
        <is>
          <t>No</t>
        </is>
      </c>
      <c r="B1497" t="inlineStr">
        <is>
          <t>HQ536 .K33</t>
        </is>
      </c>
      <c r="C1497" t="inlineStr">
        <is>
          <t>0                      HQ 0536000K  33</t>
        </is>
      </c>
      <c r="D1497" t="inlineStr">
        <is>
          <t>Helping America's families / Alfred J. Kahn and Sheila B. Kamerman.</t>
        </is>
      </c>
      <c r="F1497" t="inlineStr">
        <is>
          <t>No</t>
        </is>
      </c>
      <c r="G1497" t="inlineStr">
        <is>
          <t>1</t>
        </is>
      </c>
      <c r="H1497" t="inlineStr">
        <is>
          <t>No</t>
        </is>
      </c>
      <c r="I1497" t="inlineStr">
        <is>
          <t>No</t>
        </is>
      </c>
      <c r="J1497" t="inlineStr">
        <is>
          <t>0</t>
        </is>
      </c>
      <c r="K1497" t="inlineStr">
        <is>
          <t>Kahn, Alfred J., 1919-2009.</t>
        </is>
      </c>
      <c r="L1497" t="inlineStr">
        <is>
          <t>Philadelphia : Temple University Press, 1982.</t>
        </is>
      </c>
      <c r="M1497" t="inlineStr">
        <is>
          <t>1982</t>
        </is>
      </c>
      <c r="O1497" t="inlineStr">
        <is>
          <t>eng</t>
        </is>
      </c>
      <c r="P1497" t="inlineStr">
        <is>
          <t>pau</t>
        </is>
      </c>
      <c r="R1497" t="inlineStr">
        <is>
          <t xml:space="preserve">HQ </t>
        </is>
      </c>
      <c r="S1497" t="n">
        <v>2</v>
      </c>
      <c r="T1497" t="n">
        <v>2</v>
      </c>
      <c r="U1497" t="inlineStr">
        <is>
          <t>1993-10-09</t>
        </is>
      </c>
      <c r="V1497" t="inlineStr">
        <is>
          <t>1993-10-09</t>
        </is>
      </c>
      <c r="W1497" t="inlineStr">
        <is>
          <t>1992-10-29</t>
        </is>
      </c>
      <c r="X1497" t="inlineStr">
        <is>
          <t>1992-10-29</t>
        </is>
      </c>
      <c r="Y1497" t="n">
        <v>380</v>
      </c>
      <c r="Z1497" t="n">
        <v>345</v>
      </c>
      <c r="AA1497" t="n">
        <v>350</v>
      </c>
      <c r="AB1497" t="n">
        <v>3</v>
      </c>
      <c r="AC1497" t="n">
        <v>3</v>
      </c>
      <c r="AD1497" t="n">
        <v>17</v>
      </c>
      <c r="AE1497" t="n">
        <v>17</v>
      </c>
      <c r="AF1497" t="n">
        <v>7</v>
      </c>
      <c r="AG1497" t="n">
        <v>7</v>
      </c>
      <c r="AH1497" t="n">
        <v>4</v>
      </c>
      <c r="AI1497" t="n">
        <v>4</v>
      </c>
      <c r="AJ1497" t="n">
        <v>10</v>
      </c>
      <c r="AK1497" t="n">
        <v>10</v>
      </c>
      <c r="AL1497" t="n">
        <v>2</v>
      </c>
      <c r="AM1497" t="n">
        <v>2</v>
      </c>
      <c r="AN1497" t="n">
        <v>0</v>
      </c>
      <c r="AO1497" t="n">
        <v>0</v>
      </c>
      <c r="AP1497" t="inlineStr">
        <is>
          <t>No</t>
        </is>
      </c>
      <c r="AQ1497" t="inlineStr">
        <is>
          <t>No</t>
        </is>
      </c>
      <c r="AS1497">
        <f>HYPERLINK("https://creighton-primo.hosted.exlibrisgroup.com/primo-explore/search?tab=default_tab&amp;search_scope=EVERYTHING&amp;vid=01CRU&amp;lang=en_US&amp;offset=0&amp;query=any,contains,991005163819702656","Catalog Record")</f>
        <v/>
      </c>
      <c r="AT1497">
        <f>HYPERLINK("http://www.worldcat.org/oclc/7812299","WorldCat Record")</f>
        <v/>
      </c>
      <c r="AU1497" t="inlineStr">
        <is>
          <t>535765:eng</t>
        </is>
      </c>
      <c r="AV1497" t="inlineStr">
        <is>
          <t>7812299</t>
        </is>
      </c>
      <c r="AW1497" t="inlineStr">
        <is>
          <t>991005163819702656</t>
        </is>
      </c>
      <c r="AX1497" t="inlineStr">
        <is>
          <t>991005163819702656</t>
        </is>
      </c>
      <c r="AY1497" t="inlineStr">
        <is>
          <t>2254903590002656</t>
        </is>
      </c>
      <c r="AZ1497" t="inlineStr">
        <is>
          <t>BOOK</t>
        </is>
      </c>
      <c r="BB1497" t="inlineStr">
        <is>
          <t>9780877222125</t>
        </is>
      </c>
      <c r="BC1497" t="inlineStr">
        <is>
          <t>32285001358737</t>
        </is>
      </c>
      <c r="BD1497" t="inlineStr">
        <is>
          <t>893701120</t>
        </is>
      </c>
    </row>
    <row r="1498">
      <c r="A1498" t="inlineStr">
        <is>
          <t>No</t>
        </is>
      </c>
      <c r="B1498" t="inlineStr">
        <is>
          <t>HQ536 .K43</t>
        </is>
      </c>
      <c r="C1498" t="inlineStr">
        <is>
          <t>0                      HQ 0536000K  43</t>
        </is>
      </c>
      <c r="D1498" t="inlineStr">
        <is>
          <t>All our children : the American family under pressure / by Kenneth Keniston and the Carnegie Council on Children.</t>
        </is>
      </c>
      <c r="F1498" t="inlineStr">
        <is>
          <t>No</t>
        </is>
      </c>
      <c r="G1498" t="inlineStr">
        <is>
          <t>1</t>
        </is>
      </c>
      <c r="H1498" t="inlineStr">
        <is>
          <t>No</t>
        </is>
      </c>
      <c r="I1498" t="inlineStr">
        <is>
          <t>No</t>
        </is>
      </c>
      <c r="J1498" t="inlineStr">
        <is>
          <t>0</t>
        </is>
      </c>
      <c r="K1498" t="inlineStr">
        <is>
          <t>Keniston, Kenneth.</t>
        </is>
      </c>
      <c r="L1498" t="inlineStr">
        <is>
          <t>New York : Harcourt Brace Jovanovich, c1977.</t>
        </is>
      </c>
      <c r="M1498" t="inlineStr">
        <is>
          <t>1977</t>
        </is>
      </c>
      <c r="N1498" t="inlineStr">
        <is>
          <t>1st ed.</t>
        </is>
      </c>
      <c r="O1498" t="inlineStr">
        <is>
          <t>eng</t>
        </is>
      </c>
      <c r="P1498" t="inlineStr">
        <is>
          <t>nyu</t>
        </is>
      </c>
      <c r="R1498" t="inlineStr">
        <is>
          <t xml:space="preserve">HQ </t>
        </is>
      </c>
      <c r="S1498" t="n">
        <v>1</v>
      </c>
      <c r="T1498" t="n">
        <v>1</v>
      </c>
      <c r="U1498" t="inlineStr">
        <is>
          <t>1994-11-14</t>
        </is>
      </c>
      <c r="V1498" t="inlineStr">
        <is>
          <t>1994-11-14</t>
        </is>
      </c>
      <c r="W1498" t="inlineStr">
        <is>
          <t>1992-03-03</t>
        </is>
      </c>
      <c r="X1498" t="inlineStr">
        <is>
          <t>1992-03-03</t>
        </is>
      </c>
      <c r="Y1498" t="n">
        <v>1222</v>
      </c>
      <c r="Z1498" t="n">
        <v>1099</v>
      </c>
      <c r="AA1498" t="n">
        <v>1281</v>
      </c>
      <c r="AB1498" t="n">
        <v>8</v>
      </c>
      <c r="AC1498" t="n">
        <v>9</v>
      </c>
      <c r="AD1498" t="n">
        <v>36</v>
      </c>
      <c r="AE1498" t="n">
        <v>39</v>
      </c>
      <c r="AF1498" t="n">
        <v>11</v>
      </c>
      <c r="AG1498" t="n">
        <v>11</v>
      </c>
      <c r="AH1498" t="n">
        <v>6</v>
      </c>
      <c r="AI1498" t="n">
        <v>6</v>
      </c>
      <c r="AJ1498" t="n">
        <v>18</v>
      </c>
      <c r="AK1498" t="n">
        <v>20</v>
      </c>
      <c r="AL1498" t="n">
        <v>5</v>
      </c>
      <c r="AM1498" t="n">
        <v>6</v>
      </c>
      <c r="AN1498" t="n">
        <v>5</v>
      </c>
      <c r="AO1498" t="n">
        <v>5</v>
      </c>
      <c r="AP1498" t="inlineStr">
        <is>
          <t>No</t>
        </is>
      </c>
      <c r="AQ1498" t="inlineStr">
        <is>
          <t>Yes</t>
        </is>
      </c>
      <c r="AR1498">
        <f>HYPERLINK("http://catalog.hathitrust.org/Record/000251116","HathiTrust Record")</f>
        <v/>
      </c>
      <c r="AS1498">
        <f>HYPERLINK("https://creighton-primo.hosted.exlibrisgroup.com/primo-explore/search?tab=default_tab&amp;search_scope=EVERYTHING&amp;vid=01CRU&amp;lang=en_US&amp;offset=0&amp;query=any,contains,991004312999702656","Catalog Record")</f>
        <v/>
      </c>
      <c r="AT1498">
        <f>HYPERLINK("http://www.worldcat.org/oclc/3001959","WorldCat Record")</f>
        <v/>
      </c>
      <c r="AU1498" t="inlineStr">
        <is>
          <t>413952:eng</t>
        </is>
      </c>
      <c r="AV1498" t="inlineStr">
        <is>
          <t>3001959</t>
        </is>
      </c>
      <c r="AW1498" t="inlineStr">
        <is>
          <t>991004312999702656</t>
        </is>
      </c>
      <c r="AX1498" t="inlineStr">
        <is>
          <t>991004312999702656</t>
        </is>
      </c>
      <c r="AY1498" t="inlineStr">
        <is>
          <t>2272135140002656</t>
        </is>
      </c>
      <c r="AZ1498" t="inlineStr">
        <is>
          <t>BOOK</t>
        </is>
      </c>
      <c r="BB1498" t="inlineStr">
        <is>
          <t>9780151046119</t>
        </is>
      </c>
      <c r="BC1498" t="inlineStr">
        <is>
          <t>32285000991207</t>
        </is>
      </c>
      <c r="BD1498" t="inlineStr">
        <is>
          <t>893612203</t>
        </is>
      </c>
    </row>
    <row r="1499">
      <c r="A1499" t="inlineStr">
        <is>
          <t>No</t>
        </is>
      </c>
      <c r="B1499" t="inlineStr">
        <is>
          <t>HQ536 .K485 1993</t>
        </is>
      </c>
      <c r="C1499" t="inlineStr">
        <is>
          <t>0                      HQ 0536000K  485         1993</t>
        </is>
      </c>
      <c r="D1499" t="inlineStr">
        <is>
          <t>Kindred matters : rethinking the philosophy of the family / edited by Diana Tietjens Meyers, Kenneth Kipnis, Cornelius F. Murphy, Jr.</t>
        </is>
      </c>
      <c r="F1499" t="inlineStr">
        <is>
          <t>No</t>
        </is>
      </c>
      <c r="G1499" t="inlineStr">
        <is>
          <t>1</t>
        </is>
      </c>
      <c r="H1499" t="inlineStr">
        <is>
          <t>Yes</t>
        </is>
      </c>
      <c r="I1499" t="inlineStr">
        <is>
          <t>No</t>
        </is>
      </c>
      <c r="J1499" t="inlineStr">
        <is>
          <t>0</t>
        </is>
      </c>
      <c r="L1499" t="inlineStr">
        <is>
          <t>Ithaca, N.Y. : Cornell University Press, 1993.</t>
        </is>
      </c>
      <c r="M1499" t="inlineStr">
        <is>
          <t>1993</t>
        </is>
      </c>
      <c r="O1499" t="inlineStr">
        <is>
          <t>eng</t>
        </is>
      </c>
      <c r="P1499" t="inlineStr">
        <is>
          <t>nyu</t>
        </is>
      </c>
      <c r="R1499" t="inlineStr">
        <is>
          <t xml:space="preserve">HQ </t>
        </is>
      </c>
      <c r="S1499" t="n">
        <v>8</v>
      </c>
      <c r="T1499" t="n">
        <v>8</v>
      </c>
      <c r="U1499" t="inlineStr">
        <is>
          <t>1998-11-10</t>
        </is>
      </c>
      <c r="V1499" t="inlineStr">
        <is>
          <t>1998-11-10</t>
        </is>
      </c>
      <c r="W1499" t="inlineStr">
        <is>
          <t>1994-08-03</t>
        </is>
      </c>
      <c r="X1499" t="inlineStr">
        <is>
          <t>1995-08-21</t>
        </is>
      </c>
      <c r="Y1499" t="n">
        <v>344</v>
      </c>
      <c r="Z1499" t="n">
        <v>278</v>
      </c>
      <c r="AA1499" t="n">
        <v>285</v>
      </c>
      <c r="AB1499" t="n">
        <v>3</v>
      </c>
      <c r="AC1499" t="n">
        <v>3</v>
      </c>
      <c r="AD1499" t="n">
        <v>19</v>
      </c>
      <c r="AE1499" t="n">
        <v>19</v>
      </c>
      <c r="AF1499" t="n">
        <v>2</v>
      </c>
      <c r="AG1499" t="n">
        <v>2</v>
      </c>
      <c r="AH1499" t="n">
        <v>4</v>
      </c>
      <c r="AI1499" t="n">
        <v>4</v>
      </c>
      <c r="AJ1499" t="n">
        <v>9</v>
      </c>
      <c r="AK1499" t="n">
        <v>9</v>
      </c>
      <c r="AL1499" t="n">
        <v>1</v>
      </c>
      <c r="AM1499" t="n">
        <v>1</v>
      </c>
      <c r="AN1499" t="n">
        <v>7</v>
      </c>
      <c r="AO1499" t="n">
        <v>7</v>
      </c>
      <c r="AP1499" t="inlineStr">
        <is>
          <t>No</t>
        </is>
      </c>
      <c r="AQ1499" t="inlineStr">
        <is>
          <t>Yes</t>
        </is>
      </c>
      <c r="AR1499">
        <f>HYPERLINK("http://catalog.hathitrust.org/Record/002704811","HathiTrust Record")</f>
        <v/>
      </c>
      <c r="AS1499">
        <f>HYPERLINK("https://creighton-primo.hosted.exlibrisgroup.com/primo-explore/search?tab=default_tab&amp;search_scope=EVERYTHING&amp;vid=01CRU&amp;lang=en_US&amp;offset=0&amp;query=any,contains,991001656829702656","Catalog Record")</f>
        <v/>
      </c>
      <c r="AT1499">
        <f>HYPERLINK("http://www.worldcat.org/oclc/27265787","WorldCat Record")</f>
        <v/>
      </c>
      <c r="AU1499" t="inlineStr">
        <is>
          <t>351307:eng</t>
        </is>
      </c>
      <c r="AV1499" t="inlineStr">
        <is>
          <t>27265787</t>
        </is>
      </c>
      <c r="AW1499" t="inlineStr">
        <is>
          <t>991001656829702656</t>
        </is>
      </c>
      <c r="AX1499" t="inlineStr">
        <is>
          <t>991001656829702656</t>
        </is>
      </c>
      <c r="AY1499" t="inlineStr">
        <is>
          <t>2269627960002656</t>
        </is>
      </c>
      <c r="AZ1499" t="inlineStr">
        <is>
          <t>BOOK</t>
        </is>
      </c>
      <c r="BB1499" t="inlineStr">
        <is>
          <t>9780801425943</t>
        </is>
      </c>
      <c r="BC1499" t="inlineStr">
        <is>
          <t>32285001941060</t>
        </is>
      </c>
      <c r="BD1499" t="inlineStr">
        <is>
          <t>893621530</t>
        </is>
      </c>
    </row>
    <row r="1500">
      <c r="A1500" t="inlineStr">
        <is>
          <t>No</t>
        </is>
      </c>
      <c r="B1500" t="inlineStr">
        <is>
          <t>HQ536 .K72 1983</t>
        </is>
      </c>
      <c r="C1500" t="inlineStr">
        <is>
          <t>0                      HQ 0536000K  72          1983</t>
        </is>
      </c>
      <c r="D1500" t="inlineStr">
        <is>
          <t>In defense of the family : raising children in America today / Rita Kramer.</t>
        </is>
      </c>
      <c r="F1500" t="inlineStr">
        <is>
          <t>No</t>
        </is>
      </c>
      <c r="G1500" t="inlineStr">
        <is>
          <t>1</t>
        </is>
      </c>
      <c r="H1500" t="inlineStr">
        <is>
          <t>No</t>
        </is>
      </c>
      <c r="I1500" t="inlineStr">
        <is>
          <t>No</t>
        </is>
      </c>
      <c r="J1500" t="inlineStr">
        <is>
          <t>0</t>
        </is>
      </c>
      <c r="K1500" t="inlineStr">
        <is>
          <t>Kramer, Rita.</t>
        </is>
      </c>
      <c r="L1500" t="inlineStr">
        <is>
          <t>New York : Basic Books, c1983.</t>
        </is>
      </c>
      <c r="M1500" t="inlineStr">
        <is>
          <t>1983</t>
        </is>
      </c>
      <c r="O1500" t="inlineStr">
        <is>
          <t>eng</t>
        </is>
      </c>
      <c r="P1500" t="inlineStr">
        <is>
          <t>nyu</t>
        </is>
      </c>
      <c r="R1500" t="inlineStr">
        <is>
          <t xml:space="preserve">HQ </t>
        </is>
      </c>
      <c r="S1500" t="n">
        <v>4</v>
      </c>
      <c r="T1500" t="n">
        <v>4</v>
      </c>
      <c r="U1500" t="inlineStr">
        <is>
          <t>1995-09-23</t>
        </is>
      </c>
      <c r="V1500" t="inlineStr">
        <is>
          <t>1995-09-23</t>
        </is>
      </c>
      <c r="W1500" t="inlineStr">
        <is>
          <t>1992-03-30</t>
        </is>
      </c>
      <c r="X1500" t="inlineStr">
        <is>
          <t>1992-03-30</t>
        </is>
      </c>
      <c r="Y1500" t="n">
        <v>729</v>
      </c>
      <c r="Z1500" t="n">
        <v>684</v>
      </c>
      <c r="AA1500" t="n">
        <v>686</v>
      </c>
      <c r="AB1500" t="n">
        <v>4</v>
      </c>
      <c r="AC1500" t="n">
        <v>4</v>
      </c>
      <c r="AD1500" t="n">
        <v>14</v>
      </c>
      <c r="AE1500" t="n">
        <v>14</v>
      </c>
      <c r="AF1500" t="n">
        <v>5</v>
      </c>
      <c r="AG1500" t="n">
        <v>5</v>
      </c>
      <c r="AH1500" t="n">
        <v>2</v>
      </c>
      <c r="AI1500" t="n">
        <v>2</v>
      </c>
      <c r="AJ1500" t="n">
        <v>10</v>
      </c>
      <c r="AK1500" t="n">
        <v>10</v>
      </c>
      <c r="AL1500" t="n">
        <v>1</v>
      </c>
      <c r="AM1500" t="n">
        <v>1</v>
      </c>
      <c r="AN1500" t="n">
        <v>0</v>
      </c>
      <c r="AO1500" t="n">
        <v>0</v>
      </c>
      <c r="AP1500" t="inlineStr">
        <is>
          <t>No</t>
        </is>
      </c>
      <c r="AQ1500" t="inlineStr">
        <is>
          <t>Yes</t>
        </is>
      </c>
      <c r="AR1500">
        <f>HYPERLINK("http://catalog.hathitrust.org/Record/000769763","HathiTrust Record")</f>
        <v/>
      </c>
      <c r="AS1500">
        <f>HYPERLINK("https://creighton-primo.hosted.exlibrisgroup.com/primo-explore/search?tab=default_tab&amp;search_scope=EVERYTHING&amp;vid=01CRU&amp;lang=en_US&amp;offset=0&amp;query=any,contains,991000076459702656","Catalog Record")</f>
        <v/>
      </c>
      <c r="AT1500">
        <f>HYPERLINK("http://www.worldcat.org/oclc/8806408","WorldCat Record")</f>
        <v/>
      </c>
      <c r="AU1500" t="inlineStr">
        <is>
          <t>311857476:eng</t>
        </is>
      </c>
      <c r="AV1500" t="inlineStr">
        <is>
          <t>8806408</t>
        </is>
      </c>
      <c r="AW1500" t="inlineStr">
        <is>
          <t>991000076459702656</t>
        </is>
      </c>
      <c r="AX1500" t="inlineStr">
        <is>
          <t>991000076459702656</t>
        </is>
      </c>
      <c r="AY1500" t="inlineStr">
        <is>
          <t>2267719140002656</t>
        </is>
      </c>
      <c r="AZ1500" t="inlineStr">
        <is>
          <t>BOOK</t>
        </is>
      </c>
      <c r="BB1500" t="inlineStr">
        <is>
          <t>9780465032150</t>
        </is>
      </c>
      <c r="BC1500" t="inlineStr">
        <is>
          <t>32285001030468</t>
        </is>
      </c>
      <c r="BD1500" t="inlineStr">
        <is>
          <t>893771355</t>
        </is>
      </c>
    </row>
    <row r="1501">
      <c r="A1501" t="inlineStr">
        <is>
          <t>No</t>
        </is>
      </c>
      <c r="B1501" t="inlineStr">
        <is>
          <t>HQ536 .L37</t>
        </is>
      </c>
      <c r="C1501" t="inlineStr">
        <is>
          <t>0                      HQ 0536000L  37</t>
        </is>
      </c>
      <c r="D1501" t="inlineStr">
        <is>
          <t>Conflict and power in marriage : expecting the first child / Ralph LaRossa ; pref. by Murray A. Straus.</t>
        </is>
      </c>
      <c r="F1501" t="inlineStr">
        <is>
          <t>No</t>
        </is>
      </c>
      <c r="G1501" t="inlineStr">
        <is>
          <t>1</t>
        </is>
      </c>
      <c r="H1501" t="inlineStr">
        <is>
          <t>No</t>
        </is>
      </c>
      <c r="I1501" t="inlineStr">
        <is>
          <t>No</t>
        </is>
      </c>
      <c r="J1501" t="inlineStr">
        <is>
          <t>0</t>
        </is>
      </c>
      <c r="K1501" t="inlineStr">
        <is>
          <t>LaRossa, Ralph.</t>
        </is>
      </c>
      <c r="L1501" t="inlineStr">
        <is>
          <t>Beverly Hills, Calif. : Sage Publications, c1977.</t>
        </is>
      </c>
      <c r="M1501" t="inlineStr">
        <is>
          <t>1977</t>
        </is>
      </c>
      <c r="O1501" t="inlineStr">
        <is>
          <t>eng</t>
        </is>
      </c>
      <c r="P1501" t="inlineStr">
        <is>
          <t>cau</t>
        </is>
      </c>
      <c r="Q1501" t="inlineStr">
        <is>
          <t>Sage library of social research ; v. 50</t>
        </is>
      </c>
      <c r="R1501" t="inlineStr">
        <is>
          <t xml:space="preserve">HQ </t>
        </is>
      </c>
      <c r="S1501" t="n">
        <v>2</v>
      </c>
      <c r="T1501" t="n">
        <v>2</v>
      </c>
      <c r="U1501" t="inlineStr">
        <is>
          <t>1995-09-26</t>
        </is>
      </c>
      <c r="V1501" t="inlineStr">
        <is>
          <t>1995-09-26</t>
        </is>
      </c>
      <c r="W1501" t="inlineStr">
        <is>
          <t>1994-01-04</t>
        </is>
      </c>
      <c r="X1501" t="inlineStr">
        <is>
          <t>1994-01-04</t>
        </is>
      </c>
      <c r="Y1501" t="n">
        <v>474</v>
      </c>
      <c r="Z1501" t="n">
        <v>381</v>
      </c>
      <c r="AA1501" t="n">
        <v>391</v>
      </c>
      <c r="AB1501" t="n">
        <v>4</v>
      </c>
      <c r="AC1501" t="n">
        <v>4</v>
      </c>
      <c r="AD1501" t="n">
        <v>18</v>
      </c>
      <c r="AE1501" t="n">
        <v>18</v>
      </c>
      <c r="AF1501" t="n">
        <v>8</v>
      </c>
      <c r="AG1501" t="n">
        <v>8</v>
      </c>
      <c r="AH1501" t="n">
        <v>4</v>
      </c>
      <c r="AI1501" t="n">
        <v>4</v>
      </c>
      <c r="AJ1501" t="n">
        <v>10</v>
      </c>
      <c r="AK1501" t="n">
        <v>10</v>
      </c>
      <c r="AL1501" t="n">
        <v>3</v>
      </c>
      <c r="AM1501" t="n">
        <v>3</v>
      </c>
      <c r="AN1501" t="n">
        <v>0</v>
      </c>
      <c r="AO1501" t="n">
        <v>0</v>
      </c>
      <c r="AP1501" t="inlineStr">
        <is>
          <t>No</t>
        </is>
      </c>
      <c r="AQ1501" t="inlineStr">
        <is>
          <t>Yes</t>
        </is>
      </c>
      <c r="AR1501">
        <f>HYPERLINK("http://catalog.hathitrust.org/Record/000708396","HathiTrust Record")</f>
        <v/>
      </c>
      <c r="AS1501">
        <f>HYPERLINK("https://creighton-primo.hosted.exlibrisgroup.com/primo-explore/search?tab=default_tab&amp;search_scope=EVERYTHING&amp;vid=01CRU&amp;lang=en_US&amp;offset=0&amp;query=any,contains,991004320179702656","Catalog Record")</f>
        <v/>
      </c>
      <c r="AT1501">
        <f>HYPERLINK("http://www.worldcat.org/oclc/3017274","WorldCat Record")</f>
        <v/>
      </c>
      <c r="AU1501" t="inlineStr">
        <is>
          <t>7137151:eng</t>
        </is>
      </c>
      <c r="AV1501" t="inlineStr">
        <is>
          <t>3017274</t>
        </is>
      </c>
      <c r="AW1501" t="inlineStr">
        <is>
          <t>991004320179702656</t>
        </is>
      </c>
      <c r="AX1501" t="inlineStr">
        <is>
          <t>991004320179702656</t>
        </is>
      </c>
      <c r="AY1501" t="inlineStr">
        <is>
          <t>2269889260002656</t>
        </is>
      </c>
      <c r="AZ1501" t="inlineStr">
        <is>
          <t>BOOK</t>
        </is>
      </c>
      <c r="BB1501" t="inlineStr">
        <is>
          <t>9780803908789</t>
        </is>
      </c>
      <c r="BC1501" t="inlineStr">
        <is>
          <t>32285001827970</t>
        </is>
      </c>
      <c r="BD1501" t="inlineStr">
        <is>
          <t>893429920</t>
        </is>
      </c>
    </row>
    <row r="1502">
      <c r="A1502" t="inlineStr">
        <is>
          <t>No</t>
        </is>
      </c>
      <c r="B1502" t="inlineStr">
        <is>
          <t>HQ536 .L48</t>
        </is>
      </c>
      <c r="C1502" t="inlineStr">
        <is>
          <t>0                      HQ 0536000L  48</t>
        </is>
      </c>
      <c r="D1502" t="inlineStr">
        <is>
          <t>What's happening to the American family? / Sar A. Levitan and Richard S. Belous.</t>
        </is>
      </c>
      <c r="F1502" t="inlineStr">
        <is>
          <t>No</t>
        </is>
      </c>
      <c r="G1502" t="inlineStr">
        <is>
          <t>1</t>
        </is>
      </c>
      <c r="H1502" t="inlineStr">
        <is>
          <t>No</t>
        </is>
      </c>
      <c r="I1502" t="inlineStr">
        <is>
          <t>Yes</t>
        </is>
      </c>
      <c r="J1502" t="inlineStr">
        <is>
          <t>0</t>
        </is>
      </c>
      <c r="K1502" t="inlineStr">
        <is>
          <t>Levitan, Sar A.</t>
        </is>
      </c>
      <c r="L1502" t="inlineStr">
        <is>
          <t>Baltimore : Johns Hopkins University Press, c1981.</t>
        </is>
      </c>
      <c r="M1502" t="inlineStr">
        <is>
          <t>1981</t>
        </is>
      </c>
      <c r="O1502" t="inlineStr">
        <is>
          <t>eng</t>
        </is>
      </c>
      <c r="P1502" t="inlineStr">
        <is>
          <t>mdu</t>
        </is>
      </c>
      <c r="R1502" t="inlineStr">
        <is>
          <t xml:space="preserve">HQ </t>
        </is>
      </c>
      <c r="S1502" t="n">
        <v>7</v>
      </c>
      <c r="T1502" t="n">
        <v>7</v>
      </c>
      <c r="U1502" t="inlineStr">
        <is>
          <t>1998-10-31</t>
        </is>
      </c>
      <c r="V1502" t="inlineStr">
        <is>
          <t>1998-10-31</t>
        </is>
      </c>
      <c r="W1502" t="inlineStr">
        <is>
          <t>1990-03-28</t>
        </is>
      </c>
      <c r="X1502" t="inlineStr">
        <is>
          <t>1990-03-28</t>
        </is>
      </c>
      <c r="Y1502" t="n">
        <v>893</v>
      </c>
      <c r="Z1502" t="n">
        <v>794</v>
      </c>
      <c r="AA1502" t="n">
        <v>1065</v>
      </c>
      <c r="AB1502" t="n">
        <v>5</v>
      </c>
      <c r="AC1502" t="n">
        <v>7</v>
      </c>
      <c r="AD1502" t="n">
        <v>33</v>
      </c>
      <c r="AE1502" t="n">
        <v>43</v>
      </c>
      <c r="AF1502" t="n">
        <v>14</v>
      </c>
      <c r="AG1502" t="n">
        <v>19</v>
      </c>
      <c r="AH1502" t="n">
        <v>6</v>
      </c>
      <c r="AI1502" t="n">
        <v>8</v>
      </c>
      <c r="AJ1502" t="n">
        <v>16</v>
      </c>
      <c r="AK1502" t="n">
        <v>19</v>
      </c>
      <c r="AL1502" t="n">
        <v>4</v>
      </c>
      <c r="AM1502" t="n">
        <v>6</v>
      </c>
      <c r="AN1502" t="n">
        <v>1</v>
      </c>
      <c r="AO1502" t="n">
        <v>2</v>
      </c>
      <c r="AP1502" t="inlineStr">
        <is>
          <t>No</t>
        </is>
      </c>
      <c r="AQ1502" t="inlineStr">
        <is>
          <t>Yes</t>
        </is>
      </c>
      <c r="AR1502">
        <f>HYPERLINK("http://catalog.hathitrust.org/Record/000182471","HathiTrust Record")</f>
        <v/>
      </c>
      <c r="AS1502">
        <f>HYPERLINK("https://creighton-primo.hosted.exlibrisgroup.com/primo-explore/search?tab=default_tab&amp;search_scope=EVERYTHING&amp;vid=01CRU&amp;lang=en_US&amp;offset=0&amp;query=any,contains,991005128149702656","Catalog Record")</f>
        <v/>
      </c>
      <c r="AT1502">
        <f>HYPERLINK("http://www.worldcat.org/oclc/7554896","WorldCat Record")</f>
        <v/>
      </c>
      <c r="AU1502" t="inlineStr">
        <is>
          <t>28577354:eng</t>
        </is>
      </c>
      <c r="AV1502" t="inlineStr">
        <is>
          <t>7554896</t>
        </is>
      </c>
      <c r="AW1502" t="inlineStr">
        <is>
          <t>991005128149702656</t>
        </is>
      </c>
      <c r="AX1502" t="inlineStr">
        <is>
          <t>991005128149702656</t>
        </is>
      </c>
      <c r="AY1502" t="inlineStr">
        <is>
          <t>2264590830002656</t>
        </is>
      </c>
      <c r="AZ1502" t="inlineStr">
        <is>
          <t>BOOK</t>
        </is>
      </c>
      <c r="BB1502" t="inlineStr">
        <is>
          <t>9780801826900</t>
        </is>
      </c>
      <c r="BC1502" t="inlineStr">
        <is>
          <t>32285000099910</t>
        </is>
      </c>
      <c r="BD1502" t="inlineStr">
        <is>
          <t>893870564</t>
        </is>
      </c>
    </row>
    <row r="1503">
      <c r="A1503" t="inlineStr">
        <is>
          <t>No</t>
        </is>
      </c>
      <c r="B1503" t="inlineStr">
        <is>
          <t>HQ536 .L48 1988</t>
        </is>
      </c>
      <c r="C1503" t="inlineStr">
        <is>
          <t>0                      HQ 0536000L  48          1988</t>
        </is>
      </c>
      <c r="D1503" t="inlineStr">
        <is>
          <t>What's happening to the American family? : tensions, hopes, realities / Sar A. Levitan, Richard S. Belous, and Frank Gallo.</t>
        </is>
      </c>
      <c r="F1503" t="inlineStr">
        <is>
          <t>No</t>
        </is>
      </c>
      <c r="G1503" t="inlineStr">
        <is>
          <t>1</t>
        </is>
      </c>
      <c r="H1503" t="inlineStr">
        <is>
          <t>No</t>
        </is>
      </c>
      <c r="I1503" t="inlineStr">
        <is>
          <t>Yes</t>
        </is>
      </c>
      <c r="J1503" t="inlineStr">
        <is>
          <t>0</t>
        </is>
      </c>
      <c r="K1503" t="inlineStr">
        <is>
          <t>Levitan, Sar A.</t>
        </is>
      </c>
      <c r="L1503" t="inlineStr">
        <is>
          <t>Baltimore : Johns Hopkins University Press, c1988.</t>
        </is>
      </c>
      <c r="M1503" t="inlineStr">
        <is>
          <t>1988</t>
        </is>
      </c>
      <c r="N1503" t="inlineStr">
        <is>
          <t>Rev. ed.</t>
        </is>
      </c>
      <c r="O1503" t="inlineStr">
        <is>
          <t>eng</t>
        </is>
      </c>
      <c r="P1503" t="inlineStr">
        <is>
          <t>mdu</t>
        </is>
      </c>
      <c r="R1503" t="inlineStr">
        <is>
          <t xml:space="preserve">HQ </t>
        </is>
      </c>
      <c r="S1503" t="n">
        <v>9</v>
      </c>
      <c r="T1503" t="n">
        <v>9</v>
      </c>
      <c r="U1503" t="inlineStr">
        <is>
          <t>2000-04-03</t>
        </is>
      </c>
      <c r="V1503" t="inlineStr">
        <is>
          <t>2000-04-03</t>
        </is>
      </c>
      <c r="W1503" t="inlineStr">
        <is>
          <t>1992-10-29</t>
        </is>
      </c>
      <c r="X1503" t="inlineStr">
        <is>
          <t>1992-10-29</t>
        </is>
      </c>
      <c r="Y1503" t="n">
        <v>554</v>
      </c>
      <c r="Z1503" t="n">
        <v>496</v>
      </c>
      <c r="AA1503" t="n">
        <v>1065</v>
      </c>
      <c r="AB1503" t="n">
        <v>4</v>
      </c>
      <c r="AC1503" t="n">
        <v>7</v>
      </c>
      <c r="AD1503" t="n">
        <v>18</v>
      </c>
      <c r="AE1503" t="n">
        <v>43</v>
      </c>
      <c r="AF1503" t="n">
        <v>7</v>
      </c>
      <c r="AG1503" t="n">
        <v>19</v>
      </c>
      <c r="AH1503" t="n">
        <v>5</v>
      </c>
      <c r="AI1503" t="n">
        <v>8</v>
      </c>
      <c r="AJ1503" t="n">
        <v>7</v>
      </c>
      <c r="AK1503" t="n">
        <v>19</v>
      </c>
      <c r="AL1503" t="n">
        <v>3</v>
      </c>
      <c r="AM1503" t="n">
        <v>6</v>
      </c>
      <c r="AN1503" t="n">
        <v>1</v>
      </c>
      <c r="AO1503" t="n">
        <v>2</v>
      </c>
      <c r="AP1503" t="inlineStr">
        <is>
          <t>No</t>
        </is>
      </c>
      <c r="AQ1503" t="inlineStr">
        <is>
          <t>Yes</t>
        </is>
      </c>
      <c r="AR1503">
        <f>HYPERLINK("http://catalog.hathitrust.org/Record/000918680","HathiTrust Record")</f>
        <v/>
      </c>
      <c r="AS1503">
        <f>HYPERLINK("https://creighton-primo.hosted.exlibrisgroup.com/primo-explore/search?tab=default_tab&amp;search_scope=EVERYTHING&amp;vid=01CRU&amp;lang=en_US&amp;offset=0&amp;query=any,contains,991001247899702656","Catalog Record")</f>
        <v/>
      </c>
      <c r="AT1503">
        <f>HYPERLINK("http://www.worldcat.org/oclc/17652080","WorldCat Record")</f>
        <v/>
      </c>
      <c r="AU1503" t="inlineStr">
        <is>
          <t>28577354:eng</t>
        </is>
      </c>
      <c r="AV1503" t="inlineStr">
        <is>
          <t>17652080</t>
        </is>
      </c>
      <c r="AW1503" t="inlineStr">
        <is>
          <t>991001247899702656</t>
        </is>
      </c>
      <c r="AX1503" t="inlineStr">
        <is>
          <t>991001247899702656</t>
        </is>
      </c>
      <c r="AY1503" t="inlineStr">
        <is>
          <t>2270021100002656</t>
        </is>
      </c>
      <c r="AZ1503" t="inlineStr">
        <is>
          <t>BOOK</t>
        </is>
      </c>
      <c r="BB1503" t="inlineStr">
        <is>
          <t>9780801836589</t>
        </is>
      </c>
      <c r="BC1503" t="inlineStr">
        <is>
          <t>32285001358745</t>
        </is>
      </c>
      <c r="BD1503" t="inlineStr">
        <is>
          <t>893614902</t>
        </is>
      </c>
    </row>
    <row r="1504">
      <c r="A1504" t="inlineStr">
        <is>
          <t>No</t>
        </is>
      </c>
      <c r="B1504" t="inlineStr">
        <is>
          <t>HQ536 .L52 2004</t>
        </is>
      </c>
      <c r="C1504" t="inlineStr">
        <is>
          <t>0                      HQ 0536000L  52          2004</t>
        </is>
      </c>
      <c r="D1504" t="inlineStr">
        <is>
          <t>Marriage and family in a multiracial society / by Daniel T. Lichter and Zhenchao Qian.</t>
        </is>
      </c>
      <c r="F1504" t="inlineStr">
        <is>
          <t>No</t>
        </is>
      </c>
      <c r="G1504" t="inlineStr">
        <is>
          <t>1</t>
        </is>
      </c>
      <c r="H1504" t="inlineStr">
        <is>
          <t>No</t>
        </is>
      </c>
      <c r="I1504" t="inlineStr">
        <is>
          <t>No</t>
        </is>
      </c>
      <c r="J1504" t="inlineStr">
        <is>
          <t>0</t>
        </is>
      </c>
      <c r="K1504" t="inlineStr">
        <is>
          <t>Lichter, Daniel T.</t>
        </is>
      </c>
      <c r="L1504" t="inlineStr">
        <is>
          <t>New York, NY : Russell Sage Foundation ; Washington, DC : Population Reference Bureau, c2004.</t>
        </is>
      </c>
      <c r="M1504" t="inlineStr">
        <is>
          <t>2004</t>
        </is>
      </c>
      <c r="O1504" t="inlineStr">
        <is>
          <t>eng</t>
        </is>
      </c>
      <c r="P1504" t="inlineStr">
        <is>
          <t>nyu</t>
        </is>
      </c>
      <c r="Q1504" t="inlineStr">
        <is>
          <t>The American people. Census 2000</t>
        </is>
      </c>
      <c r="R1504" t="inlineStr">
        <is>
          <t xml:space="preserve">HQ </t>
        </is>
      </c>
      <c r="S1504" t="n">
        <v>2</v>
      </c>
      <c r="T1504" t="n">
        <v>2</v>
      </c>
      <c r="U1504" t="inlineStr">
        <is>
          <t>2005-01-26</t>
        </is>
      </c>
      <c r="V1504" t="inlineStr">
        <is>
          <t>2005-01-26</t>
        </is>
      </c>
      <c r="W1504" t="inlineStr">
        <is>
          <t>2005-01-26</t>
        </is>
      </c>
      <c r="X1504" t="inlineStr">
        <is>
          <t>2005-01-26</t>
        </is>
      </c>
      <c r="Y1504" t="n">
        <v>48</v>
      </c>
      <c r="Z1504" t="n">
        <v>44</v>
      </c>
      <c r="AA1504" t="n">
        <v>44</v>
      </c>
      <c r="AB1504" t="n">
        <v>1</v>
      </c>
      <c r="AC1504" t="n">
        <v>1</v>
      </c>
      <c r="AD1504" t="n">
        <v>3</v>
      </c>
      <c r="AE1504" t="n">
        <v>3</v>
      </c>
      <c r="AF1504" t="n">
        <v>2</v>
      </c>
      <c r="AG1504" t="n">
        <v>2</v>
      </c>
      <c r="AH1504" t="n">
        <v>0</v>
      </c>
      <c r="AI1504" t="n">
        <v>0</v>
      </c>
      <c r="AJ1504" t="n">
        <v>2</v>
      </c>
      <c r="AK1504" t="n">
        <v>2</v>
      </c>
      <c r="AL1504" t="n">
        <v>0</v>
      </c>
      <c r="AM1504" t="n">
        <v>0</v>
      </c>
      <c r="AN1504" t="n">
        <v>0</v>
      </c>
      <c r="AO1504" t="n">
        <v>0</v>
      </c>
      <c r="AP1504" t="inlineStr">
        <is>
          <t>No</t>
        </is>
      </c>
      <c r="AQ1504" t="inlineStr">
        <is>
          <t>No</t>
        </is>
      </c>
      <c r="AS1504">
        <f>HYPERLINK("https://creighton-primo.hosted.exlibrisgroup.com/primo-explore/search?tab=default_tab&amp;search_scope=EVERYTHING&amp;vid=01CRU&amp;lang=en_US&amp;offset=0&amp;query=any,contains,991004440989702656","Catalog Record")</f>
        <v/>
      </c>
      <c r="AT1504">
        <f>HYPERLINK("http://www.worldcat.org/oclc/57444010","WorldCat Record")</f>
        <v/>
      </c>
      <c r="AU1504" t="inlineStr">
        <is>
          <t>19566796:eng</t>
        </is>
      </c>
      <c r="AV1504" t="inlineStr">
        <is>
          <t>57444010</t>
        </is>
      </c>
      <c r="AW1504" t="inlineStr">
        <is>
          <t>991004440989702656</t>
        </is>
      </c>
      <c r="AX1504" t="inlineStr">
        <is>
          <t>991004440989702656</t>
        </is>
      </c>
      <c r="AY1504" t="inlineStr">
        <is>
          <t>2260118990002656</t>
        </is>
      </c>
      <c r="AZ1504" t="inlineStr">
        <is>
          <t>BOOK</t>
        </is>
      </c>
      <c r="BC1504" t="inlineStr">
        <is>
          <t>32285005023071</t>
        </is>
      </c>
      <c r="BD1504" t="inlineStr">
        <is>
          <t>893895019</t>
        </is>
      </c>
    </row>
    <row r="1505">
      <c r="A1505" t="inlineStr">
        <is>
          <t>No</t>
        </is>
      </c>
      <c r="B1505" t="inlineStr">
        <is>
          <t>HQ536 .M24 1995</t>
        </is>
      </c>
      <c r="C1505" t="inlineStr">
        <is>
          <t>0                      HQ 0536000M  24          1995</t>
        </is>
      </c>
      <c r="D1505" t="inlineStr">
        <is>
          <t>Lasting marriages : men and women growing together / Richard A. Mackey and Bernard A. O'Brien.</t>
        </is>
      </c>
      <c r="F1505" t="inlineStr">
        <is>
          <t>No</t>
        </is>
      </c>
      <c r="G1505" t="inlineStr">
        <is>
          <t>1</t>
        </is>
      </c>
      <c r="H1505" t="inlineStr">
        <is>
          <t>No</t>
        </is>
      </c>
      <c r="I1505" t="inlineStr">
        <is>
          <t>No</t>
        </is>
      </c>
      <c r="J1505" t="inlineStr">
        <is>
          <t>0</t>
        </is>
      </c>
      <c r="K1505" t="inlineStr">
        <is>
          <t>Mackey, Richard A.</t>
        </is>
      </c>
      <c r="L1505" t="inlineStr">
        <is>
          <t>Westport, Conn. : Praeger, 1995.</t>
        </is>
      </c>
      <c r="M1505" t="inlineStr">
        <is>
          <t>1995</t>
        </is>
      </c>
      <c r="O1505" t="inlineStr">
        <is>
          <t>eng</t>
        </is>
      </c>
      <c r="P1505" t="inlineStr">
        <is>
          <t>ctu</t>
        </is>
      </c>
      <c r="R1505" t="inlineStr">
        <is>
          <t xml:space="preserve">HQ </t>
        </is>
      </c>
      <c r="S1505" t="n">
        <v>13</v>
      </c>
      <c r="T1505" t="n">
        <v>13</v>
      </c>
      <c r="U1505" t="inlineStr">
        <is>
          <t>2009-10-06</t>
        </is>
      </c>
      <c r="V1505" t="inlineStr">
        <is>
          <t>2009-10-06</t>
        </is>
      </c>
      <c r="W1505" t="inlineStr">
        <is>
          <t>1995-12-18</t>
        </is>
      </c>
      <c r="X1505" t="inlineStr">
        <is>
          <t>1995-12-18</t>
        </is>
      </c>
      <c r="Y1505" t="n">
        <v>412</v>
      </c>
      <c r="Z1505" t="n">
        <v>365</v>
      </c>
      <c r="AA1505" t="n">
        <v>712</v>
      </c>
      <c r="AB1505" t="n">
        <v>3</v>
      </c>
      <c r="AC1505" t="n">
        <v>5</v>
      </c>
      <c r="AD1505" t="n">
        <v>15</v>
      </c>
      <c r="AE1505" t="n">
        <v>21</v>
      </c>
      <c r="AF1505" t="n">
        <v>5</v>
      </c>
      <c r="AG1505" t="n">
        <v>8</v>
      </c>
      <c r="AH1505" t="n">
        <v>4</v>
      </c>
      <c r="AI1505" t="n">
        <v>5</v>
      </c>
      <c r="AJ1505" t="n">
        <v>7</v>
      </c>
      <c r="AK1505" t="n">
        <v>9</v>
      </c>
      <c r="AL1505" t="n">
        <v>2</v>
      </c>
      <c r="AM1505" t="n">
        <v>4</v>
      </c>
      <c r="AN1505" t="n">
        <v>0</v>
      </c>
      <c r="AO1505" t="n">
        <v>0</v>
      </c>
      <c r="AP1505" t="inlineStr">
        <is>
          <t>No</t>
        </is>
      </c>
      <c r="AQ1505" t="inlineStr">
        <is>
          <t>Yes</t>
        </is>
      </c>
      <c r="AR1505">
        <f>HYPERLINK("http://catalog.hathitrust.org/Record/002987578","HathiTrust Record")</f>
        <v/>
      </c>
      <c r="AS1505">
        <f>HYPERLINK("https://creighton-primo.hosted.exlibrisgroup.com/primo-explore/search?tab=default_tab&amp;search_scope=EVERYTHING&amp;vid=01CRU&amp;lang=en_US&amp;offset=0&amp;query=any,contains,991002452219702656","Catalog Record")</f>
        <v/>
      </c>
      <c r="AT1505">
        <f>HYPERLINK("http://www.worldcat.org/oclc/31971213","WorldCat Record")</f>
        <v/>
      </c>
      <c r="AU1505" t="inlineStr">
        <is>
          <t>2574721:eng</t>
        </is>
      </c>
      <c r="AV1505" t="inlineStr">
        <is>
          <t>31971213</t>
        </is>
      </c>
      <c r="AW1505" t="inlineStr">
        <is>
          <t>991002452219702656</t>
        </is>
      </c>
      <c r="AX1505" t="inlineStr">
        <is>
          <t>991002452219702656</t>
        </is>
      </c>
      <c r="AY1505" t="inlineStr">
        <is>
          <t>2269975080002656</t>
        </is>
      </c>
      <c r="AZ1505" t="inlineStr">
        <is>
          <t>BOOK</t>
        </is>
      </c>
      <c r="BB1505" t="inlineStr">
        <is>
          <t>9780275950750</t>
        </is>
      </c>
      <c r="BC1505" t="inlineStr">
        <is>
          <t>32285002111838</t>
        </is>
      </c>
      <c r="BD1505" t="inlineStr">
        <is>
          <t>893697797</t>
        </is>
      </c>
    </row>
    <row r="1506">
      <c r="A1506" t="inlineStr">
        <is>
          <t>No</t>
        </is>
      </c>
      <c r="B1506" t="inlineStr">
        <is>
          <t>HQ536 .M275 1987</t>
        </is>
      </c>
      <c r="C1506" t="inlineStr">
        <is>
          <t>0                      HQ 0536000M  275         1987</t>
        </is>
      </c>
      <c r="D1506" t="inlineStr">
        <is>
          <t>When mothers and fathers work : creative strategies for balancing career and family / Renee Y. Magid with Nancy E. Fleming.</t>
        </is>
      </c>
      <c r="F1506" t="inlineStr">
        <is>
          <t>No</t>
        </is>
      </c>
      <c r="G1506" t="inlineStr">
        <is>
          <t>1</t>
        </is>
      </c>
      <c r="H1506" t="inlineStr">
        <is>
          <t>No</t>
        </is>
      </c>
      <c r="I1506" t="inlineStr">
        <is>
          <t>No</t>
        </is>
      </c>
      <c r="J1506" t="inlineStr">
        <is>
          <t>0</t>
        </is>
      </c>
      <c r="K1506" t="inlineStr">
        <is>
          <t>Magid, Renée Yablans, 1934-</t>
        </is>
      </c>
      <c r="L1506" t="inlineStr">
        <is>
          <t>New York, NY : American Management Association, c1987.</t>
        </is>
      </c>
      <c r="M1506" t="inlineStr">
        <is>
          <t>1987</t>
        </is>
      </c>
      <c r="O1506" t="inlineStr">
        <is>
          <t>eng</t>
        </is>
      </c>
      <c r="P1506" t="inlineStr">
        <is>
          <t>nyu</t>
        </is>
      </c>
      <c r="R1506" t="inlineStr">
        <is>
          <t xml:space="preserve">HQ </t>
        </is>
      </c>
      <c r="S1506" t="n">
        <v>17</v>
      </c>
      <c r="T1506" t="n">
        <v>17</v>
      </c>
      <c r="U1506" t="inlineStr">
        <is>
          <t>2001-12-11</t>
        </is>
      </c>
      <c r="V1506" t="inlineStr">
        <is>
          <t>2001-12-11</t>
        </is>
      </c>
      <c r="W1506" t="inlineStr">
        <is>
          <t>1990-03-27</t>
        </is>
      </c>
      <c r="X1506" t="inlineStr">
        <is>
          <t>1990-03-27</t>
        </is>
      </c>
      <c r="Y1506" t="n">
        <v>457</v>
      </c>
      <c r="Z1506" t="n">
        <v>419</v>
      </c>
      <c r="AA1506" t="n">
        <v>424</v>
      </c>
      <c r="AB1506" t="n">
        <v>4</v>
      </c>
      <c r="AC1506" t="n">
        <v>4</v>
      </c>
      <c r="AD1506" t="n">
        <v>12</v>
      </c>
      <c r="AE1506" t="n">
        <v>12</v>
      </c>
      <c r="AF1506" t="n">
        <v>5</v>
      </c>
      <c r="AG1506" t="n">
        <v>5</v>
      </c>
      <c r="AH1506" t="n">
        <v>2</v>
      </c>
      <c r="AI1506" t="n">
        <v>2</v>
      </c>
      <c r="AJ1506" t="n">
        <v>6</v>
      </c>
      <c r="AK1506" t="n">
        <v>6</v>
      </c>
      <c r="AL1506" t="n">
        <v>3</v>
      </c>
      <c r="AM1506" t="n">
        <v>3</v>
      </c>
      <c r="AN1506" t="n">
        <v>0</v>
      </c>
      <c r="AO1506" t="n">
        <v>0</v>
      </c>
      <c r="AP1506" t="inlineStr">
        <is>
          <t>No</t>
        </is>
      </c>
      <c r="AQ1506" t="inlineStr">
        <is>
          <t>No</t>
        </is>
      </c>
      <c r="AS1506">
        <f>HYPERLINK("https://creighton-primo.hosted.exlibrisgroup.com/primo-explore/search?tab=default_tab&amp;search_scope=EVERYTHING&amp;vid=01CRU&amp;lang=en_US&amp;offset=0&amp;query=any,contains,991000988399702656","Catalog Record")</f>
        <v/>
      </c>
      <c r="AT1506">
        <f>HYPERLINK("http://www.worldcat.org/oclc/15084180","WorldCat Record")</f>
        <v/>
      </c>
      <c r="AU1506" t="inlineStr">
        <is>
          <t>196513601:eng</t>
        </is>
      </c>
      <c r="AV1506" t="inlineStr">
        <is>
          <t>15084180</t>
        </is>
      </c>
      <c r="AW1506" t="inlineStr">
        <is>
          <t>991000988399702656</t>
        </is>
      </c>
      <c r="AX1506" t="inlineStr">
        <is>
          <t>991000988399702656</t>
        </is>
      </c>
      <c r="AY1506" t="inlineStr">
        <is>
          <t>2255346210002656</t>
        </is>
      </c>
      <c r="AZ1506" t="inlineStr">
        <is>
          <t>BOOK</t>
        </is>
      </c>
      <c r="BB1506" t="inlineStr">
        <is>
          <t>9780814456712</t>
        </is>
      </c>
      <c r="BC1506" t="inlineStr">
        <is>
          <t>32285000097534</t>
        </is>
      </c>
      <c r="BD1506" t="inlineStr">
        <is>
          <t>893878523</t>
        </is>
      </c>
    </row>
    <row r="1507">
      <c r="A1507" t="inlineStr">
        <is>
          <t>No</t>
        </is>
      </c>
      <c r="B1507" t="inlineStr">
        <is>
          <t>HQ536 .M326 1980</t>
        </is>
      </c>
      <c r="C1507" t="inlineStr">
        <is>
          <t>0                      HQ 0536000M  326         1980</t>
        </is>
      </c>
      <c r="D1507" t="inlineStr">
        <is>
          <t>The Nation's families, 1960-1990 / George Masnick and Mary Jo Bane.</t>
        </is>
      </c>
      <c r="F1507" t="inlineStr">
        <is>
          <t>No</t>
        </is>
      </c>
      <c r="G1507" t="inlineStr">
        <is>
          <t>1</t>
        </is>
      </c>
      <c r="H1507" t="inlineStr">
        <is>
          <t>No</t>
        </is>
      </c>
      <c r="I1507" t="inlineStr">
        <is>
          <t>No</t>
        </is>
      </c>
      <c r="J1507" t="inlineStr">
        <is>
          <t>0</t>
        </is>
      </c>
      <c r="K1507" t="inlineStr">
        <is>
          <t>Masnick, George S., 1942-</t>
        </is>
      </c>
      <c r="L1507" t="inlineStr">
        <is>
          <t>Boston, Mass. : Auburn House Pub. Co., c1980.</t>
        </is>
      </c>
      <c r="M1507" t="inlineStr">
        <is>
          <t>1980</t>
        </is>
      </c>
      <c r="O1507" t="inlineStr">
        <is>
          <t>eng</t>
        </is>
      </c>
      <c r="P1507" t="inlineStr">
        <is>
          <t>mau</t>
        </is>
      </c>
      <c r="R1507" t="inlineStr">
        <is>
          <t xml:space="preserve">HQ </t>
        </is>
      </c>
      <c r="S1507" t="n">
        <v>18</v>
      </c>
      <c r="T1507" t="n">
        <v>18</v>
      </c>
      <c r="U1507" t="inlineStr">
        <is>
          <t>1998-11-09</t>
        </is>
      </c>
      <c r="V1507" t="inlineStr">
        <is>
          <t>1998-11-09</t>
        </is>
      </c>
      <c r="W1507" t="inlineStr">
        <is>
          <t>1992-10-29</t>
        </is>
      </c>
      <c r="X1507" t="inlineStr">
        <is>
          <t>1992-10-29</t>
        </is>
      </c>
      <c r="Y1507" t="n">
        <v>698</v>
      </c>
      <c r="Z1507" t="n">
        <v>638</v>
      </c>
      <c r="AA1507" t="n">
        <v>776</v>
      </c>
      <c r="AB1507" t="n">
        <v>5</v>
      </c>
      <c r="AC1507" t="n">
        <v>6</v>
      </c>
      <c r="AD1507" t="n">
        <v>20</v>
      </c>
      <c r="AE1507" t="n">
        <v>30</v>
      </c>
      <c r="AF1507" t="n">
        <v>6</v>
      </c>
      <c r="AG1507" t="n">
        <v>11</v>
      </c>
      <c r="AH1507" t="n">
        <v>4</v>
      </c>
      <c r="AI1507" t="n">
        <v>5</v>
      </c>
      <c r="AJ1507" t="n">
        <v>10</v>
      </c>
      <c r="AK1507" t="n">
        <v>15</v>
      </c>
      <c r="AL1507" t="n">
        <v>4</v>
      </c>
      <c r="AM1507" t="n">
        <v>4</v>
      </c>
      <c r="AN1507" t="n">
        <v>0</v>
      </c>
      <c r="AO1507" t="n">
        <v>2</v>
      </c>
      <c r="AP1507" t="inlineStr">
        <is>
          <t>No</t>
        </is>
      </c>
      <c r="AQ1507" t="inlineStr">
        <is>
          <t>Yes</t>
        </is>
      </c>
      <c r="AR1507">
        <f>HYPERLINK("http://catalog.hathitrust.org/Record/000147586","HathiTrust Record")</f>
        <v/>
      </c>
      <c r="AS1507">
        <f>HYPERLINK("https://creighton-primo.hosted.exlibrisgroup.com/primo-explore/search?tab=default_tab&amp;search_scope=EVERYTHING&amp;vid=01CRU&amp;lang=en_US&amp;offset=0&amp;query=any,contains,991005016689702656","Catalog Record")</f>
        <v/>
      </c>
      <c r="AT1507">
        <f>HYPERLINK("http://www.worldcat.org/oclc/6626976","WorldCat Record")</f>
        <v/>
      </c>
      <c r="AU1507" t="inlineStr">
        <is>
          <t>582036:eng</t>
        </is>
      </c>
      <c r="AV1507" t="inlineStr">
        <is>
          <t>6626976</t>
        </is>
      </c>
      <c r="AW1507" t="inlineStr">
        <is>
          <t>991005016689702656</t>
        </is>
      </c>
      <c r="AX1507" t="inlineStr">
        <is>
          <t>991005016689702656</t>
        </is>
      </c>
      <c r="AY1507" t="inlineStr">
        <is>
          <t>2256259110002656</t>
        </is>
      </c>
      <c r="AZ1507" t="inlineStr">
        <is>
          <t>BOOK</t>
        </is>
      </c>
      <c r="BB1507" t="inlineStr">
        <is>
          <t>9780865690509</t>
        </is>
      </c>
      <c r="BC1507" t="inlineStr">
        <is>
          <t>32285001358752</t>
        </is>
      </c>
      <c r="BD1507" t="inlineStr">
        <is>
          <t>893230103</t>
        </is>
      </c>
    </row>
    <row r="1508">
      <c r="A1508" t="inlineStr">
        <is>
          <t>No</t>
        </is>
      </c>
      <c r="B1508" t="inlineStr">
        <is>
          <t>HQ536 .M37</t>
        </is>
      </c>
      <c r="C1508" t="inlineStr">
        <is>
          <t>0                      HQ 0536000M  37</t>
        </is>
      </c>
      <c r="D1508" t="inlineStr">
        <is>
          <t>Great expectations : marriage and divorce in post-Victorian America / Elaine Tyler May.</t>
        </is>
      </c>
      <c r="F1508" t="inlineStr">
        <is>
          <t>No</t>
        </is>
      </c>
      <c r="G1508" t="inlineStr">
        <is>
          <t>1</t>
        </is>
      </c>
      <c r="H1508" t="inlineStr">
        <is>
          <t>No</t>
        </is>
      </c>
      <c r="I1508" t="inlineStr">
        <is>
          <t>No</t>
        </is>
      </c>
      <c r="J1508" t="inlineStr">
        <is>
          <t>0</t>
        </is>
      </c>
      <c r="K1508" t="inlineStr">
        <is>
          <t>May, Elaine Tyler.</t>
        </is>
      </c>
      <c r="L1508" t="inlineStr">
        <is>
          <t>Chicago : University of Chicago Press, 1980.</t>
        </is>
      </c>
      <c r="M1508" t="inlineStr">
        <is>
          <t>1980</t>
        </is>
      </c>
      <c r="O1508" t="inlineStr">
        <is>
          <t>eng</t>
        </is>
      </c>
      <c r="P1508" t="inlineStr">
        <is>
          <t>ilu</t>
        </is>
      </c>
      <c r="R1508" t="inlineStr">
        <is>
          <t xml:space="preserve">HQ </t>
        </is>
      </c>
      <c r="S1508" t="n">
        <v>5</v>
      </c>
      <c r="T1508" t="n">
        <v>5</v>
      </c>
      <c r="U1508" t="inlineStr">
        <is>
          <t>2009-02-13</t>
        </is>
      </c>
      <c r="V1508" t="inlineStr">
        <is>
          <t>2009-02-13</t>
        </is>
      </c>
      <c r="W1508" t="inlineStr">
        <is>
          <t>1992-10-29</t>
        </is>
      </c>
      <c r="X1508" t="inlineStr">
        <is>
          <t>1992-10-29</t>
        </is>
      </c>
      <c r="Y1508" t="n">
        <v>745</v>
      </c>
      <c r="Z1508" t="n">
        <v>640</v>
      </c>
      <c r="AA1508" t="n">
        <v>681</v>
      </c>
      <c r="AB1508" t="n">
        <v>4</v>
      </c>
      <c r="AC1508" t="n">
        <v>5</v>
      </c>
      <c r="AD1508" t="n">
        <v>30</v>
      </c>
      <c r="AE1508" t="n">
        <v>34</v>
      </c>
      <c r="AF1508" t="n">
        <v>12</v>
      </c>
      <c r="AG1508" t="n">
        <v>13</v>
      </c>
      <c r="AH1508" t="n">
        <v>7</v>
      </c>
      <c r="AI1508" t="n">
        <v>8</v>
      </c>
      <c r="AJ1508" t="n">
        <v>13</v>
      </c>
      <c r="AK1508" t="n">
        <v>15</v>
      </c>
      <c r="AL1508" t="n">
        <v>3</v>
      </c>
      <c r="AM1508" t="n">
        <v>4</v>
      </c>
      <c r="AN1508" t="n">
        <v>2</v>
      </c>
      <c r="AO1508" t="n">
        <v>2</v>
      </c>
      <c r="AP1508" t="inlineStr">
        <is>
          <t>No</t>
        </is>
      </c>
      <c r="AQ1508" t="inlineStr">
        <is>
          <t>No</t>
        </is>
      </c>
      <c r="AS1508">
        <f>HYPERLINK("https://creighton-primo.hosted.exlibrisgroup.com/primo-explore/search?tab=default_tab&amp;search_scope=EVERYTHING&amp;vid=01CRU&amp;lang=en_US&amp;offset=0&amp;query=any,contains,991004920009702656","Catalog Record")</f>
        <v/>
      </c>
      <c r="AT1508">
        <f>HYPERLINK("http://www.worldcat.org/oclc/6042775","WorldCat Record")</f>
        <v/>
      </c>
      <c r="AU1508" t="inlineStr">
        <is>
          <t>21026609:eng</t>
        </is>
      </c>
      <c r="AV1508" t="inlineStr">
        <is>
          <t>6042775</t>
        </is>
      </c>
      <c r="AW1508" t="inlineStr">
        <is>
          <t>991004920009702656</t>
        </is>
      </c>
      <c r="AX1508" t="inlineStr">
        <is>
          <t>991004920009702656</t>
        </is>
      </c>
      <c r="AY1508" t="inlineStr">
        <is>
          <t>2256391420002656</t>
        </is>
      </c>
      <c r="AZ1508" t="inlineStr">
        <is>
          <t>BOOK</t>
        </is>
      </c>
      <c r="BB1508" t="inlineStr">
        <is>
          <t>9780226511665</t>
        </is>
      </c>
      <c r="BC1508" t="inlineStr">
        <is>
          <t>32285001358760</t>
        </is>
      </c>
      <c r="BD1508" t="inlineStr">
        <is>
          <t>893612912</t>
        </is>
      </c>
    </row>
    <row r="1509">
      <c r="A1509" t="inlineStr">
        <is>
          <t>No</t>
        </is>
      </c>
      <c r="B1509" t="inlineStr">
        <is>
          <t>HQ536 .M54 1991</t>
        </is>
      </c>
      <c r="C1509" t="inlineStr">
        <is>
          <t>0                      HQ 0536000M  54          1991</t>
        </is>
      </c>
      <c r="D1509" t="inlineStr">
        <is>
          <t>Warm hearts and cold cash : the intimate dynamics of families and money / Marcia Millman.</t>
        </is>
      </c>
      <c r="F1509" t="inlineStr">
        <is>
          <t>No</t>
        </is>
      </c>
      <c r="G1509" t="inlineStr">
        <is>
          <t>1</t>
        </is>
      </c>
      <c r="H1509" t="inlineStr">
        <is>
          <t>No</t>
        </is>
      </c>
      <c r="I1509" t="inlineStr">
        <is>
          <t>No</t>
        </is>
      </c>
      <c r="J1509" t="inlineStr">
        <is>
          <t>0</t>
        </is>
      </c>
      <c r="K1509" t="inlineStr">
        <is>
          <t>Millman, Marcia.</t>
        </is>
      </c>
      <c r="L1509" t="inlineStr">
        <is>
          <t>New York : Free Press ; Toronto : Collier Macmillan Canada ; New York : Maxwell Macmillan International, c1991.</t>
        </is>
      </c>
      <c r="M1509" t="inlineStr">
        <is>
          <t>1991</t>
        </is>
      </c>
      <c r="O1509" t="inlineStr">
        <is>
          <t>eng</t>
        </is>
      </c>
      <c r="P1509" t="inlineStr">
        <is>
          <t>nyu</t>
        </is>
      </c>
      <c r="R1509" t="inlineStr">
        <is>
          <t xml:space="preserve">HQ </t>
        </is>
      </c>
      <c r="S1509" t="n">
        <v>5</v>
      </c>
      <c r="T1509" t="n">
        <v>5</v>
      </c>
      <c r="U1509" t="inlineStr">
        <is>
          <t>1995-04-18</t>
        </is>
      </c>
      <c r="V1509" t="inlineStr">
        <is>
          <t>1995-04-18</t>
        </is>
      </c>
      <c r="W1509" t="inlineStr">
        <is>
          <t>1991-11-18</t>
        </is>
      </c>
      <c r="X1509" t="inlineStr">
        <is>
          <t>1991-11-18</t>
        </is>
      </c>
      <c r="Y1509" t="n">
        <v>469</v>
      </c>
      <c r="Z1509" t="n">
        <v>405</v>
      </c>
      <c r="AA1509" t="n">
        <v>422</v>
      </c>
      <c r="AB1509" t="n">
        <v>2</v>
      </c>
      <c r="AC1509" t="n">
        <v>2</v>
      </c>
      <c r="AD1509" t="n">
        <v>16</v>
      </c>
      <c r="AE1509" t="n">
        <v>18</v>
      </c>
      <c r="AF1509" t="n">
        <v>6</v>
      </c>
      <c r="AG1509" t="n">
        <v>7</v>
      </c>
      <c r="AH1509" t="n">
        <v>4</v>
      </c>
      <c r="AI1509" t="n">
        <v>5</v>
      </c>
      <c r="AJ1509" t="n">
        <v>10</v>
      </c>
      <c r="AK1509" t="n">
        <v>10</v>
      </c>
      <c r="AL1509" t="n">
        <v>1</v>
      </c>
      <c r="AM1509" t="n">
        <v>1</v>
      </c>
      <c r="AN1509" t="n">
        <v>0</v>
      </c>
      <c r="AO1509" t="n">
        <v>0</v>
      </c>
      <c r="AP1509" t="inlineStr">
        <is>
          <t>No</t>
        </is>
      </c>
      <c r="AQ1509" t="inlineStr">
        <is>
          <t>Yes</t>
        </is>
      </c>
      <c r="AR1509">
        <f>HYPERLINK("http://catalog.hathitrust.org/Record/002448352","HathiTrust Record")</f>
        <v/>
      </c>
      <c r="AS1509">
        <f>HYPERLINK("https://creighton-primo.hosted.exlibrisgroup.com/primo-explore/search?tab=default_tab&amp;search_scope=EVERYTHING&amp;vid=01CRU&amp;lang=en_US&amp;offset=0&amp;query=any,contains,991001816309702656","Catalog Record")</f>
        <v/>
      </c>
      <c r="AT1509">
        <f>HYPERLINK("http://www.worldcat.org/oclc/22812981","WorldCat Record")</f>
        <v/>
      </c>
      <c r="AU1509" t="inlineStr">
        <is>
          <t>304791679:eng</t>
        </is>
      </c>
      <c r="AV1509" t="inlineStr">
        <is>
          <t>22812981</t>
        </is>
      </c>
      <c r="AW1509" t="inlineStr">
        <is>
          <t>991001816309702656</t>
        </is>
      </c>
      <c r="AX1509" t="inlineStr">
        <is>
          <t>991001816309702656</t>
        </is>
      </c>
      <c r="AY1509" t="inlineStr">
        <is>
          <t>2264576380002656</t>
        </is>
      </c>
      <c r="AZ1509" t="inlineStr">
        <is>
          <t>BOOK</t>
        </is>
      </c>
      <c r="BB1509" t="inlineStr">
        <is>
          <t>9780029212851</t>
        </is>
      </c>
      <c r="BC1509" t="inlineStr">
        <is>
          <t>32285000817188</t>
        </is>
      </c>
      <c r="BD1509" t="inlineStr">
        <is>
          <t>893626838</t>
        </is>
      </c>
    </row>
    <row r="1510">
      <c r="A1510" t="inlineStr">
        <is>
          <t>No</t>
        </is>
      </c>
      <c r="B1510" t="inlineStr">
        <is>
          <t>HQ536 .N367 1990</t>
        </is>
      </c>
      <c r="C1510" t="inlineStr">
        <is>
          <t>0                      HQ 0536000N  367         1990</t>
        </is>
      </c>
      <c r="D1510" t="inlineStr">
        <is>
          <t>2001 : preparing families for the future / David H. Olson &amp; Meredith Kilmer Hanson, editors.</t>
        </is>
      </c>
      <c r="F1510" t="inlineStr">
        <is>
          <t>No</t>
        </is>
      </c>
      <c r="G1510" t="inlineStr">
        <is>
          <t>1</t>
        </is>
      </c>
      <c r="H1510" t="inlineStr">
        <is>
          <t>No</t>
        </is>
      </c>
      <c r="I1510" t="inlineStr">
        <is>
          <t>No</t>
        </is>
      </c>
      <c r="J1510" t="inlineStr">
        <is>
          <t>0</t>
        </is>
      </c>
      <c r="L1510" t="inlineStr">
        <is>
          <t>Minneapolis, MN : National Council on Family Relations, c1990.</t>
        </is>
      </c>
      <c r="M1510" t="inlineStr">
        <is>
          <t>1990</t>
        </is>
      </c>
      <c r="O1510" t="inlineStr">
        <is>
          <t>eng</t>
        </is>
      </c>
      <c r="P1510" t="inlineStr">
        <is>
          <t>mnu</t>
        </is>
      </c>
      <c r="R1510" t="inlineStr">
        <is>
          <t xml:space="preserve">HQ </t>
        </is>
      </c>
      <c r="S1510" t="n">
        <v>8</v>
      </c>
      <c r="T1510" t="n">
        <v>8</v>
      </c>
      <c r="U1510" t="inlineStr">
        <is>
          <t>1996-05-26</t>
        </is>
      </c>
      <c r="V1510" t="inlineStr">
        <is>
          <t>1996-05-26</t>
        </is>
      </c>
      <c r="W1510" t="inlineStr">
        <is>
          <t>1991-03-07</t>
        </is>
      </c>
      <c r="X1510" t="inlineStr">
        <is>
          <t>1991-03-07</t>
        </is>
      </c>
      <c r="Y1510" t="n">
        <v>76</v>
      </c>
      <c r="Z1510" t="n">
        <v>61</v>
      </c>
      <c r="AA1510" t="n">
        <v>62</v>
      </c>
      <c r="AB1510" t="n">
        <v>1</v>
      </c>
      <c r="AC1510" t="n">
        <v>1</v>
      </c>
      <c r="AD1510" t="n">
        <v>2</v>
      </c>
      <c r="AE1510" t="n">
        <v>2</v>
      </c>
      <c r="AF1510" t="n">
        <v>1</v>
      </c>
      <c r="AG1510" t="n">
        <v>1</v>
      </c>
      <c r="AH1510" t="n">
        <v>0</v>
      </c>
      <c r="AI1510" t="n">
        <v>0</v>
      </c>
      <c r="AJ1510" t="n">
        <v>2</v>
      </c>
      <c r="AK1510" t="n">
        <v>2</v>
      </c>
      <c r="AL1510" t="n">
        <v>0</v>
      </c>
      <c r="AM1510" t="n">
        <v>0</v>
      </c>
      <c r="AN1510" t="n">
        <v>0</v>
      </c>
      <c r="AO1510" t="n">
        <v>0</v>
      </c>
      <c r="AP1510" t="inlineStr">
        <is>
          <t>No</t>
        </is>
      </c>
      <c r="AQ1510" t="inlineStr">
        <is>
          <t>Yes</t>
        </is>
      </c>
      <c r="AR1510">
        <f>HYPERLINK("http://catalog.hathitrust.org/Record/007558979","HathiTrust Record")</f>
        <v/>
      </c>
      <c r="AS1510">
        <f>HYPERLINK("https://creighton-primo.hosted.exlibrisgroup.com/primo-explore/search?tab=default_tab&amp;search_scope=EVERYTHING&amp;vid=01CRU&amp;lang=en_US&amp;offset=0&amp;query=any,contains,991001646929702656","Catalog Record")</f>
        <v/>
      </c>
      <c r="AT1510">
        <f>HYPERLINK("http://www.worldcat.org/oclc/21054455","WorldCat Record")</f>
        <v/>
      </c>
      <c r="AU1510" t="inlineStr">
        <is>
          <t>432762670:eng</t>
        </is>
      </c>
      <c r="AV1510" t="inlineStr">
        <is>
          <t>21054455</t>
        </is>
      </c>
      <c r="AW1510" t="inlineStr">
        <is>
          <t>991001646929702656</t>
        </is>
      </c>
      <c r="AX1510" t="inlineStr">
        <is>
          <t>991001646929702656</t>
        </is>
      </c>
      <c r="AY1510" t="inlineStr">
        <is>
          <t>2271313840002656</t>
        </is>
      </c>
      <c r="AZ1510" t="inlineStr">
        <is>
          <t>BOOK</t>
        </is>
      </c>
      <c r="BB1510" t="inlineStr">
        <is>
          <t>9780916174262</t>
        </is>
      </c>
      <c r="BC1510" t="inlineStr">
        <is>
          <t>32285000493485</t>
        </is>
      </c>
      <c r="BD1510" t="inlineStr">
        <is>
          <t>893516363</t>
        </is>
      </c>
    </row>
    <row r="1511">
      <c r="A1511" t="inlineStr">
        <is>
          <t>No</t>
        </is>
      </c>
      <c r="B1511" t="inlineStr">
        <is>
          <t>HQ536 .N4 1978, v.1</t>
        </is>
      </c>
      <c r="C1511" t="inlineStr">
        <is>
          <t>0                      HQ 0536000N  4           1978                                        v.1</t>
        </is>
      </c>
      <c r="D1511" t="inlineStr">
        <is>
          <t>Building family strengths : blueprints for action / edited by Nick Stinnett, Barbara Chesser, John DeFrain.</t>
        </is>
      </c>
      <c r="E1511" t="inlineStr">
        <is>
          <t>V.1</t>
        </is>
      </c>
      <c r="F1511" t="inlineStr">
        <is>
          <t>No</t>
        </is>
      </c>
      <c r="G1511" t="inlineStr">
        <is>
          <t>1</t>
        </is>
      </c>
      <c r="H1511" t="inlineStr">
        <is>
          <t>No</t>
        </is>
      </c>
      <c r="I1511" t="inlineStr">
        <is>
          <t>No</t>
        </is>
      </c>
      <c r="J1511" t="inlineStr">
        <is>
          <t>0</t>
        </is>
      </c>
      <c r="L1511" t="inlineStr">
        <is>
          <t>Lincoln : University of Nebraska Press, c1979.</t>
        </is>
      </c>
      <c r="M1511" t="inlineStr">
        <is>
          <t>1979</t>
        </is>
      </c>
      <c r="O1511" t="inlineStr">
        <is>
          <t>eng</t>
        </is>
      </c>
      <c r="P1511" t="inlineStr">
        <is>
          <t>nbu</t>
        </is>
      </c>
      <c r="R1511" t="inlineStr">
        <is>
          <t xml:space="preserve">HQ </t>
        </is>
      </c>
      <c r="S1511" t="n">
        <v>14</v>
      </c>
      <c r="T1511" t="n">
        <v>14</v>
      </c>
      <c r="U1511" t="inlineStr">
        <is>
          <t>1997-02-25</t>
        </is>
      </c>
      <c r="V1511" t="inlineStr">
        <is>
          <t>1997-02-25</t>
        </is>
      </c>
      <c r="W1511" t="inlineStr">
        <is>
          <t>1992-06-17</t>
        </is>
      </c>
      <c r="X1511" t="inlineStr">
        <is>
          <t>1992-06-17</t>
        </is>
      </c>
      <c r="Y1511" t="n">
        <v>358</v>
      </c>
      <c r="Z1511" t="n">
        <v>312</v>
      </c>
      <c r="AA1511" t="n">
        <v>313</v>
      </c>
      <c r="AB1511" t="n">
        <v>5</v>
      </c>
      <c r="AC1511" t="n">
        <v>5</v>
      </c>
      <c r="AD1511" t="n">
        <v>9</v>
      </c>
      <c r="AE1511" t="n">
        <v>9</v>
      </c>
      <c r="AF1511" t="n">
        <v>3</v>
      </c>
      <c r="AG1511" t="n">
        <v>3</v>
      </c>
      <c r="AH1511" t="n">
        <v>3</v>
      </c>
      <c r="AI1511" t="n">
        <v>3</v>
      </c>
      <c r="AJ1511" t="n">
        <v>4</v>
      </c>
      <c r="AK1511" t="n">
        <v>4</v>
      </c>
      <c r="AL1511" t="n">
        <v>1</v>
      </c>
      <c r="AM1511" t="n">
        <v>1</v>
      </c>
      <c r="AN1511" t="n">
        <v>0</v>
      </c>
      <c r="AO1511" t="n">
        <v>0</v>
      </c>
      <c r="AP1511" t="inlineStr">
        <is>
          <t>No</t>
        </is>
      </c>
      <c r="AQ1511" t="inlineStr">
        <is>
          <t>Yes</t>
        </is>
      </c>
      <c r="AR1511">
        <f>HYPERLINK("http://catalog.hathitrust.org/Record/007116233","HathiTrust Record")</f>
        <v/>
      </c>
      <c r="AS1511">
        <f>HYPERLINK("https://creighton-primo.hosted.exlibrisgroup.com/primo-explore/search?tab=default_tab&amp;search_scope=EVERYTHING&amp;vid=01CRU&amp;lang=en_US&amp;offset=0&amp;query=any,contains,991004806539702656","Catalog Record")</f>
        <v/>
      </c>
      <c r="AT1511">
        <f>HYPERLINK("http://www.worldcat.org/oclc/5253837","WorldCat Record")</f>
        <v/>
      </c>
      <c r="AU1511" t="inlineStr">
        <is>
          <t>3855701028:eng</t>
        </is>
      </c>
      <c r="AV1511" t="inlineStr">
        <is>
          <t>5253837</t>
        </is>
      </c>
      <c r="AW1511" t="inlineStr">
        <is>
          <t>991004806539702656</t>
        </is>
      </c>
      <c r="AX1511" t="inlineStr">
        <is>
          <t>991004806539702656</t>
        </is>
      </c>
      <c r="AY1511" t="inlineStr">
        <is>
          <t>2260184540002656</t>
        </is>
      </c>
      <c r="AZ1511" t="inlineStr">
        <is>
          <t>BOOK</t>
        </is>
      </c>
      <c r="BB1511" t="inlineStr">
        <is>
          <t>9780803241145</t>
        </is>
      </c>
      <c r="BC1511" t="inlineStr">
        <is>
          <t>32285001132033</t>
        </is>
      </c>
      <c r="BD1511" t="inlineStr">
        <is>
          <t>893507260</t>
        </is>
      </c>
    </row>
    <row r="1512">
      <c r="A1512" t="inlineStr">
        <is>
          <t>No</t>
        </is>
      </c>
      <c r="B1512" t="inlineStr">
        <is>
          <t>HQ536 .N4 1979</t>
        </is>
      </c>
      <c r="C1512" t="inlineStr">
        <is>
          <t>0                      HQ 0536000N  4           1979</t>
        </is>
      </c>
      <c r="D1512" t="inlineStr">
        <is>
          <t>Family strengths : positive models for family life / edited by Nick Stinnett ... [et al.].</t>
        </is>
      </c>
      <c r="E1512" t="inlineStr">
        <is>
          <t>V.2</t>
        </is>
      </c>
      <c r="F1512" t="inlineStr">
        <is>
          <t>No</t>
        </is>
      </c>
      <c r="G1512" t="inlineStr">
        <is>
          <t>1</t>
        </is>
      </c>
      <c r="H1512" t="inlineStr">
        <is>
          <t>No</t>
        </is>
      </c>
      <c r="I1512" t="inlineStr">
        <is>
          <t>No</t>
        </is>
      </c>
      <c r="J1512" t="inlineStr">
        <is>
          <t>0</t>
        </is>
      </c>
      <c r="K1512" t="inlineStr">
        <is>
          <t>National Symposium on Building Family Strengths (2nd : 1979 : University of Nebraska--Lincoln)</t>
        </is>
      </c>
      <c r="L1512" t="inlineStr">
        <is>
          <t>Lincoln : University of Nebraska Press, c1980.</t>
        </is>
      </c>
      <c r="M1512" t="inlineStr">
        <is>
          <t>1980</t>
        </is>
      </c>
      <c r="O1512" t="inlineStr">
        <is>
          <t>eng</t>
        </is>
      </c>
      <c r="P1512" t="inlineStr">
        <is>
          <t>nbu</t>
        </is>
      </c>
      <c r="R1512" t="inlineStr">
        <is>
          <t xml:space="preserve">HQ </t>
        </is>
      </c>
      <c r="S1512" t="n">
        <v>6</v>
      </c>
      <c r="T1512" t="n">
        <v>6</v>
      </c>
      <c r="U1512" t="inlineStr">
        <is>
          <t>1998-03-14</t>
        </is>
      </c>
      <c r="V1512" t="inlineStr">
        <is>
          <t>1998-03-14</t>
        </is>
      </c>
      <c r="W1512" t="inlineStr">
        <is>
          <t>1992-10-29</t>
        </is>
      </c>
      <c r="X1512" t="inlineStr">
        <is>
          <t>1992-10-29</t>
        </is>
      </c>
      <c r="Y1512" t="n">
        <v>342</v>
      </c>
      <c r="Z1512" t="n">
        <v>299</v>
      </c>
      <c r="AA1512" t="n">
        <v>301</v>
      </c>
      <c r="AB1512" t="n">
        <v>6</v>
      </c>
      <c r="AC1512" t="n">
        <v>6</v>
      </c>
      <c r="AD1512" t="n">
        <v>13</v>
      </c>
      <c r="AE1512" t="n">
        <v>13</v>
      </c>
      <c r="AF1512" t="n">
        <v>4</v>
      </c>
      <c r="AG1512" t="n">
        <v>4</v>
      </c>
      <c r="AH1512" t="n">
        <v>4</v>
      </c>
      <c r="AI1512" t="n">
        <v>4</v>
      </c>
      <c r="AJ1512" t="n">
        <v>7</v>
      </c>
      <c r="AK1512" t="n">
        <v>7</v>
      </c>
      <c r="AL1512" t="n">
        <v>3</v>
      </c>
      <c r="AM1512" t="n">
        <v>3</v>
      </c>
      <c r="AN1512" t="n">
        <v>0</v>
      </c>
      <c r="AO1512" t="n">
        <v>0</v>
      </c>
      <c r="AP1512" t="inlineStr">
        <is>
          <t>No</t>
        </is>
      </c>
      <c r="AQ1512" t="inlineStr">
        <is>
          <t>Yes</t>
        </is>
      </c>
      <c r="AR1512">
        <f>HYPERLINK("http://catalog.hathitrust.org/Record/000130187","HathiTrust Record")</f>
        <v/>
      </c>
      <c r="AS1512">
        <f>HYPERLINK("https://creighton-primo.hosted.exlibrisgroup.com/primo-explore/search?tab=default_tab&amp;search_scope=EVERYTHING&amp;vid=01CRU&amp;lang=en_US&amp;offset=0&amp;query=any,contains,991005054849702656","Catalog Record")</f>
        <v/>
      </c>
      <c r="AT1512">
        <f>HYPERLINK("http://www.worldcat.org/oclc/7736895","WorldCat Record")</f>
        <v/>
      </c>
      <c r="AU1512" t="inlineStr">
        <is>
          <t>905519196:eng</t>
        </is>
      </c>
      <c r="AV1512" t="inlineStr">
        <is>
          <t>7736895</t>
        </is>
      </c>
      <c r="AW1512" t="inlineStr">
        <is>
          <t>991005054849702656</t>
        </is>
      </c>
      <c r="AX1512" t="inlineStr">
        <is>
          <t>991005054849702656</t>
        </is>
      </c>
      <c r="AY1512" t="inlineStr">
        <is>
          <t>2261956030002656</t>
        </is>
      </c>
      <c r="AZ1512" t="inlineStr">
        <is>
          <t>BOOK</t>
        </is>
      </c>
      <c r="BB1512" t="inlineStr">
        <is>
          <t>9780803241251</t>
        </is>
      </c>
      <c r="BC1512" t="inlineStr">
        <is>
          <t>32285001358778</t>
        </is>
      </c>
      <c r="BD1512" t="inlineStr">
        <is>
          <t>893332330</t>
        </is>
      </c>
    </row>
    <row r="1513">
      <c r="A1513" t="inlineStr">
        <is>
          <t>No</t>
        </is>
      </c>
      <c r="B1513" t="inlineStr">
        <is>
          <t>HQ536 .N4 1980, no.3</t>
        </is>
      </c>
      <c r="C1513" t="inlineStr">
        <is>
          <t>0                      HQ 0536000N  4           1980                                        no.3</t>
        </is>
      </c>
      <c r="D1513" t="inlineStr">
        <is>
          <t>Family strengths 3 : roots of well-being / edited by Nick Stinnett ... [et al.].</t>
        </is>
      </c>
      <c r="E1513" t="inlineStr">
        <is>
          <t>no.3*</t>
        </is>
      </c>
      <c r="F1513" t="inlineStr">
        <is>
          <t>Yes</t>
        </is>
      </c>
      <c r="G1513" t="inlineStr">
        <is>
          <t>1</t>
        </is>
      </c>
      <c r="H1513" t="inlineStr">
        <is>
          <t>No</t>
        </is>
      </c>
      <c r="I1513" t="inlineStr">
        <is>
          <t>No</t>
        </is>
      </c>
      <c r="J1513" t="inlineStr">
        <is>
          <t>0</t>
        </is>
      </c>
      <c r="K1513" t="inlineStr">
        <is>
          <t>National Symposium on Building Family Strengths (3rd : 1980 : University of Nebraska--Lincoln)</t>
        </is>
      </c>
      <c r="L1513" t="inlineStr">
        <is>
          <t>Lincoln : University of Nebraska Press, c1981.</t>
        </is>
      </c>
      <c r="M1513" t="inlineStr">
        <is>
          <t>1981</t>
        </is>
      </c>
      <c r="O1513" t="inlineStr">
        <is>
          <t>eng</t>
        </is>
      </c>
      <c r="P1513" t="inlineStr">
        <is>
          <t>nbu</t>
        </is>
      </c>
      <c r="R1513" t="inlineStr">
        <is>
          <t xml:space="preserve">HQ </t>
        </is>
      </c>
      <c r="S1513" t="n">
        <v>10</v>
      </c>
      <c r="T1513" t="n">
        <v>12</v>
      </c>
      <c r="U1513" t="inlineStr">
        <is>
          <t>2005-06-22</t>
        </is>
      </c>
      <c r="V1513" t="inlineStr">
        <is>
          <t>2005-06-22</t>
        </is>
      </c>
      <c r="W1513" t="inlineStr">
        <is>
          <t>1992-04-16</t>
        </is>
      </c>
      <c r="X1513" t="inlineStr">
        <is>
          <t>1992-04-16</t>
        </is>
      </c>
      <c r="Y1513" t="n">
        <v>232</v>
      </c>
      <c r="Z1513" t="n">
        <v>213</v>
      </c>
      <c r="AA1513" t="n">
        <v>220</v>
      </c>
      <c r="AB1513" t="n">
        <v>7</v>
      </c>
      <c r="AC1513" t="n">
        <v>7</v>
      </c>
      <c r="AD1513" t="n">
        <v>8</v>
      </c>
      <c r="AE1513" t="n">
        <v>8</v>
      </c>
      <c r="AF1513" t="n">
        <v>0</v>
      </c>
      <c r="AG1513" t="n">
        <v>0</v>
      </c>
      <c r="AH1513" t="n">
        <v>3</v>
      </c>
      <c r="AI1513" t="n">
        <v>3</v>
      </c>
      <c r="AJ1513" t="n">
        <v>5</v>
      </c>
      <c r="AK1513" t="n">
        <v>5</v>
      </c>
      <c r="AL1513" t="n">
        <v>2</v>
      </c>
      <c r="AM1513" t="n">
        <v>2</v>
      </c>
      <c r="AN1513" t="n">
        <v>0</v>
      </c>
      <c r="AO1513" t="n">
        <v>0</v>
      </c>
      <c r="AP1513" t="inlineStr">
        <is>
          <t>No</t>
        </is>
      </c>
      <c r="AQ1513" t="inlineStr">
        <is>
          <t>Yes</t>
        </is>
      </c>
      <c r="AR1513">
        <f>HYPERLINK("http://catalog.hathitrust.org/Record/000182018","HathiTrust Record")</f>
        <v/>
      </c>
      <c r="AS1513">
        <f>HYPERLINK("https://creighton-primo.hosted.exlibrisgroup.com/primo-explore/search?tab=default_tab&amp;search_scope=EVERYTHING&amp;vid=01CRU&amp;lang=en_US&amp;offset=0&amp;query=any,contains,991001766379702656","Catalog Record")</f>
        <v/>
      </c>
      <c r="AT1513">
        <f>HYPERLINK("http://www.worldcat.org/oclc/16561405","WorldCat Record")</f>
        <v/>
      </c>
      <c r="AU1513" t="inlineStr">
        <is>
          <t>836669971:eng</t>
        </is>
      </c>
      <c r="AV1513" t="inlineStr">
        <is>
          <t>16561405</t>
        </is>
      </c>
      <c r="AW1513" t="inlineStr">
        <is>
          <t>991001766379702656</t>
        </is>
      </c>
      <c r="AX1513" t="inlineStr">
        <is>
          <t>991001766379702656</t>
        </is>
      </c>
      <c r="AY1513" t="inlineStr">
        <is>
          <t>2260484520002656</t>
        </is>
      </c>
      <c r="AZ1513" t="inlineStr">
        <is>
          <t>BOOK</t>
        </is>
      </c>
      <c r="BB1513" t="inlineStr">
        <is>
          <t>9780803241282</t>
        </is>
      </c>
      <c r="BC1513" t="inlineStr">
        <is>
          <t>32285001044626</t>
        </is>
      </c>
      <c r="BD1513" t="inlineStr">
        <is>
          <t>893715702</t>
        </is>
      </c>
    </row>
    <row r="1514">
      <c r="A1514" t="inlineStr">
        <is>
          <t>No</t>
        </is>
      </c>
      <c r="B1514" t="inlineStr">
        <is>
          <t>HQ536 .N4 1982, no.5</t>
        </is>
      </c>
      <c r="C1514" t="inlineStr">
        <is>
          <t>0                      HQ 0536000N  4           1982                                        no.5</t>
        </is>
      </c>
      <c r="D1514" t="inlineStr">
        <is>
          <t>Family strengths 5 : continuity &amp; diversity / edited by George Rowe ... [et al.].</t>
        </is>
      </c>
      <c r="E1514" t="inlineStr">
        <is>
          <t>no.5*</t>
        </is>
      </c>
      <c r="F1514" t="inlineStr">
        <is>
          <t>No</t>
        </is>
      </c>
      <c r="G1514" t="inlineStr">
        <is>
          <t>1</t>
        </is>
      </c>
      <c r="H1514" t="inlineStr">
        <is>
          <t>No</t>
        </is>
      </c>
      <c r="I1514" t="inlineStr">
        <is>
          <t>No</t>
        </is>
      </c>
      <c r="J1514" t="inlineStr">
        <is>
          <t>0</t>
        </is>
      </c>
      <c r="K1514" t="inlineStr">
        <is>
          <t>National Symposium on Building Family Strengths (5th : 1982 : Lincoln, Neb.)</t>
        </is>
      </c>
      <c r="L1514" t="inlineStr">
        <is>
          <t>Newton, Massachusetts : Educational Development Center, c1984.</t>
        </is>
      </c>
      <c r="M1514" t="inlineStr">
        <is>
          <t>1984</t>
        </is>
      </c>
      <c r="O1514" t="inlineStr">
        <is>
          <t>eng</t>
        </is>
      </c>
      <c r="P1514" t="inlineStr">
        <is>
          <t>mau</t>
        </is>
      </c>
      <c r="R1514" t="inlineStr">
        <is>
          <t xml:space="preserve">HQ </t>
        </is>
      </c>
      <c r="S1514" t="n">
        <v>4</v>
      </c>
      <c r="T1514" t="n">
        <v>4</v>
      </c>
      <c r="U1514" t="inlineStr">
        <is>
          <t>1995-04-07</t>
        </is>
      </c>
      <c r="V1514" t="inlineStr">
        <is>
          <t>1995-04-07</t>
        </is>
      </c>
      <c r="W1514" t="inlineStr">
        <is>
          <t>1992-10-29</t>
        </is>
      </c>
      <c r="X1514" t="inlineStr">
        <is>
          <t>1992-10-29</t>
        </is>
      </c>
      <c r="Y1514" t="n">
        <v>67</v>
      </c>
      <c r="Z1514" t="n">
        <v>64</v>
      </c>
      <c r="AA1514" t="n">
        <v>66</v>
      </c>
      <c r="AB1514" t="n">
        <v>2</v>
      </c>
      <c r="AC1514" t="n">
        <v>2</v>
      </c>
      <c r="AD1514" t="n">
        <v>2</v>
      </c>
      <c r="AE1514" t="n">
        <v>2</v>
      </c>
      <c r="AF1514" t="n">
        <v>0</v>
      </c>
      <c r="AG1514" t="n">
        <v>0</v>
      </c>
      <c r="AH1514" t="n">
        <v>0</v>
      </c>
      <c r="AI1514" t="n">
        <v>0</v>
      </c>
      <c r="AJ1514" t="n">
        <v>1</v>
      </c>
      <c r="AK1514" t="n">
        <v>1</v>
      </c>
      <c r="AL1514" t="n">
        <v>1</v>
      </c>
      <c r="AM1514" t="n">
        <v>1</v>
      </c>
      <c r="AN1514" t="n">
        <v>0</v>
      </c>
      <c r="AO1514" t="n">
        <v>0</v>
      </c>
      <c r="AP1514" t="inlineStr">
        <is>
          <t>No</t>
        </is>
      </c>
      <c r="AQ1514" t="inlineStr">
        <is>
          <t>Yes</t>
        </is>
      </c>
      <c r="AR1514">
        <f>HYPERLINK("http://catalog.hathitrust.org/Record/007470095","HathiTrust Record")</f>
        <v/>
      </c>
      <c r="AS1514">
        <f>HYPERLINK("https://creighton-primo.hosted.exlibrisgroup.com/primo-explore/search?tab=default_tab&amp;search_scope=EVERYTHING&amp;vid=01CRU&amp;lang=en_US&amp;offset=0&amp;query=any,contains,991000511449702656","Catalog Record")</f>
        <v/>
      </c>
      <c r="AT1514">
        <f>HYPERLINK("http://www.worldcat.org/oclc/11237614","WorldCat Record")</f>
        <v/>
      </c>
      <c r="AU1514" t="inlineStr">
        <is>
          <t>2264313524:eng</t>
        </is>
      </c>
      <c r="AV1514" t="inlineStr">
        <is>
          <t>11237614</t>
        </is>
      </c>
      <c r="AW1514" t="inlineStr">
        <is>
          <t>991000511449702656</t>
        </is>
      </c>
      <c r="AX1514" t="inlineStr">
        <is>
          <t>991000511449702656</t>
        </is>
      </c>
      <c r="AY1514" t="inlineStr">
        <is>
          <t>2256403820002656</t>
        </is>
      </c>
      <c r="AZ1514" t="inlineStr">
        <is>
          <t>BOOK</t>
        </is>
      </c>
      <c r="BB1514" t="inlineStr">
        <is>
          <t>9780892920907</t>
        </is>
      </c>
      <c r="BC1514" t="inlineStr">
        <is>
          <t>32285001358794</t>
        </is>
      </c>
      <c r="BD1514" t="inlineStr">
        <is>
          <t>893771699</t>
        </is>
      </c>
    </row>
    <row r="1515">
      <c r="A1515" t="inlineStr">
        <is>
          <t>No</t>
        </is>
      </c>
      <c r="B1515" t="inlineStr">
        <is>
          <t>HQ536 .N4 1985, no.6</t>
        </is>
      </c>
      <c r="C1515" t="inlineStr">
        <is>
          <t>0                      HQ 0536000N  4           1985                                        no.6</t>
        </is>
      </c>
      <c r="D1515" t="inlineStr">
        <is>
          <t>Family strengths 6 : enhancement of interaction / edited by Rosanne Williams ... [et al.].</t>
        </is>
      </c>
      <c r="E1515" t="inlineStr">
        <is>
          <t>no.6*</t>
        </is>
      </c>
      <c r="F1515" t="inlineStr">
        <is>
          <t>No</t>
        </is>
      </c>
      <c r="G1515" t="inlineStr">
        <is>
          <t>1</t>
        </is>
      </c>
      <c r="H1515" t="inlineStr">
        <is>
          <t>No</t>
        </is>
      </c>
      <c r="I1515" t="inlineStr">
        <is>
          <t>No</t>
        </is>
      </c>
      <c r="J1515" t="inlineStr">
        <is>
          <t>0</t>
        </is>
      </c>
      <c r="K1515" t="inlineStr">
        <is>
          <t>National Symposium on Building Family Strengths (6th : 1985 : University of Nebraska--Lincoln)</t>
        </is>
      </c>
      <c r="L1515" t="inlineStr">
        <is>
          <t>Lincoln, Neb. : Center for Family Strengths, Dept. of Human Development and the Family, College of Home Economics, University of Nebraska-Lincoln, c1985.</t>
        </is>
      </c>
      <c r="M1515" t="inlineStr">
        <is>
          <t>1985</t>
        </is>
      </c>
      <c r="O1515" t="inlineStr">
        <is>
          <t>eng</t>
        </is>
      </c>
      <c r="P1515" t="inlineStr">
        <is>
          <t>nbu</t>
        </is>
      </c>
      <c r="R1515" t="inlineStr">
        <is>
          <t xml:space="preserve">HQ </t>
        </is>
      </c>
      <c r="S1515" t="n">
        <v>2</v>
      </c>
      <c r="T1515" t="n">
        <v>2</v>
      </c>
      <c r="U1515" t="inlineStr">
        <is>
          <t>2001-11-12</t>
        </is>
      </c>
      <c r="V1515" t="inlineStr">
        <is>
          <t>2001-11-12</t>
        </is>
      </c>
      <c r="W1515" t="inlineStr">
        <is>
          <t>1992-04-16</t>
        </is>
      </c>
      <c r="X1515" t="inlineStr">
        <is>
          <t>1992-04-16</t>
        </is>
      </c>
      <c r="Y1515" t="n">
        <v>39</v>
      </c>
      <c r="Z1515" t="n">
        <v>26</v>
      </c>
      <c r="AA1515" t="n">
        <v>26</v>
      </c>
      <c r="AB1515" t="n">
        <v>2</v>
      </c>
      <c r="AC1515" t="n">
        <v>2</v>
      </c>
      <c r="AD1515" t="n">
        <v>1</v>
      </c>
      <c r="AE1515" t="n">
        <v>1</v>
      </c>
      <c r="AF1515" t="n">
        <v>0</v>
      </c>
      <c r="AG1515" t="n">
        <v>0</v>
      </c>
      <c r="AH1515" t="n">
        <v>0</v>
      </c>
      <c r="AI1515" t="n">
        <v>0</v>
      </c>
      <c r="AJ1515" t="n">
        <v>0</v>
      </c>
      <c r="AK1515" t="n">
        <v>0</v>
      </c>
      <c r="AL1515" t="n">
        <v>1</v>
      </c>
      <c r="AM1515" t="n">
        <v>1</v>
      </c>
      <c r="AN1515" t="n">
        <v>0</v>
      </c>
      <c r="AO1515" t="n">
        <v>0</v>
      </c>
      <c r="AP1515" t="inlineStr">
        <is>
          <t>No</t>
        </is>
      </c>
      <c r="AQ1515" t="inlineStr">
        <is>
          <t>No</t>
        </is>
      </c>
      <c r="AS1515">
        <f>HYPERLINK("https://creighton-primo.hosted.exlibrisgroup.com/primo-explore/search?tab=default_tab&amp;search_scope=EVERYTHING&amp;vid=01CRU&amp;lang=en_US&amp;offset=0&amp;query=any,contains,991000778169702656","Catalog Record")</f>
        <v/>
      </c>
      <c r="AT1515">
        <f>HYPERLINK("http://www.worldcat.org/oclc/13092834","WorldCat Record")</f>
        <v/>
      </c>
      <c r="AU1515" t="inlineStr">
        <is>
          <t>5825563:eng</t>
        </is>
      </c>
      <c r="AV1515" t="inlineStr">
        <is>
          <t>13092834</t>
        </is>
      </c>
      <c r="AW1515" t="inlineStr">
        <is>
          <t>991000778169702656</t>
        </is>
      </c>
      <c r="AX1515" t="inlineStr">
        <is>
          <t>991000778169702656</t>
        </is>
      </c>
      <c r="AY1515" t="inlineStr">
        <is>
          <t>2271291520002656</t>
        </is>
      </c>
      <c r="AZ1515" t="inlineStr">
        <is>
          <t>BOOK</t>
        </is>
      </c>
      <c r="BB1515" t="inlineStr">
        <is>
          <t>9780934949019</t>
        </is>
      </c>
      <c r="BC1515" t="inlineStr">
        <is>
          <t>32285001044634</t>
        </is>
      </c>
      <c r="BD1515" t="inlineStr">
        <is>
          <t>893790836</t>
        </is>
      </c>
    </row>
    <row r="1516">
      <c r="A1516" t="inlineStr">
        <is>
          <t>No</t>
        </is>
      </c>
      <c r="B1516" t="inlineStr">
        <is>
          <t>HQ536 .N4 1986, no.7</t>
        </is>
      </c>
      <c r="C1516" t="inlineStr">
        <is>
          <t>0                      HQ 0536000N  4           1986                                        no.7</t>
        </is>
      </c>
      <c r="D1516" t="inlineStr">
        <is>
          <t>Family strengths 7 : vital connections / edited by Sally Van Zandt ... [et al.].</t>
        </is>
      </c>
      <c r="E1516" t="inlineStr">
        <is>
          <t>no.7*</t>
        </is>
      </c>
      <c r="F1516" t="inlineStr">
        <is>
          <t>No</t>
        </is>
      </c>
      <c r="G1516" t="inlineStr">
        <is>
          <t>1</t>
        </is>
      </c>
      <c r="H1516" t="inlineStr">
        <is>
          <t>No</t>
        </is>
      </c>
      <c r="I1516" t="inlineStr">
        <is>
          <t>No</t>
        </is>
      </c>
      <c r="J1516" t="inlineStr">
        <is>
          <t>0</t>
        </is>
      </c>
      <c r="K1516" t="inlineStr">
        <is>
          <t>National Symposium on Building Family Strengths (7th : 1986 : University of Nebraska--Lincoln)</t>
        </is>
      </c>
      <c r="L1516" t="inlineStr">
        <is>
          <t>Lincoln, Neb. : Center for Family Strengths, Dept. of Human Development and the Family, College of Home Economics, University of Nebraska-Lincoln, c1986.</t>
        </is>
      </c>
      <c r="M1516" t="inlineStr">
        <is>
          <t>1986</t>
        </is>
      </c>
      <c r="O1516" t="inlineStr">
        <is>
          <t>eng</t>
        </is>
      </c>
      <c r="P1516" t="inlineStr">
        <is>
          <t>nbu</t>
        </is>
      </c>
      <c r="R1516" t="inlineStr">
        <is>
          <t xml:space="preserve">HQ </t>
        </is>
      </c>
      <c r="S1516" t="n">
        <v>7</v>
      </c>
      <c r="T1516" t="n">
        <v>7</v>
      </c>
      <c r="U1516" t="inlineStr">
        <is>
          <t>1995-09-21</t>
        </is>
      </c>
      <c r="V1516" t="inlineStr">
        <is>
          <t>1995-09-21</t>
        </is>
      </c>
      <c r="W1516" t="inlineStr">
        <is>
          <t>1995-06-30</t>
        </is>
      </c>
      <c r="X1516" t="inlineStr">
        <is>
          <t>1995-06-30</t>
        </is>
      </c>
      <c r="Y1516" t="n">
        <v>20</v>
      </c>
      <c r="Z1516" t="n">
        <v>17</v>
      </c>
      <c r="AA1516" t="n">
        <v>17</v>
      </c>
      <c r="AB1516" t="n">
        <v>2</v>
      </c>
      <c r="AC1516" t="n">
        <v>2</v>
      </c>
      <c r="AD1516" t="n">
        <v>1</v>
      </c>
      <c r="AE1516" t="n">
        <v>1</v>
      </c>
      <c r="AF1516" t="n">
        <v>0</v>
      </c>
      <c r="AG1516" t="n">
        <v>0</v>
      </c>
      <c r="AH1516" t="n">
        <v>0</v>
      </c>
      <c r="AI1516" t="n">
        <v>0</v>
      </c>
      <c r="AJ1516" t="n">
        <v>0</v>
      </c>
      <c r="AK1516" t="n">
        <v>0</v>
      </c>
      <c r="AL1516" t="n">
        <v>1</v>
      </c>
      <c r="AM1516" t="n">
        <v>1</v>
      </c>
      <c r="AN1516" t="n">
        <v>0</v>
      </c>
      <c r="AO1516" t="n">
        <v>0</v>
      </c>
      <c r="AP1516" t="inlineStr">
        <is>
          <t>No</t>
        </is>
      </c>
      <c r="AQ1516" t="inlineStr">
        <is>
          <t>No</t>
        </is>
      </c>
      <c r="AS1516">
        <f>HYPERLINK("https://creighton-primo.hosted.exlibrisgroup.com/primo-explore/search?tab=default_tab&amp;search_scope=EVERYTHING&amp;vid=01CRU&amp;lang=en_US&amp;offset=0&amp;query=any,contains,991000959019702656","Catalog Record")</f>
        <v/>
      </c>
      <c r="AT1516">
        <f>HYPERLINK("http://www.worldcat.org/oclc/14768896","WorldCat Record")</f>
        <v/>
      </c>
      <c r="AU1516" t="inlineStr">
        <is>
          <t>680027648:eng</t>
        </is>
      </c>
      <c r="AV1516" t="inlineStr">
        <is>
          <t>14768896</t>
        </is>
      </c>
      <c r="AW1516" t="inlineStr">
        <is>
          <t>991000959019702656</t>
        </is>
      </c>
      <c r="AX1516" t="inlineStr">
        <is>
          <t>991000959019702656</t>
        </is>
      </c>
      <c r="AY1516" t="inlineStr">
        <is>
          <t>2259271370002656</t>
        </is>
      </c>
      <c r="AZ1516" t="inlineStr">
        <is>
          <t>BOOK</t>
        </is>
      </c>
      <c r="BB1516" t="inlineStr">
        <is>
          <t>9780934949026</t>
        </is>
      </c>
      <c r="BC1516" t="inlineStr">
        <is>
          <t>32285002021623</t>
        </is>
      </c>
      <c r="BD1516" t="inlineStr">
        <is>
          <t>893534372</t>
        </is>
      </c>
    </row>
    <row r="1517">
      <c r="A1517" t="inlineStr">
        <is>
          <t>No</t>
        </is>
      </c>
      <c r="B1517" t="inlineStr">
        <is>
          <t>HQ536 .N68 1978</t>
        </is>
      </c>
      <c r="C1517" t="inlineStr">
        <is>
          <t>0                      HQ 0536000N  68          1978</t>
        </is>
      </c>
      <c r="D1517" t="inlineStr">
        <is>
          <t>The politics and programs of family policy : United States and European perspectives / edited by Joan Aldous and Wilfried Dumon, with Katrina Johnson.</t>
        </is>
      </c>
      <c r="F1517" t="inlineStr">
        <is>
          <t>No</t>
        </is>
      </c>
      <c r="G1517" t="inlineStr">
        <is>
          <t>1</t>
        </is>
      </c>
      <c r="H1517" t="inlineStr">
        <is>
          <t>No</t>
        </is>
      </c>
      <c r="I1517" t="inlineStr">
        <is>
          <t>No</t>
        </is>
      </c>
      <c r="J1517" t="inlineStr">
        <is>
          <t>0</t>
        </is>
      </c>
      <c r="K1517" t="inlineStr">
        <is>
          <t>Notre Dame International Seminar on Family Policy (1978)</t>
        </is>
      </c>
      <c r="L1517" t="inlineStr">
        <is>
          <t>Notre Dame, Ind. : Center for the Study of Man, University of Notre Dame ; [Leuven, Belgium] : Leuven University Press, 1980.</t>
        </is>
      </c>
      <c r="M1517" t="inlineStr">
        <is>
          <t>1980</t>
        </is>
      </c>
      <c r="O1517" t="inlineStr">
        <is>
          <t>eng</t>
        </is>
      </c>
      <c r="P1517" t="inlineStr">
        <is>
          <t>inu</t>
        </is>
      </c>
      <c r="R1517" t="inlineStr">
        <is>
          <t xml:space="preserve">HQ </t>
        </is>
      </c>
      <c r="S1517" t="n">
        <v>4</v>
      </c>
      <c r="T1517" t="n">
        <v>4</v>
      </c>
      <c r="U1517" t="inlineStr">
        <is>
          <t>2009-03-27</t>
        </is>
      </c>
      <c r="V1517" t="inlineStr">
        <is>
          <t>2009-03-27</t>
        </is>
      </c>
      <c r="W1517" t="inlineStr">
        <is>
          <t>1992-10-29</t>
        </is>
      </c>
      <c r="X1517" t="inlineStr">
        <is>
          <t>1992-10-29</t>
        </is>
      </c>
      <c r="Y1517" t="n">
        <v>252</v>
      </c>
      <c r="Z1517" t="n">
        <v>197</v>
      </c>
      <c r="AA1517" t="n">
        <v>198</v>
      </c>
      <c r="AB1517" t="n">
        <v>3</v>
      </c>
      <c r="AC1517" t="n">
        <v>3</v>
      </c>
      <c r="AD1517" t="n">
        <v>6</v>
      </c>
      <c r="AE1517" t="n">
        <v>6</v>
      </c>
      <c r="AF1517" t="n">
        <v>1</v>
      </c>
      <c r="AG1517" t="n">
        <v>1</v>
      </c>
      <c r="AH1517" t="n">
        <v>3</v>
      </c>
      <c r="AI1517" t="n">
        <v>3</v>
      </c>
      <c r="AJ1517" t="n">
        <v>2</v>
      </c>
      <c r="AK1517" t="n">
        <v>2</v>
      </c>
      <c r="AL1517" t="n">
        <v>1</v>
      </c>
      <c r="AM1517" t="n">
        <v>1</v>
      </c>
      <c r="AN1517" t="n">
        <v>1</v>
      </c>
      <c r="AO1517" t="n">
        <v>1</v>
      </c>
      <c r="AP1517" t="inlineStr">
        <is>
          <t>No</t>
        </is>
      </c>
      <c r="AQ1517" t="inlineStr">
        <is>
          <t>Yes</t>
        </is>
      </c>
      <c r="AR1517">
        <f>HYPERLINK("http://catalog.hathitrust.org/Record/000126563","HathiTrust Record")</f>
        <v/>
      </c>
      <c r="AS1517">
        <f>HYPERLINK("https://creighton-primo.hosted.exlibrisgroup.com/primo-explore/search?tab=default_tab&amp;search_scope=EVERYTHING&amp;vid=01CRU&amp;lang=en_US&amp;offset=0&amp;query=any,contains,991005022909702656","Catalog Record")</f>
        <v/>
      </c>
      <c r="AT1517">
        <f>HYPERLINK("http://www.worldcat.org/oclc/6666327","WorldCat Record")</f>
        <v/>
      </c>
      <c r="AU1517" t="inlineStr">
        <is>
          <t>368556743:eng</t>
        </is>
      </c>
      <c r="AV1517" t="inlineStr">
        <is>
          <t>6666327</t>
        </is>
      </c>
      <c r="AW1517" t="inlineStr">
        <is>
          <t>991005022909702656</t>
        </is>
      </c>
      <c r="AX1517" t="inlineStr">
        <is>
          <t>991005022909702656</t>
        </is>
      </c>
      <c r="AY1517" t="inlineStr">
        <is>
          <t>2261247000002656</t>
        </is>
      </c>
      <c r="AZ1517" t="inlineStr">
        <is>
          <t>BOOK</t>
        </is>
      </c>
      <c r="BB1517" t="inlineStr">
        <is>
          <t>9780268015398</t>
        </is>
      </c>
      <c r="BC1517" t="inlineStr">
        <is>
          <t>32285001358810</t>
        </is>
      </c>
      <c r="BD1517" t="inlineStr">
        <is>
          <t>893722708</t>
        </is>
      </c>
    </row>
    <row r="1518">
      <c r="A1518" t="inlineStr">
        <is>
          <t>No</t>
        </is>
      </c>
      <c r="B1518" t="inlineStr">
        <is>
          <t>HQ536 .P56 1979</t>
        </is>
      </c>
      <c r="C1518" t="inlineStr">
        <is>
          <t>0                      HQ 0536000P  56          1979</t>
        </is>
      </c>
      <c r="D1518" t="inlineStr">
        <is>
          <t>Work and the family system : a naturalistic study of working-class and lower-middle-class families / Chaya S. Piotrkowski.</t>
        </is>
      </c>
      <c r="F1518" t="inlineStr">
        <is>
          <t>No</t>
        </is>
      </c>
      <c r="G1518" t="inlineStr">
        <is>
          <t>1</t>
        </is>
      </c>
      <c r="H1518" t="inlineStr">
        <is>
          <t>No</t>
        </is>
      </c>
      <c r="I1518" t="inlineStr">
        <is>
          <t>No</t>
        </is>
      </c>
      <c r="J1518" t="inlineStr">
        <is>
          <t>0</t>
        </is>
      </c>
      <c r="K1518" t="inlineStr">
        <is>
          <t>Piotrkowski, Chaya S.</t>
        </is>
      </c>
      <c r="L1518" t="inlineStr">
        <is>
          <t>New York : Free Press, c1979.</t>
        </is>
      </c>
      <c r="M1518" t="inlineStr">
        <is>
          <t>1979</t>
        </is>
      </c>
      <c r="O1518" t="inlineStr">
        <is>
          <t>eng</t>
        </is>
      </c>
      <c r="P1518" t="inlineStr">
        <is>
          <t>nyu</t>
        </is>
      </c>
      <c r="R1518" t="inlineStr">
        <is>
          <t xml:space="preserve">HQ </t>
        </is>
      </c>
      <c r="S1518" t="n">
        <v>6</v>
      </c>
      <c r="T1518" t="n">
        <v>6</v>
      </c>
      <c r="U1518" t="inlineStr">
        <is>
          <t>2004-02-02</t>
        </is>
      </c>
      <c r="V1518" t="inlineStr">
        <is>
          <t>2004-02-02</t>
        </is>
      </c>
      <c r="W1518" t="inlineStr">
        <is>
          <t>1993-02-15</t>
        </is>
      </c>
      <c r="X1518" t="inlineStr">
        <is>
          <t>1993-02-15</t>
        </is>
      </c>
      <c r="Y1518" t="n">
        <v>586</v>
      </c>
      <c r="Z1518" t="n">
        <v>514</v>
      </c>
      <c r="AA1518" t="n">
        <v>516</v>
      </c>
      <c r="AB1518" t="n">
        <v>6</v>
      </c>
      <c r="AC1518" t="n">
        <v>6</v>
      </c>
      <c r="AD1518" t="n">
        <v>25</v>
      </c>
      <c r="AE1518" t="n">
        <v>25</v>
      </c>
      <c r="AF1518" t="n">
        <v>8</v>
      </c>
      <c r="AG1518" t="n">
        <v>8</v>
      </c>
      <c r="AH1518" t="n">
        <v>6</v>
      </c>
      <c r="AI1518" t="n">
        <v>6</v>
      </c>
      <c r="AJ1518" t="n">
        <v>13</v>
      </c>
      <c r="AK1518" t="n">
        <v>13</v>
      </c>
      <c r="AL1518" t="n">
        <v>5</v>
      </c>
      <c r="AM1518" t="n">
        <v>5</v>
      </c>
      <c r="AN1518" t="n">
        <v>0</v>
      </c>
      <c r="AO1518" t="n">
        <v>0</v>
      </c>
      <c r="AP1518" t="inlineStr">
        <is>
          <t>No</t>
        </is>
      </c>
      <c r="AQ1518" t="inlineStr">
        <is>
          <t>Yes</t>
        </is>
      </c>
      <c r="AR1518">
        <f>HYPERLINK("http://catalog.hathitrust.org/Record/000694351","HathiTrust Record")</f>
        <v/>
      </c>
      <c r="AS1518">
        <f>HYPERLINK("https://creighton-primo.hosted.exlibrisgroup.com/primo-explore/search?tab=default_tab&amp;search_scope=EVERYTHING&amp;vid=01CRU&amp;lang=en_US&amp;offset=0&amp;query=any,contains,991004832729702656","Catalog Record")</f>
        <v/>
      </c>
      <c r="AT1518">
        <f>HYPERLINK("http://www.worldcat.org/oclc/5413117","WorldCat Record")</f>
        <v/>
      </c>
      <c r="AU1518" t="inlineStr">
        <is>
          <t>292322228:eng</t>
        </is>
      </c>
      <c r="AV1518" t="inlineStr">
        <is>
          <t>5413117</t>
        </is>
      </c>
      <c r="AW1518" t="inlineStr">
        <is>
          <t>991004832729702656</t>
        </is>
      </c>
      <c r="AX1518" t="inlineStr">
        <is>
          <t>991004832729702656</t>
        </is>
      </c>
      <c r="AY1518" t="inlineStr">
        <is>
          <t>2257482860002656</t>
        </is>
      </c>
      <c r="AZ1518" t="inlineStr">
        <is>
          <t>BOOK</t>
        </is>
      </c>
      <c r="BB1518" t="inlineStr">
        <is>
          <t>9780029253403</t>
        </is>
      </c>
      <c r="BC1518" t="inlineStr">
        <is>
          <t>32285001534170</t>
        </is>
      </c>
      <c r="BD1518" t="inlineStr">
        <is>
          <t>893319687</t>
        </is>
      </c>
    </row>
    <row r="1519">
      <c r="A1519" t="inlineStr">
        <is>
          <t>No</t>
        </is>
      </c>
      <c r="B1519" t="inlineStr">
        <is>
          <t>HQ536 .P57 1996</t>
        </is>
      </c>
      <c r="C1519" t="inlineStr">
        <is>
          <t>0                      HQ 0536000P  57          1996</t>
        </is>
      </c>
      <c r="D1519" t="inlineStr">
        <is>
          <t>The shelter of each other : rebuilding our families / Mary Pipher.</t>
        </is>
      </c>
      <c r="F1519" t="inlineStr">
        <is>
          <t>No</t>
        </is>
      </c>
      <c r="G1519" t="inlineStr">
        <is>
          <t>1</t>
        </is>
      </c>
      <c r="H1519" t="inlineStr">
        <is>
          <t>No</t>
        </is>
      </c>
      <c r="I1519" t="inlineStr">
        <is>
          <t>No</t>
        </is>
      </c>
      <c r="J1519" t="inlineStr">
        <is>
          <t>0</t>
        </is>
      </c>
      <c r="K1519" t="inlineStr">
        <is>
          <t>Pipher, Mary Bray.</t>
        </is>
      </c>
      <c r="L1519" t="inlineStr">
        <is>
          <t>New York : G.P. Putnam's Sons, c1996.</t>
        </is>
      </c>
      <c r="M1519" t="inlineStr">
        <is>
          <t>1996</t>
        </is>
      </c>
      <c r="O1519" t="inlineStr">
        <is>
          <t>eng</t>
        </is>
      </c>
      <c r="P1519" t="inlineStr">
        <is>
          <t>nyu</t>
        </is>
      </c>
      <c r="R1519" t="inlineStr">
        <is>
          <t xml:space="preserve">HQ </t>
        </is>
      </c>
      <c r="S1519" t="n">
        <v>17</v>
      </c>
      <c r="T1519" t="n">
        <v>17</v>
      </c>
      <c r="U1519" t="inlineStr">
        <is>
          <t>2009-02-03</t>
        </is>
      </c>
      <c r="V1519" t="inlineStr">
        <is>
          <t>2009-02-03</t>
        </is>
      </c>
      <c r="W1519" t="inlineStr">
        <is>
          <t>1996-06-25</t>
        </is>
      </c>
      <c r="X1519" t="inlineStr">
        <is>
          <t>1996-06-25</t>
        </is>
      </c>
      <c r="Y1519" t="n">
        <v>1225</v>
      </c>
      <c r="Z1519" t="n">
        <v>1174</v>
      </c>
      <c r="AA1519" t="n">
        <v>1565</v>
      </c>
      <c r="AB1519" t="n">
        <v>28</v>
      </c>
      <c r="AC1519" t="n">
        <v>40</v>
      </c>
      <c r="AD1519" t="n">
        <v>25</v>
      </c>
      <c r="AE1519" t="n">
        <v>39</v>
      </c>
      <c r="AF1519" t="n">
        <v>8</v>
      </c>
      <c r="AG1519" t="n">
        <v>13</v>
      </c>
      <c r="AH1519" t="n">
        <v>4</v>
      </c>
      <c r="AI1519" t="n">
        <v>5</v>
      </c>
      <c r="AJ1519" t="n">
        <v>8</v>
      </c>
      <c r="AK1519" t="n">
        <v>13</v>
      </c>
      <c r="AL1519" t="n">
        <v>9</v>
      </c>
      <c r="AM1519" t="n">
        <v>14</v>
      </c>
      <c r="AN1519" t="n">
        <v>0</v>
      </c>
      <c r="AO1519" t="n">
        <v>0</v>
      </c>
      <c r="AP1519" t="inlineStr">
        <is>
          <t>No</t>
        </is>
      </c>
      <c r="AQ1519" t="inlineStr">
        <is>
          <t>No</t>
        </is>
      </c>
      <c r="AS1519">
        <f>HYPERLINK("https://creighton-primo.hosted.exlibrisgroup.com/primo-explore/search?tab=default_tab&amp;search_scope=EVERYTHING&amp;vid=01CRU&amp;lang=en_US&amp;offset=0&amp;query=any,contains,991002586099702656","Catalog Record")</f>
        <v/>
      </c>
      <c r="AT1519">
        <f>HYPERLINK("http://www.worldcat.org/oclc/33897577","WorldCat Record")</f>
        <v/>
      </c>
      <c r="AU1519" t="inlineStr">
        <is>
          <t>39888582:eng</t>
        </is>
      </c>
      <c r="AV1519" t="inlineStr">
        <is>
          <t>33897577</t>
        </is>
      </c>
      <c r="AW1519" t="inlineStr">
        <is>
          <t>991002586099702656</t>
        </is>
      </c>
      <c r="AX1519" t="inlineStr">
        <is>
          <t>991002586099702656</t>
        </is>
      </c>
      <c r="AY1519" t="inlineStr">
        <is>
          <t>2270922970002656</t>
        </is>
      </c>
      <c r="AZ1519" t="inlineStr">
        <is>
          <t>BOOK</t>
        </is>
      </c>
      <c r="BB1519" t="inlineStr">
        <is>
          <t>9780399141447</t>
        </is>
      </c>
      <c r="BC1519" t="inlineStr">
        <is>
          <t>32285002173341</t>
        </is>
      </c>
      <c r="BD1519" t="inlineStr">
        <is>
          <t>893409275</t>
        </is>
      </c>
    </row>
    <row r="1520">
      <c r="A1520" t="inlineStr">
        <is>
          <t>No</t>
        </is>
      </c>
      <c r="B1520" t="inlineStr">
        <is>
          <t>HQ536 .P63 1983</t>
        </is>
      </c>
      <c r="C1520" t="inlineStr">
        <is>
          <t>0                      HQ 0536000P  63          1983</t>
        </is>
      </c>
      <c r="D1520" t="inlineStr">
        <is>
          <t>Family politics : love and power on an intimate frontier / Letty Cottin Pogrebin.</t>
        </is>
      </c>
      <c r="F1520" t="inlineStr">
        <is>
          <t>No</t>
        </is>
      </c>
      <c r="G1520" t="inlineStr">
        <is>
          <t>1</t>
        </is>
      </c>
      <c r="H1520" t="inlineStr">
        <is>
          <t>No</t>
        </is>
      </c>
      <c r="I1520" t="inlineStr">
        <is>
          <t>No</t>
        </is>
      </c>
      <c r="J1520" t="inlineStr">
        <is>
          <t>0</t>
        </is>
      </c>
      <c r="K1520" t="inlineStr">
        <is>
          <t>Pogrebin, Letty Cottin.</t>
        </is>
      </c>
      <c r="L1520" t="inlineStr">
        <is>
          <t>New York : McGraw-Hill, c1983.</t>
        </is>
      </c>
      <c r="M1520" t="inlineStr">
        <is>
          <t>1983</t>
        </is>
      </c>
      <c r="O1520" t="inlineStr">
        <is>
          <t>eng</t>
        </is>
      </c>
      <c r="P1520" t="inlineStr">
        <is>
          <t>nyu</t>
        </is>
      </c>
      <c r="R1520" t="inlineStr">
        <is>
          <t xml:space="preserve">HQ </t>
        </is>
      </c>
      <c r="S1520" t="n">
        <v>3</v>
      </c>
      <c r="T1520" t="n">
        <v>3</v>
      </c>
      <c r="U1520" t="inlineStr">
        <is>
          <t>1994-04-09</t>
        </is>
      </c>
      <c r="V1520" t="inlineStr">
        <is>
          <t>1994-04-09</t>
        </is>
      </c>
      <c r="W1520" t="inlineStr">
        <is>
          <t>1992-10-29</t>
        </is>
      </c>
      <c r="X1520" t="inlineStr">
        <is>
          <t>1992-10-29</t>
        </is>
      </c>
      <c r="Y1520" t="n">
        <v>897</v>
      </c>
      <c r="Z1520" t="n">
        <v>822</v>
      </c>
      <c r="AA1520" t="n">
        <v>846</v>
      </c>
      <c r="AB1520" t="n">
        <v>5</v>
      </c>
      <c r="AC1520" t="n">
        <v>5</v>
      </c>
      <c r="AD1520" t="n">
        <v>27</v>
      </c>
      <c r="AE1520" t="n">
        <v>27</v>
      </c>
      <c r="AF1520" t="n">
        <v>13</v>
      </c>
      <c r="AG1520" t="n">
        <v>13</v>
      </c>
      <c r="AH1520" t="n">
        <v>5</v>
      </c>
      <c r="AI1520" t="n">
        <v>5</v>
      </c>
      <c r="AJ1520" t="n">
        <v>15</v>
      </c>
      <c r="AK1520" t="n">
        <v>15</v>
      </c>
      <c r="AL1520" t="n">
        <v>3</v>
      </c>
      <c r="AM1520" t="n">
        <v>3</v>
      </c>
      <c r="AN1520" t="n">
        <v>1</v>
      </c>
      <c r="AO1520" t="n">
        <v>1</v>
      </c>
      <c r="AP1520" t="inlineStr">
        <is>
          <t>No</t>
        </is>
      </c>
      <c r="AQ1520" t="inlineStr">
        <is>
          <t>Yes</t>
        </is>
      </c>
      <c r="AR1520">
        <f>HYPERLINK("http://catalog.hathitrust.org/Record/000322038","HathiTrust Record")</f>
        <v/>
      </c>
      <c r="AS1520">
        <f>HYPERLINK("https://creighton-primo.hosted.exlibrisgroup.com/primo-explore/search?tab=default_tab&amp;search_scope=EVERYTHING&amp;vid=01CRU&amp;lang=en_US&amp;offset=0&amp;query=any,contains,991000209619702656","Catalog Record")</f>
        <v/>
      </c>
      <c r="AT1520">
        <f>HYPERLINK("http://www.worldcat.org/oclc/9533247","WorldCat Record")</f>
        <v/>
      </c>
      <c r="AU1520" t="inlineStr">
        <is>
          <t>4024560:eng</t>
        </is>
      </c>
      <c r="AV1520" t="inlineStr">
        <is>
          <t>9533247</t>
        </is>
      </c>
      <c r="AW1520" t="inlineStr">
        <is>
          <t>991000209619702656</t>
        </is>
      </c>
      <c r="AX1520" t="inlineStr">
        <is>
          <t>991000209619702656</t>
        </is>
      </c>
      <c r="AY1520" t="inlineStr">
        <is>
          <t>2263090520002656</t>
        </is>
      </c>
      <c r="AZ1520" t="inlineStr">
        <is>
          <t>BOOK</t>
        </is>
      </c>
      <c r="BB1520" t="inlineStr">
        <is>
          <t>9780070503861</t>
        </is>
      </c>
      <c r="BC1520" t="inlineStr">
        <is>
          <t>32285001358828</t>
        </is>
      </c>
      <c r="BD1520" t="inlineStr">
        <is>
          <t>893595400</t>
        </is>
      </c>
    </row>
    <row r="1521">
      <c r="A1521" t="inlineStr">
        <is>
          <t>No</t>
        </is>
      </c>
      <c r="B1521" t="inlineStr">
        <is>
          <t>HQ536 .P73 1983</t>
        </is>
      </c>
      <c r="C1521" t="inlineStr">
        <is>
          <t>0                      HQ 0536000P  73          1983</t>
        </is>
      </c>
      <c r="D1521" t="inlineStr">
        <is>
          <t>Prevention in family services : approaches to family wellness / edited by David R. Mace.</t>
        </is>
      </c>
      <c r="F1521" t="inlineStr">
        <is>
          <t>No</t>
        </is>
      </c>
      <c r="G1521" t="inlineStr">
        <is>
          <t>1</t>
        </is>
      </c>
      <c r="H1521" t="inlineStr">
        <is>
          <t>No</t>
        </is>
      </c>
      <c r="I1521" t="inlineStr">
        <is>
          <t>No</t>
        </is>
      </c>
      <c r="J1521" t="inlineStr">
        <is>
          <t>0</t>
        </is>
      </c>
      <c r="L1521" t="inlineStr">
        <is>
          <t>Beverly Hills : Sage Publications, c1983.</t>
        </is>
      </c>
      <c r="M1521" t="inlineStr">
        <is>
          <t>1983</t>
        </is>
      </c>
      <c r="O1521" t="inlineStr">
        <is>
          <t>eng</t>
        </is>
      </c>
      <c r="P1521" t="inlineStr">
        <is>
          <t>cau</t>
        </is>
      </c>
      <c r="Q1521" t="inlineStr">
        <is>
          <t>New perspectives on family</t>
        </is>
      </c>
      <c r="R1521" t="inlineStr">
        <is>
          <t xml:space="preserve">HQ </t>
        </is>
      </c>
      <c r="S1521" t="n">
        <v>9</v>
      </c>
      <c r="T1521" t="n">
        <v>9</v>
      </c>
      <c r="U1521" t="inlineStr">
        <is>
          <t>2002-05-04</t>
        </is>
      </c>
      <c r="V1521" t="inlineStr">
        <is>
          <t>2002-05-04</t>
        </is>
      </c>
      <c r="W1521" t="inlineStr">
        <is>
          <t>1992-10-29</t>
        </is>
      </c>
      <c r="X1521" t="inlineStr">
        <is>
          <t>1992-10-29</t>
        </is>
      </c>
      <c r="Y1521" t="n">
        <v>416</v>
      </c>
      <c r="Z1521" t="n">
        <v>349</v>
      </c>
      <c r="AA1521" t="n">
        <v>356</v>
      </c>
      <c r="AB1521" t="n">
        <v>5</v>
      </c>
      <c r="AC1521" t="n">
        <v>5</v>
      </c>
      <c r="AD1521" t="n">
        <v>13</v>
      </c>
      <c r="AE1521" t="n">
        <v>13</v>
      </c>
      <c r="AF1521" t="n">
        <v>3</v>
      </c>
      <c r="AG1521" t="n">
        <v>3</v>
      </c>
      <c r="AH1521" t="n">
        <v>2</v>
      </c>
      <c r="AI1521" t="n">
        <v>2</v>
      </c>
      <c r="AJ1521" t="n">
        <v>4</v>
      </c>
      <c r="AK1521" t="n">
        <v>4</v>
      </c>
      <c r="AL1521" t="n">
        <v>4</v>
      </c>
      <c r="AM1521" t="n">
        <v>4</v>
      </c>
      <c r="AN1521" t="n">
        <v>0</v>
      </c>
      <c r="AO1521" t="n">
        <v>0</v>
      </c>
      <c r="AP1521" t="inlineStr">
        <is>
          <t>No</t>
        </is>
      </c>
      <c r="AQ1521" t="inlineStr">
        <is>
          <t>Yes</t>
        </is>
      </c>
      <c r="AR1521">
        <f>HYPERLINK("http://catalog.hathitrust.org/Record/000782363","HathiTrust Record")</f>
        <v/>
      </c>
      <c r="AS1521">
        <f>HYPERLINK("https://creighton-primo.hosted.exlibrisgroup.com/primo-explore/search?tab=default_tab&amp;search_scope=EVERYTHING&amp;vid=01CRU&amp;lang=en_US&amp;offset=0&amp;query=any,contains,991000269219702656","Catalog Record")</f>
        <v/>
      </c>
      <c r="AT1521">
        <f>HYPERLINK("http://www.worldcat.org/oclc/9852817","WorldCat Record")</f>
        <v/>
      </c>
      <c r="AU1521" t="inlineStr">
        <is>
          <t>836627960:eng</t>
        </is>
      </c>
      <c r="AV1521" t="inlineStr">
        <is>
          <t>9852817</t>
        </is>
      </c>
      <c r="AW1521" t="inlineStr">
        <is>
          <t>991000269219702656</t>
        </is>
      </c>
      <c r="AX1521" t="inlineStr">
        <is>
          <t>991000269219702656</t>
        </is>
      </c>
      <c r="AY1521" t="inlineStr">
        <is>
          <t>2264223840002656</t>
        </is>
      </c>
      <c r="AZ1521" t="inlineStr">
        <is>
          <t>BOOK</t>
        </is>
      </c>
      <c r="BB1521" t="inlineStr">
        <is>
          <t>9780803921559</t>
        </is>
      </c>
      <c r="BC1521" t="inlineStr">
        <is>
          <t>32285001358836</t>
        </is>
      </c>
      <c r="BD1521" t="inlineStr">
        <is>
          <t>893884269</t>
        </is>
      </c>
    </row>
    <row r="1522">
      <c r="A1522" t="inlineStr">
        <is>
          <t>No</t>
        </is>
      </c>
      <c r="B1522" t="inlineStr">
        <is>
          <t>HQ536 .P76 1996</t>
        </is>
      </c>
      <c r="C1522" t="inlineStr">
        <is>
          <t>0                      HQ 0536000P  76          1996</t>
        </is>
      </c>
      <c r="D1522" t="inlineStr">
        <is>
          <t>Promises to keep : decline and renewal of marriage in America / edited by David Popenoe, Jean Bethke Elshtain, and David Blankenhorn.</t>
        </is>
      </c>
      <c r="F1522" t="inlineStr">
        <is>
          <t>No</t>
        </is>
      </c>
      <c r="G1522" t="inlineStr">
        <is>
          <t>1</t>
        </is>
      </c>
      <c r="H1522" t="inlineStr">
        <is>
          <t>No</t>
        </is>
      </c>
      <c r="I1522" t="inlineStr">
        <is>
          <t>No</t>
        </is>
      </c>
      <c r="J1522" t="inlineStr">
        <is>
          <t>0</t>
        </is>
      </c>
      <c r="L1522" t="inlineStr">
        <is>
          <t>Lanham, Md. : Rowman &amp; Littlefield Publishers, 1996.</t>
        </is>
      </c>
      <c r="M1522" t="inlineStr">
        <is>
          <t>1996</t>
        </is>
      </c>
      <c r="O1522" t="inlineStr">
        <is>
          <t>eng</t>
        </is>
      </c>
      <c r="P1522" t="inlineStr">
        <is>
          <t>mdu</t>
        </is>
      </c>
      <c r="R1522" t="inlineStr">
        <is>
          <t xml:space="preserve">HQ </t>
        </is>
      </c>
      <c r="S1522" t="n">
        <v>4</v>
      </c>
      <c r="T1522" t="n">
        <v>4</v>
      </c>
      <c r="U1522" t="inlineStr">
        <is>
          <t>2005-03-21</t>
        </is>
      </c>
      <c r="V1522" t="inlineStr">
        <is>
          <t>2005-03-21</t>
        </is>
      </c>
      <c r="W1522" t="inlineStr">
        <is>
          <t>1997-02-25</t>
        </is>
      </c>
      <c r="X1522" t="inlineStr">
        <is>
          <t>1997-02-25</t>
        </is>
      </c>
      <c r="Y1522" t="n">
        <v>685</v>
      </c>
      <c r="Z1522" t="n">
        <v>622</v>
      </c>
      <c r="AA1522" t="n">
        <v>745</v>
      </c>
      <c r="AB1522" t="n">
        <v>4</v>
      </c>
      <c r="AC1522" t="n">
        <v>4</v>
      </c>
      <c r="AD1522" t="n">
        <v>32</v>
      </c>
      <c r="AE1522" t="n">
        <v>33</v>
      </c>
      <c r="AF1522" t="n">
        <v>18</v>
      </c>
      <c r="AG1522" t="n">
        <v>18</v>
      </c>
      <c r="AH1522" t="n">
        <v>6</v>
      </c>
      <c r="AI1522" t="n">
        <v>6</v>
      </c>
      <c r="AJ1522" t="n">
        <v>13</v>
      </c>
      <c r="AK1522" t="n">
        <v>14</v>
      </c>
      <c r="AL1522" t="n">
        <v>3</v>
      </c>
      <c r="AM1522" t="n">
        <v>3</v>
      </c>
      <c r="AN1522" t="n">
        <v>1</v>
      </c>
      <c r="AO1522" t="n">
        <v>1</v>
      </c>
      <c r="AP1522" t="inlineStr">
        <is>
          <t>No</t>
        </is>
      </c>
      <c r="AQ1522" t="inlineStr">
        <is>
          <t>Yes</t>
        </is>
      </c>
      <c r="AR1522">
        <f>HYPERLINK("http://catalog.hathitrust.org/Record/003065662","HathiTrust Record")</f>
        <v/>
      </c>
      <c r="AS1522">
        <f>HYPERLINK("https://creighton-primo.hosted.exlibrisgroup.com/primo-explore/search?tab=default_tab&amp;search_scope=EVERYTHING&amp;vid=01CRU&amp;lang=en_US&amp;offset=0&amp;query=any,contains,991002611809702656","Catalog Record")</f>
        <v/>
      </c>
      <c r="AT1522">
        <f>HYPERLINK("http://www.worldcat.org/oclc/34242943","WorldCat Record")</f>
        <v/>
      </c>
      <c r="AU1522" t="inlineStr">
        <is>
          <t>799739179:eng</t>
        </is>
      </c>
      <c r="AV1522" t="inlineStr">
        <is>
          <t>34242943</t>
        </is>
      </c>
      <c r="AW1522" t="inlineStr">
        <is>
          <t>991002611809702656</t>
        </is>
      </c>
      <c r="AX1522" t="inlineStr">
        <is>
          <t>991002611809702656</t>
        </is>
      </c>
      <c r="AY1522" t="inlineStr">
        <is>
          <t>2271558450002656</t>
        </is>
      </c>
      <c r="AZ1522" t="inlineStr">
        <is>
          <t>BOOK</t>
        </is>
      </c>
      <c r="BB1522" t="inlineStr">
        <is>
          <t>9780847682300</t>
        </is>
      </c>
      <c r="BC1522" t="inlineStr">
        <is>
          <t>32285002433257</t>
        </is>
      </c>
      <c r="BD1522" t="inlineStr">
        <is>
          <t>893415412</t>
        </is>
      </c>
    </row>
    <row r="1523">
      <c r="A1523" t="inlineStr">
        <is>
          <t>No</t>
        </is>
      </c>
      <c r="B1523" t="inlineStr">
        <is>
          <t>HQ536 .R454 1992</t>
        </is>
      </c>
      <c r="C1523" t="inlineStr">
        <is>
          <t>0                      HQ 0536000R  454         1992</t>
        </is>
      </c>
      <c r="D1523" t="inlineStr">
        <is>
          <t>Rethinking the family : some feminist questions / edited by Barrie Thorne with Marilyn Yalom.</t>
        </is>
      </c>
      <c r="F1523" t="inlineStr">
        <is>
          <t>No</t>
        </is>
      </c>
      <c r="G1523" t="inlineStr">
        <is>
          <t>1</t>
        </is>
      </c>
      <c r="H1523" t="inlineStr">
        <is>
          <t>No</t>
        </is>
      </c>
      <c r="I1523" t="inlineStr">
        <is>
          <t>No</t>
        </is>
      </c>
      <c r="J1523" t="inlineStr">
        <is>
          <t>0</t>
        </is>
      </c>
      <c r="L1523" t="inlineStr">
        <is>
          <t>Boston : Northeastern University Press, c1992.</t>
        </is>
      </c>
      <c r="M1523" t="inlineStr">
        <is>
          <t>1992</t>
        </is>
      </c>
      <c r="N1523" t="inlineStr">
        <is>
          <t>Rev. ed.</t>
        </is>
      </c>
      <c r="O1523" t="inlineStr">
        <is>
          <t>eng</t>
        </is>
      </c>
      <c r="P1523" t="inlineStr">
        <is>
          <t>mau</t>
        </is>
      </c>
      <c r="R1523" t="inlineStr">
        <is>
          <t xml:space="preserve">HQ </t>
        </is>
      </c>
      <c r="S1523" t="n">
        <v>5</v>
      </c>
      <c r="T1523" t="n">
        <v>5</v>
      </c>
      <c r="U1523" t="inlineStr">
        <is>
          <t>1998-11-02</t>
        </is>
      </c>
      <c r="V1523" t="inlineStr">
        <is>
          <t>1998-11-02</t>
        </is>
      </c>
      <c r="W1523" t="inlineStr">
        <is>
          <t>1993-09-28</t>
        </is>
      </c>
      <c r="X1523" t="inlineStr">
        <is>
          <t>1993-09-28</t>
        </is>
      </c>
      <c r="Y1523" t="n">
        <v>455</v>
      </c>
      <c r="Z1523" t="n">
        <v>354</v>
      </c>
      <c r="AA1523" t="n">
        <v>688</v>
      </c>
      <c r="AB1523" t="n">
        <v>7</v>
      </c>
      <c r="AC1523" t="n">
        <v>7</v>
      </c>
      <c r="AD1523" t="n">
        <v>22</v>
      </c>
      <c r="AE1523" t="n">
        <v>35</v>
      </c>
      <c r="AF1523" t="n">
        <v>5</v>
      </c>
      <c r="AG1523" t="n">
        <v>12</v>
      </c>
      <c r="AH1523" t="n">
        <v>2</v>
      </c>
      <c r="AI1523" t="n">
        <v>7</v>
      </c>
      <c r="AJ1523" t="n">
        <v>8</v>
      </c>
      <c r="AK1523" t="n">
        <v>14</v>
      </c>
      <c r="AL1523" t="n">
        <v>6</v>
      </c>
      <c r="AM1523" t="n">
        <v>6</v>
      </c>
      <c r="AN1523" t="n">
        <v>2</v>
      </c>
      <c r="AO1523" t="n">
        <v>3</v>
      </c>
      <c r="AP1523" t="inlineStr">
        <is>
          <t>No</t>
        </is>
      </c>
      <c r="AQ1523" t="inlineStr">
        <is>
          <t>Yes</t>
        </is>
      </c>
      <c r="AR1523">
        <f>HYPERLINK("http://catalog.hathitrust.org/Record/002612131","HathiTrust Record")</f>
        <v/>
      </c>
      <c r="AS1523">
        <f>HYPERLINK("https://creighton-primo.hosted.exlibrisgroup.com/primo-explore/search?tab=default_tab&amp;search_scope=EVERYTHING&amp;vid=01CRU&amp;lang=en_US&amp;offset=0&amp;query=any,contains,991002041009702656","Catalog Record")</f>
        <v/>
      </c>
      <c r="AT1523">
        <f>HYPERLINK("http://www.worldcat.org/oclc/26053198","WorldCat Record")</f>
        <v/>
      </c>
      <c r="AU1523" t="inlineStr">
        <is>
          <t>892158721:eng</t>
        </is>
      </c>
      <c r="AV1523" t="inlineStr">
        <is>
          <t>26053198</t>
        </is>
      </c>
      <c r="AW1523" t="inlineStr">
        <is>
          <t>991002041009702656</t>
        </is>
      </c>
      <c r="AX1523" t="inlineStr">
        <is>
          <t>991002041009702656</t>
        </is>
      </c>
      <c r="AY1523" t="inlineStr">
        <is>
          <t>2257848000002656</t>
        </is>
      </c>
      <c r="AZ1523" t="inlineStr">
        <is>
          <t>BOOK</t>
        </is>
      </c>
      <c r="BB1523" t="inlineStr">
        <is>
          <t>9781555531447</t>
        </is>
      </c>
      <c r="BC1523" t="inlineStr">
        <is>
          <t>32285001768406</t>
        </is>
      </c>
      <c r="BD1523" t="inlineStr">
        <is>
          <t>893503949</t>
        </is>
      </c>
    </row>
    <row r="1524">
      <c r="A1524" t="inlineStr">
        <is>
          <t>No</t>
        </is>
      </c>
      <c r="B1524" t="inlineStr">
        <is>
          <t>HQ536 .R465 1979</t>
        </is>
      </c>
      <c r="C1524" t="inlineStr">
        <is>
          <t>0                      HQ 0536000R  465         1979</t>
        </is>
      </c>
      <c r="D1524" t="inlineStr">
        <is>
          <t>Dual-career marriage : conflict and treatment / David G. Rice.</t>
        </is>
      </c>
      <c r="F1524" t="inlineStr">
        <is>
          <t>No</t>
        </is>
      </c>
      <c r="G1524" t="inlineStr">
        <is>
          <t>1</t>
        </is>
      </c>
      <c r="H1524" t="inlineStr">
        <is>
          <t>No</t>
        </is>
      </c>
      <c r="I1524" t="inlineStr">
        <is>
          <t>No</t>
        </is>
      </c>
      <c r="J1524" t="inlineStr">
        <is>
          <t>0</t>
        </is>
      </c>
      <c r="K1524" t="inlineStr">
        <is>
          <t>Rice, David G. (David Gordon), 1938-</t>
        </is>
      </c>
      <c r="L1524" t="inlineStr">
        <is>
          <t>New York : Free Press, c1979.</t>
        </is>
      </c>
      <c r="M1524" t="inlineStr">
        <is>
          <t>1979</t>
        </is>
      </c>
      <c r="O1524" t="inlineStr">
        <is>
          <t>eng</t>
        </is>
      </c>
      <c r="P1524" t="inlineStr">
        <is>
          <t>nyu</t>
        </is>
      </c>
      <c r="R1524" t="inlineStr">
        <is>
          <t xml:space="preserve">HQ </t>
        </is>
      </c>
      <c r="S1524" t="n">
        <v>19</v>
      </c>
      <c r="T1524" t="n">
        <v>19</v>
      </c>
      <c r="U1524" t="inlineStr">
        <is>
          <t>1998-10-05</t>
        </is>
      </c>
      <c r="V1524" t="inlineStr">
        <is>
          <t>1998-10-05</t>
        </is>
      </c>
      <c r="W1524" t="inlineStr">
        <is>
          <t>1991-11-13</t>
        </is>
      </c>
      <c r="X1524" t="inlineStr">
        <is>
          <t>1991-11-13</t>
        </is>
      </c>
      <c r="Y1524" t="n">
        <v>625</v>
      </c>
      <c r="Z1524" t="n">
        <v>548</v>
      </c>
      <c r="AA1524" t="n">
        <v>550</v>
      </c>
      <c r="AB1524" t="n">
        <v>6</v>
      </c>
      <c r="AC1524" t="n">
        <v>6</v>
      </c>
      <c r="AD1524" t="n">
        <v>24</v>
      </c>
      <c r="AE1524" t="n">
        <v>24</v>
      </c>
      <c r="AF1524" t="n">
        <v>7</v>
      </c>
      <c r="AG1524" t="n">
        <v>7</v>
      </c>
      <c r="AH1524" t="n">
        <v>4</v>
      </c>
      <c r="AI1524" t="n">
        <v>4</v>
      </c>
      <c r="AJ1524" t="n">
        <v>15</v>
      </c>
      <c r="AK1524" t="n">
        <v>15</v>
      </c>
      <c r="AL1524" t="n">
        <v>5</v>
      </c>
      <c r="AM1524" t="n">
        <v>5</v>
      </c>
      <c r="AN1524" t="n">
        <v>0</v>
      </c>
      <c r="AO1524" t="n">
        <v>0</v>
      </c>
      <c r="AP1524" t="inlineStr">
        <is>
          <t>No</t>
        </is>
      </c>
      <c r="AQ1524" t="inlineStr">
        <is>
          <t>Yes</t>
        </is>
      </c>
      <c r="AR1524">
        <f>HYPERLINK("http://catalog.hathitrust.org/Record/000137902","HathiTrust Record")</f>
        <v/>
      </c>
      <c r="AS1524">
        <f>HYPERLINK("https://creighton-primo.hosted.exlibrisgroup.com/primo-explore/search?tab=default_tab&amp;search_scope=EVERYTHING&amp;vid=01CRU&amp;lang=en_US&amp;offset=0&amp;query=any,contains,991004779299702656","Catalog Record")</f>
        <v/>
      </c>
      <c r="AT1524">
        <f>HYPERLINK("http://www.worldcat.org/oclc/5102052","WorldCat Record")</f>
        <v/>
      </c>
      <c r="AU1524" t="inlineStr">
        <is>
          <t>400753:eng</t>
        </is>
      </c>
      <c r="AV1524" t="inlineStr">
        <is>
          <t>5102052</t>
        </is>
      </c>
      <c r="AW1524" t="inlineStr">
        <is>
          <t>991004779299702656</t>
        </is>
      </c>
      <c r="AX1524" t="inlineStr">
        <is>
          <t>991004779299702656</t>
        </is>
      </c>
      <c r="AY1524" t="inlineStr">
        <is>
          <t>2269169910002656</t>
        </is>
      </c>
      <c r="AZ1524" t="inlineStr">
        <is>
          <t>BOOK</t>
        </is>
      </c>
      <c r="BB1524" t="inlineStr">
        <is>
          <t>9780029263808</t>
        </is>
      </c>
      <c r="BC1524" t="inlineStr">
        <is>
          <t>32285000824085</t>
        </is>
      </c>
      <c r="BD1524" t="inlineStr">
        <is>
          <t>893241832</t>
        </is>
      </c>
    </row>
    <row r="1525">
      <c r="A1525" t="inlineStr">
        <is>
          <t>No</t>
        </is>
      </c>
      <c r="B1525" t="inlineStr">
        <is>
          <t>HQ536 .R63</t>
        </is>
      </c>
      <c r="C1525" t="inlineStr">
        <is>
          <t>0                      HQ 0536000R  63</t>
        </is>
      </c>
      <c r="D1525" t="inlineStr">
        <is>
          <t>Role structure and analysis of the family / F. Ivan Nye, with Howard M. Bahr ... [et al.].</t>
        </is>
      </c>
      <c r="F1525" t="inlineStr">
        <is>
          <t>No</t>
        </is>
      </c>
      <c r="G1525" t="inlineStr">
        <is>
          <t>1</t>
        </is>
      </c>
      <c r="H1525" t="inlineStr">
        <is>
          <t>No</t>
        </is>
      </c>
      <c r="I1525" t="inlineStr">
        <is>
          <t>No</t>
        </is>
      </c>
      <c r="J1525" t="inlineStr">
        <is>
          <t>0</t>
        </is>
      </c>
      <c r="L1525" t="inlineStr">
        <is>
          <t>Beverly Hills, Calif. : Sage Publications, c1976.</t>
        </is>
      </c>
      <c r="M1525" t="inlineStr">
        <is>
          <t>1976</t>
        </is>
      </c>
      <c r="O1525" t="inlineStr">
        <is>
          <t>eng</t>
        </is>
      </c>
      <c r="P1525" t="inlineStr">
        <is>
          <t>cau</t>
        </is>
      </c>
      <c r="Q1525" t="inlineStr">
        <is>
          <t>Sage library of social research ; v. 24</t>
        </is>
      </c>
      <c r="R1525" t="inlineStr">
        <is>
          <t xml:space="preserve">HQ </t>
        </is>
      </c>
      <c r="S1525" t="n">
        <v>1</v>
      </c>
      <c r="T1525" t="n">
        <v>1</v>
      </c>
      <c r="U1525" t="inlineStr">
        <is>
          <t>1999-01-24</t>
        </is>
      </c>
      <c r="V1525" t="inlineStr">
        <is>
          <t>1999-01-24</t>
        </is>
      </c>
      <c r="W1525" t="inlineStr">
        <is>
          <t>1997-08-08</t>
        </is>
      </c>
      <c r="X1525" t="inlineStr">
        <is>
          <t>1997-08-08</t>
        </is>
      </c>
      <c r="Y1525" t="n">
        <v>673</v>
      </c>
      <c r="Z1525" t="n">
        <v>535</v>
      </c>
      <c r="AA1525" t="n">
        <v>537</v>
      </c>
      <c r="AB1525" t="n">
        <v>8</v>
      </c>
      <c r="AC1525" t="n">
        <v>8</v>
      </c>
      <c r="AD1525" t="n">
        <v>28</v>
      </c>
      <c r="AE1525" t="n">
        <v>28</v>
      </c>
      <c r="AF1525" t="n">
        <v>10</v>
      </c>
      <c r="AG1525" t="n">
        <v>10</v>
      </c>
      <c r="AH1525" t="n">
        <v>7</v>
      </c>
      <c r="AI1525" t="n">
        <v>7</v>
      </c>
      <c r="AJ1525" t="n">
        <v>12</v>
      </c>
      <c r="AK1525" t="n">
        <v>12</v>
      </c>
      <c r="AL1525" t="n">
        <v>6</v>
      </c>
      <c r="AM1525" t="n">
        <v>6</v>
      </c>
      <c r="AN1525" t="n">
        <v>0</v>
      </c>
      <c r="AO1525" t="n">
        <v>0</v>
      </c>
      <c r="AP1525" t="inlineStr">
        <is>
          <t>No</t>
        </is>
      </c>
      <c r="AQ1525" t="inlineStr">
        <is>
          <t>Yes</t>
        </is>
      </c>
      <c r="AR1525">
        <f>HYPERLINK("http://catalog.hathitrust.org/Record/000710417","HathiTrust Record")</f>
        <v/>
      </c>
      <c r="AS1525">
        <f>HYPERLINK("https://creighton-primo.hosted.exlibrisgroup.com/primo-explore/search?tab=default_tab&amp;search_scope=EVERYTHING&amp;vid=01CRU&amp;lang=en_US&amp;offset=0&amp;query=any,contains,991003953269702656","Catalog Record")</f>
        <v/>
      </c>
      <c r="AT1525">
        <f>HYPERLINK("http://www.worldcat.org/oclc/1959541","WorldCat Record")</f>
        <v/>
      </c>
      <c r="AU1525" t="inlineStr">
        <is>
          <t>180111528:eng</t>
        </is>
      </c>
      <c r="AV1525" t="inlineStr">
        <is>
          <t>1959541</t>
        </is>
      </c>
      <c r="AW1525" t="inlineStr">
        <is>
          <t>991003953269702656</t>
        </is>
      </c>
      <c r="AX1525" t="inlineStr">
        <is>
          <t>991003953269702656</t>
        </is>
      </c>
      <c r="AY1525" t="inlineStr">
        <is>
          <t>2266098220002656</t>
        </is>
      </c>
      <c r="AZ1525" t="inlineStr">
        <is>
          <t>BOOK</t>
        </is>
      </c>
      <c r="BB1525" t="inlineStr">
        <is>
          <t>9780803906631</t>
        </is>
      </c>
      <c r="BC1525" t="inlineStr">
        <is>
          <t>32285003088902</t>
        </is>
      </c>
      <c r="BD1525" t="inlineStr">
        <is>
          <t>893429475</t>
        </is>
      </c>
    </row>
    <row r="1526">
      <c r="A1526" t="inlineStr">
        <is>
          <t>No</t>
        </is>
      </c>
      <c r="B1526" t="inlineStr">
        <is>
          <t>HQ536 .R66</t>
        </is>
      </c>
      <c r="C1526" t="inlineStr">
        <is>
          <t>0                      HQ 0536000R  66</t>
        </is>
      </c>
      <c r="D1526" t="inlineStr">
        <is>
          <t>Time of transition : the growth of families headed by women / Heather L. Ross and Isabel V. Sawhill ; with the assistance of Anita R. MacIntosh.</t>
        </is>
      </c>
      <c r="F1526" t="inlineStr">
        <is>
          <t>No</t>
        </is>
      </c>
      <c r="G1526" t="inlineStr">
        <is>
          <t>1</t>
        </is>
      </c>
      <c r="H1526" t="inlineStr">
        <is>
          <t>No</t>
        </is>
      </c>
      <c r="I1526" t="inlineStr">
        <is>
          <t>No</t>
        </is>
      </c>
      <c r="J1526" t="inlineStr">
        <is>
          <t>0</t>
        </is>
      </c>
      <c r="K1526" t="inlineStr">
        <is>
          <t>Ross, Heather L.</t>
        </is>
      </c>
      <c r="L1526" t="inlineStr">
        <is>
          <t>Washington, D.C. : Urban Institute, c1975.</t>
        </is>
      </c>
      <c r="M1526" t="inlineStr">
        <is>
          <t>1975</t>
        </is>
      </c>
      <c r="O1526" t="inlineStr">
        <is>
          <t>eng</t>
        </is>
      </c>
      <c r="P1526" t="inlineStr">
        <is>
          <t>dcu</t>
        </is>
      </c>
      <c r="R1526" t="inlineStr">
        <is>
          <t xml:space="preserve">HQ </t>
        </is>
      </c>
      <c r="S1526" t="n">
        <v>2</v>
      </c>
      <c r="T1526" t="n">
        <v>2</v>
      </c>
      <c r="U1526" t="inlineStr">
        <is>
          <t>1995-02-21</t>
        </is>
      </c>
      <c r="V1526" t="inlineStr">
        <is>
          <t>1995-02-21</t>
        </is>
      </c>
      <c r="W1526" t="inlineStr">
        <is>
          <t>1992-03-17</t>
        </is>
      </c>
      <c r="X1526" t="inlineStr">
        <is>
          <t>1992-03-17</t>
        </is>
      </c>
      <c r="Y1526" t="n">
        <v>942</v>
      </c>
      <c r="Z1526" t="n">
        <v>832</v>
      </c>
      <c r="AA1526" t="n">
        <v>837</v>
      </c>
      <c r="AB1526" t="n">
        <v>6</v>
      </c>
      <c r="AC1526" t="n">
        <v>6</v>
      </c>
      <c r="AD1526" t="n">
        <v>40</v>
      </c>
      <c r="AE1526" t="n">
        <v>40</v>
      </c>
      <c r="AF1526" t="n">
        <v>15</v>
      </c>
      <c r="AG1526" t="n">
        <v>15</v>
      </c>
      <c r="AH1526" t="n">
        <v>11</v>
      </c>
      <c r="AI1526" t="n">
        <v>11</v>
      </c>
      <c r="AJ1526" t="n">
        <v>19</v>
      </c>
      <c r="AK1526" t="n">
        <v>19</v>
      </c>
      <c r="AL1526" t="n">
        <v>4</v>
      </c>
      <c r="AM1526" t="n">
        <v>4</v>
      </c>
      <c r="AN1526" t="n">
        <v>2</v>
      </c>
      <c r="AO1526" t="n">
        <v>2</v>
      </c>
      <c r="AP1526" t="inlineStr">
        <is>
          <t>No</t>
        </is>
      </c>
      <c r="AQ1526" t="inlineStr">
        <is>
          <t>Yes</t>
        </is>
      </c>
      <c r="AR1526">
        <f>HYPERLINK("http://catalog.hathitrust.org/Record/000712720","HathiTrust Record")</f>
        <v/>
      </c>
      <c r="AS1526">
        <f>HYPERLINK("https://creighton-primo.hosted.exlibrisgroup.com/primo-explore/search?tab=default_tab&amp;search_scope=EVERYTHING&amp;vid=01CRU&amp;lang=en_US&amp;offset=0&amp;query=any,contains,991003955199702656","Catalog Record")</f>
        <v/>
      </c>
      <c r="AT1526">
        <f>HYPERLINK("http://www.worldcat.org/oclc/1964112","WorldCat Record")</f>
        <v/>
      </c>
      <c r="AU1526" t="inlineStr">
        <is>
          <t>536587:eng</t>
        </is>
      </c>
      <c r="AV1526" t="inlineStr">
        <is>
          <t>1964112</t>
        </is>
      </c>
      <c r="AW1526" t="inlineStr">
        <is>
          <t>991003955199702656</t>
        </is>
      </c>
      <c r="AX1526" t="inlineStr">
        <is>
          <t>991003955199702656</t>
        </is>
      </c>
      <c r="AY1526" t="inlineStr">
        <is>
          <t>2266633610002656</t>
        </is>
      </c>
      <c r="AZ1526" t="inlineStr">
        <is>
          <t>BOOK</t>
        </is>
      </c>
      <c r="BC1526" t="inlineStr">
        <is>
          <t>32285001012391</t>
        </is>
      </c>
      <c r="BD1526" t="inlineStr">
        <is>
          <t>893519083</t>
        </is>
      </c>
    </row>
    <row r="1527">
      <c r="A1527" t="inlineStr">
        <is>
          <t>No</t>
        </is>
      </c>
      <c r="B1527" t="inlineStr">
        <is>
          <t>HQ536 .R78 1994</t>
        </is>
      </c>
      <c r="C1527" t="inlineStr">
        <is>
          <t>0                      HQ 0536000R  78          1994</t>
        </is>
      </c>
      <c r="D1527" t="inlineStr">
        <is>
          <t>Families on the fault line : America's working class speaks about the family, the economy, race, and ethnicity / Lillian B. Rubin.</t>
        </is>
      </c>
      <c r="F1527" t="inlineStr">
        <is>
          <t>No</t>
        </is>
      </c>
      <c r="G1527" t="inlineStr">
        <is>
          <t>1</t>
        </is>
      </c>
      <c r="H1527" t="inlineStr">
        <is>
          <t>No</t>
        </is>
      </c>
      <c r="I1527" t="inlineStr">
        <is>
          <t>Yes</t>
        </is>
      </c>
      <c r="J1527" t="inlineStr">
        <is>
          <t>0</t>
        </is>
      </c>
      <c r="K1527" t="inlineStr">
        <is>
          <t>Rubin, Lillian B.</t>
        </is>
      </c>
      <c r="L1527" t="inlineStr">
        <is>
          <t>New York : HarperCollins, c1994.</t>
        </is>
      </c>
      <c r="M1527" t="inlineStr">
        <is>
          <t>1994</t>
        </is>
      </c>
      <c r="N1527" t="inlineStr">
        <is>
          <t>1st ed.</t>
        </is>
      </c>
      <c r="O1527" t="inlineStr">
        <is>
          <t>eng</t>
        </is>
      </c>
      <c r="P1527" t="inlineStr">
        <is>
          <t>nyu</t>
        </is>
      </c>
      <c r="R1527" t="inlineStr">
        <is>
          <t xml:space="preserve">HQ </t>
        </is>
      </c>
      <c r="S1527" t="n">
        <v>5</v>
      </c>
      <c r="T1527" t="n">
        <v>5</v>
      </c>
      <c r="U1527" t="inlineStr">
        <is>
          <t>2002-02-14</t>
        </is>
      </c>
      <c r="V1527" t="inlineStr">
        <is>
          <t>2002-02-14</t>
        </is>
      </c>
      <c r="W1527" t="inlineStr">
        <is>
          <t>1994-07-06</t>
        </is>
      </c>
      <c r="X1527" t="inlineStr">
        <is>
          <t>1994-07-06</t>
        </is>
      </c>
      <c r="Y1527" t="n">
        <v>880</v>
      </c>
      <c r="Z1527" t="n">
        <v>827</v>
      </c>
      <c r="AA1527" t="n">
        <v>1018</v>
      </c>
      <c r="AB1527" t="n">
        <v>7</v>
      </c>
      <c r="AC1527" t="n">
        <v>8</v>
      </c>
      <c r="AD1527" t="n">
        <v>36</v>
      </c>
      <c r="AE1527" t="n">
        <v>45</v>
      </c>
      <c r="AF1527" t="n">
        <v>14</v>
      </c>
      <c r="AG1527" t="n">
        <v>20</v>
      </c>
      <c r="AH1527" t="n">
        <v>9</v>
      </c>
      <c r="AI1527" t="n">
        <v>10</v>
      </c>
      <c r="AJ1527" t="n">
        <v>19</v>
      </c>
      <c r="AK1527" t="n">
        <v>21</v>
      </c>
      <c r="AL1527" t="n">
        <v>5</v>
      </c>
      <c r="AM1527" t="n">
        <v>6</v>
      </c>
      <c r="AN1527" t="n">
        <v>0</v>
      </c>
      <c r="AO1527" t="n">
        <v>0</v>
      </c>
      <c r="AP1527" t="inlineStr">
        <is>
          <t>No</t>
        </is>
      </c>
      <c r="AQ1527" t="inlineStr">
        <is>
          <t>Yes</t>
        </is>
      </c>
      <c r="AR1527">
        <f>HYPERLINK("http://catalog.hathitrust.org/Record/002792129","HathiTrust Record")</f>
        <v/>
      </c>
      <c r="AS1527">
        <f>HYPERLINK("https://creighton-primo.hosted.exlibrisgroup.com/primo-explore/search?tab=default_tab&amp;search_scope=EVERYTHING&amp;vid=01CRU&amp;lang=en_US&amp;offset=0&amp;query=any,contains,991002211099702656","Catalog Record")</f>
        <v/>
      </c>
      <c r="AT1527">
        <f>HYPERLINK("http://www.worldcat.org/oclc/28423873","WorldCat Record")</f>
        <v/>
      </c>
      <c r="AU1527" t="inlineStr">
        <is>
          <t>30877966:eng</t>
        </is>
      </c>
      <c r="AV1527" t="inlineStr">
        <is>
          <t>28423873</t>
        </is>
      </c>
      <c r="AW1527" t="inlineStr">
        <is>
          <t>991002211099702656</t>
        </is>
      </c>
      <c r="AX1527" t="inlineStr">
        <is>
          <t>991002211099702656</t>
        </is>
      </c>
      <c r="AY1527" t="inlineStr">
        <is>
          <t>2267576600002656</t>
        </is>
      </c>
      <c r="AZ1527" t="inlineStr">
        <is>
          <t>BOOK</t>
        </is>
      </c>
      <c r="BB1527" t="inlineStr">
        <is>
          <t>9780060167417</t>
        </is>
      </c>
      <c r="BC1527" t="inlineStr">
        <is>
          <t>32285001930766</t>
        </is>
      </c>
      <c r="BD1527" t="inlineStr">
        <is>
          <t>893785858</t>
        </is>
      </c>
    </row>
    <row r="1528">
      <c r="A1528" t="inlineStr">
        <is>
          <t>No</t>
        </is>
      </c>
      <c r="B1528" t="inlineStr">
        <is>
          <t>HQ536 .R78 1995</t>
        </is>
      </c>
      <c r="C1528" t="inlineStr">
        <is>
          <t>0                      HQ 0536000R  78          1995</t>
        </is>
      </c>
      <c r="D1528" t="inlineStr">
        <is>
          <t>Families on the fault line : America's working class speaks about the family, the economy, race, and ethnicity / Lillian B. Rubin.</t>
        </is>
      </c>
      <c r="F1528" t="inlineStr">
        <is>
          <t>No</t>
        </is>
      </c>
      <c r="G1528" t="inlineStr">
        <is>
          <t>1</t>
        </is>
      </c>
      <c r="H1528" t="inlineStr">
        <is>
          <t>No</t>
        </is>
      </c>
      <c r="I1528" t="inlineStr">
        <is>
          <t>Yes</t>
        </is>
      </c>
      <c r="J1528" t="inlineStr">
        <is>
          <t>0</t>
        </is>
      </c>
      <c r="K1528" t="inlineStr">
        <is>
          <t>Rubin, Lillian B.</t>
        </is>
      </c>
      <c r="L1528" t="inlineStr">
        <is>
          <t>New York : HarperPerennial, 1995.</t>
        </is>
      </c>
      <c r="M1528" t="inlineStr">
        <is>
          <t>1995</t>
        </is>
      </c>
      <c r="N1528" t="inlineStr">
        <is>
          <t>1st HarperPerennial ed.</t>
        </is>
      </c>
      <c r="O1528" t="inlineStr">
        <is>
          <t>eng</t>
        </is>
      </c>
      <c r="P1528" t="inlineStr">
        <is>
          <t>nyu</t>
        </is>
      </c>
      <c r="R1528" t="inlineStr">
        <is>
          <t xml:space="preserve">HQ </t>
        </is>
      </c>
      <c r="S1528" t="n">
        <v>8</v>
      </c>
      <c r="T1528" t="n">
        <v>8</v>
      </c>
      <c r="U1528" t="inlineStr">
        <is>
          <t>2004-02-02</t>
        </is>
      </c>
      <c r="V1528" t="inlineStr">
        <is>
          <t>2004-02-02</t>
        </is>
      </c>
      <c r="W1528" t="inlineStr">
        <is>
          <t>1995-11-09</t>
        </is>
      </c>
      <c r="X1528" t="inlineStr">
        <is>
          <t>1995-11-09</t>
        </is>
      </c>
      <c r="Y1528" t="n">
        <v>216</v>
      </c>
      <c r="Z1528" t="n">
        <v>201</v>
      </c>
      <c r="AA1528" t="n">
        <v>1018</v>
      </c>
      <c r="AB1528" t="n">
        <v>3</v>
      </c>
      <c r="AC1528" t="n">
        <v>8</v>
      </c>
      <c r="AD1528" t="n">
        <v>10</v>
      </c>
      <c r="AE1528" t="n">
        <v>45</v>
      </c>
      <c r="AF1528" t="n">
        <v>6</v>
      </c>
      <c r="AG1528" t="n">
        <v>20</v>
      </c>
      <c r="AH1528" t="n">
        <v>1</v>
      </c>
      <c r="AI1528" t="n">
        <v>10</v>
      </c>
      <c r="AJ1528" t="n">
        <v>2</v>
      </c>
      <c r="AK1528" t="n">
        <v>21</v>
      </c>
      <c r="AL1528" t="n">
        <v>2</v>
      </c>
      <c r="AM1528" t="n">
        <v>6</v>
      </c>
      <c r="AN1528" t="n">
        <v>0</v>
      </c>
      <c r="AO1528" t="n">
        <v>0</v>
      </c>
      <c r="AP1528" t="inlineStr">
        <is>
          <t>No</t>
        </is>
      </c>
      <c r="AQ1528" t="inlineStr">
        <is>
          <t>No</t>
        </is>
      </c>
      <c r="AS1528">
        <f>HYPERLINK("https://creighton-primo.hosted.exlibrisgroup.com/primo-explore/search?tab=default_tab&amp;search_scope=EVERYTHING&amp;vid=01CRU&amp;lang=en_US&amp;offset=0&amp;query=any,contains,991002450029702656","Catalog Record")</f>
        <v/>
      </c>
      <c r="AT1528">
        <f>HYPERLINK("http://www.worldcat.org/oclc/31942241","WorldCat Record")</f>
        <v/>
      </c>
      <c r="AU1528" t="inlineStr">
        <is>
          <t>30877966:eng</t>
        </is>
      </c>
      <c r="AV1528" t="inlineStr">
        <is>
          <t>31942241</t>
        </is>
      </c>
      <c r="AW1528" t="inlineStr">
        <is>
          <t>991002450029702656</t>
        </is>
      </c>
      <c r="AX1528" t="inlineStr">
        <is>
          <t>991002450029702656</t>
        </is>
      </c>
      <c r="AY1528" t="inlineStr">
        <is>
          <t>2261588540002656</t>
        </is>
      </c>
      <c r="AZ1528" t="inlineStr">
        <is>
          <t>BOOK</t>
        </is>
      </c>
      <c r="BB1528" t="inlineStr">
        <is>
          <t>9780060922290</t>
        </is>
      </c>
      <c r="BC1528" t="inlineStr">
        <is>
          <t>32285002101664</t>
        </is>
      </c>
      <c r="BD1528" t="inlineStr">
        <is>
          <t>893232968</t>
        </is>
      </c>
    </row>
    <row r="1529">
      <c r="A1529" t="inlineStr">
        <is>
          <t>No</t>
        </is>
      </c>
      <c r="B1529" t="inlineStr">
        <is>
          <t>HQ536 .R8 1992</t>
        </is>
      </c>
      <c r="C1529" t="inlineStr">
        <is>
          <t>0                      HQ 0536000R  8           1992</t>
        </is>
      </c>
      <c r="D1529" t="inlineStr">
        <is>
          <t>Worlds of pain : life in the working-class family / Lillian B. Rubin.</t>
        </is>
      </c>
      <c r="F1529" t="inlineStr">
        <is>
          <t>No</t>
        </is>
      </c>
      <c r="G1529" t="inlineStr">
        <is>
          <t>1</t>
        </is>
      </c>
      <c r="H1529" t="inlineStr">
        <is>
          <t>No</t>
        </is>
      </c>
      <c r="I1529" t="inlineStr">
        <is>
          <t>No</t>
        </is>
      </c>
      <c r="J1529" t="inlineStr">
        <is>
          <t>0</t>
        </is>
      </c>
      <c r="K1529" t="inlineStr">
        <is>
          <t>Rubin, Lillian B.</t>
        </is>
      </c>
      <c r="L1529" t="inlineStr">
        <is>
          <t>New York : Basic Books, 1992.</t>
        </is>
      </c>
      <c r="M1529" t="inlineStr">
        <is>
          <t>1992</t>
        </is>
      </c>
      <c r="O1529" t="inlineStr">
        <is>
          <t>eng</t>
        </is>
      </c>
      <c r="P1529" t="inlineStr">
        <is>
          <t>nyu</t>
        </is>
      </c>
      <c r="R1529" t="inlineStr">
        <is>
          <t xml:space="preserve">HQ </t>
        </is>
      </c>
      <c r="S1529" t="n">
        <v>4</v>
      </c>
      <c r="T1529" t="n">
        <v>4</v>
      </c>
      <c r="U1529" t="inlineStr">
        <is>
          <t>2000-07-12</t>
        </is>
      </c>
      <c r="V1529" t="inlineStr">
        <is>
          <t>2000-07-12</t>
        </is>
      </c>
      <c r="W1529" t="inlineStr">
        <is>
          <t>1997-09-22</t>
        </is>
      </c>
      <c r="X1529" t="inlineStr">
        <is>
          <t>1997-09-22</t>
        </is>
      </c>
      <c r="Y1529" t="n">
        <v>275</v>
      </c>
      <c r="Z1529" t="n">
        <v>244</v>
      </c>
      <c r="AA1529" t="n">
        <v>1286</v>
      </c>
      <c r="AB1529" t="n">
        <v>1</v>
      </c>
      <c r="AC1529" t="n">
        <v>12</v>
      </c>
      <c r="AD1529" t="n">
        <v>12</v>
      </c>
      <c r="AE1529" t="n">
        <v>51</v>
      </c>
      <c r="AF1529" t="n">
        <v>5</v>
      </c>
      <c r="AG1529" t="n">
        <v>22</v>
      </c>
      <c r="AH1529" t="n">
        <v>2</v>
      </c>
      <c r="AI1529" t="n">
        <v>10</v>
      </c>
      <c r="AJ1529" t="n">
        <v>6</v>
      </c>
      <c r="AK1529" t="n">
        <v>21</v>
      </c>
      <c r="AL1529" t="n">
        <v>0</v>
      </c>
      <c r="AM1529" t="n">
        <v>8</v>
      </c>
      <c r="AN1529" t="n">
        <v>1</v>
      </c>
      <c r="AO1529" t="n">
        <v>1</v>
      </c>
      <c r="AP1529" t="inlineStr">
        <is>
          <t>No</t>
        </is>
      </c>
      <c r="AQ1529" t="inlineStr">
        <is>
          <t>No</t>
        </is>
      </c>
      <c r="AS1529">
        <f>HYPERLINK("https://creighton-primo.hosted.exlibrisgroup.com/primo-explore/search?tab=default_tab&amp;search_scope=EVERYTHING&amp;vid=01CRU&amp;lang=en_US&amp;offset=0&amp;query=any,contains,991002033019702656","Catalog Record")</f>
        <v/>
      </c>
      <c r="AT1529">
        <f>HYPERLINK("http://www.worldcat.org/oclc/25874526","WorldCat Record")</f>
        <v/>
      </c>
      <c r="AU1529" t="inlineStr">
        <is>
          <t>1031355:eng</t>
        </is>
      </c>
      <c r="AV1529" t="inlineStr">
        <is>
          <t>25874526</t>
        </is>
      </c>
      <c r="AW1529" t="inlineStr">
        <is>
          <t>991002033019702656</t>
        </is>
      </c>
      <c r="AX1529" t="inlineStr">
        <is>
          <t>991002033019702656</t>
        </is>
      </c>
      <c r="AY1529" t="inlineStr">
        <is>
          <t>2267697270002656</t>
        </is>
      </c>
      <c r="AZ1529" t="inlineStr">
        <is>
          <t>BOOK</t>
        </is>
      </c>
      <c r="BB1529" t="inlineStr">
        <is>
          <t>9780465092482</t>
        </is>
      </c>
      <c r="BC1529" t="inlineStr">
        <is>
          <t>32285003176814</t>
        </is>
      </c>
      <c r="BD1529" t="inlineStr">
        <is>
          <t>893715970</t>
        </is>
      </c>
    </row>
    <row r="1530">
      <c r="A1530" t="inlineStr">
        <is>
          <t>No</t>
        </is>
      </c>
      <c r="B1530" t="inlineStr">
        <is>
          <t>HQ536 .S336</t>
        </is>
      </c>
      <c r="C1530" t="inlineStr">
        <is>
          <t>0                      HQ 0536000S  336</t>
        </is>
      </c>
      <c r="D1530" t="inlineStr">
        <is>
          <t>Family decision making : a developmental sex role model / John Scanzoni, Maximiliane Szinovacz.</t>
        </is>
      </c>
      <c r="F1530" t="inlineStr">
        <is>
          <t>No</t>
        </is>
      </c>
      <c r="G1530" t="inlineStr">
        <is>
          <t>1</t>
        </is>
      </c>
      <c r="H1530" t="inlineStr">
        <is>
          <t>Yes</t>
        </is>
      </c>
      <c r="I1530" t="inlineStr">
        <is>
          <t>No</t>
        </is>
      </c>
      <c r="J1530" t="inlineStr">
        <is>
          <t>0</t>
        </is>
      </c>
      <c r="K1530" t="inlineStr">
        <is>
          <t>Scanzoni, John H., 1935-</t>
        </is>
      </c>
      <c r="L1530" t="inlineStr">
        <is>
          <t>Beverly Hills : Sage Publications, c1980.</t>
        </is>
      </c>
      <c r="M1530" t="inlineStr">
        <is>
          <t>1980</t>
        </is>
      </c>
      <c r="O1530" t="inlineStr">
        <is>
          <t>eng</t>
        </is>
      </c>
      <c r="P1530" t="inlineStr">
        <is>
          <t>cau</t>
        </is>
      </c>
      <c r="Q1530" t="inlineStr">
        <is>
          <t>Sage library of social research ; v. 111</t>
        </is>
      </c>
      <c r="R1530" t="inlineStr">
        <is>
          <t xml:space="preserve">HQ </t>
        </is>
      </c>
      <c r="S1530" t="n">
        <v>0</v>
      </c>
      <c r="T1530" t="n">
        <v>5</v>
      </c>
      <c r="V1530" t="inlineStr">
        <is>
          <t>1997-03-01</t>
        </is>
      </c>
      <c r="W1530" t="inlineStr">
        <is>
          <t>1992-10-29</t>
        </is>
      </c>
      <c r="X1530" t="inlineStr">
        <is>
          <t>1992-10-29</t>
        </is>
      </c>
      <c r="Y1530" t="n">
        <v>495</v>
      </c>
      <c r="Z1530" t="n">
        <v>387</v>
      </c>
      <c r="AA1530" t="n">
        <v>394</v>
      </c>
      <c r="AB1530" t="n">
        <v>3</v>
      </c>
      <c r="AC1530" t="n">
        <v>3</v>
      </c>
      <c r="AD1530" t="n">
        <v>13</v>
      </c>
      <c r="AE1530" t="n">
        <v>13</v>
      </c>
      <c r="AF1530" t="n">
        <v>7</v>
      </c>
      <c r="AG1530" t="n">
        <v>7</v>
      </c>
      <c r="AH1530" t="n">
        <v>2</v>
      </c>
      <c r="AI1530" t="n">
        <v>2</v>
      </c>
      <c r="AJ1530" t="n">
        <v>8</v>
      </c>
      <c r="AK1530" t="n">
        <v>8</v>
      </c>
      <c r="AL1530" t="n">
        <v>1</v>
      </c>
      <c r="AM1530" t="n">
        <v>1</v>
      </c>
      <c r="AN1530" t="n">
        <v>0</v>
      </c>
      <c r="AO1530" t="n">
        <v>0</v>
      </c>
      <c r="AP1530" t="inlineStr">
        <is>
          <t>No</t>
        </is>
      </c>
      <c r="AQ1530" t="inlineStr">
        <is>
          <t>Yes</t>
        </is>
      </c>
      <c r="AR1530">
        <f>HYPERLINK("http://catalog.hathitrust.org/Record/000307598","HathiTrust Record")</f>
        <v/>
      </c>
      <c r="AS1530">
        <f>HYPERLINK("https://creighton-primo.hosted.exlibrisgroup.com/primo-explore/search?tab=default_tab&amp;search_scope=EVERYTHING&amp;vid=01CRU&amp;lang=en_US&amp;offset=0&amp;query=any,contains,991001757509702656","Catalog Record")</f>
        <v/>
      </c>
      <c r="AT1530">
        <f>HYPERLINK("http://www.worldcat.org/oclc/6486997","WorldCat Record")</f>
        <v/>
      </c>
      <c r="AU1530" t="inlineStr">
        <is>
          <t>836659294:eng</t>
        </is>
      </c>
      <c r="AV1530" t="inlineStr">
        <is>
          <t>6486997</t>
        </is>
      </c>
      <c r="AW1530" t="inlineStr">
        <is>
          <t>991001757509702656</t>
        </is>
      </c>
      <c r="AX1530" t="inlineStr">
        <is>
          <t>991001757509702656</t>
        </is>
      </c>
      <c r="AY1530" t="inlineStr">
        <is>
          <t>2269804140002656</t>
        </is>
      </c>
      <c r="AZ1530" t="inlineStr">
        <is>
          <t>BOOK</t>
        </is>
      </c>
      <c r="BB1530" t="inlineStr">
        <is>
          <t>9780803915336</t>
        </is>
      </c>
      <c r="BC1530" t="inlineStr">
        <is>
          <t>32285001358851</t>
        </is>
      </c>
      <c r="BD1530" t="inlineStr">
        <is>
          <t>893414453</t>
        </is>
      </c>
    </row>
    <row r="1531">
      <c r="A1531" t="inlineStr">
        <is>
          <t>No</t>
        </is>
      </c>
      <c r="B1531" t="inlineStr">
        <is>
          <t>HQ536 .S35 1982</t>
        </is>
      </c>
      <c r="C1531" t="inlineStr">
        <is>
          <t>0                      HQ 0536000S  35          1982</t>
        </is>
      </c>
      <c r="D1531" t="inlineStr">
        <is>
          <t>Sexual bargaining : power politics in the American marriage / John Scanzoni.</t>
        </is>
      </c>
      <c r="F1531" t="inlineStr">
        <is>
          <t>No</t>
        </is>
      </c>
      <c r="G1531" t="inlineStr">
        <is>
          <t>1</t>
        </is>
      </c>
      <c r="H1531" t="inlineStr">
        <is>
          <t>No</t>
        </is>
      </c>
      <c r="I1531" t="inlineStr">
        <is>
          <t>No</t>
        </is>
      </c>
      <c r="J1531" t="inlineStr">
        <is>
          <t>0</t>
        </is>
      </c>
      <c r="K1531" t="inlineStr">
        <is>
          <t>Scanzoni, John H., 1935-</t>
        </is>
      </c>
      <c r="L1531" t="inlineStr">
        <is>
          <t>Chicago : University of Chicago Press, 1982.</t>
        </is>
      </c>
      <c r="M1531" t="inlineStr">
        <is>
          <t>1982</t>
        </is>
      </c>
      <c r="N1531" t="inlineStr">
        <is>
          <t>2nd ed.</t>
        </is>
      </c>
      <c r="O1531" t="inlineStr">
        <is>
          <t>eng</t>
        </is>
      </c>
      <c r="P1531" t="inlineStr">
        <is>
          <t>ilu</t>
        </is>
      </c>
      <c r="R1531" t="inlineStr">
        <is>
          <t xml:space="preserve">HQ </t>
        </is>
      </c>
      <c r="S1531" t="n">
        <v>8</v>
      </c>
      <c r="T1531" t="n">
        <v>8</v>
      </c>
      <c r="U1531" t="inlineStr">
        <is>
          <t>2000-04-19</t>
        </is>
      </c>
      <c r="V1531" t="inlineStr">
        <is>
          <t>2000-04-19</t>
        </is>
      </c>
      <c r="W1531" t="inlineStr">
        <is>
          <t>1992-10-29</t>
        </is>
      </c>
      <c r="X1531" t="inlineStr">
        <is>
          <t>1992-10-29</t>
        </is>
      </c>
      <c r="Y1531" t="n">
        <v>415</v>
      </c>
      <c r="Z1531" t="n">
        <v>361</v>
      </c>
      <c r="AA1531" t="n">
        <v>757</v>
      </c>
      <c r="AB1531" t="n">
        <v>5</v>
      </c>
      <c r="AC1531" t="n">
        <v>6</v>
      </c>
      <c r="AD1531" t="n">
        <v>14</v>
      </c>
      <c r="AE1531" t="n">
        <v>31</v>
      </c>
      <c r="AF1531" t="n">
        <v>4</v>
      </c>
      <c r="AG1531" t="n">
        <v>13</v>
      </c>
      <c r="AH1531" t="n">
        <v>3</v>
      </c>
      <c r="AI1531" t="n">
        <v>6</v>
      </c>
      <c r="AJ1531" t="n">
        <v>4</v>
      </c>
      <c r="AK1531" t="n">
        <v>14</v>
      </c>
      <c r="AL1531" t="n">
        <v>4</v>
      </c>
      <c r="AM1531" t="n">
        <v>4</v>
      </c>
      <c r="AN1531" t="n">
        <v>1</v>
      </c>
      <c r="AO1531" t="n">
        <v>1</v>
      </c>
      <c r="AP1531" t="inlineStr">
        <is>
          <t>No</t>
        </is>
      </c>
      <c r="AQ1531" t="inlineStr">
        <is>
          <t>No</t>
        </is>
      </c>
      <c r="AS1531">
        <f>HYPERLINK("https://creighton-primo.hosted.exlibrisgroup.com/primo-explore/search?tab=default_tab&amp;search_scope=EVERYTHING&amp;vid=01CRU&amp;lang=en_US&amp;offset=0&amp;query=any,contains,991005181959702656","Catalog Record")</f>
        <v/>
      </c>
      <c r="AT1531">
        <f>HYPERLINK("http://www.worldcat.org/oclc/7946857","WorldCat Record")</f>
        <v/>
      </c>
      <c r="AU1531" t="inlineStr">
        <is>
          <t>1339457:eng</t>
        </is>
      </c>
      <c r="AV1531" t="inlineStr">
        <is>
          <t>7946857</t>
        </is>
      </c>
      <c r="AW1531" t="inlineStr">
        <is>
          <t>991005181959702656</t>
        </is>
      </c>
      <c r="AX1531" t="inlineStr">
        <is>
          <t>991005181959702656</t>
        </is>
      </c>
      <c r="AY1531" t="inlineStr">
        <is>
          <t>2272460860002656</t>
        </is>
      </c>
      <c r="AZ1531" t="inlineStr">
        <is>
          <t>BOOK</t>
        </is>
      </c>
      <c r="BB1531" t="inlineStr">
        <is>
          <t>9780226735641</t>
        </is>
      </c>
      <c r="BC1531" t="inlineStr">
        <is>
          <t>32285001358877</t>
        </is>
      </c>
      <c r="BD1531" t="inlineStr">
        <is>
          <t>893776984</t>
        </is>
      </c>
    </row>
    <row r="1532">
      <c r="A1532" t="inlineStr">
        <is>
          <t>No</t>
        </is>
      </c>
      <c r="B1532" t="inlineStr">
        <is>
          <t>HQ536 .S37 1989</t>
        </is>
      </c>
      <c r="C1532" t="inlineStr">
        <is>
          <t>0                      HQ 0536000S  37          1989</t>
        </is>
      </c>
      <c r="D1532" t="inlineStr">
        <is>
          <t>Champion of the great American family / by Pat Schroeder with Andrea Camp and Robyn Lipner.</t>
        </is>
      </c>
      <c r="F1532" t="inlineStr">
        <is>
          <t>No</t>
        </is>
      </c>
      <c r="G1532" t="inlineStr">
        <is>
          <t>1</t>
        </is>
      </c>
      <c r="H1532" t="inlineStr">
        <is>
          <t>No</t>
        </is>
      </c>
      <c r="I1532" t="inlineStr">
        <is>
          <t>No</t>
        </is>
      </c>
      <c r="J1532" t="inlineStr">
        <is>
          <t>0</t>
        </is>
      </c>
      <c r="K1532" t="inlineStr">
        <is>
          <t>Schroeder, Pat.</t>
        </is>
      </c>
      <c r="L1532" t="inlineStr">
        <is>
          <t>New York, NY : Random House, 1989.</t>
        </is>
      </c>
      <c r="M1532" t="inlineStr">
        <is>
          <t>1989</t>
        </is>
      </c>
      <c r="O1532" t="inlineStr">
        <is>
          <t>eng</t>
        </is>
      </c>
      <c r="P1532" t="inlineStr">
        <is>
          <t>nyu</t>
        </is>
      </c>
      <c r="R1532" t="inlineStr">
        <is>
          <t xml:space="preserve">HQ </t>
        </is>
      </c>
      <c r="S1532" t="n">
        <v>2</v>
      </c>
      <c r="T1532" t="n">
        <v>2</v>
      </c>
      <c r="U1532" t="inlineStr">
        <is>
          <t>1995-11-21</t>
        </is>
      </c>
      <c r="V1532" t="inlineStr">
        <is>
          <t>1995-11-21</t>
        </is>
      </c>
      <c r="W1532" t="inlineStr">
        <is>
          <t>1992-04-01</t>
        </is>
      </c>
      <c r="X1532" t="inlineStr">
        <is>
          <t>1992-04-01</t>
        </is>
      </c>
      <c r="Y1532" t="n">
        <v>615</v>
      </c>
      <c r="Z1532" t="n">
        <v>605</v>
      </c>
      <c r="AA1532" t="n">
        <v>720</v>
      </c>
      <c r="AB1532" t="n">
        <v>6</v>
      </c>
      <c r="AC1532" t="n">
        <v>7</v>
      </c>
      <c r="AD1532" t="n">
        <v>12</v>
      </c>
      <c r="AE1532" t="n">
        <v>12</v>
      </c>
      <c r="AF1532" t="n">
        <v>5</v>
      </c>
      <c r="AG1532" t="n">
        <v>5</v>
      </c>
      <c r="AH1532" t="n">
        <v>1</v>
      </c>
      <c r="AI1532" t="n">
        <v>1</v>
      </c>
      <c r="AJ1532" t="n">
        <v>5</v>
      </c>
      <c r="AK1532" t="n">
        <v>5</v>
      </c>
      <c r="AL1532" t="n">
        <v>2</v>
      </c>
      <c r="AM1532" t="n">
        <v>2</v>
      </c>
      <c r="AN1532" t="n">
        <v>0</v>
      </c>
      <c r="AO1532" t="n">
        <v>0</v>
      </c>
      <c r="AP1532" t="inlineStr">
        <is>
          <t>No</t>
        </is>
      </c>
      <c r="AQ1532" t="inlineStr">
        <is>
          <t>Yes</t>
        </is>
      </c>
      <c r="AR1532">
        <f>HYPERLINK("http://catalog.hathitrust.org/Record/004440289","HathiTrust Record")</f>
        <v/>
      </c>
      <c r="AS1532">
        <f>HYPERLINK("https://creighton-primo.hosted.exlibrisgroup.com/primo-explore/search?tab=default_tab&amp;search_scope=EVERYTHING&amp;vid=01CRU&amp;lang=en_US&amp;offset=0&amp;query=any,contains,991001353679702656","Catalog Record")</f>
        <v/>
      </c>
      <c r="AT1532">
        <f>HYPERLINK("http://www.worldcat.org/oclc/18463220","WorldCat Record")</f>
        <v/>
      </c>
      <c r="AU1532" t="inlineStr">
        <is>
          <t>17464755:eng</t>
        </is>
      </c>
      <c r="AV1532" t="inlineStr">
        <is>
          <t>18463220</t>
        </is>
      </c>
      <c r="AW1532" t="inlineStr">
        <is>
          <t>991001353679702656</t>
        </is>
      </c>
      <c r="AX1532" t="inlineStr">
        <is>
          <t>991001353679702656</t>
        </is>
      </c>
      <c r="AY1532" t="inlineStr">
        <is>
          <t>2259806510002656</t>
        </is>
      </c>
      <c r="AZ1532" t="inlineStr">
        <is>
          <t>BOOK</t>
        </is>
      </c>
      <c r="BB1532" t="inlineStr">
        <is>
          <t>9780394565743</t>
        </is>
      </c>
      <c r="BC1532" t="inlineStr">
        <is>
          <t>32285001047322</t>
        </is>
      </c>
      <c r="BD1532" t="inlineStr">
        <is>
          <t>893231934</t>
        </is>
      </c>
    </row>
    <row r="1533">
      <c r="A1533" t="inlineStr">
        <is>
          <t>No</t>
        </is>
      </c>
      <c r="B1533" t="inlineStr">
        <is>
          <t>HQ536 .S394 1995</t>
        </is>
      </c>
      <c r="C1533" t="inlineStr">
        <is>
          <t>0                      HQ 0536000S  394         1995</t>
        </is>
      </c>
      <c r="D1533" t="inlineStr">
        <is>
          <t>Love between equals : how peer marriage really works / Pepper Schwartz.</t>
        </is>
      </c>
      <c r="F1533" t="inlineStr">
        <is>
          <t>No</t>
        </is>
      </c>
      <c r="G1533" t="inlineStr">
        <is>
          <t>1</t>
        </is>
      </c>
      <c r="H1533" t="inlineStr">
        <is>
          <t>No</t>
        </is>
      </c>
      <c r="I1533" t="inlineStr">
        <is>
          <t>No</t>
        </is>
      </c>
      <c r="J1533" t="inlineStr">
        <is>
          <t>0</t>
        </is>
      </c>
      <c r="K1533" t="inlineStr">
        <is>
          <t>Schwartz, Pepper.</t>
        </is>
      </c>
      <c r="L1533" t="inlineStr">
        <is>
          <t>New York : Free Press : Distributed by Simon &amp; Schuster, Inc., 1995.</t>
        </is>
      </c>
      <c r="M1533" t="inlineStr">
        <is>
          <t>1995</t>
        </is>
      </c>
      <c r="N1533" t="inlineStr">
        <is>
          <t>1st Free Press Paperback ed.</t>
        </is>
      </c>
      <c r="O1533" t="inlineStr">
        <is>
          <t>eng</t>
        </is>
      </c>
      <c r="P1533" t="inlineStr">
        <is>
          <t>nyu</t>
        </is>
      </c>
      <c r="R1533" t="inlineStr">
        <is>
          <t xml:space="preserve">HQ </t>
        </is>
      </c>
      <c r="S1533" t="n">
        <v>10</v>
      </c>
      <c r="T1533" t="n">
        <v>10</v>
      </c>
      <c r="U1533" t="inlineStr">
        <is>
          <t>2009-11-19</t>
        </is>
      </c>
      <c r="V1533" t="inlineStr">
        <is>
          <t>2009-11-19</t>
        </is>
      </c>
      <c r="W1533" t="inlineStr">
        <is>
          <t>1996-01-24</t>
        </is>
      </c>
      <c r="X1533" t="inlineStr">
        <is>
          <t>1996-01-24</t>
        </is>
      </c>
      <c r="Y1533" t="n">
        <v>213</v>
      </c>
      <c r="Z1533" t="n">
        <v>182</v>
      </c>
      <c r="AA1533" t="n">
        <v>198</v>
      </c>
      <c r="AB1533" t="n">
        <v>2</v>
      </c>
      <c r="AC1533" t="n">
        <v>2</v>
      </c>
      <c r="AD1533" t="n">
        <v>7</v>
      </c>
      <c r="AE1533" t="n">
        <v>7</v>
      </c>
      <c r="AF1533" t="n">
        <v>3</v>
      </c>
      <c r="AG1533" t="n">
        <v>3</v>
      </c>
      <c r="AH1533" t="n">
        <v>2</v>
      </c>
      <c r="AI1533" t="n">
        <v>2</v>
      </c>
      <c r="AJ1533" t="n">
        <v>4</v>
      </c>
      <c r="AK1533" t="n">
        <v>4</v>
      </c>
      <c r="AL1533" t="n">
        <v>1</v>
      </c>
      <c r="AM1533" t="n">
        <v>1</v>
      </c>
      <c r="AN1533" t="n">
        <v>0</v>
      </c>
      <c r="AO1533" t="n">
        <v>0</v>
      </c>
      <c r="AP1533" t="inlineStr">
        <is>
          <t>No</t>
        </is>
      </c>
      <c r="AQ1533" t="inlineStr">
        <is>
          <t>No</t>
        </is>
      </c>
      <c r="AS1533">
        <f>HYPERLINK("https://creighton-primo.hosted.exlibrisgroup.com/primo-explore/search?tab=default_tab&amp;search_scope=EVERYTHING&amp;vid=01CRU&amp;lang=en_US&amp;offset=0&amp;query=any,contains,991002476009702656","Catalog Record")</f>
        <v/>
      </c>
      <c r="AT1533">
        <f>HYPERLINK("http://www.worldcat.org/oclc/32237596","WorldCat Record")</f>
        <v/>
      </c>
      <c r="AU1533" t="inlineStr">
        <is>
          <t>1151697809:eng</t>
        </is>
      </c>
      <c r="AV1533" t="inlineStr">
        <is>
          <t>32237596</t>
        </is>
      </c>
      <c r="AW1533" t="inlineStr">
        <is>
          <t>991002476009702656</t>
        </is>
      </c>
      <c r="AX1533" t="inlineStr">
        <is>
          <t>991002476009702656</t>
        </is>
      </c>
      <c r="AY1533" t="inlineStr">
        <is>
          <t>2267956150002656</t>
        </is>
      </c>
      <c r="AZ1533" t="inlineStr">
        <is>
          <t>BOOK</t>
        </is>
      </c>
      <c r="BB1533" t="inlineStr">
        <is>
          <t>9780028740614</t>
        </is>
      </c>
      <c r="BC1533" t="inlineStr">
        <is>
          <t>32285002125630</t>
        </is>
      </c>
      <c r="BD1533" t="inlineStr">
        <is>
          <t>893786197</t>
        </is>
      </c>
    </row>
    <row r="1534">
      <c r="A1534" t="inlineStr">
        <is>
          <t>No</t>
        </is>
      </c>
      <c r="B1534" t="inlineStr">
        <is>
          <t>HQ536 .S395 1994</t>
        </is>
      </c>
      <c r="C1534" t="inlineStr">
        <is>
          <t>0                      HQ 0536000S  395         1994</t>
        </is>
      </c>
      <c r="D1534" t="inlineStr">
        <is>
          <t>Peer marriage : how love between equals really works / Pepper Schwartz.</t>
        </is>
      </c>
      <c r="F1534" t="inlineStr">
        <is>
          <t>No</t>
        </is>
      </c>
      <c r="G1534" t="inlineStr">
        <is>
          <t>1</t>
        </is>
      </c>
      <c r="H1534" t="inlineStr">
        <is>
          <t>No</t>
        </is>
      </c>
      <c r="I1534" t="inlineStr">
        <is>
          <t>No</t>
        </is>
      </c>
      <c r="J1534" t="inlineStr">
        <is>
          <t>0</t>
        </is>
      </c>
      <c r="K1534" t="inlineStr">
        <is>
          <t>Schwartz, Pepper.</t>
        </is>
      </c>
      <c r="L1534" t="inlineStr">
        <is>
          <t>New York : Free Press ; Toronto : Maxwell Macmillan Canada ; New York : Maxwell Macmillan International, c1994.</t>
        </is>
      </c>
      <c r="M1534" t="inlineStr">
        <is>
          <t>1994</t>
        </is>
      </c>
      <c r="O1534" t="inlineStr">
        <is>
          <t>eng</t>
        </is>
      </c>
      <c r="P1534" t="inlineStr">
        <is>
          <t>nyu</t>
        </is>
      </c>
      <c r="R1534" t="inlineStr">
        <is>
          <t xml:space="preserve">HQ </t>
        </is>
      </c>
      <c r="S1534" t="n">
        <v>9</v>
      </c>
      <c r="T1534" t="n">
        <v>9</v>
      </c>
      <c r="U1534" t="inlineStr">
        <is>
          <t>2001-02-22</t>
        </is>
      </c>
      <c r="V1534" t="inlineStr">
        <is>
          <t>2001-02-22</t>
        </is>
      </c>
      <c r="W1534" t="inlineStr">
        <is>
          <t>1994-11-22</t>
        </is>
      </c>
      <c r="X1534" t="inlineStr">
        <is>
          <t>1994-11-22</t>
        </is>
      </c>
      <c r="Y1534" t="n">
        <v>574</v>
      </c>
      <c r="Z1534" t="n">
        <v>529</v>
      </c>
      <c r="AA1534" t="n">
        <v>531</v>
      </c>
      <c r="AB1534" t="n">
        <v>3</v>
      </c>
      <c r="AC1534" t="n">
        <v>3</v>
      </c>
      <c r="AD1534" t="n">
        <v>24</v>
      </c>
      <c r="AE1534" t="n">
        <v>24</v>
      </c>
      <c r="AF1534" t="n">
        <v>10</v>
      </c>
      <c r="AG1534" t="n">
        <v>10</v>
      </c>
      <c r="AH1534" t="n">
        <v>4</v>
      </c>
      <c r="AI1534" t="n">
        <v>4</v>
      </c>
      <c r="AJ1534" t="n">
        <v>13</v>
      </c>
      <c r="AK1534" t="n">
        <v>13</v>
      </c>
      <c r="AL1534" t="n">
        <v>2</v>
      </c>
      <c r="AM1534" t="n">
        <v>2</v>
      </c>
      <c r="AN1534" t="n">
        <v>1</v>
      </c>
      <c r="AO1534" t="n">
        <v>1</v>
      </c>
      <c r="AP1534" t="inlineStr">
        <is>
          <t>No</t>
        </is>
      </c>
      <c r="AQ1534" t="inlineStr">
        <is>
          <t>Yes</t>
        </is>
      </c>
      <c r="AR1534">
        <f>HYPERLINK("http://catalog.hathitrust.org/Record/003068883","HathiTrust Record")</f>
        <v/>
      </c>
      <c r="AS1534">
        <f>HYPERLINK("https://creighton-primo.hosted.exlibrisgroup.com/primo-explore/search?tab=default_tab&amp;search_scope=EVERYTHING&amp;vid=01CRU&amp;lang=en_US&amp;offset=0&amp;query=any,contains,991002308269702656","Catalog Record")</f>
        <v/>
      </c>
      <c r="AT1534">
        <f>HYPERLINK("http://www.worldcat.org/oclc/29951986","WorldCat Record")</f>
        <v/>
      </c>
      <c r="AU1534" t="inlineStr">
        <is>
          <t>869299:eng</t>
        </is>
      </c>
      <c r="AV1534" t="inlineStr">
        <is>
          <t>29951986</t>
        </is>
      </c>
      <c r="AW1534" t="inlineStr">
        <is>
          <t>991002308269702656</t>
        </is>
      </c>
      <c r="AX1534" t="inlineStr">
        <is>
          <t>991002308269702656</t>
        </is>
      </c>
      <c r="AY1534" t="inlineStr">
        <is>
          <t>2263286350002656</t>
        </is>
      </c>
      <c r="AZ1534" t="inlineStr">
        <is>
          <t>BOOK</t>
        </is>
      </c>
      <c r="BB1534" t="inlineStr">
        <is>
          <t>9780029317150</t>
        </is>
      </c>
      <c r="BC1534" t="inlineStr">
        <is>
          <t>32285001959039</t>
        </is>
      </c>
      <c r="BD1534" t="inlineStr">
        <is>
          <t>893716290</t>
        </is>
      </c>
    </row>
    <row r="1535">
      <c r="A1535" t="inlineStr">
        <is>
          <t>No</t>
        </is>
      </c>
      <c r="B1535" t="inlineStr">
        <is>
          <t>HQ536 .S42 1986</t>
        </is>
      </c>
      <c r="C1535" t="inlineStr">
        <is>
          <t>0                      HQ 0536000S  42          1986</t>
        </is>
      </c>
      <c r="D1535" t="inlineStr">
        <is>
          <t>Dual-career families / Uma Sekaran.</t>
        </is>
      </c>
      <c r="F1535" t="inlineStr">
        <is>
          <t>No</t>
        </is>
      </c>
      <c r="G1535" t="inlineStr">
        <is>
          <t>1</t>
        </is>
      </c>
      <c r="H1535" t="inlineStr">
        <is>
          <t>No</t>
        </is>
      </c>
      <c r="I1535" t="inlineStr">
        <is>
          <t>No</t>
        </is>
      </c>
      <c r="J1535" t="inlineStr">
        <is>
          <t>0</t>
        </is>
      </c>
      <c r="K1535" t="inlineStr">
        <is>
          <t>Sekaran, Uma.</t>
        </is>
      </c>
      <c r="L1535" t="inlineStr">
        <is>
          <t>San Francisco, Calif. : Josey-Bass, 1986.</t>
        </is>
      </c>
      <c r="M1535" t="inlineStr">
        <is>
          <t>1986</t>
        </is>
      </c>
      <c r="N1535" t="inlineStr">
        <is>
          <t>1st ed.</t>
        </is>
      </c>
      <c r="O1535" t="inlineStr">
        <is>
          <t>eng</t>
        </is>
      </c>
      <c r="P1535" t="inlineStr">
        <is>
          <t>cau</t>
        </is>
      </c>
      <c r="Q1535" t="inlineStr">
        <is>
          <t>A Joint publication in the Jossey-Bass social and behavioral science series and the Jossey-Bass management series</t>
        </is>
      </c>
      <c r="R1535" t="inlineStr">
        <is>
          <t xml:space="preserve">HQ </t>
        </is>
      </c>
      <c r="S1535" t="n">
        <v>17</v>
      </c>
      <c r="T1535" t="n">
        <v>17</v>
      </c>
      <c r="U1535" t="inlineStr">
        <is>
          <t>2003-12-03</t>
        </is>
      </c>
      <c r="V1535" t="inlineStr">
        <is>
          <t>2003-12-03</t>
        </is>
      </c>
      <c r="W1535" t="inlineStr">
        <is>
          <t>1990-04-23</t>
        </is>
      </c>
      <c r="X1535" t="inlineStr">
        <is>
          <t>1990-04-23</t>
        </is>
      </c>
      <c r="Y1535" t="n">
        <v>763</v>
      </c>
      <c r="Z1535" t="n">
        <v>656</v>
      </c>
      <c r="AA1535" t="n">
        <v>663</v>
      </c>
      <c r="AB1535" t="n">
        <v>6</v>
      </c>
      <c r="AC1535" t="n">
        <v>6</v>
      </c>
      <c r="AD1535" t="n">
        <v>29</v>
      </c>
      <c r="AE1535" t="n">
        <v>29</v>
      </c>
      <c r="AF1535" t="n">
        <v>14</v>
      </c>
      <c r="AG1535" t="n">
        <v>14</v>
      </c>
      <c r="AH1535" t="n">
        <v>5</v>
      </c>
      <c r="AI1535" t="n">
        <v>5</v>
      </c>
      <c r="AJ1535" t="n">
        <v>13</v>
      </c>
      <c r="AK1535" t="n">
        <v>13</v>
      </c>
      <c r="AL1535" t="n">
        <v>5</v>
      </c>
      <c r="AM1535" t="n">
        <v>5</v>
      </c>
      <c r="AN1535" t="n">
        <v>0</v>
      </c>
      <c r="AO1535" t="n">
        <v>0</v>
      </c>
      <c r="AP1535" t="inlineStr">
        <is>
          <t>No</t>
        </is>
      </c>
      <c r="AQ1535" t="inlineStr">
        <is>
          <t>No</t>
        </is>
      </c>
      <c r="AS1535">
        <f>HYPERLINK("https://creighton-primo.hosted.exlibrisgroup.com/primo-explore/search?tab=default_tab&amp;search_scope=EVERYTHING&amp;vid=01CRU&amp;lang=en_US&amp;offset=0&amp;query=any,contains,991000877279702656","Catalog Record")</f>
        <v/>
      </c>
      <c r="AT1535">
        <f>HYPERLINK("http://www.worldcat.org/oclc/13820926","WorldCat Record")</f>
        <v/>
      </c>
      <c r="AU1535" t="inlineStr">
        <is>
          <t>3811663200:eng</t>
        </is>
      </c>
      <c r="AV1535" t="inlineStr">
        <is>
          <t>13820926</t>
        </is>
      </c>
      <c r="AW1535" t="inlineStr">
        <is>
          <t>991000877279702656</t>
        </is>
      </c>
      <c r="AX1535" t="inlineStr">
        <is>
          <t>991000877279702656</t>
        </is>
      </c>
      <c r="AY1535" t="inlineStr">
        <is>
          <t>2268277830002656</t>
        </is>
      </c>
      <c r="AZ1535" t="inlineStr">
        <is>
          <t>BOOK</t>
        </is>
      </c>
      <c r="BB1535" t="inlineStr">
        <is>
          <t>9781555420055</t>
        </is>
      </c>
      <c r="BC1535" t="inlineStr">
        <is>
          <t>32285000131507</t>
        </is>
      </c>
      <c r="BD1535" t="inlineStr">
        <is>
          <t>893261644</t>
        </is>
      </c>
    </row>
    <row r="1536">
      <c r="A1536" t="inlineStr">
        <is>
          <t>No</t>
        </is>
      </c>
      <c r="B1536" t="inlineStr">
        <is>
          <t>HQ536 .S48 1980</t>
        </is>
      </c>
      <c r="C1536" t="inlineStr">
        <is>
          <t>0                      HQ 0536000S  48          1980</t>
        </is>
      </c>
      <c r="D1536" t="inlineStr">
        <is>
          <t>Making it together as a two-career couple / Marjorie Hansen Shaevitz, Morton H. Shaevitz.</t>
        </is>
      </c>
      <c r="F1536" t="inlineStr">
        <is>
          <t>No</t>
        </is>
      </c>
      <c r="G1536" t="inlineStr">
        <is>
          <t>1</t>
        </is>
      </c>
      <c r="H1536" t="inlineStr">
        <is>
          <t>No</t>
        </is>
      </c>
      <c r="I1536" t="inlineStr">
        <is>
          <t>No</t>
        </is>
      </c>
      <c r="J1536" t="inlineStr">
        <is>
          <t>0</t>
        </is>
      </c>
      <c r="K1536" t="inlineStr">
        <is>
          <t>Shaevitz, Marjorie Hansen.</t>
        </is>
      </c>
      <c r="L1536" t="inlineStr">
        <is>
          <t>Boston : Houghton Mifflin, 1980, c1979.</t>
        </is>
      </c>
      <c r="M1536" t="inlineStr">
        <is>
          <t>1980</t>
        </is>
      </c>
      <c r="O1536" t="inlineStr">
        <is>
          <t>eng</t>
        </is>
      </c>
      <c r="P1536" t="inlineStr">
        <is>
          <t>mau</t>
        </is>
      </c>
      <c r="R1536" t="inlineStr">
        <is>
          <t xml:space="preserve">HQ </t>
        </is>
      </c>
      <c r="S1536" t="n">
        <v>15</v>
      </c>
      <c r="T1536" t="n">
        <v>15</v>
      </c>
      <c r="U1536" t="inlineStr">
        <is>
          <t>1997-11-25</t>
        </is>
      </c>
      <c r="V1536" t="inlineStr">
        <is>
          <t>1997-11-25</t>
        </is>
      </c>
      <c r="W1536" t="inlineStr">
        <is>
          <t>1990-04-30</t>
        </is>
      </c>
      <c r="X1536" t="inlineStr">
        <is>
          <t>1990-04-30</t>
        </is>
      </c>
      <c r="Y1536" t="n">
        <v>311</v>
      </c>
      <c r="Z1536" t="n">
        <v>293</v>
      </c>
      <c r="AA1536" t="n">
        <v>309</v>
      </c>
      <c r="AB1536" t="n">
        <v>4</v>
      </c>
      <c r="AC1536" t="n">
        <v>4</v>
      </c>
      <c r="AD1536" t="n">
        <v>6</v>
      </c>
      <c r="AE1536" t="n">
        <v>8</v>
      </c>
      <c r="AF1536" t="n">
        <v>2</v>
      </c>
      <c r="AG1536" t="n">
        <v>3</v>
      </c>
      <c r="AH1536" t="n">
        <v>0</v>
      </c>
      <c r="AI1536" t="n">
        <v>1</v>
      </c>
      <c r="AJ1536" t="n">
        <v>4</v>
      </c>
      <c r="AK1536" t="n">
        <v>4</v>
      </c>
      <c r="AL1536" t="n">
        <v>2</v>
      </c>
      <c r="AM1536" t="n">
        <v>2</v>
      </c>
      <c r="AN1536" t="n">
        <v>0</v>
      </c>
      <c r="AO1536" t="n">
        <v>0</v>
      </c>
      <c r="AP1536" t="inlineStr">
        <is>
          <t>No</t>
        </is>
      </c>
      <c r="AQ1536" t="inlineStr">
        <is>
          <t>No</t>
        </is>
      </c>
      <c r="AS1536">
        <f>HYPERLINK("https://creighton-primo.hosted.exlibrisgroup.com/primo-explore/search?tab=default_tab&amp;search_scope=EVERYTHING&amp;vid=01CRU&amp;lang=en_US&amp;offset=0&amp;query=any,contains,991004822839702656","Catalog Record")</f>
        <v/>
      </c>
      <c r="AT1536">
        <f>HYPERLINK("http://www.worldcat.org/oclc/5336888","WorldCat Record")</f>
        <v/>
      </c>
      <c r="AU1536" t="inlineStr">
        <is>
          <t>17881115:eng</t>
        </is>
      </c>
      <c r="AV1536" t="inlineStr">
        <is>
          <t>5336888</t>
        </is>
      </c>
      <c r="AW1536" t="inlineStr">
        <is>
          <t>991004822839702656</t>
        </is>
      </c>
      <c r="AX1536" t="inlineStr">
        <is>
          <t>991004822839702656</t>
        </is>
      </c>
      <c r="AY1536" t="inlineStr">
        <is>
          <t>2265239890002656</t>
        </is>
      </c>
      <c r="AZ1536" t="inlineStr">
        <is>
          <t>BOOK</t>
        </is>
      </c>
      <c r="BB1536" t="inlineStr">
        <is>
          <t>9780395285923</t>
        </is>
      </c>
      <c r="BC1536" t="inlineStr">
        <is>
          <t>32285000129089</t>
        </is>
      </c>
      <c r="BD1536" t="inlineStr">
        <is>
          <t>893260212</t>
        </is>
      </c>
    </row>
    <row r="1537">
      <c r="A1537" t="inlineStr">
        <is>
          <t>No</t>
        </is>
      </c>
      <c r="B1537" t="inlineStr">
        <is>
          <t>HQ536 .S4814 2002</t>
        </is>
      </c>
      <c r="C1537" t="inlineStr">
        <is>
          <t>0                      HQ 0536000S  4814        2002</t>
        </is>
      </c>
      <c r="D1537" t="inlineStr">
        <is>
          <t>A history of household government in America / Carole Shammas.</t>
        </is>
      </c>
      <c r="F1537" t="inlineStr">
        <is>
          <t>No</t>
        </is>
      </c>
      <c r="G1537" t="inlineStr">
        <is>
          <t>1</t>
        </is>
      </c>
      <c r="H1537" t="inlineStr">
        <is>
          <t>No</t>
        </is>
      </c>
      <c r="I1537" t="inlineStr">
        <is>
          <t>No</t>
        </is>
      </c>
      <c r="J1537" t="inlineStr">
        <is>
          <t>0</t>
        </is>
      </c>
      <c r="K1537" t="inlineStr">
        <is>
          <t>Shammas, Carole.</t>
        </is>
      </c>
      <c r="L1537" t="inlineStr">
        <is>
          <t>Charlottesville : University of Virginia Press, 2002.</t>
        </is>
      </c>
      <c r="M1537" t="inlineStr">
        <is>
          <t>2002</t>
        </is>
      </c>
      <c r="O1537" t="inlineStr">
        <is>
          <t>eng</t>
        </is>
      </c>
      <c r="P1537" t="inlineStr">
        <is>
          <t>vau</t>
        </is>
      </c>
      <c r="R1537" t="inlineStr">
        <is>
          <t xml:space="preserve">HQ </t>
        </is>
      </c>
      <c r="S1537" t="n">
        <v>1</v>
      </c>
      <c r="T1537" t="n">
        <v>1</v>
      </c>
      <c r="U1537" t="inlineStr">
        <is>
          <t>2005-04-05</t>
        </is>
      </c>
      <c r="V1537" t="inlineStr">
        <is>
          <t>2005-04-05</t>
        </is>
      </c>
      <c r="W1537" t="inlineStr">
        <is>
          <t>2005-04-05</t>
        </is>
      </c>
      <c r="X1537" t="inlineStr">
        <is>
          <t>2005-04-05</t>
        </is>
      </c>
      <c r="Y1537" t="n">
        <v>465</v>
      </c>
      <c r="Z1537" t="n">
        <v>403</v>
      </c>
      <c r="AA1537" t="n">
        <v>404</v>
      </c>
      <c r="AB1537" t="n">
        <v>4</v>
      </c>
      <c r="AC1537" t="n">
        <v>4</v>
      </c>
      <c r="AD1537" t="n">
        <v>22</v>
      </c>
      <c r="AE1537" t="n">
        <v>22</v>
      </c>
      <c r="AF1537" t="n">
        <v>7</v>
      </c>
      <c r="AG1537" t="n">
        <v>7</v>
      </c>
      <c r="AH1537" t="n">
        <v>7</v>
      </c>
      <c r="AI1537" t="n">
        <v>7</v>
      </c>
      <c r="AJ1537" t="n">
        <v>7</v>
      </c>
      <c r="AK1537" t="n">
        <v>7</v>
      </c>
      <c r="AL1537" t="n">
        <v>3</v>
      </c>
      <c r="AM1537" t="n">
        <v>3</v>
      </c>
      <c r="AN1537" t="n">
        <v>2</v>
      </c>
      <c r="AO1537" t="n">
        <v>2</v>
      </c>
      <c r="AP1537" t="inlineStr">
        <is>
          <t>No</t>
        </is>
      </c>
      <c r="AQ1537" t="inlineStr">
        <is>
          <t>No</t>
        </is>
      </c>
      <c r="AS1537">
        <f>HYPERLINK("https://creighton-primo.hosted.exlibrisgroup.com/primo-explore/search?tab=default_tab&amp;search_scope=EVERYTHING&amp;vid=01CRU&amp;lang=en_US&amp;offset=0&amp;query=any,contains,991004514459702656","Catalog Record")</f>
        <v/>
      </c>
      <c r="AT1537">
        <f>HYPERLINK("http://www.worldcat.org/oclc/49683569","WorldCat Record")</f>
        <v/>
      </c>
      <c r="AU1537" t="inlineStr">
        <is>
          <t>962868:eng</t>
        </is>
      </c>
      <c r="AV1537" t="inlineStr">
        <is>
          <t>49683569</t>
        </is>
      </c>
      <c r="AW1537" t="inlineStr">
        <is>
          <t>991004514459702656</t>
        </is>
      </c>
      <c r="AX1537" t="inlineStr">
        <is>
          <t>991004514459702656</t>
        </is>
      </c>
      <c r="AY1537" t="inlineStr">
        <is>
          <t>2268633140002656</t>
        </is>
      </c>
      <c r="AZ1537" t="inlineStr">
        <is>
          <t>BOOK</t>
        </is>
      </c>
      <c r="BB1537" t="inlineStr">
        <is>
          <t>9780813921259</t>
        </is>
      </c>
      <c r="BC1537" t="inlineStr">
        <is>
          <t>32285005047864</t>
        </is>
      </c>
      <c r="BD1537" t="inlineStr">
        <is>
          <t>893606123</t>
        </is>
      </c>
    </row>
    <row r="1538">
      <c r="A1538" t="inlineStr">
        <is>
          <t>No</t>
        </is>
      </c>
      <c r="B1538" t="inlineStr">
        <is>
          <t>HQ536 .S49</t>
        </is>
      </c>
      <c r="C1538" t="inlineStr">
        <is>
          <t>0                      HQ 0536000S  49</t>
        </is>
      </c>
      <c r="D1538" t="inlineStr">
        <is>
          <t>Two for the money : a woman's guide to a double-career marriage / Elaine Fantle Shimberg, Dore Beach.</t>
        </is>
      </c>
      <c r="F1538" t="inlineStr">
        <is>
          <t>No</t>
        </is>
      </c>
      <c r="G1538" t="inlineStr">
        <is>
          <t>1</t>
        </is>
      </c>
      <c r="H1538" t="inlineStr">
        <is>
          <t>No</t>
        </is>
      </c>
      <c r="I1538" t="inlineStr">
        <is>
          <t>No</t>
        </is>
      </c>
      <c r="J1538" t="inlineStr">
        <is>
          <t>0</t>
        </is>
      </c>
      <c r="K1538" t="inlineStr">
        <is>
          <t>Shimberg, Elaine Fantle, 1937-</t>
        </is>
      </c>
      <c r="L1538" t="inlineStr">
        <is>
          <t>Englewood Cliffs, N.J. : Prentice-Hall, c1981.</t>
        </is>
      </c>
      <c r="M1538" t="inlineStr">
        <is>
          <t>1981</t>
        </is>
      </c>
      <c r="O1538" t="inlineStr">
        <is>
          <t>eng</t>
        </is>
      </c>
      <c r="P1538" t="inlineStr">
        <is>
          <t>nju</t>
        </is>
      </c>
      <c r="Q1538" t="inlineStr">
        <is>
          <t>A Spectrum book</t>
        </is>
      </c>
      <c r="R1538" t="inlineStr">
        <is>
          <t xml:space="preserve">HQ </t>
        </is>
      </c>
      <c r="S1538" t="n">
        <v>8</v>
      </c>
      <c r="T1538" t="n">
        <v>8</v>
      </c>
      <c r="U1538" t="inlineStr">
        <is>
          <t>1997-11-25</t>
        </is>
      </c>
      <c r="V1538" t="inlineStr">
        <is>
          <t>1997-11-25</t>
        </is>
      </c>
      <c r="W1538" t="inlineStr">
        <is>
          <t>1992-02-26</t>
        </is>
      </c>
      <c r="X1538" t="inlineStr">
        <is>
          <t>1992-02-26</t>
        </is>
      </c>
      <c r="Y1538" t="n">
        <v>143</v>
      </c>
      <c r="Z1538" t="n">
        <v>130</v>
      </c>
      <c r="AA1538" t="n">
        <v>131</v>
      </c>
      <c r="AB1538" t="n">
        <v>2</v>
      </c>
      <c r="AC1538" t="n">
        <v>2</v>
      </c>
      <c r="AD1538" t="n">
        <v>2</v>
      </c>
      <c r="AE1538" t="n">
        <v>2</v>
      </c>
      <c r="AF1538" t="n">
        <v>0</v>
      </c>
      <c r="AG1538" t="n">
        <v>0</v>
      </c>
      <c r="AH1538" t="n">
        <v>0</v>
      </c>
      <c r="AI1538" t="n">
        <v>0</v>
      </c>
      <c r="AJ1538" t="n">
        <v>2</v>
      </c>
      <c r="AK1538" t="n">
        <v>2</v>
      </c>
      <c r="AL1538" t="n">
        <v>0</v>
      </c>
      <c r="AM1538" t="n">
        <v>0</v>
      </c>
      <c r="AN1538" t="n">
        <v>0</v>
      </c>
      <c r="AO1538" t="n">
        <v>0</v>
      </c>
      <c r="AP1538" t="inlineStr">
        <is>
          <t>No</t>
        </is>
      </c>
      <c r="AQ1538" t="inlineStr">
        <is>
          <t>No</t>
        </is>
      </c>
      <c r="AS1538">
        <f>HYPERLINK("https://creighton-primo.hosted.exlibrisgroup.com/primo-explore/search?tab=default_tab&amp;search_scope=EVERYTHING&amp;vid=01CRU&amp;lang=en_US&amp;offset=0&amp;query=any,contains,991005124069702656","Catalog Record")</f>
        <v/>
      </c>
      <c r="AT1538">
        <f>HYPERLINK("http://www.worldcat.org/oclc/7551626","WorldCat Record")</f>
        <v/>
      </c>
      <c r="AU1538" t="inlineStr">
        <is>
          <t>28542234:eng</t>
        </is>
      </c>
      <c r="AV1538" t="inlineStr">
        <is>
          <t>7551626</t>
        </is>
      </c>
      <c r="AW1538" t="inlineStr">
        <is>
          <t>991005124069702656</t>
        </is>
      </c>
      <c r="AX1538" t="inlineStr">
        <is>
          <t>991005124069702656</t>
        </is>
      </c>
      <c r="AY1538" t="inlineStr">
        <is>
          <t>2266149290002656</t>
        </is>
      </c>
      <c r="AZ1538" t="inlineStr">
        <is>
          <t>BOOK</t>
        </is>
      </c>
      <c r="BB1538" t="inlineStr">
        <is>
          <t>9780139352621</t>
        </is>
      </c>
      <c r="BC1538" t="inlineStr">
        <is>
          <t>32285000977230</t>
        </is>
      </c>
      <c r="BD1538" t="inlineStr">
        <is>
          <t>893254506</t>
        </is>
      </c>
    </row>
    <row r="1539">
      <c r="A1539" t="inlineStr">
        <is>
          <t>No</t>
        </is>
      </c>
      <c r="B1539" t="inlineStr">
        <is>
          <t>HQ536 .S497 1992</t>
        </is>
      </c>
      <c r="C1539" t="inlineStr">
        <is>
          <t>0                      HQ 0536000S  497         1992</t>
        </is>
      </c>
      <c r="D1539" t="inlineStr">
        <is>
          <t>Dual-career marriage : a system in transition / Lisa R. Silberstein.</t>
        </is>
      </c>
      <c r="F1539" t="inlineStr">
        <is>
          <t>No</t>
        </is>
      </c>
      <c r="G1539" t="inlineStr">
        <is>
          <t>1</t>
        </is>
      </c>
      <c r="H1539" t="inlineStr">
        <is>
          <t>No</t>
        </is>
      </c>
      <c r="I1539" t="inlineStr">
        <is>
          <t>No</t>
        </is>
      </c>
      <c r="J1539" t="inlineStr">
        <is>
          <t>0</t>
        </is>
      </c>
      <c r="K1539" t="inlineStr">
        <is>
          <t>Silberstein, Lisa R.</t>
        </is>
      </c>
      <c r="L1539" t="inlineStr">
        <is>
          <t>Hillsdale, N.J. : L. Erlbaum, 1992.</t>
        </is>
      </c>
      <c r="M1539" t="inlineStr">
        <is>
          <t>1992</t>
        </is>
      </c>
      <c r="O1539" t="inlineStr">
        <is>
          <t>eng</t>
        </is>
      </c>
      <c r="P1539" t="inlineStr">
        <is>
          <t>nju</t>
        </is>
      </c>
      <c r="R1539" t="inlineStr">
        <is>
          <t xml:space="preserve">HQ </t>
        </is>
      </c>
      <c r="S1539" t="n">
        <v>31</v>
      </c>
      <c r="T1539" t="n">
        <v>31</v>
      </c>
      <c r="U1539" t="inlineStr">
        <is>
          <t>2009-04-07</t>
        </is>
      </c>
      <c r="V1539" t="inlineStr">
        <is>
          <t>2009-04-07</t>
        </is>
      </c>
      <c r="W1539" t="inlineStr">
        <is>
          <t>1992-12-08</t>
        </is>
      </c>
      <c r="X1539" t="inlineStr">
        <is>
          <t>1992-12-08</t>
        </is>
      </c>
      <c r="Y1539" t="n">
        <v>334</v>
      </c>
      <c r="Z1539" t="n">
        <v>278</v>
      </c>
      <c r="AA1539" t="n">
        <v>301</v>
      </c>
      <c r="AB1539" t="n">
        <v>2</v>
      </c>
      <c r="AC1539" t="n">
        <v>2</v>
      </c>
      <c r="AD1539" t="n">
        <v>14</v>
      </c>
      <c r="AE1539" t="n">
        <v>14</v>
      </c>
      <c r="AF1539" t="n">
        <v>5</v>
      </c>
      <c r="AG1539" t="n">
        <v>5</v>
      </c>
      <c r="AH1539" t="n">
        <v>2</v>
      </c>
      <c r="AI1539" t="n">
        <v>2</v>
      </c>
      <c r="AJ1539" t="n">
        <v>10</v>
      </c>
      <c r="AK1539" t="n">
        <v>10</v>
      </c>
      <c r="AL1539" t="n">
        <v>1</v>
      </c>
      <c r="AM1539" t="n">
        <v>1</v>
      </c>
      <c r="AN1539" t="n">
        <v>0</v>
      </c>
      <c r="AO1539" t="n">
        <v>0</v>
      </c>
      <c r="AP1539" t="inlineStr">
        <is>
          <t>No</t>
        </is>
      </c>
      <c r="AQ1539" t="inlineStr">
        <is>
          <t>Yes</t>
        </is>
      </c>
      <c r="AR1539">
        <f>HYPERLINK("http://catalog.hathitrust.org/Record/002553162","HathiTrust Record")</f>
        <v/>
      </c>
      <c r="AS1539">
        <f>HYPERLINK("https://creighton-primo.hosted.exlibrisgroup.com/primo-explore/search?tab=default_tab&amp;search_scope=EVERYTHING&amp;vid=01CRU&amp;lang=en_US&amp;offset=0&amp;query=any,contains,991001967239702656","Catalog Record")</f>
        <v/>
      </c>
      <c r="AT1539">
        <f>HYPERLINK("http://www.worldcat.org/oclc/24952124","WorldCat Record")</f>
        <v/>
      </c>
      <c r="AU1539" t="inlineStr">
        <is>
          <t>222289681:eng</t>
        </is>
      </c>
      <c r="AV1539" t="inlineStr">
        <is>
          <t>24952124</t>
        </is>
      </c>
      <c r="AW1539" t="inlineStr">
        <is>
          <t>991001967239702656</t>
        </is>
      </c>
      <c r="AX1539" t="inlineStr">
        <is>
          <t>991001967239702656</t>
        </is>
      </c>
      <c r="AY1539" t="inlineStr">
        <is>
          <t>2267354630002656</t>
        </is>
      </c>
      <c r="AZ1539" t="inlineStr">
        <is>
          <t>BOOK</t>
        </is>
      </c>
      <c r="BB1539" t="inlineStr">
        <is>
          <t>9780805807127</t>
        </is>
      </c>
      <c r="BC1539" t="inlineStr">
        <is>
          <t>32285001401826</t>
        </is>
      </c>
      <c r="BD1539" t="inlineStr">
        <is>
          <t>893898236</t>
        </is>
      </c>
    </row>
    <row r="1540">
      <c r="A1540" t="inlineStr">
        <is>
          <t>No</t>
        </is>
      </c>
      <c r="B1540" t="inlineStr">
        <is>
          <t>HQ536 .S65 1986</t>
        </is>
      </c>
      <c r="C1540" t="inlineStr">
        <is>
          <t>0                      HQ 0536000S  65          1986</t>
        </is>
      </c>
      <c r="D1540" t="inlineStr">
        <is>
          <t>Role-sharing marriage / Audrey D. Smith and William J. Reid.</t>
        </is>
      </c>
      <c r="F1540" t="inlineStr">
        <is>
          <t>No</t>
        </is>
      </c>
      <c r="G1540" t="inlineStr">
        <is>
          <t>1</t>
        </is>
      </c>
      <c r="H1540" t="inlineStr">
        <is>
          <t>No</t>
        </is>
      </c>
      <c r="I1540" t="inlineStr">
        <is>
          <t>No</t>
        </is>
      </c>
      <c r="J1540" t="inlineStr">
        <is>
          <t>0</t>
        </is>
      </c>
      <c r="K1540" t="inlineStr">
        <is>
          <t>Smith, Audrey D.</t>
        </is>
      </c>
      <c r="L1540" t="inlineStr">
        <is>
          <t>New York : Columbia University Press, 1986.</t>
        </is>
      </c>
      <c r="M1540" t="inlineStr">
        <is>
          <t>1985</t>
        </is>
      </c>
      <c r="O1540" t="inlineStr">
        <is>
          <t>eng</t>
        </is>
      </c>
      <c r="P1540" t="inlineStr">
        <is>
          <t>nyu</t>
        </is>
      </c>
      <c r="R1540" t="inlineStr">
        <is>
          <t xml:space="preserve">HQ </t>
        </is>
      </c>
      <c r="S1540" t="n">
        <v>12</v>
      </c>
      <c r="T1540" t="n">
        <v>12</v>
      </c>
      <c r="U1540" t="inlineStr">
        <is>
          <t>1999-04-17</t>
        </is>
      </c>
      <c r="V1540" t="inlineStr">
        <is>
          <t>1999-04-17</t>
        </is>
      </c>
      <c r="W1540" t="inlineStr">
        <is>
          <t>1992-02-12</t>
        </is>
      </c>
      <c r="X1540" t="inlineStr">
        <is>
          <t>1992-02-12</t>
        </is>
      </c>
      <c r="Y1540" t="n">
        <v>742</v>
      </c>
      <c r="Z1540" t="n">
        <v>660</v>
      </c>
      <c r="AA1540" t="n">
        <v>672</v>
      </c>
      <c r="AB1540" t="n">
        <v>4</v>
      </c>
      <c r="AC1540" t="n">
        <v>4</v>
      </c>
      <c r="AD1540" t="n">
        <v>25</v>
      </c>
      <c r="AE1540" t="n">
        <v>25</v>
      </c>
      <c r="AF1540" t="n">
        <v>12</v>
      </c>
      <c r="AG1540" t="n">
        <v>12</v>
      </c>
      <c r="AH1540" t="n">
        <v>6</v>
      </c>
      <c r="AI1540" t="n">
        <v>6</v>
      </c>
      <c r="AJ1540" t="n">
        <v>11</v>
      </c>
      <c r="AK1540" t="n">
        <v>11</v>
      </c>
      <c r="AL1540" t="n">
        <v>3</v>
      </c>
      <c r="AM1540" t="n">
        <v>3</v>
      </c>
      <c r="AN1540" t="n">
        <v>0</v>
      </c>
      <c r="AO1540" t="n">
        <v>0</v>
      </c>
      <c r="AP1540" t="inlineStr">
        <is>
          <t>No</t>
        </is>
      </c>
      <c r="AQ1540" t="inlineStr">
        <is>
          <t>No</t>
        </is>
      </c>
      <c r="AS1540">
        <f>HYPERLINK("https://creighton-primo.hosted.exlibrisgroup.com/primo-explore/search?tab=default_tab&amp;search_scope=EVERYTHING&amp;vid=01CRU&amp;lang=en_US&amp;offset=0&amp;query=any,contains,991000626159702656","Catalog Record")</f>
        <v/>
      </c>
      <c r="AT1540">
        <f>HYPERLINK("http://www.worldcat.org/oclc/12022753","WorldCat Record")</f>
        <v/>
      </c>
      <c r="AU1540" t="inlineStr">
        <is>
          <t>1061358:eng</t>
        </is>
      </c>
      <c r="AV1540" t="inlineStr">
        <is>
          <t>12022753</t>
        </is>
      </c>
      <c r="AW1540" t="inlineStr">
        <is>
          <t>991000626159702656</t>
        </is>
      </c>
      <c r="AX1540" t="inlineStr">
        <is>
          <t>991000626159702656</t>
        </is>
      </c>
      <c r="AY1540" t="inlineStr">
        <is>
          <t>2271873300002656</t>
        </is>
      </c>
      <c r="AZ1540" t="inlineStr">
        <is>
          <t>BOOK</t>
        </is>
      </c>
      <c r="BB1540" t="inlineStr">
        <is>
          <t>9780231061100</t>
        </is>
      </c>
      <c r="BC1540" t="inlineStr">
        <is>
          <t>32285000958115</t>
        </is>
      </c>
      <c r="BD1540" t="inlineStr">
        <is>
          <t>893502652</t>
        </is>
      </c>
    </row>
    <row r="1541">
      <c r="A1541" t="inlineStr">
        <is>
          <t>No</t>
        </is>
      </c>
      <c r="B1541" t="inlineStr">
        <is>
          <t>HQ536 .S67 1988</t>
        </is>
      </c>
      <c r="C1541" t="inlineStr">
        <is>
          <t>0                      HQ 0536000S  67          1988</t>
        </is>
      </c>
      <c r="D1541" t="inlineStr">
        <is>
          <t>Social stress and family development / edited by David M. Klein, Joan Aldous.</t>
        </is>
      </c>
      <c r="F1541" t="inlineStr">
        <is>
          <t>No</t>
        </is>
      </c>
      <c r="G1541" t="inlineStr">
        <is>
          <t>1</t>
        </is>
      </c>
      <c r="H1541" t="inlineStr">
        <is>
          <t>No</t>
        </is>
      </c>
      <c r="I1541" t="inlineStr">
        <is>
          <t>No</t>
        </is>
      </c>
      <c r="J1541" t="inlineStr">
        <is>
          <t>0</t>
        </is>
      </c>
      <c r="L1541" t="inlineStr">
        <is>
          <t>New York : Guilford Press, c1988.</t>
        </is>
      </c>
      <c r="M1541" t="inlineStr">
        <is>
          <t>1988</t>
        </is>
      </c>
      <c r="O1541" t="inlineStr">
        <is>
          <t>eng</t>
        </is>
      </c>
      <c r="P1541" t="inlineStr">
        <is>
          <t>nyu</t>
        </is>
      </c>
      <c r="R1541" t="inlineStr">
        <is>
          <t xml:space="preserve">HQ </t>
        </is>
      </c>
      <c r="S1541" t="n">
        <v>13</v>
      </c>
      <c r="T1541" t="n">
        <v>13</v>
      </c>
      <c r="U1541" t="inlineStr">
        <is>
          <t>1997-03-22</t>
        </is>
      </c>
      <c r="V1541" t="inlineStr">
        <is>
          <t>1997-03-22</t>
        </is>
      </c>
      <c r="W1541" t="inlineStr">
        <is>
          <t>1989-10-24</t>
        </is>
      </c>
      <c r="X1541" t="inlineStr">
        <is>
          <t>1989-10-24</t>
        </is>
      </c>
      <c r="Y1541" t="n">
        <v>469</v>
      </c>
      <c r="Z1541" t="n">
        <v>376</v>
      </c>
      <c r="AA1541" t="n">
        <v>377</v>
      </c>
      <c r="AB1541" t="n">
        <v>5</v>
      </c>
      <c r="AC1541" t="n">
        <v>5</v>
      </c>
      <c r="AD1541" t="n">
        <v>14</v>
      </c>
      <c r="AE1541" t="n">
        <v>14</v>
      </c>
      <c r="AF1541" t="n">
        <v>5</v>
      </c>
      <c r="AG1541" t="n">
        <v>5</v>
      </c>
      <c r="AH1541" t="n">
        <v>4</v>
      </c>
      <c r="AI1541" t="n">
        <v>4</v>
      </c>
      <c r="AJ1541" t="n">
        <v>6</v>
      </c>
      <c r="AK1541" t="n">
        <v>6</v>
      </c>
      <c r="AL1541" t="n">
        <v>4</v>
      </c>
      <c r="AM1541" t="n">
        <v>4</v>
      </c>
      <c r="AN1541" t="n">
        <v>0</v>
      </c>
      <c r="AO1541" t="n">
        <v>0</v>
      </c>
      <c r="AP1541" t="inlineStr">
        <is>
          <t>No</t>
        </is>
      </c>
      <c r="AQ1541" t="inlineStr">
        <is>
          <t>No</t>
        </is>
      </c>
      <c r="AS1541">
        <f>HYPERLINK("https://creighton-primo.hosted.exlibrisgroup.com/primo-explore/search?tab=default_tab&amp;search_scope=EVERYTHING&amp;vid=01CRU&amp;lang=en_US&amp;offset=0&amp;query=any,contains,991001157019702656","Catalog Record")</f>
        <v/>
      </c>
      <c r="AT1541">
        <f>HYPERLINK("http://www.worldcat.org/oclc/16867568","WorldCat Record")</f>
        <v/>
      </c>
      <c r="AU1541" t="inlineStr">
        <is>
          <t>431012375:eng</t>
        </is>
      </c>
      <c r="AV1541" t="inlineStr">
        <is>
          <t>16867568</t>
        </is>
      </c>
      <c r="AW1541" t="inlineStr">
        <is>
          <t>991001157019702656</t>
        </is>
      </c>
      <c r="AX1541" t="inlineStr">
        <is>
          <t>991001157019702656</t>
        </is>
      </c>
      <c r="AY1541" t="inlineStr">
        <is>
          <t>2256177690002656</t>
        </is>
      </c>
      <c r="AZ1541" t="inlineStr">
        <is>
          <t>BOOK</t>
        </is>
      </c>
      <c r="BB1541" t="inlineStr">
        <is>
          <t>9780898620795</t>
        </is>
      </c>
      <c r="BC1541" t="inlineStr">
        <is>
          <t>32285000004845</t>
        </is>
      </c>
      <c r="BD1541" t="inlineStr">
        <is>
          <t>893426371</t>
        </is>
      </c>
    </row>
    <row r="1542">
      <c r="A1542" t="inlineStr">
        <is>
          <t>No</t>
        </is>
      </c>
      <c r="B1542" t="inlineStr">
        <is>
          <t>HQ536 .S718 1996</t>
        </is>
      </c>
      <c r="C1542" t="inlineStr">
        <is>
          <t>0                      HQ 0536000S  718         1996</t>
        </is>
      </c>
      <c r="D1542" t="inlineStr">
        <is>
          <t>In the name of the family : rethinking family values in the postmodern age / Judith Stacey.</t>
        </is>
      </c>
      <c r="F1542" t="inlineStr">
        <is>
          <t>No</t>
        </is>
      </c>
      <c r="G1542" t="inlineStr">
        <is>
          <t>1</t>
        </is>
      </c>
      <c r="H1542" t="inlineStr">
        <is>
          <t>No</t>
        </is>
      </c>
      <c r="I1542" t="inlineStr">
        <is>
          <t>No</t>
        </is>
      </c>
      <c r="J1542" t="inlineStr">
        <is>
          <t>0</t>
        </is>
      </c>
      <c r="K1542" t="inlineStr">
        <is>
          <t>Stacey, Judith.</t>
        </is>
      </c>
      <c r="L1542" t="inlineStr">
        <is>
          <t>Boston : Beacon Press, c1996.</t>
        </is>
      </c>
      <c r="M1542" t="inlineStr">
        <is>
          <t>1996</t>
        </is>
      </c>
      <c r="O1542" t="inlineStr">
        <is>
          <t>eng</t>
        </is>
      </c>
      <c r="P1542" t="inlineStr">
        <is>
          <t>mau</t>
        </is>
      </c>
      <c r="R1542" t="inlineStr">
        <is>
          <t xml:space="preserve">HQ </t>
        </is>
      </c>
      <c r="S1542" t="n">
        <v>11</v>
      </c>
      <c r="T1542" t="n">
        <v>11</v>
      </c>
      <c r="U1542" t="inlineStr">
        <is>
          <t>2005-09-14</t>
        </is>
      </c>
      <c r="V1542" t="inlineStr">
        <is>
          <t>2005-09-14</t>
        </is>
      </c>
      <c r="W1542" t="inlineStr">
        <is>
          <t>1996-09-23</t>
        </is>
      </c>
      <c r="X1542" t="inlineStr">
        <is>
          <t>1996-09-23</t>
        </is>
      </c>
      <c r="Y1542" t="n">
        <v>707</v>
      </c>
      <c r="Z1542" t="n">
        <v>610</v>
      </c>
      <c r="AA1542" t="n">
        <v>1066</v>
      </c>
      <c r="AB1542" t="n">
        <v>5</v>
      </c>
      <c r="AC1542" t="n">
        <v>5</v>
      </c>
      <c r="AD1542" t="n">
        <v>32</v>
      </c>
      <c r="AE1542" t="n">
        <v>36</v>
      </c>
      <c r="AF1542" t="n">
        <v>13</v>
      </c>
      <c r="AG1542" t="n">
        <v>15</v>
      </c>
      <c r="AH1542" t="n">
        <v>7</v>
      </c>
      <c r="AI1542" t="n">
        <v>9</v>
      </c>
      <c r="AJ1542" t="n">
        <v>17</v>
      </c>
      <c r="AK1542" t="n">
        <v>18</v>
      </c>
      <c r="AL1542" t="n">
        <v>4</v>
      </c>
      <c r="AM1542" t="n">
        <v>4</v>
      </c>
      <c r="AN1542" t="n">
        <v>1</v>
      </c>
      <c r="AO1542" t="n">
        <v>1</v>
      </c>
      <c r="AP1542" t="inlineStr">
        <is>
          <t>No</t>
        </is>
      </c>
      <c r="AQ1542" t="inlineStr">
        <is>
          <t>Yes</t>
        </is>
      </c>
      <c r="AR1542">
        <f>HYPERLINK("http://catalog.hathitrust.org/Record/003110445","HathiTrust Record")</f>
        <v/>
      </c>
      <c r="AS1542">
        <f>HYPERLINK("https://creighton-primo.hosted.exlibrisgroup.com/primo-explore/search?tab=default_tab&amp;search_scope=EVERYTHING&amp;vid=01CRU&amp;lang=en_US&amp;offset=0&amp;query=any,contains,991002635159702656","Catalog Record")</f>
        <v/>
      </c>
      <c r="AT1542">
        <f>HYPERLINK("http://www.worldcat.org/oclc/34517596","WorldCat Record")</f>
        <v/>
      </c>
      <c r="AU1542" t="inlineStr">
        <is>
          <t>35686556:eng</t>
        </is>
      </c>
      <c r="AV1542" t="inlineStr">
        <is>
          <t>34517596</t>
        </is>
      </c>
      <c r="AW1542" t="inlineStr">
        <is>
          <t>991002635159702656</t>
        </is>
      </c>
      <c r="AX1542" t="inlineStr">
        <is>
          <t>991002635159702656</t>
        </is>
      </c>
      <c r="AY1542" t="inlineStr">
        <is>
          <t>2271314950002656</t>
        </is>
      </c>
      <c r="AZ1542" t="inlineStr">
        <is>
          <t>BOOK</t>
        </is>
      </c>
      <c r="BB1542" t="inlineStr">
        <is>
          <t>9780807004326</t>
        </is>
      </c>
      <c r="BC1542" t="inlineStr">
        <is>
          <t>32285002318110</t>
        </is>
      </c>
      <c r="BD1542" t="inlineStr">
        <is>
          <t>893440341</t>
        </is>
      </c>
    </row>
    <row r="1543">
      <c r="A1543" t="inlineStr">
        <is>
          <t>No</t>
        </is>
      </c>
      <c r="B1543" t="inlineStr">
        <is>
          <t>HQ536 .S727 1999</t>
        </is>
      </c>
      <c r="C1543" t="inlineStr">
        <is>
          <t>0                      HQ 0536000S  727         1999</t>
        </is>
      </c>
      <c r="D1543" t="inlineStr">
        <is>
          <t>Statistical handbook on the American family / edited by Bruce A. Chadwick and Tim B. Heaton.</t>
        </is>
      </c>
      <c r="F1543" t="inlineStr">
        <is>
          <t>No</t>
        </is>
      </c>
      <c r="G1543" t="inlineStr">
        <is>
          <t>1</t>
        </is>
      </c>
      <c r="H1543" t="inlineStr">
        <is>
          <t>Yes</t>
        </is>
      </c>
      <c r="I1543" t="inlineStr">
        <is>
          <t>No</t>
        </is>
      </c>
      <c r="J1543" t="inlineStr">
        <is>
          <t>0</t>
        </is>
      </c>
      <c r="L1543" t="inlineStr">
        <is>
          <t>Phoenix, Ariz. : Oryx Press, 1999.</t>
        </is>
      </c>
      <c r="M1543" t="inlineStr">
        <is>
          <t>1999</t>
        </is>
      </c>
      <c r="N1543" t="inlineStr">
        <is>
          <t>2nd ed.</t>
        </is>
      </c>
      <c r="O1543" t="inlineStr">
        <is>
          <t>eng</t>
        </is>
      </c>
      <c r="P1543" t="inlineStr">
        <is>
          <t>azu</t>
        </is>
      </c>
      <c r="R1543" t="inlineStr">
        <is>
          <t xml:space="preserve">HQ </t>
        </is>
      </c>
      <c r="S1543" t="n">
        <v>3</v>
      </c>
      <c r="T1543" t="n">
        <v>7</v>
      </c>
      <c r="V1543" t="inlineStr">
        <is>
          <t>2007-08-30</t>
        </is>
      </c>
      <c r="W1543" t="inlineStr">
        <is>
          <t>2000-07-06</t>
        </is>
      </c>
      <c r="X1543" t="inlineStr">
        <is>
          <t>2000-07-06</t>
        </is>
      </c>
      <c r="Y1543" t="n">
        <v>704</v>
      </c>
      <c r="Z1543" t="n">
        <v>664</v>
      </c>
      <c r="AA1543" t="n">
        <v>1054</v>
      </c>
      <c r="AB1543" t="n">
        <v>4</v>
      </c>
      <c r="AC1543" t="n">
        <v>8</v>
      </c>
      <c r="AD1543" t="n">
        <v>24</v>
      </c>
      <c r="AE1543" t="n">
        <v>37</v>
      </c>
      <c r="AF1543" t="n">
        <v>9</v>
      </c>
      <c r="AG1543" t="n">
        <v>13</v>
      </c>
      <c r="AH1543" t="n">
        <v>6</v>
      </c>
      <c r="AI1543" t="n">
        <v>7</v>
      </c>
      <c r="AJ1543" t="n">
        <v>11</v>
      </c>
      <c r="AK1543" t="n">
        <v>14</v>
      </c>
      <c r="AL1543" t="n">
        <v>2</v>
      </c>
      <c r="AM1543" t="n">
        <v>5</v>
      </c>
      <c r="AN1543" t="n">
        <v>1</v>
      </c>
      <c r="AO1543" t="n">
        <v>4</v>
      </c>
      <c r="AP1543" t="inlineStr">
        <is>
          <t>No</t>
        </is>
      </c>
      <c r="AQ1543" t="inlineStr">
        <is>
          <t>Yes</t>
        </is>
      </c>
      <c r="AR1543">
        <f>HYPERLINK("http://catalog.hathitrust.org/Record/004062322","HathiTrust Record")</f>
        <v/>
      </c>
      <c r="AS1543">
        <f>HYPERLINK("https://creighton-primo.hosted.exlibrisgroup.com/primo-explore/search?tab=default_tab&amp;search_scope=EVERYTHING&amp;vid=01CRU&amp;lang=en_US&amp;offset=0&amp;query=any,contains,991001682389702656","Catalog Record")</f>
        <v/>
      </c>
      <c r="AT1543">
        <f>HYPERLINK("http://www.worldcat.org/oclc/40158896","WorldCat Record")</f>
        <v/>
      </c>
      <c r="AU1543" t="inlineStr">
        <is>
          <t>351022457:eng</t>
        </is>
      </c>
      <c r="AV1543" t="inlineStr">
        <is>
          <t>40158896</t>
        </is>
      </c>
      <c r="AW1543" t="inlineStr">
        <is>
          <t>991001682389702656</t>
        </is>
      </c>
      <c r="AX1543" t="inlineStr">
        <is>
          <t>991001682389702656</t>
        </is>
      </c>
      <c r="AY1543" t="inlineStr">
        <is>
          <t>2259789540002656</t>
        </is>
      </c>
      <c r="AZ1543" t="inlineStr">
        <is>
          <t>BOOK</t>
        </is>
      </c>
      <c r="BB1543" t="inlineStr">
        <is>
          <t>9781573561693</t>
        </is>
      </c>
      <c r="BC1543" t="inlineStr">
        <is>
          <t>32285003713988</t>
        </is>
      </c>
      <c r="BD1543" t="inlineStr">
        <is>
          <t>893315960</t>
        </is>
      </c>
    </row>
    <row r="1544">
      <c r="A1544" t="inlineStr">
        <is>
          <t>No</t>
        </is>
      </c>
      <c r="B1544" t="inlineStr">
        <is>
          <t>HQ536 .S74</t>
        </is>
      </c>
      <c r="C1544" t="inlineStr">
        <is>
          <t>0                      HQ 0536000S  74</t>
        </is>
      </c>
      <c r="D1544" t="inlineStr">
        <is>
          <t>The futility of family policy / Gilbert Y. Steiner.</t>
        </is>
      </c>
      <c r="F1544" t="inlineStr">
        <is>
          <t>No</t>
        </is>
      </c>
      <c r="G1544" t="inlineStr">
        <is>
          <t>1</t>
        </is>
      </c>
      <c r="H1544" t="inlineStr">
        <is>
          <t>No</t>
        </is>
      </c>
      <c r="I1544" t="inlineStr">
        <is>
          <t>No</t>
        </is>
      </c>
      <c r="J1544" t="inlineStr">
        <is>
          <t>0</t>
        </is>
      </c>
      <c r="K1544" t="inlineStr">
        <is>
          <t>Steiner, Gilbert Y. (Gilbert Yale), 1924-2006.</t>
        </is>
      </c>
      <c r="L1544" t="inlineStr">
        <is>
          <t>Washington, D.C. : Brookings Institution, c1981.</t>
        </is>
      </c>
      <c r="M1544" t="inlineStr">
        <is>
          <t>1981</t>
        </is>
      </c>
      <c r="O1544" t="inlineStr">
        <is>
          <t>eng</t>
        </is>
      </c>
      <c r="P1544" t="inlineStr">
        <is>
          <t>dcu</t>
        </is>
      </c>
      <c r="R1544" t="inlineStr">
        <is>
          <t xml:space="preserve">HQ </t>
        </is>
      </c>
      <c r="S1544" t="n">
        <v>4</v>
      </c>
      <c r="T1544" t="n">
        <v>4</v>
      </c>
      <c r="U1544" t="inlineStr">
        <is>
          <t>1997-09-03</t>
        </is>
      </c>
      <c r="V1544" t="inlineStr">
        <is>
          <t>1997-09-03</t>
        </is>
      </c>
      <c r="W1544" t="inlineStr">
        <is>
          <t>1992-10-29</t>
        </is>
      </c>
      <c r="X1544" t="inlineStr">
        <is>
          <t>1992-10-29</t>
        </is>
      </c>
      <c r="Y1544" t="n">
        <v>863</v>
      </c>
      <c r="Z1544" t="n">
        <v>757</v>
      </c>
      <c r="AA1544" t="n">
        <v>771</v>
      </c>
      <c r="AB1544" t="n">
        <v>6</v>
      </c>
      <c r="AC1544" t="n">
        <v>6</v>
      </c>
      <c r="AD1544" t="n">
        <v>33</v>
      </c>
      <c r="AE1544" t="n">
        <v>34</v>
      </c>
      <c r="AF1544" t="n">
        <v>11</v>
      </c>
      <c r="AG1544" t="n">
        <v>12</v>
      </c>
      <c r="AH1544" t="n">
        <v>8</v>
      </c>
      <c r="AI1544" t="n">
        <v>8</v>
      </c>
      <c r="AJ1544" t="n">
        <v>17</v>
      </c>
      <c r="AK1544" t="n">
        <v>17</v>
      </c>
      <c r="AL1544" t="n">
        <v>4</v>
      </c>
      <c r="AM1544" t="n">
        <v>4</v>
      </c>
      <c r="AN1544" t="n">
        <v>4</v>
      </c>
      <c r="AO1544" t="n">
        <v>4</v>
      </c>
      <c r="AP1544" t="inlineStr">
        <is>
          <t>No</t>
        </is>
      </c>
      <c r="AQ1544" t="inlineStr">
        <is>
          <t>Yes</t>
        </is>
      </c>
      <c r="AR1544">
        <f>HYPERLINK("http://catalog.hathitrust.org/Record/000736411","HathiTrust Record")</f>
        <v/>
      </c>
      <c r="AS1544">
        <f>HYPERLINK("https://creighton-primo.hosted.exlibrisgroup.com/primo-explore/search?tab=default_tab&amp;search_scope=EVERYTHING&amp;vid=01CRU&amp;lang=en_US&amp;offset=0&amp;query=any,contains,991005063209702656","Catalog Record")</f>
        <v/>
      </c>
      <c r="AT1544">
        <f>HYPERLINK("http://www.worldcat.org/oclc/6941668","WorldCat Record")</f>
        <v/>
      </c>
      <c r="AU1544" t="inlineStr">
        <is>
          <t>48598795:eng</t>
        </is>
      </c>
      <c r="AV1544" t="inlineStr">
        <is>
          <t>6941668</t>
        </is>
      </c>
      <c r="AW1544" t="inlineStr">
        <is>
          <t>991005063209702656</t>
        </is>
      </c>
      <c r="AX1544" t="inlineStr">
        <is>
          <t>991005063209702656</t>
        </is>
      </c>
      <c r="AY1544" t="inlineStr">
        <is>
          <t>2258193020002656</t>
        </is>
      </c>
      <c r="AZ1544" t="inlineStr">
        <is>
          <t>BOOK</t>
        </is>
      </c>
      <c r="BB1544" t="inlineStr">
        <is>
          <t>9780815781233</t>
        </is>
      </c>
      <c r="BC1544" t="inlineStr">
        <is>
          <t>32285001358893</t>
        </is>
      </c>
      <c r="BD1544" t="inlineStr">
        <is>
          <t>893613061</t>
        </is>
      </c>
    </row>
    <row r="1545">
      <c r="A1545" t="inlineStr">
        <is>
          <t>No</t>
        </is>
      </c>
      <c r="B1545" t="inlineStr">
        <is>
          <t>HQ536 .S765 1985</t>
        </is>
      </c>
      <c r="C1545" t="inlineStr">
        <is>
          <t>0                      HQ 0536000S  765         1985</t>
        </is>
      </c>
      <c r="D1545" t="inlineStr">
        <is>
          <t>Secrets of strong families / Nick Stinnett, John DeFrain.</t>
        </is>
      </c>
      <c r="F1545" t="inlineStr">
        <is>
          <t>No</t>
        </is>
      </c>
      <c r="G1545" t="inlineStr">
        <is>
          <t>1</t>
        </is>
      </c>
      <c r="H1545" t="inlineStr">
        <is>
          <t>No</t>
        </is>
      </c>
      <c r="I1545" t="inlineStr">
        <is>
          <t>No</t>
        </is>
      </c>
      <c r="J1545" t="inlineStr">
        <is>
          <t>0</t>
        </is>
      </c>
      <c r="K1545" t="inlineStr">
        <is>
          <t>Stinnett, Nick.</t>
        </is>
      </c>
      <c r="L1545" t="inlineStr">
        <is>
          <t>Boston : Little, Brown, c1985.</t>
        </is>
      </c>
      <c r="M1545" t="inlineStr">
        <is>
          <t>1985</t>
        </is>
      </c>
      <c r="N1545" t="inlineStr">
        <is>
          <t>1st ed.</t>
        </is>
      </c>
      <c r="O1545" t="inlineStr">
        <is>
          <t>eng</t>
        </is>
      </c>
      <c r="P1545" t="inlineStr">
        <is>
          <t>mau</t>
        </is>
      </c>
      <c r="R1545" t="inlineStr">
        <is>
          <t xml:space="preserve">HQ </t>
        </is>
      </c>
      <c r="S1545" t="n">
        <v>15</v>
      </c>
      <c r="T1545" t="n">
        <v>15</v>
      </c>
      <c r="U1545" t="inlineStr">
        <is>
          <t>1995-11-26</t>
        </is>
      </c>
      <c r="V1545" t="inlineStr">
        <is>
          <t>1995-11-26</t>
        </is>
      </c>
      <c r="W1545" t="inlineStr">
        <is>
          <t>1992-12-14</t>
        </is>
      </c>
      <c r="X1545" t="inlineStr">
        <is>
          <t>1992-12-14</t>
        </is>
      </c>
      <c r="Y1545" t="n">
        <v>466</v>
      </c>
      <c r="Z1545" t="n">
        <v>442</v>
      </c>
      <c r="AA1545" t="n">
        <v>485</v>
      </c>
      <c r="AB1545" t="n">
        <v>7</v>
      </c>
      <c r="AC1545" t="n">
        <v>8</v>
      </c>
      <c r="AD1545" t="n">
        <v>11</v>
      </c>
      <c r="AE1545" t="n">
        <v>12</v>
      </c>
      <c r="AF1545" t="n">
        <v>4</v>
      </c>
      <c r="AG1545" t="n">
        <v>4</v>
      </c>
      <c r="AH1545" t="n">
        <v>0</v>
      </c>
      <c r="AI1545" t="n">
        <v>0</v>
      </c>
      <c r="AJ1545" t="n">
        <v>7</v>
      </c>
      <c r="AK1545" t="n">
        <v>7</v>
      </c>
      <c r="AL1545" t="n">
        <v>2</v>
      </c>
      <c r="AM1545" t="n">
        <v>3</v>
      </c>
      <c r="AN1545" t="n">
        <v>0</v>
      </c>
      <c r="AO1545" t="n">
        <v>0</v>
      </c>
      <c r="AP1545" t="inlineStr">
        <is>
          <t>No</t>
        </is>
      </c>
      <c r="AQ1545" t="inlineStr">
        <is>
          <t>No</t>
        </is>
      </c>
      <c r="AS1545">
        <f>HYPERLINK("https://creighton-primo.hosted.exlibrisgroup.com/primo-explore/search?tab=default_tab&amp;search_scope=EVERYTHING&amp;vid=01CRU&amp;lang=en_US&amp;offset=0&amp;query=any,contains,991000706809702656","Catalog Record")</f>
        <v/>
      </c>
      <c r="AT1545">
        <f>HYPERLINK("http://www.worldcat.org/oclc/12557629","WorldCat Record")</f>
        <v/>
      </c>
      <c r="AU1545" t="inlineStr">
        <is>
          <t>4936471:eng</t>
        </is>
      </c>
      <c r="AV1545" t="inlineStr">
        <is>
          <t>12557629</t>
        </is>
      </c>
      <c r="AW1545" t="inlineStr">
        <is>
          <t>991000706809702656</t>
        </is>
      </c>
      <c r="AX1545" t="inlineStr">
        <is>
          <t>991000706809702656</t>
        </is>
      </c>
      <c r="AY1545" t="inlineStr">
        <is>
          <t>2255259920002656</t>
        </is>
      </c>
      <c r="AZ1545" t="inlineStr">
        <is>
          <t>BOOK</t>
        </is>
      </c>
      <c r="BB1545" t="inlineStr">
        <is>
          <t>9780316816304</t>
        </is>
      </c>
      <c r="BC1545" t="inlineStr">
        <is>
          <t>32285001426997</t>
        </is>
      </c>
      <c r="BD1545" t="inlineStr">
        <is>
          <t>893808793</t>
        </is>
      </c>
    </row>
    <row r="1546">
      <c r="A1546" t="inlineStr">
        <is>
          <t>No</t>
        </is>
      </c>
      <c r="B1546" t="inlineStr">
        <is>
          <t>HQ536 .T35 1999</t>
        </is>
      </c>
      <c r="C1546" t="inlineStr">
        <is>
          <t>0                      HQ 0536000T  35          1999</t>
        </is>
      </c>
      <c r="D1546" t="inlineStr">
        <is>
          <t>Taking sides. Clashing views on controversial issues in family and personal relationships / edited and selected by Ann Vail.</t>
        </is>
      </c>
      <c r="F1546" t="inlineStr">
        <is>
          <t>No</t>
        </is>
      </c>
      <c r="G1546" t="inlineStr">
        <is>
          <t>1</t>
        </is>
      </c>
      <c r="H1546" t="inlineStr">
        <is>
          <t>No</t>
        </is>
      </c>
      <c r="I1546" t="inlineStr">
        <is>
          <t>No</t>
        </is>
      </c>
      <c r="J1546" t="inlineStr">
        <is>
          <t>0</t>
        </is>
      </c>
      <c r="L1546" t="inlineStr">
        <is>
          <t>Guilford, Conn. : Dushkin/McGraw Hill, c1999.</t>
        </is>
      </c>
      <c r="M1546" t="inlineStr">
        <is>
          <t>1999</t>
        </is>
      </c>
      <c r="N1546" t="inlineStr">
        <is>
          <t>4th ed.</t>
        </is>
      </c>
      <c r="O1546" t="inlineStr">
        <is>
          <t>eng</t>
        </is>
      </c>
      <c r="P1546" t="inlineStr">
        <is>
          <t>ctu</t>
        </is>
      </c>
      <c r="R1546" t="inlineStr">
        <is>
          <t xml:space="preserve">HQ </t>
        </is>
      </c>
      <c r="S1546" t="n">
        <v>1</v>
      </c>
      <c r="T1546" t="n">
        <v>1</v>
      </c>
      <c r="U1546" t="inlineStr">
        <is>
          <t>2010-11-10</t>
        </is>
      </c>
      <c r="V1546" t="inlineStr">
        <is>
          <t>2010-11-10</t>
        </is>
      </c>
      <c r="W1546" t="inlineStr">
        <is>
          <t>2010-11-10</t>
        </is>
      </c>
      <c r="X1546" t="inlineStr">
        <is>
          <t>2010-11-10</t>
        </is>
      </c>
      <c r="Y1546" t="n">
        <v>105</v>
      </c>
      <c r="Z1546" t="n">
        <v>95</v>
      </c>
      <c r="AA1546" t="n">
        <v>117</v>
      </c>
      <c r="AB1546" t="n">
        <v>1</v>
      </c>
      <c r="AC1546" t="n">
        <v>1</v>
      </c>
      <c r="AD1546" t="n">
        <v>3</v>
      </c>
      <c r="AE1546" t="n">
        <v>3</v>
      </c>
      <c r="AF1546" t="n">
        <v>3</v>
      </c>
      <c r="AG1546" t="n">
        <v>3</v>
      </c>
      <c r="AH1546" t="n">
        <v>0</v>
      </c>
      <c r="AI1546" t="n">
        <v>0</v>
      </c>
      <c r="AJ1546" t="n">
        <v>2</v>
      </c>
      <c r="AK1546" t="n">
        <v>2</v>
      </c>
      <c r="AL1546" t="n">
        <v>0</v>
      </c>
      <c r="AM1546" t="n">
        <v>0</v>
      </c>
      <c r="AN1546" t="n">
        <v>0</v>
      </c>
      <c r="AO1546" t="n">
        <v>0</v>
      </c>
      <c r="AP1546" t="inlineStr">
        <is>
          <t>No</t>
        </is>
      </c>
      <c r="AQ1546" t="inlineStr">
        <is>
          <t>No</t>
        </is>
      </c>
      <c r="AS1546">
        <f>HYPERLINK("https://creighton-primo.hosted.exlibrisgroup.com/primo-explore/search?tab=default_tab&amp;search_scope=EVERYTHING&amp;vid=01CRU&amp;lang=en_US&amp;offset=0&amp;query=any,contains,991000221459702656","Catalog Record")</f>
        <v/>
      </c>
      <c r="AT1546">
        <f>HYPERLINK("http://www.worldcat.org/oclc/40618321","WorldCat Record")</f>
        <v/>
      </c>
      <c r="AU1546" t="inlineStr">
        <is>
          <t>1909883663:eng</t>
        </is>
      </c>
      <c r="AV1546" t="inlineStr">
        <is>
          <t>40618321</t>
        </is>
      </c>
      <c r="AW1546" t="inlineStr">
        <is>
          <t>991000221459702656</t>
        </is>
      </c>
      <c r="AX1546" t="inlineStr">
        <is>
          <t>991000221459702656</t>
        </is>
      </c>
      <c r="AY1546" t="inlineStr">
        <is>
          <t>2271461740002656</t>
        </is>
      </c>
      <c r="AZ1546" t="inlineStr">
        <is>
          <t>BOOK</t>
        </is>
      </c>
      <c r="BB1546" t="inlineStr">
        <is>
          <t>9780072927160</t>
        </is>
      </c>
      <c r="BC1546" t="inlineStr">
        <is>
          <t>32285005605836</t>
        </is>
      </c>
      <c r="BD1546" t="inlineStr">
        <is>
          <t>893614029</t>
        </is>
      </c>
    </row>
    <row r="1547">
      <c r="A1547" t="inlineStr">
        <is>
          <t>No</t>
        </is>
      </c>
      <c r="B1547" t="inlineStr">
        <is>
          <t>HQ536 .T45</t>
        </is>
      </c>
      <c r="C1547" t="inlineStr">
        <is>
          <t>0                      HQ 0536000T  45</t>
        </is>
      </c>
      <c r="D1547" t="inlineStr">
        <is>
          <t>The American Catholic family.</t>
        </is>
      </c>
      <c r="F1547" t="inlineStr">
        <is>
          <t>No</t>
        </is>
      </c>
      <c r="G1547" t="inlineStr">
        <is>
          <t>1</t>
        </is>
      </c>
      <c r="H1547" t="inlineStr">
        <is>
          <t>Yes</t>
        </is>
      </c>
      <c r="I1547" t="inlineStr">
        <is>
          <t>No</t>
        </is>
      </c>
      <c r="J1547" t="inlineStr">
        <is>
          <t>0</t>
        </is>
      </c>
      <c r="K1547" t="inlineStr">
        <is>
          <t>Thomas, John L. (John Lawrence), 1910-</t>
        </is>
      </c>
      <c r="L1547" t="inlineStr">
        <is>
          <t>Englewood Cliffs, N.J. : Prentice-Hall, 1956.</t>
        </is>
      </c>
      <c r="M1547" t="inlineStr">
        <is>
          <t>1956</t>
        </is>
      </c>
      <c r="O1547" t="inlineStr">
        <is>
          <t>eng</t>
        </is>
      </c>
      <c r="P1547" t="inlineStr">
        <is>
          <t>nju</t>
        </is>
      </c>
      <c r="Q1547" t="inlineStr">
        <is>
          <t>Prentice-Hall sociology series</t>
        </is>
      </c>
      <c r="R1547" t="inlineStr">
        <is>
          <t xml:space="preserve">HQ </t>
        </is>
      </c>
      <c r="S1547" t="n">
        <v>1</v>
      </c>
      <c r="T1547" t="n">
        <v>1</v>
      </c>
      <c r="U1547" t="inlineStr">
        <is>
          <t>1995-03-23</t>
        </is>
      </c>
      <c r="V1547" t="inlineStr">
        <is>
          <t>1995-03-23</t>
        </is>
      </c>
      <c r="W1547" t="inlineStr">
        <is>
          <t>1991-10-31</t>
        </is>
      </c>
      <c r="X1547" t="inlineStr">
        <is>
          <t>1992-07-20</t>
        </is>
      </c>
      <c r="Y1547" t="n">
        <v>523</v>
      </c>
      <c r="Z1547" t="n">
        <v>487</v>
      </c>
      <c r="AA1547" t="n">
        <v>528</v>
      </c>
      <c r="AB1547" t="n">
        <v>8</v>
      </c>
      <c r="AC1547" t="n">
        <v>8</v>
      </c>
      <c r="AD1547" t="n">
        <v>37</v>
      </c>
      <c r="AE1547" t="n">
        <v>37</v>
      </c>
      <c r="AF1547" t="n">
        <v>13</v>
      </c>
      <c r="AG1547" t="n">
        <v>13</v>
      </c>
      <c r="AH1547" t="n">
        <v>7</v>
      </c>
      <c r="AI1547" t="n">
        <v>7</v>
      </c>
      <c r="AJ1547" t="n">
        <v>23</v>
      </c>
      <c r="AK1547" t="n">
        <v>23</v>
      </c>
      <c r="AL1547" t="n">
        <v>4</v>
      </c>
      <c r="AM1547" t="n">
        <v>4</v>
      </c>
      <c r="AN1547" t="n">
        <v>1</v>
      </c>
      <c r="AO1547" t="n">
        <v>1</v>
      </c>
      <c r="AP1547" t="inlineStr">
        <is>
          <t>No</t>
        </is>
      </c>
      <c r="AQ1547" t="inlineStr">
        <is>
          <t>Yes</t>
        </is>
      </c>
      <c r="AR1547">
        <f>HYPERLINK("http://catalog.hathitrust.org/Record/001109927","HathiTrust Record")</f>
        <v/>
      </c>
      <c r="AS1547">
        <f>HYPERLINK("https://creighton-primo.hosted.exlibrisgroup.com/primo-explore/search?tab=default_tab&amp;search_scope=EVERYTHING&amp;vid=01CRU&amp;lang=en_US&amp;offset=0&amp;query=any,contains,991001685769702656","Catalog Record")</f>
        <v/>
      </c>
      <c r="AT1547">
        <f>HYPERLINK("http://www.worldcat.org/oclc/873472","WorldCat Record")</f>
        <v/>
      </c>
      <c r="AU1547" t="inlineStr">
        <is>
          <t>1845648:eng</t>
        </is>
      </c>
      <c r="AV1547" t="inlineStr">
        <is>
          <t>873472</t>
        </is>
      </c>
      <c r="AW1547" t="inlineStr">
        <is>
          <t>991001685769702656</t>
        </is>
      </c>
      <c r="AX1547" t="inlineStr">
        <is>
          <t>991001685769702656</t>
        </is>
      </c>
      <c r="AY1547" t="inlineStr">
        <is>
          <t>2261952220002656</t>
        </is>
      </c>
      <c r="AZ1547" t="inlineStr">
        <is>
          <t>BOOK</t>
        </is>
      </c>
      <c r="BC1547" t="inlineStr">
        <is>
          <t>32285000802784</t>
        </is>
      </c>
      <c r="BD1547" t="inlineStr">
        <is>
          <t>893602808</t>
        </is>
      </c>
    </row>
    <row r="1548">
      <c r="A1548" t="inlineStr">
        <is>
          <t>No</t>
        </is>
      </c>
      <c r="B1548" t="inlineStr">
        <is>
          <t>HQ536 .T67</t>
        </is>
      </c>
      <c r="C1548" t="inlineStr">
        <is>
          <t>0                      HQ 0536000T  67</t>
        </is>
      </c>
      <c r="D1548" t="inlineStr">
        <is>
          <t>Families in later life / Lillian E. Troll, Sheila J. Miller, Robert C. Atchley.</t>
        </is>
      </c>
      <c r="F1548" t="inlineStr">
        <is>
          <t>No</t>
        </is>
      </c>
      <c r="G1548" t="inlineStr">
        <is>
          <t>1</t>
        </is>
      </c>
      <c r="H1548" t="inlineStr">
        <is>
          <t>No</t>
        </is>
      </c>
      <c r="I1548" t="inlineStr">
        <is>
          <t>No</t>
        </is>
      </c>
      <c r="J1548" t="inlineStr">
        <is>
          <t>0</t>
        </is>
      </c>
      <c r="K1548" t="inlineStr">
        <is>
          <t>Troll, Lillian E.</t>
        </is>
      </c>
      <c r="L1548" t="inlineStr">
        <is>
          <t>Belmont, Calif. : Wadsworth Pub. Co., c1979.</t>
        </is>
      </c>
      <c r="M1548" t="inlineStr">
        <is>
          <t>1979</t>
        </is>
      </c>
      <c r="O1548" t="inlineStr">
        <is>
          <t>eng</t>
        </is>
      </c>
      <c r="P1548" t="inlineStr">
        <is>
          <t>cau</t>
        </is>
      </c>
      <c r="Q1548" t="inlineStr">
        <is>
          <t>Lifetime series in aging</t>
        </is>
      </c>
      <c r="R1548" t="inlineStr">
        <is>
          <t xml:space="preserve">HQ </t>
        </is>
      </c>
      <c r="S1548" t="n">
        <v>3</v>
      </c>
      <c r="T1548" t="n">
        <v>3</v>
      </c>
      <c r="U1548" t="inlineStr">
        <is>
          <t>1997-04-15</t>
        </is>
      </c>
      <c r="V1548" t="inlineStr">
        <is>
          <t>1997-04-15</t>
        </is>
      </c>
      <c r="W1548" t="inlineStr">
        <is>
          <t>1992-10-29</t>
        </is>
      </c>
      <c r="X1548" t="inlineStr">
        <is>
          <t>1992-10-29</t>
        </is>
      </c>
      <c r="Y1548" t="n">
        <v>367</v>
      </c>
      <c r="Z1548" t="n">
        <v>319</v>
      </c>
      <c r="AA1548" t="n">
        <v>326</v>
      </c>
      <c r="AB1548" t="n">
        <v>4</v>
      </c>
      <c r="AC1548" t="n">
        <v>4</v>
      </c>
      <c r="AD1548" t="n">
        <v>14</v>
      </c>
      <c r="AE1548" t="n">
        <v>14</v>
      </c>
      <c r="AF1548" t="n">
        <v>4</v>
      </c>
      <c r="AG1548" t="n">
        <v>4</v>
      </c>
      <c r="AH1548" t="n">
        <v>5</v>
      </c>
      <c r="AI1548" t="n">
        <v>5</v>
      </c>
      <c r="AJ1548" t="n">
        <v>6</v>
      </c>
      <c r="AK1548" t="n">
        <v>6</v>
      </c>
      <c r="AL1548" t="n">
        <v>2</v>
      </c>
      <c r="AM1548" t="n">
        <v>2</v>
      </c>
      <c r="AN1548" t="n">
        <v>0</v>
      </c>
      <c r="AO1548" t="n">
        <v>0</v>
      </c>
      <c r="AP1548" t="inlineStr">
        <is>
          <t>No</t>
        </is>
      </c>
      <c r="AQ1548" t="inlineStr">
        <is>
          <t>Yes</t>
        </is>
      </c>
      <c r="AR1548">
        <f>HYPERLINK("http://catalog.hathitrust.org/Record/000763680","HathiTrust Record")</f>
        <v/>
      </c>
      <c r="AS1548">
        <f>HYPERLINK("https://creighton-primo.hosted.exlibrisgroup.com/primo-explore/search?tab=default_tab&amp;search_scope=EVERYTHING&amp;vid=01CRU&amp;lang=en_US&amp;offset=0&amp;query=any,contains,991005228289702656","Catalog Record")</f>
        <v/>
      </c>
      <c r="AT1548">
        <f>HYPERLINK("http://www.worldcat.org/oclc/4497199","WorldCat Record")</f>
        <v/>
      </c>
      <c r="AU1548" t="inlineStr">
        <is>
          <t>14777625:eng</t>
        </is>
      </c>
      <c r="AV1548" t="inlineStr">
        <is>
          <t>4497199</t>
        </is>
      </c>
      <c r="AW1548" t="inlineStr">
        <is>
          <t>991005228289702656</t>
        </is>
      </c>
      <c r="AX1548" t="inlineStr">
        <is>
          <t>991005228289702656</t>
        </is>
      </c>
      <c r="AY1548" t="inlineStr">
        <is>
          <t>2266967160002656</t>
        </is>
      </c>
      <c r="AZ1548" t="inlineStr">
        <is>
          <t>BOOK</t>
        </is>
      </c>
      <c r="BB1548" t="inlineStr">
        <is>
          <t>9780534006136</t>
        </is>
      </c>
      <c r="BC1548" t="inlineStr">
        <is>
          <t>32285001358901</t>
        </is>
      </c>
      <c r="BD1548" t="inlineStr">
        <is>
          <t>893713680</t>
        </is>
      </c>
    </row>
    <row r="1549">
      <c r="A1549" t="inlineStr">
        <is>
          <t>No</t>
        </is>
      </c>
      <c r="B1549" t="inlineStr">
        <is>
          <t>HQ536 .T796 2009</t>
        </is>
      </c>
      <c r="C1549" t="inlineStr">
        <is>
          <t>0                      HQ 0536000T  796         2009</t>
        </is>
      </c>
      <c r="D1549" t="inlineStr">
        <is>
          <t>American families in crisis : a reference handbook / Jeffrey S. Turner.</t>
        </is>
      </c>
      <c r="F1549" t="inlineStr">
        <is>
          <t>No</t>
        </is>
      </c>
      <c r="G1549" t="inlineStr">
        <is>
          <t>1</t>
        </is>
      </c>
      <c r="H1549" t="inlineStr">
        <is>
          <t>No</t>
        </is>
      </c>
      <c r="I1549" t="inlineStr">
        <is>
          <t>No</t>
        </is>
      </c>
      <c r="J1549" t="inlineStr">
        <is>
          <t>0</t>
        </is>
      </c>
      <c r="K1549" t="inlineStr">
        <is>
          <t>Turner, Jeffrey S.</t>
        </is>
      </c>
      <c r="L1549" t="inlineStr">
        <is>
          <t>Santa Barbara, Calif. : ABC-CLIO, c2009.</t>
        </is>
      </c>
      <c r="M1549" t="inlineStr">
        <is>
          <t>2009</t>
        </is>
      </c>
      <c r="O1549" t="inlineStr">
        <is>
          <t>eng</t>
        </is>
      </c>
      <c r="P1549" t="inlineStr">
        <is>
          <t>cau</t>
        </is>
      </c>
      <c r="Q1549" t="inlineStr">
        <is>
          <t>Contemporary world issues</t>
        </is>
      </c>
      <c r="R1549" t="inlineStr">
        <is>
          <t xml:space="preserve">HQ </t>
        </is>
      </c>
      <c r="S1549" t="n">
        <v>1</v>
      </c>
      <c r="T1549" t="n">
        <v>1</v>
      </c>
      <c r="U1549" t="inlineStr">
        <is>
          <t>2009-06-17</t>
        </is>
      </c>
      <c r="V1549" t="inlineStr">
        <is>
          <t>2009-06-17</t>
        </is>
      </c>
      <c r="W1549" t="inlineStr">
        <is>
          <t>2009-06-17</t>
        </is>
      </c>
      <c r="X1549" t="inlineStr">
        <is>
          <t>2009-06-17</t>
        </is>
      </c>
      <c r="Y1549" t="n">
        <v>345</v>
      </c>
      <c r="Z1549" t="n">
        <v>329</v>
      </c>
      <c r="AA1549" t="n">
        <v>810</v>
      </c>
      <c r="AB1549" t="n">
        <v>2</v>
      </c>
      <c r="AC1549" t="n">
        <v>6</v>
      </c>
      <c r="AD1549" t="n">
        <v>7</v>
      </c>
      <c r="AE1549" t="n">
        <v>23</v>
      </c>
      <c r="AF1549" t="n">
        <v>3</v>
      </c>
      <c r="AG1549" t="n">
        <v>9</v>
      </c>
      <c r="AH1549" t="n">
        <v>3</v>
      </c>
      <c r="AI1549" t="n">
        <v>7</v>
      </c>
      <c r="AJ1549" t="n">
        <v>3</v>
      </c>
      <c r="AK1549" t="n">
        <v>9</v>
      </c>
      <c r="AL1549" t="n">
        <v>1</v>
      </c>
      <c r="AM1549" t="n">
        <v>5</v>
      </c>
      <c r="AN1549" t="n">
        <v>0</v>
      </c>
      <c r="AO1549" t="n">
        <v>1</v>
      </c>
      <c r="AP1549" t="inlineStr">
        <is>
          <t>No</t>
        </is>
      </c>
      <c r="AQ1549" t="inlineStr">
        <is>
          <t>No</t>
        </is>
      </c>
      <c r="AS1549">
        <f>HYPERLINK("https://creighton-primo.hosted.exlibrisgroup.com/primo-explore/search?tab=default_tab&amp;search_scope=EVERYTHING&amp;vid=01CRU&amp;lang=en_US&amp;offset=0&amp;query=any,contains,991005321959702656","Catalog Record")</f>
        <v/>
      </c>
      <c r="AT1549">
        <f>HYPERLINK("http://www.worldcat.org/oclc/229021143","WorldCat Record")</f>
        <v/>
      </c>
      <c r="AU1549" t="inlineStr">
        <is>
          <t>800573181:eng</t>
        </is>
      </c>
      <c r="AV1549" t="inlineStr">
        <is>
          <t>229021143</t>
        </is>
      </c>
      <c r="AW1549" t="inlineStr">
        <is>
          <t>991005321959702656</t>
        </is>
      </c>
      <c r="AX1549" t="inlineStr">
        <is>
          <t>991005321959702656</t>
        </is>
      </c>
      <c r="AY1549" t="inlineStr">
        <is>
          <t>2267814920002656</t>
        </is>
      </c>
      <c r="AZ1549" t="inlineStr">
        <is>
          <t>BOOK</t>
        </is>
      </c>
      <c r="BB1549" t="inlineStr">
        <is>
          <t>9781598841640</t>
        </is>
      </c>
      <c r="BC1549" t="inlineStr">
        <is>
          <t>32285005535660</t>
        </is>
      </c>
      <c r="BD1549" t="inlineStr">
        <is>
          <t>893418739</t>
        </is>
      </c>
    </row>
    <row r="1550">
      <c r="A1550" t="inlineStr">
        <is>
          <t>No</t>
        </is>
      </c>
      <c r="B1550" t="inlineStr">
        <is>
          <t>HQ536 .T798 2002</t>
        </is>
      </c>
      <c r="C1550" t="inlineStr">
        <is>
          <t>0                      HQ 0536000T  798         2002</t>
        </is>
      </c>
      <c r="D1550" t="inlineStr">
        <is>
          <t>Families in America : a reference handbook / Jeffrey Scott Turner.</t>
        </is>
      </c>
      <c r="F1550" t="inlineStr">
        <is>
          <t>No</t>
        </is>
      </c>
      <c r="G1550" t="inlineStr">
        <is>
          <t>1</t>
        </is>
      </c>
      <c r="H1550" t="inlineStr">
        <is>
          <t>No</t>
        </is>
      </c>
      <c r="I1550" t="inlineStr">
        <is>
          <t>No</t>
        </is>
      </c>
      <c r="J1550" t="inlineStr">
        <is>
          <t>0</t>
        </is>
      </c>
      <c r="K1550" t="inlineStr">
        <is>
          <t>Turner, Jeffrey S.</t>
        </is>
      </c>
      <c r="L1550" t="inlineStr">
        <is>
          <t>Santa Barbara, Calif. : ABC-CLIO, c2002.</t>
        </is>
      </c>
      <c r="M1550" t="inlineStr">
        <is>
          <t>2002</t>
        </is>
      </c>
      <c r="O1550" t="inlineStr">
        <is>
          <t>eng</t>
        </is>
      </c>
      <c r="P1550" t="inlineStr">
        <is>
          <t>cau</t>
        </is>
      </c>
      <c r="Q1550" t="inlineStr">
        <is>
          <t>Contemporary world issues</t>
        </is>
      </c>
      <c r="R1550" t="inlineStr">
        <is>
          <t xml:space="preserve">HQ </t>
        </is>
      </c>
      <c r="S1550" t="n">
        <v>3</v>
      </c>
      <c r="T1550" t="n">
        <v>3</v>
      </c>
      <c r="U1550" t="inlineStr">
        <is>
          <t>2003-04-27</t>
        </is>
      </c>
      <c r="V1550" t="inlineStr">
        <is>
          <t>2003-04-27</t>
        </is>
      </c>
      <c r="W1550" t="inlineStr">
        <is>
          <t>2002-06-12</t>
        </is>
      </c>
      <c r="X1550" t="inlineStr">
        <is>
          <t>2002-06-12</t>
        </is>
      </c>
      <c r="Y1550" t="n">
        <v>533</v>
      </c>
      <c r="Z1550" t="n">
        <v>515</v>
      </c>
      <c r="AA1550" t="n">
        <v>870</v>
      </c>
      <c r="AB1550" t="n">
        <v>7</v>
      </c>
      <c r="AC1550" t="n">
        <v>10</v>
      </c>
      <c r="AD1550" t="n">
        <v>17</v>
      </c>
      <c r="AE1550" t="n">
        <v>27</v>
      </c>
      <c r="AF1550" t="n">
        <v>4</v>
      </c>
      <c r="AG1550" t="n">
        <v>8</v>
      </c>
      <c r="AH1550" t="n">
        <v>4</v>
      </c>
      <c r="AI1550" t="n">
        <v>7</v>
      </c>
      <c r="AJ1550" t="n">
        <v>8</v>
      </c>
      <c r="AK1550" t="n">
        <v>12</v>
      </c>
      <c r="AL1550" t="n">
        <v>3</v>
      </c>
      <c r="AM1550" t="n">
        <v>6</v>
      </c>
      <c r="AN1550" t="n">
        <v>1</v>
      </c>
      <c r="AO1550" t="n">
        <v>1</v>
      </c>
      <c r="AP1550" t="inlineStr">
        <is>
          <t>No</t>
        </is>
      </c>
      <c r="AQ1550" t="inlineStr">
        <is>
          <t>No</t>
        </is>
      </c>
      <c r="AS1550">
        <f>HYPERLINK("https://creighton-primo.hosted.exlibrisgroup.com/primo-explore/search?tab=default_tab&amp;search_scope=EVERYTHING&amp;vid=01CRU&amp;lang=en_US&amp;offset=0&amp;query=any,contains,991003817399702656","Catalog Record")</f>
        <v/>
      </c>
      <c r="AT1550">
        <f>HYPERLINK("http://www.worldcat.org/oclc/49225365","WorldCat Record")</f>
        <v/>
      </c>
      <c r="AU1550" t="inlineStr">
        <is>
          <t>1054351:eng</t>
        </is>
      </c>
      <c r="AV1550" t="inlineStr">
        <is>
          <t>49225365</t>
        </is>
      </c>
      <c r="AW1550" t="inlineStr">
        <is>
          <t>991003817399702656</t>
        </is>
      </c>
      <c r="AX1550" t="inlineStr">
        <is>
          <t>991003817399702656</t>
        </is>
      </c>
      <c r="AY1550" t="inlineStr">
        <is>
          <t>2265751790002656</t>
        </is>
      </c>
      <c r="AZ1550" t="inlineStr">
        <is>
          <t>BOOK</t>
        </is>
      </c>
      <c r="BB1550" t="inlineStr">
        <is>
          <t>9781576076286</t>
        </is>
      </c>
      <c r="BC1550" t="inlineStr">
        <is>
          <t>32285004494851</t>
        </is>
      </c>
      <c r="BD1550" t="inlineStr">
        <is>
          <t>893441785</t>
        </is>
      </c>
    </row>
    <row r="1551">
      <c r="A1551" t="inlineStr">
        <is>
          <t>No</t>
        </is>
      </c>
      <c r="B1551" t="inlineStr">
        <is>
          <t>HQ536 .U49 1996</t>
        </is>
      </c>
      <c r="C1551" t="inlineStr">
        <is>
          <t>0                      HQ 0536000U  49          1996</t>
        </is>
      </c>
      <c r="D1551" t="inlineStr">
        <is>
          <t>Understanding differences between divorced and intact families : stress, interaction, and child outcome / Ronald L. Simons and associates.</t>
        </is>
      </c>
      <c r="F1551" t="inlineStr">
        <is>
          <t>No</t>
        </is>
      </c>
      <c r="G1551" t="inlineStr">
        <is>
          <t>1</t>
        </is>
      </c>
      <c r="H1551" t="inlineStr">
        <is>
          <t>Yes</t>
        </is>
      </c>
      <c r="I1551" t="inlineStr">
        <is>
          <t>No</t>
        </is>
      </c>
      <c r="J1551" t="inlineStr">
        <is>
          <t>0</t>
        </is>
      </c>
      <c r="L1551" t="inlineStr">
        <is>
          <t>Thousand Oaks, Calif. : Sage Publications, c1996.</t>
        </is>
      </c>
      <c r="M1551" t="inlineStr">
        <is>
          <t>1996</t>
        </is>
      </c>
      <c r="O1551" t="inlineStr">
        <is>
          <t>eng</t>
        </is>
      </c>
      <c r="P1551" t="inlineStr">
        <is>
          <t>cau</t>
        </is>
      </c>
      <c r="Q1551" t="inlineStr">
        <is>
          <t>Understanding families ; v. 5</t>
        </is>
      </c>
      <c r="R1551" t="inlineStr">
        <is>
          <t xml:space="preserve">HQ </t>
        </is>
      </c>
      <c r="S1551" t="n">
        <v>12</v>
      </c>
      <c r="T1551" t="n">
        <v>12</v>
      </c>
      <c r="U1551" t="inlineStr">
        <is>
          <t>2007-10-11</t>
        </is>
      </c>
      <c r="V1551" t="inlineStr">
        <is>
          <t>2007-10-11</t>
        </is>
      </c>
      <c r="W1551" t="inlineStr">
        <is>
          <t>1996-11-08</t>
        </is>
      </c>
      <c r="X1551" t="inlineStr">
        <is>
          <t>1996-11-15</t>
        </is>
      </c>
      <c r="Y1551" t="n">
        <v>456</v>
      </c>
      <c r="Z1551" t="n">
        <v>377</v>
      </c>
      <c r="AA1551" t="n">
        <v>383</v>
      </c>
      <c r="AB1551" t="n">
        <v>7</v>
      </c>
      <c r="AC1551" t="n">
        <v>7</v>
      </c>
      <c r="AD1551" t="n">
        <v>25</v>
      </c>
      <c r="AE1551" t="n">
        <v>25</v>
      </c>
      <c r="AF1551" t="n">
        <v>8</v>
      </c>
      <c r="AG1551" t="n">
        <v>8</v>
      </c>
      <c r="AH1551" t="n">
        <v>5</v>
      </c>
      <c r="AI1551" t="n">
        <v>5</v>
      </c>
      <c r="AJ1551" t="n">
        <v>11</v>
      </c>
      <c r="AK1551" t="n">
        <v>11</v>
      </c>
      <c r="AL1551" t="n">
        <v>5</v>
      </c>
      <c r="AM1551" t="n">
        <v>5</v>
      </c>
      <c r="AN1551" t="n">
        <v>0</v>
      </c>
      <c r="AO1551" t="n">
        <v>0</v>
      </c>
      <c r="AP1551" t="inlineStr">
        <is>
          <t>No</t>
        </is>
      </c>
      <c r="AQ1551" t="inlineStr">
        <is>
          <t>Yes</t>
        </is>
      </c>
      <c r="AR1551">
        <f>HYPERLINK("http://catalog.hathitrust.org/Record/003081082","HathiTrust Record")</f>
        <v/>
      </c>
      <c r="AS1551">
        <f>HYPERLINK("https://creighton-primo.hosted.exlibrisgroup.com/primo-explore/search?tab=default_tab&amp;search_scope=EVERYTHING&amp;vid=01CRU&amp;lang=en_US&amp;offset=0&amp;query=any,contains,991001670229702656","Catalog Record")</f>
        <v/>
      </c>
      <c r="AT1551">
        <f>HYPERLINK("http://www.worldcat.org/oclc/34114555","WorldCat Record")</f>
        <v/>
      </c>
      <c r="AU1551" t="inlineStr">
        <is>
          <t>837049177:eng</t>
        </is>
      </c>
      <c r="AV1551" t="inlineStr">
        <is>
          <t>34114555</t>
        </is>
      </c>
      <c r="AW1551" t="inlineStr">
        <is>
          <t>991001670229702656</t>
        </is>
      </c>
      <c r="AX1551" t="inlineStr">
        <is>
          <t>991001670229702656</t>
        </is>
      </c>
      <c r="AY1551" t="inlineStr">
        <is>
          <t>2271370790002656</t>
        </is>
      </c>
      <c r="AZ1551" t="inlineStr">
        <is>
          <t>BOOK</t>
        </is>
      </c>
      <c r="BB1551" t="inlineStr">
        <is>
          <t>9780803951617</t>
        </is>
      </c>
      <c r="BC1551" t="inlineStr">
        <is>
          <t>32285001419638</t>
        </is>
      </c>
      <c r="BD1551" t="inlineStr">
        <is>
          <t>893516382</t>
        </is>
      </c>
    </row>
    <row r="1552">
      <c r="A1552" t="inlineStr">
        <is>
          <t>No</t>
        </is>
      </c>
      <c r="B1552" t="inlineStr">
        <is>
          <t>HQ536 .U53 1992</t>
        </is>
      </c>
      <c r="C1552" t="inlineStr">
        <is>
          <t>0                      HQ 0536000U  53          1992</t>
        </is>
      </c>
      <c r="D1552" t="inlineStr">
        <is>
          <t>Putting children and families first : a challenge for our church, nation and world / United States Catholic Conference.</t>
        </is>
      </c>
      <c r="F1552" t="inlineStr">
        <is>
          <t>No</t>
        </is>
      </c>
      <c r="G1552" t="inlineStr">
        <is>
          <t>1</t>
        </is>
      </c>
      <c r="H1552" t="inlineStr">
        <is>
          <t>No</t>
        </is>
      </c>
      <c r="I1552" t="inlineStr">
        <is>
          <t>No</t>
        </is>
      </c>
      <c r="J1552" t="inlineStr">
        <is>
          <t>0</t>
        </is>
      </c>
      <c r="K1552" t="inlineStr">
        <is>
          <t>United States Catholic Conference.</t>
        </is>
      </c>
      <c r="L1552" t="inlineStr">
        <is>
          <t>Washington, D.C. : Office for Publishing and Promotion Services, United States Catholic Conference, c1992.</t>
        </is>
      </c>
      <c r="M1552" t="inlineStr">
        <is>
          <t>1992</t>
        </is>
      </c>
      <c r="O1552" t="inlineStr">
        <is>
          <t>eng</t>
        </is>
      </c>
      <c r="P1552" t="inlineStr">
        <is>
          <t>dcu</t>
        </is>
      </c>
      <c r="Q1552" t="inlineStr">
        <is>
          <t>Publication / United States Catholic Conference, Office for Publishing and Promotion Services ; no. 469-4</t>
        </is>
      </c>
      <c r="R1552" t="inlineStr">
        <is>
          <t xml:space="preserve">HQ </t>
        </is>
      </c>
      <c r="S1552" t="n">
        <v>18</v>
      </c>
      <c r="T1552" t="n">
        <v>18</v>
      </c>
      <c r="U1552" t="inlineStr">
        <is>
          <t>2009-03-06</t>
        </is>
      </c>
      <c r="V1552" t="inlineStr">
        <is>
          <t>2009-03-06</t>
        </is>
      </c>
      <c r="W1552" t="inlineStr">
        <is>
          <t>1992-04-13</t>
        </is>
      </c>
      <c r="X1552" t="inlineStr">
        <is>
          <t>1992-04-13</t>
        </is>
      </c>
      <c r="Y1552" t="n">
        <v>56</v>
      </c>
      <c r="Z1552" t="n">
        <v>56</v>
      </c>
      <c r="AA1552" t="n">
        <v>57</v>
      </c>
      <c r="AB1552" t="n">
        <v>1</v>
      </c>
      <c r="AC1552" t="n">
        <v>1</v>
      </c>
      <c r="AD1552" t="n">
        <v>8</v>
      </c>
      <c r="AE1552" t="n">
        <v>8</v>
      </c>
      <c r="AF1552" t="n">
        <v>2</v>
      </c>
      <c r="AG1552" t="n">
        <v>2</v>
      </c>
      <c r="AH1552" t="n">
        <v>2</v>
      </c>
      <c r="AI1552" t="n">
        <v>2</v>
      </c>
      <c r="AJ1552" t="n">
        <v>7</v>
      </c>
      <c r="AK1552" t="n">
        <v>7</v>
      </c>
      <c r="AL1552" t="n">
        <v>0</v>
      </c>
      <c r="AM1552" t="n">
        <v>0</v>
      </c>
      <c r="AN1552" t="n">
        <v>0</v>
      </c>
      <c r="AO1552" t="n">
        <v>0</v>
      </c>
      <c r="AP1552" t="inlineStr">
        <is>
          <t>No</t>
        </is>
      </c>
      <c r="AQ1552" t="inlineStr">
        <is>
          <t>No</t>
        </is>
      </c>
      <c r="AS1552">
        <f>HYPERLINK("https://creighton-primo.hosted.exlibrisgroup.com/primo-explore/search?tab=default_tab&amp;search_scope=EVERYTHING&amp;vid=01CRU&amp;lang=en_US&amp;offset=0&amp;query=any,contains,991001986549702656","Catalog Record")</f>
        <v/>
      </c>
      <c r="AT1552">
        <f>HYPERLINK("http://www.worldcat.org/oclc/25220922","WorldCat Record")</f>
        <v/>
      </c>
      <c r="AU1552" t="inlineStr">
        <is>
          <t>2960481195:eng</t>
        </is>
      </c>
      <c r="AV1552" t="inlineStr">
        <is>
          <t>25220922</t>
        </is>
      </c>
      <c r="AW1552" t="inlineStr">
        <is>
          <t>991001986549702656</t>
        </is>
      </c>
      <c r="AX1552" t="inlineStr">
        <is>
          <t>991001986549702656</t>
        </is>
      </c>
      <c r="AY1552" t="inlineStr">
        <is>
          <t>2272252930002656</t>
        </is>
      </c>
      <c r="AZ1552" t="inlineStr">
        <is>
          <t>BOOK</t>
        </is>
      </c>
      <c r="BB1552" t="inlineStr">
        <is>
          <t>9781555864699</t>
        </is>
      </c>
      <c r="BC1552" t="inlineStr">
        <is>
          <t>32285001009983</t>
        </is>
      </c>
      <c r="BD1552" t="inlineStr">
        <is>
          <t>893609335</t>
        </is>
      </c>
    </row>
    <row r="1553">
      <c r="A1553" t="inlineStr">
        <is>
          <t>No</t>
        </is>
      </c>
      <c r="B1553" t="inlineStr">
        <is>
          <t>HQ536 .V37 1989</t>
        </is>
      </c>
      <c r="C1553" t="inlineStr">
        <is>
          <t>0                      HQ 0536000V  37          1989</t>
        </is>
      </c>
      <c r="D1553" t="inlineStr">
        <is>
          <t>Equal partners : successful women in marriage / Dana Vannoy-Hiller, William W. Philliber.</t>
        </is>
      </c>
      <c r="F1553" t="inlineStr">
        <is>
          <t>No</t>
        </is>
      </c>
      <c r="G1553" t="inlineStr">
        <is>
          <t>1</t>
        </is>
      </c>
      <c r="H1553" t="inlineStr">
        <is>
          <t>No</t>
        </is>
      </c>
      <c r="I1553" t="inlineStr">
        <is>
          <t>No</t>
        </is>
      </c>
      <c r="J1553" t="inlineStr">
        <is>
          <t>0</t>
        </is>
      </c>
      <c r="K1553" t="inlineStr">
        <is>
          <t>Vannoy, Dana.</t>
        </is>
      </c>
      <c r="L1553" t="inlineStr">
        <is>
          <t>Newbury Park, Calif. : Sage Publications, c1989.</t>
        </is>
      </c>
      <c r="M1553" t="inlineStr">
        <is>
          <t>1989</t>
        </is>
      </c>
      <c r="O1553" t="inlineStr">
        <is>
          <t>eng</t>
        </is>
      </c>
      <c r="P1553" t="inlineStr">
        <is>
          <t>cau</t>
        </is>
      </c>
      <c r="Q1553" t="inlineStr">
        <is>
          <t>Sage library of social research ; 174</t>
        </is>
      </c>
      <c r="R1553" t="inlineStr">
        <is>
          <t xml:space="preserve">HQ </t>
        </is>
      </c>
      <c r="S1553" t="n">
        <v>12</v>
      </c>
      <c r="T1553" t="n">
        <v>12</v>
      </c>
      <c r="U1553" t="inlineStr">
        <is>
          <t>2009-04-27</t>
        </is>
      </c>
      <c r="V1553" t="inlineStr">
        <is>
          <t>2009-04-27</t>
        </is>
      </c>
      <c r="W1553" t="inlineStr">
        <is>
          <t>1989-12-18</t>
        </is>
      </c>
      <c r="X1553" t="inlineStr">
        <is>
          <t>1989-12-18</t>
        </is>
      </c>
      <c r="Y1553" t="n">
        <v>611</v>
      </c>
      <c r="Z1553" t="n">
        <v>520</v>
      </c>
      <c r="AA1553" t="n">
        <v>534</v>
      </c>
      <c r="AB1553" t="n">
        <v>6</v>
      </c>
      <c r="AC1553" t="n">
        <v>6</v>
      </c>
      <c r="AD1553" t="n">
        <v>30</v>
      </c>
      <c r="AE1553" t="n">
        <v>30</v>
      </c>
      <c r="AF1553" t="n">
        <v>13</v>
      </c>
      <c r="AG1553" t="n">
        <v>13</v>
      </c>
      <c r="AH1553" t="n">
        <v>5</v>
      </c>
      <c r="AI1553" t="n">
        <v>5</v>
      </c>
      <c r="AJ1553" t="n">
        <v>13</v>
      </c>
      <c r="AK1553" t="n">
        <v>13</v>
      </c>
      <c r="AL1553" t="n">
        <v>5</v>
      </c>
      <c r="AM1553" t="n">
        <v>5</v>
      </c>
      <c r="AN1553" t="n">
        <v>0</v>
      </c>
      <c r="AO1553" t="n">
        <v>0</v>
      </c>
      <c r="AP1553" t="inlineStr">
        <is>
          <t>No</t>
        </is>
      </c>
      <c r="AQ1553" t="inlineStr">
        <is>
          <t>No</t>
        </is>
      </c>
      <c r="AS1553">
        <f>HYPERLINK("https://creighton-primo.hosted.exlibrisgroup.com/primo-explore/search?tab=default_tab&amp;search_scope=EVERYTHING&amp;vid=01CRU&amp;lang=en_US&amp;offset=0&amp;query=any,contains,991001483259702656","Catalog Record")</f>
        <v/>
      </c>
      <c r="AT1553">
        <f>HYPERLINK("http://www.worldcat.org/oclc/19629381","WorldCat Record")</f>
        <v/>
      </c>
      <c r="AU1553" t="inlineStr">
        <is>
          <t>836895444:eng</t>
        </is>
      </c>
      <c r="AV1553" t="inlineStr">
        <is>
          <t>19629381</t>
        </is>
      </c>
      <c r="AW1553" t="inlineStr">
        <is>
          <t>991001483259702656</t>
        </is>
      </c>
      <c r="AX1553" t="inlineStr">
        <is>
          <t>991001483259702656</t>
        </is>
      </c>
      <c r="AY1553" t="inlineStr">
        <is>
          <t>2262549000002656</t>
        </is>
      </c>
      <c r="AZ1553" t="inlineStr">
        <is>
          <t>BOOK</t>
        </is>
      </c>
      <c r="BB1553" t="inlineStr">
        <is>
          <t>9780803928145</t>
        </is>
      </c>
      <c r="BC1553" t="inlineStr">
        <is>
          <t>32285000018654</t>
        </is>
      </c>
      <c r="BD1553" t="inlineStr">
        <is>
          <t>893509647</t>
        </is>
      </c>
    </row>
    <row r="1554">
      <c r="A1554" t="inlineStr">
        <is>
          <t>No</t>
        </is>
      </c>
      <c r="B1554" t="inlineStr">
        <is>
          <t>HQ536 .W38 1977</t>
        </is>
      </c>
      <c r="C1554" t="inlineStr">
        <is>
          <t>0                      HQ 0536000W  38          1977</t>
        </is>
      </c>
      <c r="D1554" t="inlineStr">
        <is>
          <t>Here's to the family : a survival manual for parents / by Betty and Joel Wells.</t>
        </is>
      </c>
      <c r="F1554" t="inlineStr">
        <is>
          <t>No</t>
        </is>
      </c>
      <c r="G1554" t="inlineStr">
        <is>
          <t>1</t>
        </is>
      </c>
      <c r="H1554" t="inlineStr">
        <is>
          <t>No</t>
        </is>
      </c>
      <c r="I1554" t="inlineStr">
        <is>
          <t>No</t>
        </is>
      </c>
      <c r="J1554" t="inlineStr">
        <is>
          <t>0</t>
        </is>
      </c>
      <c r="K1554" t="inlineStr">
        <is>
          <t>Wells, Betty.</t>
        </is>
      </c>
      <c r="L1554" t="inlineStr">
        <is>
          <t>Chicago : Thomas More Press, c1977.</t>
        </is>
      </c>
      <c r="M1554" t="inlineStr">
        <is>
          <t>1977</t>
        </is>
      </c>
      <c r="O1554" t="inlineStr">
        <is>
          <t>eng</t>
        </is>
      </c>
      <c r="P1554" t="inlineStr">
        <is>
          <t>ilu</t>
        </is>
      </c>
      <c r="R1554" t="inlineStr">
        <is>
          <t xml:space="preserve">HQ </t>
        </is>
      </c>
      <c r="S1554" t="n">
        <v>2</v>
      </c>
      <c r="T1554" t="n">
        <v>2</v>
      </c>
      <c r="U1554" t="inlineStr">
        <is>
          <t>1993-04-09</t>
        </is>
      </c>
      <c r="V1554" t="inlineStr">
        <is>
          <t>1993-04-09</t>
        </is>
      </c>
      <c r="W1554" t="inlineStr">
        <is>
          <t>1992-10-29</t>
        </is>
      </c>
      <c r="X1554" t="inlineStr">
        <is>
          <t>1992-10-29</t>
        </is>
      </c>
      <c r="Y1554" t="n">
        <v>40</v>
      </c>
      <c r="Z1554" t="n">
        <v>37</v>
      </c>
      <c r="AA1554" t="n">
        <v>42</v>
      </c>
      <c r="AB1554" t="n">
        <v>3</v>
      </c>
      <c r="AC1554" t="n">
        <v>3</v>
      </c>
      <c r="AD1554" t="n">
        <v>4</v>
      </c>
      <c r="AE1554" t="n">
        <v>4</v>
      </c>
      <c r="AF1554" t="n">
        <v>0</v>
      </c>
      <c r="AG1554" t="n">
        <v>0</v>
      </c>
      <c r="AH1554" t="n">
        <v>1</v>
      </c>
      <c r="AI1554" t="n">
        <v>1</v>
      </c>
      <c r="AJ1554" t="n">
        <v>3</v>
      </c>
      <c r="AK1554" t="n">
        <v>3</v>
      </c>
      <c r="AL1554" t="n">
        <v>0</v>
      </c>
      <c r="AM1554" t="n">
        <v>0</v>
      </c>
      <c r="AN1554" t="n">
        <v>0</v>
      </c>
      <c r="AO1554" t="n">
        <v>0</v>
      </c>
      <c r="AP1554" t="inlineStr">
        <is>
          <t>No</t>
        </is>
      </c>
      <c r="AQ1554" t="inlineStr">
        <is>
          <t>No</t>
        </is>
      </c>
      <c r="AS1554">
        <f>HYPERLINK("https://creighton-primo.hosted.exlibrisgroup.com/primo-explore/search?tab=default_tab&amp;search_scope=EVERYTHING&amp;vid=01CRU&amp;lang=en_US&amp;offset=0&amp;query=any,contains,991004289919702656","Catalog Record")</f>
        <v/>
      </c>
      <c r="AT1554">
        <f>HYPERLINK("http://www.worldcat.org/oclc/2940756","WorldCat Record")</f>
        <v/>
      </c>
      <c r="AU1554" t="inlineStr">
        <is>
          <t>7145721:eng</t>
        </is>
      </c>
      <c r="AV1554" t="inlineStr">
        <is>
          <t>2940756</t>
        </is>
      </c>
      <c r="AW1554" t="inlineStr">
        <is>
          <t>991004289919702656</t>
        </is>
      </c>
      <c r="AX1554" t="inlineStr">
        <is>
          <t>991004289919702656</t>
        </is>
      </c>
      <c r="AY1554" t="inlineStr">
        <is>
          <t>2271030900002656</t>
        </is>
      </c>
      <c r="AZ1554" t="inlineStr">
        <is>
          <t>BOOK</t>
        </is>
      </c>
      <c r="BB1554" t="inlineStr">
        <is>
          <t>9780883470725</t>
        </is>
      </c>
      <c r="BC1554" t="inlineStr">
        <is>
          <t>32285001358919</t>
        </is>
      </c>
      <c r="BD1554" t="inlineStr">
        <is>
          <t>893513051</t>
        </is>
      </c>
    </row>
    <row r="1555">
      <c r="A1555" t="inlineStr">
        <is>
          <t>No</t>
        </is>
      </c>
      <c r="B1555" t="inlineStr">
        <is>
          <t>HQ536 .W4 1979</t>
        </is>
      </c>
      <c r="C1555" t="inlineStr">
        <is>
          <t>0                      HQ 0536000W  4           1979</t>
        </is>
      </c>
      <c r="D1555" t="inlineStr">
        <is>
          <t>Current issues in marriage and the family / [compiled by] J. Gipson Wells.</t>
        </is>
      </c>
      <c r="F1555" t="inlineStr">
        <is>
          <t>No</t>
        </is>
      </c>
      <c r="G1555" t="inlineStr">
        <is>
          <t>1</t>
        </is>
      </c>
      <c r="H1555" t="inlineStr">
        <is>
          <t>No</t>
        </is>
      </c>
      <c r="I1555" t="inlineStr">
        <is>
          <t>No</t>
        </is>
      </c>
      <c r="J1555" t="inlineStr">
        <is>
          <t>0</t>
        </is>
      </c>
      <c r="K1555" t="inlineStr">
        <is>
          <t>Wells, J. Gipson compiler.</t>
        </is>
      </c>
      <c r="L1555" t="inlineStr">
        <is>
          <t>New York : Macmillan, c1979.</t>
        </is>
      </c>
      <c r="M1555" t="inlineStr">
        <is>
          <t>1979</t>
        </is>
      </c>
      <c r="N1555" t="inlineStr">
        <is>
          <t>2d ed.</t>
        </is>
      </c>
      <c r="O1555" t="inlineStr">
        <is>
          <t>eng</t>
        </is>
      </c>
      <c r="P1555" t="inlineStr">
        <is>
          <t>nyu</t>
        </is>
      </c>
      <c r="R1555" t="inlineStr">
        <is>
          <t xml:space="preserve">HQ </t>
        </is>
      </c>
      <c r="S1555" t="n">
        <v>8</v>
      </c>
      <c r="T1555" t="n">
        <v>8</v>
      </c>
      <c r="U1555" t="inlineStr">
        <is>
          <t>1998-10-05</t>
        </is>
      </c>
      <c r="V1555" t="inlineStr">
        <is>
          <t>1998-10-05</t>
        </is>
      </c>
      <c r="W1555" t="inlineStr">
        <is>
          <t>1991-12-09</t>
        </is>
      </c>
      <c r="X1555" t="inlineStr">
        <is>
          <t>1991-12-09</t>
        </is>
      </c>
      <c r="Y1555" t="n">
        <v>214</v>
      </c>
      <c r="Z1555" t="n">
        <v>182</v>
      </c>
      <c r="AA1555" t="n">
        <v>508</v>
      </c>
      <c r="AB1555" t="n">
        <v>3</v>
      </c>
      <c r="AC1555" t="n">
        <v>6</v>
      </c>
      <c r="AD1555" t="n">
        <v>8</v>
      </c>
      <c r="AE1555" t="n">
        <v>21</v>
      </c>
      <c r="AF1555" t="n">
        <v>6</v>
      </c>
      <c r="AG1555" t="n">
        <v>10</v>
      </c>
      <c r="AH1555" t="n">
        <v>0</v>
      </c>
      <c r="AI1555" t="n">
        <v>2</v>
      </c>
      <c r="AJ1555" t="n">
        <v>3</v>
      </c>
      <c r="AK1555" t="n">
        <v>8</v>
      </c>
      <c r="AL1555" t="n">
        <v>2</v>
      </c>
      <c r="AM1555" t="n">
        <v>5</v>
      </c>
      <c r="AN1555" t="n">
        <v>0</v>
      </c>
      <c r="AO1555" t="n">
        <v>0</v>
      </c>
      <c r="AP1555" t="inlineStr">
        <is>
          <t>No</t>
        </is>
      </c>
      <c r="AQ1555" t="inlineStr">
        <is>
          <t>Yes</t>
        </is>
      </c>
      <c r="AR1555">
        <f>HYPERLINK("http://catalog.hathitrust.org/Record/000711796","HathiTrust Record")</f>
        <v/>
      </c>
      <c r="AS1555">
        <f>HYPERLINK("https://creighton-primo.hosted.exlibrisgroup.com/primo-explore/search?tab=default_tab&amp;search_scope=EVERYTHING&amp;vid=01CRU&amp;lang=en_US&amp;offset=0&amp;query=any,contains,991004531119702656","Catalog Record")</f>
        <v/>
      </c>
      <c r="AT1555">
        <f>HYPERLINK("http://www.worldcat.org/oclc/3845540","WorldCat Record")</f>
        <v/>
      </c>
      <c r="AU1555" t="inlineStr">
        <is>
          <t>1899532:eng</t>
        </is>
      </c>
      <c r="AV1555" t="inlineStr">
        <is>
          <t>3845540</t>
        </is>
      </c>
      <c r="AW1555" t="inlineStr">
        <is>
          <t>991004531119702656</t>
        </is>
      </c>
      <c r="AX1555" t="inlineStr">
        <is>
          <t>991004531119702656</t>
        </is>
      </c>
      <c r="AY1555" t="inlineStr">
        <is>
          <t>2262737240002656</t>
        </is>
      </c>
      <c r="AZ1555" t="inlineStr">
        <is>
          <t>BOOK</t>
        </is>
      </c>
      <c r="BB1555" t="inlineStr">
        <is>
          <t>9780024254405</t>
        </is>
      </c>
      <c r="BC1555" t="inlineStr">
        <is>
          <t>32285000885359</t>
        </is>
      </c>
      <c r="BD1555" t="inlineStr">
        <is>
          <t>893606143</t>
        </is>
      </c>
    </row>
    <row r="1556">
      <c r="A1556" t="inlineStr">
        <is>
          <t>No</t>
        </is>
      </c>
      <c r="B1556" t="inlineStr">
        <is>
          <t>HQ536 .W48 1988</t>
        </is>
      </c>
      <c r="C1556" t="inlineStr">
        <is>
          <t>0                      HQ 0536000W  48          1988</t>
        </is>
      </c>
      <c r="D1556" t="inlineStr">
        <is>
          <t>What's happening to American families? : a report / from the editors of Better homes and gardens magazine.</t>
        </is>
      </c>
      <c r="F1556" t="inlineStr">
        <is>
          <t>No</t>
        </is>
      </c>
      <c r="G1556" t="inlineStr">
        <is>
          <t>1</t>
        </is>
      </c>
      <c r="H1556" t="inlineStr">
        <is>
          <t>No</t>
        </is>
      </c>
      <c r="I1556" t="inlineStr">
        <is>
          <t>No</t>
        </is>
      </c>
      <c r="J1556" t="inlineStr">
        <is>
          <t>0</t>
        </is>
      </c>
      <c r="L1556" t="inlineStr">
        <is>
          <t>[Des Moines, Iowa] : Meredith Corp., 1988.</t>
        </is>
      </c>
      <c r="M1556" t="inlineStr">
        <is>
          <t>1988</t>
        </is>
      </c>
      <c r="O1556" t="inlineStr">
        <is>
          <t>eng</t>
        </is>
      </c>
      <c r="P1556" t="inlineStr">
        <is>
          <t>iau</t>
        </is>
      </c>
      <c r="R1556" t="inlineStr">
        <is>
          <t xml:space="preserve">HQ </t>
        </is>
      </c>
      <c r="S1556" t="n">
        <v>4</v>
      </c>
      <c r="T1556" t="n">
        <v>4</v>
      </c>
      <c r="U1556" t="inlineStr">
        <is>
          <t>1998-10-31</t>
        </is>
      </c>
      <c r="V1556" t="inlineStr">
        <is>
          <t>1998-10-31</t>
        </is>
      </c>
      <c r="W1556" t="inlineStr">
        <is>
          <t>1990-02-08</t>
        </is>
      </c>
      <c r="X1556" t="inlineStr">
        <is>
          <t>1990-02-08</t>
        </is>
      </c>
      <c r="Y1556" t="n">
        <v>29</v>
      </c>
      <c r="Z1556" t="n">
        <v>29</v>
      </c>
      <c r="AA1556" t="n">
        <v>29</v>
      </c>
      <c r="AB1556" t="n">
        <v>1</v>
      </c>
      <c r="AC1556" t="n">
        <v>1</v>
      </c>
      <c r="AD1556" t="n">
        <v>1</v>
      </c>
      <c r="AE1556" t="n">
        <v>1</v>
      </c>
      <c r="AF1556" t="n">
        <v>0</v>
      </c>
      <c r="AG1556" t="n">
        <v>0</v>
      </c>
      <c r="AH1556" t="n">
        <v>0</v>
      </c>
      <c r="AI1556" t="n">
        <v>0</v>
      </c>
      <c r="AJ1556" t="n">
        <v>1</v>
      </c>
      <c r="AK1556" t="n">
        <v>1</v>
      </c>
      <c r="AL1556" t="n">
        <v>0</v>
      </c>
      <c r="AM1556" t="n">
        <v>0</v>
      </c>
      <c r="AN1556" t="n">
        <v>0</v>
      </c>
      <c r="AO1556" t="n">
        <v>0</v>
      </c>
      <c r="AP1556" t="inlineStr">
        <is>
          <t>No</t>
        </is>
      </c>
      <c r="AQ1556" t="inlineStr">
        <is>
          <t>No</t>
        </is>
      </c>
      <c r="AS1556">
        <f>HYPERLINK("https://creighton-primo.hosted.exlibrisgroup.com/primo-explore/search?tab=default_tab&amp;search_scope=EVERYTHING&amp;vid=01CRU&amp;lang=en_US&amp;offset=0&amp;query=any,contains,991001396739702656","Catalog Record")</f>
        <v/>
      </c>
      <c r="AT1556">
        <f>HYPERLINK("http://www.worldcat.org/oclc/18800842","WorldCat Record")</f>
        <v/>
      </c>
      <c r="AU1556" t="inlineStr">
        <is>
          <t>55153822:eng</t>
        </is>
      </c>
      <c r="AV1556" t="inlineStr">
        <is>
          <t>18800842</t>
        </is>
      </c>
      <c r="AW1556" t="inlineStr">
        <is>
          <t>991001396739702656</t>
        </is>
      </c>
      <c r="AX1556" t="inlineStr">
        <is>
          <t>991001396739702656</t>
        </is>
      </c>
      <c r="AY1556" t="inlineStr">
        <is>
          <t>2266252480002656</t>
        </is>
      </c>
      <c r="AZ1556" t="inlineStr">
        <is>
          <t>BOOK</t>
        </is>
      </c>
      <c r="BC1556" t="inlineStr">
        <is>
          <t>32285000008333</t>
        </is>
      </c>
      <c r="BD1556" t="inlineStr">
        <is>
          <t>893596441</t>
        </is>
      </c>
    </row>
    <row r="1557">
      <c r="A1557" t="inlineStr">
        <is>
          <t>No</t>
        </is>
      </c>
      <c r="B1557" t="inlineStr">
        <is>
          <t>HQ536 .W514 1991</t>
        </is>
      </c>
      <c r="C1557" t="inlineStr">
        <is>
          <t>0                      HQ 0536000W  514         1991</t>
        </is>
      </c>
      <c r="D1557" t="inlineStr">
        <is>
          <t>When families fail-- the social costs / edited by Bryce J. Christensen ; based on a conference co-sponsored by the Family Research Council, Washington, D.C. and the Rockford Institute, Rockford, Illinois.</t>
        </is>
      </c>
      <c r="F1557" t="inlineStr">
        <is>
          <t>No</t>
        </is>
      </c>
      <c r="G1557" t="inlineStr">
        <is>
          <t>1</t>
        </is>
      </c>
      <c r="H1557" t="inlineStr">
        <is>
          <t>No</t>
        </is>
      </c>
      <c r="I1557" t="inlineStr">
        <is>
          <t>No</t>
        </is>
      </c>
      <c r="J1557" t="inlineStr">
        <is>
          <t>0</t>
        </is>
      </c>
      <c r="L1557" t="inlineStr">
        <is>
          <t>Lanham : University Press of America ; Rockford, Ill. : Rockford Institute, c1991.</t>
        </is>
      </c>
      <c r="M1557" t="inlineStr">
        <is>
          <t>1991</t>
        </is>
      </c>
      <c r="O1557" t="inlineStr">
        <is>
          <t>eng</t>
        </is>
      </c>
      <c r="P1557" t="inlineStr">
        <is>
          <t>mdu</t>
        </is>
      </c>
      <c r="Q1557" t="inlineStr">
        <is>
          <t>The Family in America research series</t>
        </is>
      </c>
      <c r="R1557" t="inlineStr">
        <is>
          <t xml:space="preserve">HQ </t>
        </is>
      </c>
      <c r="S1557" t="n">
        <v>19</v>
      </c>
      <c r="T1557" t="n">
        <v>19</v>
      </c>
      <c r="U1557" t="inlineStr">
        <is>
          <t>1998-11-09</t>
        </is>
      </c>
      <c r="V1557" t="inlineStr">
        <is>
          <t>1998-11-09</t>
        </is>
      </c>
      <c r="W1557" t="inlineStr">
        <is>
          <t>1992-01-03</t>
        </is>
      </c>
      <c r="X1557" t="inlineStr">
        <is>
          <t>1992-01-03</t>
        </is>
      </c>
      <c r="Y1557" t="n">
        <v>239</v>
      </c>
      <c r="Z1557" t="n">
        <v>205</v>
      </c>
      <c r="AA1557" t="n">
        <v>207</v>
      </c>
      <c r="AB1557" t="n">
        <v>2</v>
      </c>
      <c r="AC1557" t="n">
        <v>2</v>
      </c>
      <c r="AD1557" t="n">
        <v>10</v>
      </c>
      <c r="AE1557" t="n">
        <v>10</v>
      </c>
      <c r="AF1557" t="n">
        <v>3</v>
      </c>
      <c r="AG1557" t="n">
        <v>3</v>
      </c>
      <c r="AH1557" t="n">
        <v>2</v>
      </c>
      <c r="AI1557" t="n">
        <v>2</v>
      </c>
      <c r="AJ1557" t="n">
        <v>5</v>
      </c>
      <c r="AK1557" t="n">
        <v>5</v>
      </c>
      <c r="AL1557" t="n">
        <v>1</v>
      </c>
      <c r="AM1557" t="n">
        <v>1</v>
      </c>
      <c r="AN1557" t="n">
        <v>0</v>
      </c>
      <c r="AO1557" t="n">
        <v>0</v>
      </c>
      <c r="AP1557" t="inlineStr">
        <is>
          <t>No</t>
        </is>
      </c>
      <c r="AQ1557" t="inlineStr">
        <is>
          <t>Yes</t>
        </is>
      </c>
      <c r="AR1557">
        <f>HYPERLINK("http://catalog.hathitrust.org/Record/002455348","HathiTrust Record")</f>
        <v/>
      </c>
      <c r="AS1557">
        <f>HYPERLINK("https://creighton-primo.hosted.exlibrisgroup.com/primo-explore/search?tab=default_tab&amp;search_scope=EVERYTHING&amp;vid=01CRU&amp;lang=en_US&amp;offset=0&amp;query=any,contains,991001835329702656","Catalog Record")</f>
        <v/>
      </c>
      <c r="AT1557">
        <f>HYPERLINK("http://www.worldcat.org/oclc/23051234","WorldCat Record")</f>
        <v/>
      </c>
      <c r="AU1557" t="inlineStr">
        <is>
          <t>23988194:eng</t>
        </is>
      </c>
      <c r="AV1557" t="inlineStr">
        <is>
          <t>23051234</t>
        </is>
      </c>
      <c r="AW1557" t="inlineStr">
        <is>
          <t>991001835329702656</t>
        </is>
      </c>
      <c r="AX1557" t="inlineStr">
        <is>
          <t>991001835329702656</t>
        </is>
      </c>
      <c r="AY1557" t="inlineStr">
        <is>
          <t>2265504280002656</t>
        </is>
      </c>
      <c r="AZ1557" t="inlineStr">
        <is>
          <t>BOOK</t>
        </is>
      </c>
      <c r="BB1557" t="inlineStr">
        <is>
          <t>9780819181411</t>
        </is>
      </c>
      <c r="BC1557" t="inlineStr">
        <is>
          <t>32285000863059</t>
        </is>
      </c>
      <c r="BD1557" t="inlineStr">
        <is>
          <t>893534717</t>
        </is>
      </c>
    </row>
    <row r="1558">
      <c r="A1558" t="inlineStr">
        <is>
          <t>No</t>
        </is>
      </c>
      <c r="B1558" t="inlineStr">
        <is>
          <t>HQ536 .Z518 1992</t>
        </is>
      </c>
      <c r="C1558" t="inlineStr">
        <is>
          <t>0                      HQ 0536000Z  518         1992</t>
        </is>
      </c>
      <c r="D1558" t="inlineStr">
        <is>
          <t>Family policies and family well-being : the role of political culture / Shirley L. Zimmerman.</t>
        </is>
      </c>
      <c r="F1558" t="inlineStr">
        <is>
          <t>No</t>
        </is>
      </c>
      <c r="G1558" t="inlineStr">
        <is>
          <t>1</t>
        </is>
      </c>
      <c r="H1558" t="inlineStr">
        <is>
          <t>Yes</t>
        </is>
      </c>
      <c r="I1558" t="inlineStr">
        <is>
          <t>No</t>
        </is>
      </c>
      <c r="J1558" t="inlineStr">
        <is>
          <t>0</t>
        </is>
      </c>
      <c r="K1558" t="inlineStr">
        <is>
          <t>Zimmerman, Shirley.</t>
        </is>
      </c>
      <c r="L1558" t="inlineStr">
        <is>
          <t>Newbury Park, Calif. : Sage Publications, c1992.</t>
        </is>
      </c>
      <c r="M1558" t="inlineStr">
        <is>
          <t>1992</t>
        </is>
      </c>
      <c r="O1558" t="inlineStr">
        <is>
          <t>eng</t>
        </is>
      </c>
      <c r="P1558" t="inlineStr">
        <is>
          <t>cau</t>
        </is>
      </c>
      <c r="Q1558" t="inlineStr">
        <is>
          <t>Sage sourcebooks for the human services series ; 20</t>
        </is>
      </c>
      <c r="R1558" t="inlineStr">
        <is>
          <t xml:space="preserve">HQ </t>
        </is>
      </c>
      <c r="S1558" t="n">
        <v>8</v>
      </c>
      <c r="T1558" t="n">
        <v>11</v>
      </c>
      <c r="U1558" t="inlineStr">
        <is>
          <t>1997-11-06</t>
        </is>
      </c>
      <c r="V1558" t="inlineStr">
        <is>
          <t>1997-11-06</t>
        </is>
      </c>
      <c r="W1558" t="inlineStr">
        <is>
          <t>1994-03-11</t>
        </is>
      </c>
      <c r="X1558" t="inlineStr">
        <is>
          <t>1994-03-11</t>
        </is>
      </c>
      <c r="Y1558" t="n">
        <v>455</v>
      </c>
      <c r="Z1558" t="n">
        <v>366</v>
      </c>
      <c r="AA1558" t="n">
        <v>434</v>
      </c>
      <c r="AB1558" t="n">
        <v>5</v>
      </c>
      <c r="AC1558" t="n">
        <v>5</v>
      </c>
      <c r="AD1558" t="n">
        <v>14</v>
      </c>
      <c r="AE1558" t="n">
        <v>18</v>
      </c>
      <c r="AF1558" t="n">
        <v>2</v>
      </c>
      <c r="AG1558" t="n">
        <v>4</v>
      </c>
      <c r="AH1558" t="n">
        <v>4</v>
      </c>
      <c r="AI1558" t="n">
        <v>6</v>
      </c>
      <c r="AJ1558" t="n">
        <v>7</v>
      </c>
      <c r="AK1558" t="n">
        <v>8</v>
      </c>
      <c r="AL1558" t="n">
        <v>3</v>
      </c>
      <c r="AM1558" t="n">
        <v>3</v>
      </c>
      <c r="AN1558" t="n">
        <v>0</v>
      </c>
      <c r="AO1558" t="n">
        <v>0</v>
      </c>
      <c r="AP1558" t="inlineStr">
        <is>
          <t>No</t>
        </is>
      </c>
      <c r="AQ1558" t="inlineStr">
        <is>
          <t>Yes</t>
        </is>
      </c>
      <c r="AR1558">
        <f>HYPERLINK("http://catalog.hathitrust.org/Record/002573975","HathiTrust Record")</f>
        <v/>
      </c>
      <c r="AS1558">
        <f>HYPERLINK("https://creighton-primo.hosted.exlibrisgroup.com/primo-explore/search?tab=default_tab&amp;search_scope=EVERYTHING&amp;vid=01CRU&amp;lang=en_US&amp;offset=0&amp;query=any,contains,991001796089702656","Catalog Record")</f>
        <v/>
      </c>
      <c r="AT1558">
        <f>HYPERLINK("http://www.worldcat.org/oclc/25872521","WorldCat Record")</f>
        <v/>
      </c>
      <c r="AU1558" t="inlineStr">
        <is>
          <t>324373089:eng</t>
        </is>
      </c>
      <c r="AV1558" t="inlineStr">
        <is>
          <t>25872521</t>
        </is>
      </c>
      <c r="AW1558" t="inlineStr">
        <is>
          <t>991001796089702656</t>
        </is>
      </c>
      <c r="AX1558" t="inlineStr">
        <is>
          <t>991001796089702656</t>
        </is>
      </c>
      <c r="AY1558" t="inlineStr">
        <is>
          <t>2270883170002656</t>
        </is>
      </c>
      <c r="AZ1558" t="inlineStr">
        <is>
          <t>BOOK</t>
        </is>
      </c>
      <c r="BB1558" t="inlineStr">
        <is>
          <t>9780803942868</t>
        </is>
      </c>
      <c r="BC1558" t="inlineStr">
        <is>
          <t>32285001844827</t>
        </is>
      </c>
      <c r="BD1558" t="inlineStr">
        <is>
          <t>893709550</t>
        </is>
      </c>
    </row>
    <row r="1559">
      <c r="A1559" t="inlineStr">
        <is>
          <t>No</t>
        </is>
      </c>
      <c r="B1559" t="inlineStr">
        <is>
          <t>HQ536.15.S26 S73 1990</t>
        </is>
      </c>
      <c r="C1559" t="inlineStr">
        <is>
          <t>0                      HQ 0536150S  26                 S  73          1990</t>
        </is>
      </c>
      <c r="D1559" t="inlineStr">
        <is>
          <t>Brave new families : stories of domestic upheaval in late twentieth century America / Judith Stacey.</t>
        </is>
      </c>
      <c r="F1559" t="inlineStr">
        <is>
          <t>No</t>
        </is>
      </c>
      <c r="G1559" t="inlineStr">
        <is>
          <t>1</t>
        </is>
      </c>
      <c r="H1559" t="inlineStr">
        <is>
          <t>Yes</t>
        </is>
      </c>
      <c r="I1559" t="inlineStr">
        <is>
          <t>No</t>
        </is>
      </c>
      <c r="J1559" t="inlineStr">
        <is>
          <t>0</t>
        </is>
      </c>
      <c r="K1559" t="inlineStr">
        <is>
          <t>Stacey, Judith.</t>
        </is>
      </c>
      <c r="L1559" t="inlineStr">
        <is>
          <t>New York : Basic Books, c1990.</t>
        </is>
      </c>
      <c r="M1559" t="inlineStr">
        <is>
          <t>1990</t>
        </is>
      </c>
      <c r="O1559" t="inlineStr">
        <is>
          <t>eng</t>
        </is>
      </c>
      <c r="P1559" t="inlineStr">
        <is>
          <t>nyu</t>
        </is>
      </c>
      <c r="R1559" t="inlineStr">
        <is>
          <t xml:space="preserve">HQ </t>
        </is>
      </c>
      <c r="S1559" t="n">
        <v>13</v>
      </c>
      <c r="T1559" t="n">
        <v>15</v>
      </c>
      <c r="U1559" t="inlineStr">
        <is>
          <t>2005-09-14</t>
        </is>
      </c>
      <c r="V1559" t="inlineStr">
        <is>
          <t>2005-09-14</t>
        </is>
      </c>
      <c r="W1559" t="inlineStr">
        <is>
          <t>1991-01-28</t>
        </is>
      </c>
      <c r="X1559" t="inlineStr">
        <is>
          <t>1995-07-31</t>
        </is>
      </c>
      <c r="Y1559" t="n">
        <v>882</v>
      </c>
      <c r="Z1559" t="n">
        <v>780</v>
      </c>
      <c r="AA1559" t="n">
        <v>894</v>
      </c>
      <c r="AB1559" t="n">
        <v>8</v>
      </c>
      <c r="AC1559" t="n">
        <v>10</v>
      </c>
      <c r="AD1559" t="n">
        <v>29</v>
      </c>
      <c r="AE1559" t="n">
        <v>37</v>
      </c>
      <c r="AF1559" t="n">
        <v>13</v>
      </c>
      <c r="AG1559" t="n">
        <v>17</v>
      </c>
      <c r="AH1559" t="n">
        <v>6</v>
      </c>
      <c r="AI1559" t="n">
        <v>7</v>
      </c>
      <c r="AJ1559" t="n">
        <v>13</v>
      </c>
      <c r="AK1559" t="n">
        <v>15</v>
      </c>
      <c r="AL1559" t="n">
        <v>6</v>
      </c>
      <c r="AM1559" t="n">
        <v>8</v>
      </c>
      <c r="AN1559" t="n">
        <v>0</v>
      </c>
      <c r="AO1559" t="n">
        <v>0</v>
      </c>
      <c r="AP1559" t="inlineStr">
        <is>
          <t>No</t>
        </is>
      </c>
      <c r="AQ1559" t="inlineStr">
        <is>
          <t>No</t>
        </is>
      </c>
      <c r="AS1559">
        <f>HYPERLINK("https://creighton-primo.hosted.exlibrisgroup.com/primo-explore/search?tab=default_tab&amp;search_scope=EVERYTHING&amp;vid=01CRU&amp;lang=en_US&amp;offset=0&amp;query=any,contains,991001645519702656","Catalog Record")</f>
        <v/>
      </c>
      <c r="AT1559">
        <f>HYPERLINK("http://www.worldcat.org/oclc/21525612","WorldCat Record")</f>
        <v/>
      </c>
      <c r="AU1559" t="inlineStr">
        <is>
          <t>555172:eng</t>
        </is>
      </c>
      <c r="AV1559" t="inlineStr">
        <is>
          <t>21525612</t>
        </is>
      </c>
      <c r="AW1559" t="inlineStr">
        <is>
          <t>991001645519702656</t>
        </is>
      </c>
      <c r="AX1559" t="inlineStr">
        <is>
          <t>991001645519702656</t>
        </is>
      </c>
      <c r="AY1559" t="inlineStr">
        <is>
          <t>2255867960002656</t>
        </is>
      </c>
      <c r="AZ1559" t="inlineStr">
        <is>
          <t>BOOK</t>
        </is>
      </c>
      <c r="BB1559" t="inlineStr">
        <is>
          <t>9780465007462</t>
        </is>
      </c>
      <c r="BC1559" t="inlineStr">
        <is>
          <t>32285000461656</t>
        </is>
      </c>
      <c r="BD1559" t="inlineStr">
        <is>
          <t>893322109</t>
        </is>
      </c>
    </row>
    <row r="1560">
      <c r="A1560" t="inlineStr">
        <is>
          <t>No</t>
        </is>
      </c>
      <c r="B1560" t="inlineStr">
        <is>
          <t>HQ536.15.W47 S73 1990</t>
        </is>
      </c>
      <c r="C1560" t="inlineStr">
        <is>
          <t>0                      HQ 0536150W  47                 S  73          1990</t>
        </is>
      </c>
      <c r="D1560" t="inlineStr">
        <is>
          <t>Christiantown, USA / Richard Stellway.</t>
        </is>
      </c>
      <c r="F1560" t="inlineStr">
        <is>
          <t>No</t>
        </is>
      </c>
      <c r="G1560" t="inlineStr">
        <is>
          <t>1</t>
        </is>
      </c>
      <c r="H1560" t="inlineStr">
        <is>
          <t>No</t>
        </is>
      </c>
      <c r="I1560" t="inlineStr">
        <is>
          <t>No</t>
        </is>
      </c>
      <c r="J1560" t="inlineStr">
        <is>
          <t>0</t>
        </is>
      </c>
      <c r="K1560" t="inlineStr">
        <is>
          <t>Stellway, Richard J., 1943-</t>
        </is>
      </c>
      <c r="L1560" t="inlineStr">
        <is>
          <t>New York : Haworth Press, c1990.</t>
        </is>
      </c>
      <c r="M1560" t="inlineStr">
        <is>
          <t>1990</t>
        </is>
      </c>
      <c r="O1560" t="inlineStr">
        <is>
          <t>eng</t>
        </is>
      </c>
      <c r="P1560" t="inlineStr">
        <is>
          <t>nyu</t>
        </is>
      </c>
      <c r="Q1560" t="inlineStr">
        <is>
          <t>Haworth marriage &amp; the family</t>
        </is>
      </c>
      <c r="R1560" t="inlineStr">
        <is>
          <t xml:space="preserve">HQ </t>
        </is>
      </c>
      <c r="S1560" t="n">
        <v>3</v>
      </c>
      <c r="T1560" t="n">
        <v>3</v>
      </c>
      <c r="U1560" t="inlineStr">
        <is>
          <t>1995-05-16</t>
        </is>
      </c>
      <c r="V1560" t="inlineStr">
        <is>
          <t>1995-05-16</t>
        </is>
      </c>
      <c r="W1560" t="inlineStr">
        <is>
          <t>1995-04-24</t>
        </is>
      </c>
      <c r="X1560" t="inlineStr">
        <is>
          <t>1995-04-24</t>
        </is>
      </c>
      <c r="Y1560" t="n">
        <v>288</v>
      </c>
      <c r="Z1560" t="n">
        <v>254</v>
      </c>
      <c r="AA1560" t="n">
        <v>277</v>
      </c>
      <c r="AB1560" t="n">
        <v>2</v>
      </c>
      <c r="AC1560" t="n">
        <v>2</v>
      </c>
      <c r="AD1560" t="n">
        <v>10</v>
      </c>
      <c r="AE1560" t="n">
        <v>10</v>
      </c>
      <c r="AF1560" t="n">
        <v>4</v>
      </c>
      <c r="AG1560" t="n">
        <v>4</v>
      </c>
      <c r="AH1560" t="n">
        <v>2</v>
      </c>
      <c r="AI1560" t="n">
        <v>2</v>
      </c>
      <c r="AJ1560" t="n">
        <v>5</v>
      </c>
      <c r="AK1560" t="n">
        <v>5</v>
      </c>
      <c r="AL1560" t="n">
        <v>1</v>
      </c>
      <c r="AM1560" t="n">
        <v>1</v>
      </c>
      <c r="AN1560" t="n">
        <v>0</v>
      </c>
      <c r="AO1560" t="n">
        <v>0</v>
      </c>
      <c r="AP1560" t="inlineStr">
        <is>
          <t>No</t>
        </is>
      </c>
      <c r="AQ1560" t="inlineStr">
        <is>
          <t>Yes</t>
        </is>
      </c>
      <c r="AR1560">
        <f>HYPERLINK("http://catalog.hathitrust.org/Record/002467854","HathiTrust Record")</f>
        <v/>
      </c>
      <c r="AS1560">
        <f>HYPERLINK("https://creighton-primo.hosted.exlibrisgroup.com/primo-explore/search?tab=default_tab&amp;search_scope=EVERYTHING&amp;vid=01CRU&amp;lang=en_US&amp;offset=0&amp;query=any,contains,991001682499702656","Catalog Record")</f>
        <v/>
      </c>
      <c r="AT1560">
        <f>HYPERLINK("http://www.worldcat.org/oclc/21373449","WorldCat Record")</f>
        <v/>
      </c>
      <c r="AU1560" t="inlineStr">
        <is>
          <t>22337530:eng</t>
        </is>
      </c>
      <c r="AV1560" t="inlineStr">
        <is>
          <t>21373449</t>
        </is>
      </c>
      <c r="AW1560" t="inlineStr">
        <is>
          <t>991001682499702656</t>
        </is>
      </c>
      <c r="AX1560" t="inlineStr">
        <is>
          <t>991001682499702656</t>
        </is>
      </c>
      <c r="AY1560" t="inlineStr">
        <is>
          <t>2265972920002656</t>
        </is>
      </c>
      <c r="AZ1560" t="inlineStr">
        <is>
          <t>BOOK</t>
        </is>
      </c>
      <c r="BB1560" t="inlineStr">
        <is>
          <t>9780866569088</t>
        </is>
      </c>
      <c r="BC1560" t="inlineStr">
        <is>
          <t>32285002008877</t>
        </is>
      </c>
      <c r="BD1560" t="inlineStr">
        <is>
          <t>893226027</t>
        </is>
      </c>
    </row>
    <row r="1561">
      <c r="A1561" t="inlineStr">
        <is>
          <t>No</t>
        </is>
      </c>
      <c r="B1561" t="inlineStr">
        <is>
          <t>HQ54 .B58 1981</t>
        </is>
      </c>
      <c r="C1561" t="inlineStr">
        <is>
          <t>0                      HQ 0054000B  58          1981</t>
        </is>
      </c>
      <c r="D1561" t="inlineStr">
        <is>
          <t>Feeling good about yourself : a guide for people working with people who have disabilities / Gloria Blum, Barry Blum.</t>
        </is>
      </c>
      <c r="F1561" t="inlineStr">
        <is>
          <t>No</t>
        </is>
      </c>
      <c r="G1561" t="inlineStr">
        <is>
          <t>1</t>
        </is>
      </c>
      <c r="H1561" t="inlineStr">
        <is>
          <t>No</t>
        </is>
      </c>
      <c r="I1561" t="inlineStr">
        <is>
          <t>No</t>
        </is>
      </c>
      <c r="J1561" t="inlineStr">
        <is>
          <t>0</t>
        </is>
      </c>
      <c r="K1561" t="inlineStr">
        <is>
          <t>Blum, Gloria.</t>
        </is>
      </c>
      <c r="L1561" t="inlineStr">
        <is>
          <t>Mill Valley, Calif. : Feeling Good Associates, 1981.</t>
        </is>
      </c>
      <c r="M1561" t="inlineStr">
        <is>
          <t>1981</t>
        </is>
      </c>
      <c r="N1561" t="inlineStr">
        <is>
          <t>2nd ed.</t>
        </is>
      </c>
      <c r="O1561" t="inlineStr">
        <is>
          <t>eng</t>
        </is>
      </c>
      <c r="P1561" t="inlineStr">
        <is>
          <t>cau</t>
        </is>
      </c>
      <c r="R1561" t="inlineStr">
        <is>
          <t xml:space="preserve">HQ </t>
        </is>
      </c>
      <c r="S1561" t="n">
        <v>3</v>
      </c>
      <c r="T1561" t="n">
        <v>3</v>
      </c>
      <c r="U1561" t="inlineStr">
        <is>
          <t>2002-11-05</t>
        </is>
      </c>
      <c r="V1561" t="inlineStr">
        <is>
          <t>2002-11-05</t>
        </is>
      </c>
      <c r="W1561" t="inlineStr">
        <is>
          <t>1992-10-22</t>
        </is>
      </c>
      <c r="X1561" t="inlineStr">
        <is>
          <t>1992-10-22</t>
        </is>
      </c>
      <c r="Y1561" t="n">
        <v>47</v>
      </c>
      <c r="Z1561" t="n">
        <v>34</v>
      </c>
      <c r="AA1561" t="n">
        <v>45</v>
      </c>
      <c r="AB1561" t="n">
        <v>1</v>
      </c>
      <c r="AC1561" t="n">
        <v>2</v>
      </c>
      <c r="AD1561" t="n">
        <v>2</v>
      </c>
      <c r="AE1561" t="n">
        <v>3</v>
      </c>
      <c r="AF1561" t="n">
        <v>0</v>
      </c>
      <c r="AG1561" t="n">
        <v>0</v>
      </c>
      <c r="AH1561" t="n">
        <v>0</v>
      </c>
      <c r="AI1561" t="n">
        <v>0</v>
      </c>
      <c r="AJ1561" t="n">
        <v>2</v>
      </c>
      <c r="AK1561" t="n">
        <v>2</v>
      </c>
      <c r="AL1561" t="n">
        <v>0</v>
      </c>
      <c r="AM1561" t="n">
        <v>1</v>
      </c>
      <c r="AN1561" t="n">
        <v>0</v>
      </c>
      <c r="AO1561" t="n">
        <v>0</v>
      </c>
      <c r="AP1561" t="inlineStr">
        <is>
          <t>No</t>
        </is>
      </c>
      <c r="AQ1561" t="inlineStr">
        <is>
          <t>Yes</t>
        </is>
      </c>
      <c r="AR1561">
        <f>HYPERLINK("http://catalog.hathitrust.org/Record/000150561","HathiTrust Record")</f>
        <v/>
      </c>
      <c r="AS1561">
        <f>HYPERLINK("https://creighton-primo.hosted.exlibrisgroup.com/primo-explore/search?tab=default_tab&amp;search_scope=EVERYTHING&amp;vid=01CRU&amp;lang=en_US&amp;offset=0&amp;query=any,contains,991000019679702656","Catalog Record")</f>
        <v/>
      </c>
      <c r="AT1561">
        <f>HYPERLINK("http://www.worldcat.org/oclc/8560361","WorldCat Record")</f>
        <v/>
      </c>
      <c r="AU1561" t="inlineStr">
        <is>
          <t>24373167:eng</t>
        </is>
      </c>
      <c r="AV1561" t="inlineStr">
        <is>
          <t>8560361</t>
        </is>
      </c>
      <c r="AW1561" t="inlineStr">
        <is>
          <t>991000019679702656</t>
        </is>
      </c>
      <c r="AX1561" t="inlineStr">
        <is>
          <t>991000019679702656</t>
        </is>
      </c>
      <c r="AY1561" t="inlineStr">
        <is>
          <t>2256090720002656</t>
        </is>
      </c>
      <c r="AZ1561" t="inlineStr">
        <is>
          <t>BOOK</t>
        </is>
      </c>
      <c r="BB1561" t="inlineStr">
        <is>
          <t>9780878791811</t>
        </is>
      </c>
      <c r="BC1561" t="inlineStr">
        <is>
          <t>32285001358190</t>
        </is>
      </c>
      <c r="BD1561" t="inlineStr">
        <is>
          <t>893683100</t>
        </is>
      </c>
    </row>
    <row r="1562">
      <c r="A1562" t="inlineStr">
        <is>
          <t>No</t>
        </is>
      </c>
      <c r="B1562" t="inlineStr">
        <is>
          <t>HQ553 .F37</t>
        </is>
      </c>
      <c r="C1562" t="inlineStr">
        <is>
          <t>0                      HQ 0553000F  37</t>
        </is>
      </c>
      <c r="D1562" t="inlineStr">
        <is>
          <t>Women and men on the overland trail / John Mack Faragher.</t>
        </is>
      </c>
      <c r="F1562" t="inlineStr">
        <is>
          <t>No</t>
        </is>
      </c>
      <c r="G1562" t="inlineStr">
        <is>
          <t>1</t>
        </is>
      </c>
      <c r="H1562" t="inlineStr">
        <is>
          <t>No</t>
        </is>
      </c>
      <c r="I1562" t="inlineStr">
        <is>
          <t>No</t>
        </is>
      </c>
      <c r="J1562" t="inlineStr">
        <is>
          <t>0</t>
        </is>
      </c>
      <c r="K1562" t="inlineStr">
        <is>
          <t>Faragher, John Mack, 1945-</t>
        </is>
      </c>
      <c r="L1562" t="inlineStr">
        <is>
          <t>New Haven : Yale University Press, 1979.</t>
        </is>
      </c>
      <c r="M1562" t="inlineStr">
        <is>
          <t>1979</t>
        </is>
      </c>
      <c r="O1562" t="inlineStr">
        <is>
          <t>eng</t>
        </is>
      </c>
      <c r="P1562" t="inlineStr">
        <is>
          <t>ctu</t>
        </is>
      </c>
      <c r="Q1562" t="inlineStr">
        <is>
          <t>Yale historical publications. Miscellany ; 121</t>
        </is>
      </c>
      <c r="R1562" t="inlineStr">
        <is>
          <t xml:space="preserve">HQ </t>
        </is>
      </c>
      <c r="S1562" t="n">
        <v>9</v>
      </c>
      <c r="T1562" t="n">
        <v>9</v>
      </c>
      <c r="U1562" t="inlineStr">
        <is>
          <t>2004-10-26</t>
        </is>
      </c>
      <c r="V1562" t="inlineStr">
        <is>
          <t>2004-10-26</t>
        </is>
      </c>
      <c r="W1562" t="inlineStr">
        <is>
          <t>1992-10-29</t>
        </is>
      </c>
      <c r="X1562" t="inlineStr">
        <is>
          <t>1992-10-29</t>
        </is>
      </c>
      <c r="Y1562" t="n">
        <v>1176</v>
      </c>
      <c r="Z1562" t="n">
        <v>1073</v>
      </c>
      <c r="AA1562" t="n">
        <v>1700</v>
      </c>
      <c r="AB1562" t="n">
        <v>12</v>
      </c>
      <c r="AC1562" t="n">
        <v>20</v>
      </c>
      <c r="AD1562" t="n">
        <v>44</v>
      </c>
      <c r="AE1562" t="n">
        <v>60</v>
      </c>
      <c r="AF1562" t="n">
        <v>15</v>
      </c>
      <c r="AG1562" t="n">
        <v>21</v>
      </c>
      <c r="AH1562" t="n">
        <v>8</v>
      </c>
      <c r="AI1562" t="n">
        <v>9</v>
      </c>
      <c r="AJ1562" t="n">
        <v>22</v>
      </c>
      <c r="AK1562" t="n">
        <v>24</v>
      </c>
      <c r="AL1562" t="n">
        <v>9</v>
      </c>
      <c r="AM1562" t="n">
        <v>16</v>
      </c>
      <c r="AN1562" t="n">
        <v>0</v>
      </c>
      <c r="AO1562" t="n">
        <v>1</v>
      </c>
      <c r="AP1562" t="inlineStr">
        <is>
          <t>No</t>
        </is>
      </c>
      <c r="AQ1562" t="inlineStr">
        <is>
          <t>No</t>
        </is>
      </c>
      <c r="AS1562">
        <f>HYPERLINK("https://creighton-primo.hosted.exlibrisgroup.com/primo-explore/search?tab=default_tab&amp;search_scope=EVERYTHING&amp;vid=01CRU&amp;lang=en_US&amp;offset=0&amp;query=any,contains,991004659799702656","Catalog Record")</f>
        <v/>
      </c>
      <c r="AT1562">
        <f>HYPERLINK("http://www.worldcat.org/oclc/4496466","WorldCat Record")</f>
        <v/>
      </c>
      <c r="AU1562" t="inlineStr">
        <is>
          <t>5534198842:eng</t>
        </is>
      </c>
      <c r="AV1562" t="inlineStr">
        <is>
          <t>4496466</t>
        </is>
      </c>
      <c r="AW1562" t="inlineStr">
        <is>
          <t>991004659799702656</t>
        </is>
      </c>
      <c r="AX1562" t="inlineStr">
        <is>
          <t>991004659799702656</t>
        </is>
      </c>
      <c r="AY1562" t="inlineStr">
        <is>
          <t>2268581470002656</t>
        </is>
      </c>
      <c r="AZ1562" t="inlineStr">
        <is>
          <t>BOOK</t>
        </is>
      </c>
      <c r="BB1562" t="inlineStr">
        <is>
          <t>9780300022674</t>
        </is>
      </c>
      <c r="BC1562" t="inlineStr">
        <is>
          <t>32285001358927</t>
        </is>
      </c>
      <c r="BD1562" t="inlineStr">
        <is>
          <t>893901490</t>
        </is>
      </c>
    </row>
    <row r="1563">
      <c r="A1563" t="inlineStr">
        <is>
          <t>No</t>
        </is>
      </c>
      <c r="B1563" t="inlineStr">
        <is>
          <t>HQ555.C2 D38 1982</t>
        </is>
      </c>
      <c r="C1563" t="inlineStr">
        <is>
          <t>0                      HQ 0555000C  2                  D  38          1982</t>
        </is>
      </c>
      <c r="D1563" t="inlineStr">
        <is>
          <t>Families in a working world : the impact of organizations on domestic life / Margaret R. Davis.</t>
        </is>
      </c>
      <c r="F1563" t="inlineStr">
        <is>
          <t>No</t>
        </is>
      </c>
      <c r="G1563" t="inlineStr">
        <is>
          <t>1</t>
        </is>
      </c>
      <c r="H1563" t="inlineStr">
        <is>
          <t>No</t>
        </is>
      </c>
      <c r="I1563" t="inlineStr">
        <is>
          <t>No</t>
        </is>
      </c>
      <c r="J1563" t="inlineStr">
        <is>
          <t>0</t>
        </is>
      </c>
      <c r="K1563" t="inlineStr">
        <is>
          <t>Davis, Margaret R., 1931-</t>
        </is>
      </c>
      <c r="L1563" t="inlineStr">
        <is>
          <t>New York : Praeger, 1982.</t>
        </is>
      </c>
      <c r="M1563" t="inlineStr">
        <is>
          <t>1982</t>
        </is>
      </c>
      <c r="O1563" t="inlineStr">
        <is>
          <t>eng</t>
        </is>
      </c>
      <c r="P1563" t="inlineStr">
        <is>
          <t>nyu</t>
        </is>
      </c>
      <c r="Q1563" t="inlineStr">
        <is>
          <t>Praeger studies on changing issues in the family</t>
        </is>
      </c>
      <c r="R1563" t="inlineStr">
        <is>
          <t xml:space="preserve">HQ </t>
        </is>
      </c>
      <c r="S1563" t="n">
        <v>2</v>
      </c>
      <c r="T1563" t="n">
        <v>2</v>
      </c>
      <c r="U1563" t="inlineStr">
        <is>
          <t>1997-04-03</t>
        </is>
      </c>
      <c r="V1563" t="inlineStr">
        <is>
          <t>1997-04-03</t>
        </is>
      </c>
      <c r="W1563" t="inlineStr">
        <is>
          <t>1992-10-29</t>
        </is>
      </c>
      <c r="X1563" t="inlineStr">
        <is>
          <t>1992-10-29</t>
        </is>
      </c>
      <c r="Y1563" t="n">
        <v>337</v>
      </c>
      <c r="Z1563" t="n">
        <v>280</v>
      </c>
      <c r="AA1563" t="n">
        <v>287</v>
      </c>
      <c r="AB1563" t="n">
        <v>4</v>
      </c>
      <c r="AC1563" t="n">
        <v>4</v>
      </c>
      <c r="AD1563" t="n">
        <v>15</v>
      </c>
      <c r="AE1563" t="n">
        <v>15</v>
      </c>
      <c r="AF1563" t="n">
        <v>4</v>
      </c>
      <c r="AG1563" t="n">
        <v>4</v>
      </c>
      <c r="AH1563" t="n">
        <v>4</v>
      </c>
      <c r="AI1563" t="n">
        <v>4</v>
      </c>
      <c r="AJ1563" t="n">
        <v>8</v>
      </c>
      <c r="AK1563" t="n">
        <v>8</v>
      </c>
      <c r="AL1563" t="n">
        <v>3</v>
      </c>
      <c r="AM1563" t="n">
        <v>3</v>
      </c>
      <c r="AN1563" t="n">
        <v>0</v>
      </c>
      <c r="AO1563" t="n">
        <v>0</v>
      </c>
      <c r="AP1563" t="inlineStr">
        <is>
          <t>No</t>
        </is>
      </c>
      <c r="AQ1563" t="inlineStr">
        <is>
          <t>Yes</t>
        </is>
      </c>
      <c r="AR1563">
        <f>HYPERLINK("http://catalog.hathitrust.org/Record/000146693","HathiTrust Record")</f>
        <v/>
      </c>
      <c r="AS1563">
        <f>HYPERLINK("https://creighton-primo.hosted.exlibrisgroup.com/primo-explore/search?tab=default_tab&amp;search_scope=EVERYTHING&amp;vid=01CRU&amp;lang=en_US&amp;offset=0&amp;query=any,contains,991005211099702656","Catalog Record")</f>
        <v/>
      </c>
      <c r="AT1563">
        <f>HYPERLINK("http://www.worldcat.org/oclc/8169008","WorldCat Record")</f>
        <v/>
      </c>
      <c r="AU1563" t="inlineStr">
        <is>
          <t>223824160:eng</t>
        </is>
      </c>
      <c r="AV1563" t="inlineStr">
        <is>
          <t>8169008</t>
        </is>
      </c>
      <c r="AW1563" t="inlineStr">
        <is>
          <t>991005211099702656</t>
        </is>
      </c>
      <c r="AX1563" t="inlineStr">
        <is>
          <t>991005211099702656</t>
        </is>
      </c>
      <c r="AY1563" t="inlineStr">
        <is>
          <t>2269844680002656</t>
        </is>
      </c>
      <c r="AZ1563" t="inlineStr">
        <is>
          <t>BOOK</t>
        </is>
      </c>
      <c r="BB1563" t="inlineStr">
        <is>
          <t>9780030597749</t>
        </is>
      </c>
      <c r="BC1563" t="inlineStr">
        <is>
          <t>32285001358935</t>
        </is>
      </c>
      <c r="BD1563" t="inlineStr">
        <is>
          <t>893870701</t>
        </is>
      </c>
    </row>
    <row r="1564">
      <c r="A1564" t="inlineStr">
        <is>
          <t>No</t>
        </is>
      </c>
      <c r="B1564" t="inlineStr">
        <is>
          <t>HQ555.M37 F35</t>
        </is>
      </c>
      <c r="C1564" t="inlineStr">
        <is>
          <t>0                      HQ 0555000M  37                 F  35</t>
        </is>
      </c>
      <c r="D1564" t="inlineStr">
        <is>
          <t>Transitions : the family and the life course in historical perspective / edited by Tamara K. Hareven.</t>
        </is>
      </c>
      <c r="F1564" t="inlineStr">
        <is>
          <t>No</t>
        </is>
      </c>
      <c r="G1564" t="inlineStr">
        <is>
          <t>1</t>
        </is>
      </c>
      <c r="H1564" t="inlineStr">
        <is>
          <t>No</t>
        </is>
      </c>
      <c r="I1564" t="inlineStr">
        <is>
          <t>No</t>
        </is>
      </c>
      <c r="J1564" t="inlineStr">
        <is>
          <t>0</t>
        </is>
      </c>
      <c r="L1564" t="inlineStr">
        <is>
          <t>New York : Academic Press, c1978.</t>
        </is>
      </c>
      <c r="M1564" t="inlineStr">
        <is>
          <t>1978</t>
        </is>
      </c>
      <c r="O1564" t="inlineStr">
        <is>
          <t>eng</t>
        </is>
      </c>
      <c r="P1564" t="inlineStr">
        <is>
          <t>nyu</t>
        </is>
      </c>
      <c r="Q1564" t="inlineStr">
        <is>
          <t>Studies in social discontinuity</t>
        </is>
      </c>
      <c r="R1564" t="inlineStr">
        <is>
          <t xml:space="preserve">HQ </t>
        </is>
      </c>
      <c r="S1564" t="n">
        <v>1</v>
      </c>
      <c r="T1564" t="n">
        <v>1</v>
      </c>
      <c r="U1564" t="inlineStr">
        <is>
          <t>1997-09-19</t>
        </is>
      </c>
      <c r="V1564" t="inlineStr">
        <is>
          <t>1997-09-19</t>
        </is>
      </c>
      <c r="W1564" t="inlineStr">
        <is>
          <t>1992-10-29</t>
        </is>
      </c>
      <c r="X1564" t="inlineStr">
        <is>
          <t>1992-10-29</t>
        </is>
      </c>
      <c r="Y1564" t="n">
        <v>623</v>
      </c>
      <c r="Z1564" t="n">
        <v>462</v>
      </c>
      <c r="AA1564" t="n">
        <v>496</v>
      </c>
      <c r="AB1564" t="n">
        <v>4</v>
      </c>
      <c r="AC1564" t="n">
        <v>4</v>
      </c>
      <c r="AD1564" t="n">
        <v>17</v>
      </c>
      <c r="AE1564" t="n">
        <v>20</v>
      </c>
      <c r="AF1564" t="n">
        <v>4</v>
      </c>
      <c r="AG1564" t="n">
        <v>6</v>
      </c>
      <c r="AH1564" t="n">
        <v>4</v>
      </c>
      <c r="AI1564" t="n">
        <v>6</v>
      </c>
      <c r="AJ1564" t="n">
        <v>11</v>
      </c>
      <c r="AK1564" t="n">
        <v>11</v>
      </c>
      <c r="AL1564" t="n">
        <v>2</v>
      </c>
      <c r="AM1564" t="n">
        <v>2</v>
      </c>
      <c r="AN1564" t="n">
        <v>0</v>
      </c>
      <c r="AO1564" t="n">
        <v>0</v>
      </c>
      <c r="AP1564" t="inlineStr">
        <is>
          <t>No</t>
        </is>
      </c>
      <c r="AQ1564" t="inlineStr">
        <is>
          <t>Yes</t>
        </is>
      </c>
      <c r="AR1564">
        <f>HYPERLINK("http://catalog.hathitrust.org/Record/000138644","HathiTrust Record")</f>
        <v/>
      </c>
      <c r="AS1564">
        <f>HYPERLINK("https://creighton-primo.hosted.exlibrisgroup.com/primo-explore/search?tab=default_tab&amp;search_scope=EVERYTHING&amp;vid=01CRU&amp;lang=en_US&amp;offset=0&amp;query=any,contains,991004605299702656","Catalog Record")</f>
        <v/>
      </c>
      <c r="AT1564">
        <f>HYPERLINK("http://www.worldcat.org/oclc/4194163","WorldCat Record")</f>
        <v/>
      </c>
      <c r="AU1564" t="inlineStr">
        <is>
          <t>896515759:eng</t>
        </is>
      </c>
      <c r="AV1564" t="inlineStr">
        <is>
          <t>4194163</t>
        </is>
      </c>
      <c r="AW1564" t="inlineStr">
        <is>
          <t>991004605299702656</t>
        </is>
      </c>
      <c r="AX1564" t="inlineStr">
        <is>
          <t>991004605299702656</t>
        </is>
      </c>
      <c r="AY1564" t="inlineStr">
        <is>
          <t>2262355630002656</t>
        </is>
      </c>
      <c r="AZ1564" t="inlineStr">
        <is>
          <t>BOOK</t>
        </is>
      </c>
      <c r="BB1564" t="inlineStr">
        <is>
          <t>9780123251503</t>
        </is>
      </c>
      <c r="BC1564" t="inlineStr">
        <is>
          <t>32285001358968</t>
        </is>
      </c>
      <c r="BD1564" t="inlineStr">
        <is>
          <t>893876305</t>
        </is>
      </c>
    </row>
    <row r="1565">
      <c r="A1565" t="inlineStr">
        <is>
          <t>No</t>
        </is>
      </c>
      <c r="B1565" t="inlineStr">
        <is>
          <t>HQ555.N6 C73 1982</t>
        </is>
      </c>
      <c r="C1565" t="inlineStr">
        <is>
          <t>0                      HQ 0555000N  6                  C  73          1982</t>
        </is>
      </c>
      <c r="D1565" t="inlineStr">
        <is>
          <t>The impact of intimacy : Mexican-Anglo intermarriage in New Mexico, 1821-1846 / by Rebecca McDowell Craver.</t>
        </is>
      </c>
      <c r="F1565" t="inlineStr">
        <is>
          <t>No</t>
        </is>
      </c>
      <c r="G1565" t="inlineStr">
        <is>
          <t>1</t>
        </is>
      </c>
      <c r="H1565" t="inlineStr">
        <is>
          <t>No</t>
        </is>
      </c>
      <c r="I1565" t="inlineStr">
        <is>
          <t>No</t>
        </is>
      </c>
      <c r="J1565" t="inlineStr">
        <is>
          <t>0</t>
        </is>
      </c>
      <c r="K1565" t="inlineStr">
        <is>
          <t>Craver, Rebecca McDowell.</t>
        </is>
      </c>
      <c r="L1565" t="inlineStr">
        <is>
          <t>[El Paso] : Texas Western Press, the University of Texas at El Paso, c1982.</t>
        </is>
      </c>
      <c r="M1565" t="inlineStr">
        <is>
          <t>1982</t>
        </is>
      </c>
      <c r="O1565" t="inlineStr">
        <is>
          <t>eng</t>
        </is>
      </c>
      <c r="P1565" t="inlineStr">
        <is>
          <t>txu</t>
        </is>
      </c>
      <c r="Q1565" t="inlineStr">
        <is>
          <t>Southwestern studies ; monograph no. 66</t>
        </is>
      </c>
      <c r="R1565" t="inlineStr">
        <is>
          <t xml:space="preserve">HQ </t>
        </is>
      </c>
      <c r="S1565" t="n">
        <v>4</v>
      </c>
      <c r="T1565" t="n">
        <v>4</v>
      </c>
      <c r="U1565" t="inlineStr">
        <is>
          <t>1994-10-31</t>
        </is>
      </c>
      <c r="V1565" t="inlineStr">
        <is>
          <t>1994-10-31</t>
        </is>
      </c>
      <c r="W1565" t="inlineStr">
        <is>
          <t>1992-10-29</t>
        </is>
      </c>
      <c r="X1565" t="inlineStr">
        <is>
          <t>1992-10-29</t>
        </is>
      </c>
      <c r="Y1565" t="n">
        <v>217</v>
      </c>
      <c r="Z1565" t="n">
        <v>210</v>
      </c>
      <c r="AA1565" t="n">
        <v>212</v>
      </c>
      <c r="AB1565" t="n">
        <v>2</v>
      </c>
      <c r="AC1565" t="n">
        <v>2</v>
      </c>
      <c r="AD1565" t="n">
        <v>4</v>
      </c>
      <c r="AE1565" t="n">
        <v>4</v>
      </c>
      <c r="AF1565" t="n">
        <v>0</v>
      </c>
      <c r="AG1565" t="n">
        <v>0</v>
      </c>
      <c r="AH1565" t="n">
        <v>0</v>
      </c>
      <c r="AI1565" t="n">
        <v>0</v>
      </c>
      <c r="AJ1565" t="n">
        <v>3</v>
      </c>
      <c r="AK1565" t="n">
        <v>3</v>
      </c>
      <c r="AL1565" t="n">
        <v>1</v>
      </c>
      <c r="AM1565" t="n">
        <v>1</v>
      </c>
      <c r="AN1565" t="n">
        <v>0</v>
      </c>
      <c r="AO1565" t="n">
        <v>0</v>
      </c>
      <c r="AP1565" t="inlineStr">
        <is>
          <t>No</t>
        </is>
      </c>
      <c r="AQ1565" t="inlineStr">
        <is>
          <t>Yes</t>
        </is>
      </c>
      <c r="AR1565">
        <f>HYPERLINK("http://catalog.hathitrust.org/Record/008310050","HathiTrust Record")</f>
        <v/>
      </c>
      <c r="AS1565">
        <f>HYPERLINK("https://creighton-primo.hosted.exlibrisgroup.com/primo-explore/search?tab=default_tab&amp;search_scope=EVERYTHING&amp;vid=01CRU&amp;lang=en_US&amp;offset=0&amp;query=any,contains,991005223999702656","Catalog Record")</f>
        <v/>
      </c>
      <c r="AT1565">
        <f>HYPERLINK("http://www.worldcat.org/oclc/8267496","WorldCat Record")</f>
        <v/>
      </c>
      <c r="AU1565" t="inlineStr">
        <is>
          <t>521822:eng</t>
        </is>
      </c>
      <c r="AV1565" t="inlineStr">
        <is>
          <t>8267496</t>
        </is>
      </c>
      <c r="AW1565" t="inlineStr">
        <is>
          <t>991005223999702656</t>
        </is>
      </c>
      <c r="AX1565" t="inlineStr">
        <is>
          <t>991005223999702656</t>
        </is>
      </c>
      <c r="AY1565" t="inlineStr">
        <is>
          <t>2266872170002656</t>
        </is>
      </c>
      <c r="AZ1565" t="inlineStr">
        <is>
          <t>BOOK</t>
        </is>
      </c>
      <c r="BB1565" t="inlineStr">
        <is>
          <t>9780874041255</t>
        </is>
      </c>
      <c r="BC1565" t="inlineStr">
        <is>
          <t>32285001358976</t>
        </is>
      </c>
      <c r="BD1565" t="inlineStr">
        <is>
          <t>893242402</t>
        </is>
      </c>
    </row>
    <row r="1566">
      <c r="A1566" t="inlineStr">
        <is>
          <t>No</t>
        </is>
      </c>
      <c r="B1566" t="inlineStr">
        <is>
          <t>HQ555.N7 R9 1981</t>
        </is>
      </c>
      <c r="C1566" t="inlineStr">
        <is>
          <t>0                      HQ 0555000N  7                  R  9           1981</t>
        </is>
      </c>
      <c r="D1566" t="inlineStr">
        <is>
          <t>Cradle of the middle class : the family in Oneida County, New York, 1790-1865 / Mary P. Ryan.</t>
        </is>
      </c>
      <c r="F1566" t="inlineStr">
        <is>
          <t>No</t>
        </is>
      </c>
      <c r="G1566" t="inlineStr">
        <is>
          <t>1</t>
        </is>
      </c>
      <c r="H1566" t="inlineStr">
        <is>
          <t>No</t>
        </is>
      </c>
      <c r="I1566" t="inlineStr">
        <is>
          <t>No</t>
        </is>
      </c>
      <c r="J1566" t="inlineStr">
        <is>
          <t>0</t>
        </is>
      </c>
      <c r="K1566" t="inlineStr">
        <is>
          <t>Ryan, Mary P.</t>
        </is>
      </c>
      <c r="L1566" t="inlineStr">
        <is>
          <t>Cambridge, Eng. ; New York : Cambridge University Press, 1981.</t>
        </is>
      </c>
      <c r="M1566" t="inlineStr">
        <is>
          <t>1981</t>
        </is>
      </c>
      <c r="O1566" t="inlineStr">
        <is>
          <t>eng</t>
        </is>
      </c>
      <c r="P1566" t="inlineStr">
        <is>
          <t>enk</t>
        </is>
      </c>
      <c r="Q1566" t="inlineStr">
        <is>
          <t>Interdisciplinary perspectives on modern history</t>
        </is>
      </c>
      <c r="R1566" t="inlineStr">
        <is>
          <t xml:space="preserve">HQ </t>
        </is>
      </c>
      <c r="S1566" t="n">
        <v>3</v>
      </c>
      <c r="T1566" t="n">
        <v>3</v>
      </c>
      <c r="U1566" t="inlineStr">
        <is>
          <t>2009-06-02</t>
        </is>
      </c>
      <c r="V1566" t="inlineStr">
        <is>
          <t>2009-06-02</t>
        </is>
      </c>
      <c r="W1566" t="inlineStr">
        <is>
          <t>1992-10-29</t>
        </is>
      </c>
      <c r="X1566" t="inlineStr">
        <is>
          <t>1992-10-29</t>
        </is>
      </c>
      <c r="Y1566" t="n">
        <v>832</v>
      </c>
      <c r="Z1566" t="n">
        <v>704</v>
      </c>
      <c r="AA1566" t="n">
        <v>821</v>
      </c>
      <c r="AB1566" t="n">
        <v>5</v>
      </c>
      <c r="AC1566" t="n">
        <v>6</v>
      </c>
      <c r="AD1566" t="n">
        <v>31</v>
      </c>
      <c r="AE1566" t="n">
        <v>36</v>
      </c>
      <c r="AF1566" t="n">
        <v>13</v>
      </c>
      <c r="AG1566" t="n">
        <v>15</v>
      </c>
      <c r="AH1566" t="n">
        <v>6</v>
      </c>
      <c r="AI1566" t="n">
        <v>7</v>
      </c>
      <c r="AJ1566" t="n">
        <v>16</v>
      </c>
      <c r="AK1566" t="n">
        <v>18</v>
      </c>
      <c r="AL1566" t="n">
        <v>4</v>
      </c>
      <c r="AM1566" t="n">
        <v>5</v>
      </c>
      <c r="AN1566" t="n">
        <v>0</v>
      </c>
      <c r="AO1566" t="n">
        <v>0</v>
      </c>
      <c r="AP1566" t="inlineStr">
        <is>
          <t>No</t>
        </is>
      </c>
      <c r="AQ1566" t="inlineStr">
        <is>
          <t>No</t>
        </is>
      </c>
      <c r="AS1566">
        <f>HYPERLINK("https://creighton-primo.hosted.exlibrisgroup.com/primo-explore/search?tab=default_tab&amp;search_scope=EVERYTHING&amp;vid=01CRU&amp;lang=en_US&amp;offset=0&amp;query=any,contains,991004990889702656","Catalog Record")</f>
        <v/>
      </c>
      <c r="AT1566">
        <f>HYPERLINK("http://www.worldcat.org/oclc/6487263","WorldCat Record")</f>
        <v/>
      </c>
      <c r="AU1566" t="inlineStr">
        <is>
          <t>504499:eng</t>
        </is>
      </c>
      <c r="AV1566" t="inlineStr">
        <is>
          <t>6487263</t>
        </is>
      </c>
      <c r="AW1566" t="inlineStr">
        <is>
          <t>991004990889702656</t>
        </is>
      </c>
      <c r="AX1566" t="inlineStr">
        <is>
          <t>991004990889702656</t>
        </is>
      </c>
      <c r="AY1566" t="inlineStr">
        <is>
          <t>2271837470002656</t>
        </is>
      </c>
      <c r="AZ1566" t="inlineStr">
        <is>
          <t>BOOK</t>
        </is>
      </c>
      <c r="BB1566" t="inlineStr">
        <is>
          <t>9780521232005</t>
        </is>
      </c>
      <c r="BC1566" t="inlineStr">
        <is>
          <t>32285001358984</t>
        </is>
      </c>
      <c r="BD1566" t="inlineStr">
        <is>
          <t>893625314</t>
        </is>
      </c>
    </row>
    <row r="1567">
      <c r="A1567" t="inlineStr">
        <is>
          <t>No</t>
        </is>
      </c>
      <c r="B1567" t="inlineStr">
        <is>
          <t>HQ557.P5 D4</t>
        </is>
      </c>
      <c r="C1567" t="inlineStr">
        <is>
          <t>0                      HQ 0557000P  5                  D  4</t>
        </is>
      </c>
      <c r="D1567" t="inlineStr">
        <is>
          <t>A little commonwealth : family life in Plymouth Colony.</t>
        </is>
      </c>
      <c r="F1567" t="inlineStr">
        <is>
          <t>No</t>
        </is>
      </c>
      <c r="G1567" t="inlineStr">
        <is>
          <t>1</t>
        </is>
      </c>
      <c r="H1567" t="inlineStr">
        <is>
          <t>No</t>
        </is>
      </c>
      <c r="I1567" t="inlineStr">
        <is>
          <t>No</t>
        </is>
      </c>
      <c r="J1567" t="inlineStr">
        <is>
          <t>0</t>
        </is>
      </c>
      <c r="K1567" t="inlineStr">
        <is>
          <t>Demos, John.</t>
        </is>
      </c>
      <c r="L1567" t="inlineStr">
        <is>
          <t>New York : Oxford University Press, 1970.</t>
        </is>
      </c>
      <c r="M1567" t="inlineStr">
        <is>
          <t>1970</t>
        </is>
      </c>
      <c r="O1567" t="inlineStr">
        <is>
          <t>eng</t>
        </is>
      </c>
      <c r="P1567" t="inlineStr">
        <is>
          <t>nyu</t>
        </is>
      </c>
      <c r="R1567" t="inlineStr">
        <is>
          <t xml:space="preserve">HQ </t>
        </is>
      </c>
      <c r="S1567" t="n">
        <v>3</v>
      </c>
      <c r="T1567" t="n">
        <v>3</v>
      </c>
      <c r="U1567" t="inlineStr">
        <is>
          <t>1994-08-31</t>
        </is>
      </c>
      <c r="V1567" t="inlineStr">
        <is>
          <t>1994-08-31</t>
        </is>
      </c>
      <c r="W1567" t="inlineStr">
        <is>
          <t>1992-04-02</t>
        </is>
      </c>
      <c r="X1567" t="inlineStr">
        <is>
          <t>1992-04-02</t>
        </is>
      </c>
      <c r="Y1567" t="n">
        <v>1588</v>
      </c>
      <c r="Z1567" t="n">
        <v>1456</v>
      </c>
      <c r="AA1567" t="n">
        <v>1870</v>
      </c>
      <c r="AB1567" t="n">
        <v>13</v>
      </c>
      <c r="AC1567" t="n">
        <v>16</v>
      </c>
      <c r="AD1567" t="n">
        <v>47</v>
      </c>
      <c r="AE1567" t="n">
        <v>55</v>
      </c>
      <c r="AF1567" t="n">
        <v>19</v>
      </c>
      <c r="AG1567" t="n">
        <v>23</v>
      </c>
      <c r="AH1567" t="n">
        <v>9</v>
      </c>
      <c r="AI1567" t="n">
        <v>10</v>
      </c>
      <c r="AJ1567" t="n">
        <v>19</v>
      </c>
      <c r="AK1567" t="n">
        <v>20</v>
      </c>
      <c r="AL1567" t="n">
        <v>10</v>
      </c>
      <c r="AM1567" t="n">
        <v>13</v>
      </c>
      <c r="AN1567" t="n">
        <v>0</v>
      </c>
      <c r="AO1567" t="n">
        <v>0</v>
      </c>
      <c r="AP1567" t="inlineStr">
        <is>
          <t>No</t>
        </is>
      </c>
      <c r="AQ1567" t="inlineStr">
        <is>
          <t>Yes</t>
        </is>
      </c>
      <c r="AR1567">
        <f>HYPERLINK("http://catalog.hathitrust.org/Record/001109931","HathiTrust Record")</f>
        <v/>
      </c>
      <c r="AS1567">
        <f>HYPERLINK("https://creighton-primo.hosted.exlibrisgroup.com/primo-explore/search?tab=default_tab&amp;search_scope=EVERYTHING&amp;vid=01CRU&amp;lang=en_US&amp;offset=0&amp;query=any,contains,991000140989702656","Catalog Record")</f>
        <v/>
      </c>
      <c r="AT1567">
        <f>HYPERLINK("http://www.worldcat.org/oclc/57858","WorldCat Record")</f>
        <v/>
      </c>
      <c r="AU1567" t="inlineStr">
        <is>
          <t>1193949:eng</t>
        </is>
      </c>
      <c r="AV1567" t="inlineStr">
        <is>
          <t>57858</t>
        </is>
      </c>
      <c r="AW1567" t="inlineStr">
        <is>
          <t>991000140989702656</t>
        </is>
      </c>
      <c r="AX1567" t="inlineStr">
        <is>
          <t>991000140989702656</t>
        </is>
      </c>
      <c r="AY1567" t="inlineStr">
        <is>
          <t>2261779170002656</t>
        </is>
      </c>
      <c r="AZ1567" t="inlineStr">
        <is>
          <t>BOOK</t>
        </is>
      </c>
      <c r="BC1567" t="inlineStr">
        <is>
          <t>32285001032787</t>
        </is>
      </c>
      <c r="BD1567" t="inlineStr">
        <is>
          <t>893689462</t>
        </is>
      </c>
    </row>
    <row r="1568">
      <c r="A1568" t="inlineStr">
        <is>
          <t>No</t>
        </is>
      </c>
      <c r="B1568" t="inlineStr">
        <is>
          <t>HQ56 .A735</t>
        </is>
      </c>
      <c r="C1568" t="inlineStr">
        <is>
          <t>0                      HQ 0056000A  735</t>
        </is>
      </c>
      <c r="D1568" t="inlineStr">
        <is>
          <t>How to discuss sex with teen-agers : a handbook for parents, teachers, and counselors / by Wayne J. Anderson.</t>
        </is>
      </c>
      <c r="F1568" t="inlineStr">
        <is>
          <t>No</t>
        </is>
      </c>
      <c r="G1568" t="inlineStr">
        <is>
          <t>1</t>
        </is>
      </c>
      <c r="H1568" t="inlineStr">
        <is>
          <t>No</t>
        </is>
      </c>
      <c r="I1568" t="inlineStr">
        <is>
          <t>No</t>
        </is>
      </c>
      <c r="J1568" t="inlineStr">
        <is>
          <t>0</t>
        </is>
      </c>
      <c r="K1568" t="inlineStr">
        <is>
          <t>Anderson, Wayne J.</t>
        </is>
      </c>
      <c r="L1568" t="inlineStr">
        <is>
          <t>Minneapolis : T. S. Denison, [1969]</t>
        </is>
      </c>
      <c r="M1568" t="inlineStr">
        <is>
          <t>1969</t>
        </is>
      </c>
      <c r="O1568" t="inlineStr">
        <is>
          <t>eng</t>
        </is>
      </c>
      <c r="P1568" t="inlineStr">
        <is>
          <t>mnu</t>
        </is>
      </c>
      <c r="R1568" t="inlineStr">
        <is>
          <t xml:space="preserve">HQ </t>
        </is>
      </c>
      <c r="S1568" t="n">
        <v>5</v>
      </c>
      <c r="T1568" t="n">
        <v>5</v>
      </c>
      <c r="U1568" t="inlineStr">
        <is>
          <t>1993-04-18</t>
        </is>
      </c>
      <c r="V1568" t="inlineStr">
        <is>
          <t>1993-04-18</t>
        </is>
      </c>
      <c r="W1568" t="inlineStr">
        <is>
          <t>1993-04-03</t>
        </is>
      </c>
      <c r="X1568" t="inlineStr">
        <is>
          <t>1993-04-03</t>
        </is>
      </c>
      <c r="Y1568" t="n">
        <v>121</v>
      </c>
      <c r="Z1568" t="n">
        <v>109</v>
      </c>
      <c r="AA1568" t="n">
        <v>111</v>
      </c>
      <c r="AB1568" t="n">
        <v>2</v>
      </c>
      <c r="AC1568" t="n">
        <v>2</v>
      </c>
      <c r="AD1568" t="n">
        <v>3</v>
      </c>
      <c r="AE1568" t="n">
        <v>3</v>
      </c>
      <c r="AF1568" t="n">
        <v>1</v>
      </c>
      <c r="AG1568" t="n">
        <v>1</v>
      </c>
      <c r="AH1568" t="n">
        <v>0</v>
      </c>
      <c r="AI1568" t="n">
        <v>0</v>
      </c>
      <c r="AJ1568" t="n">
        <v>1</v>
      </c>
      <c r="AK1568" t="n">
        <v>1</v>
      </c>
      <c r="AL1568" t="n">
        <v>1</v>
      </c>
      <c r="AM1568" t="n">
        <v>1</v>
      </c>
      <c r="AN1568" t="n">
        <v>0</v>
      </c>
      <c r="AO1568" t="n">
        <v>0</v>
      </c>
      <c r="AP1568" t="inlineStr">
        <is>
          <t>No</t>
        </is>
      </c>
      <c r="AQ1568" t="inlineStr">
        <is>
          <t>Yes</t>
        </is>
      </c>
      <c r="AR1568">
        <f>HYPERLINK("http://catalog.hathitrust.org/Record/007472160","HathiTrust Record")</f>
        <v/>
      </c>
      <c r="AS1568">
        <f>HYPERLINK("https://creighton-primo.hosted.exlibrisgroup.com/primo-explore/search?tab=default_tab&amp;search_scope=EVERYTHING&amp;vid=01CRU&amp;lang=en_US&amp;offset=0&amp;query=any,contains,991000000419702656","Catalog Record")</f>
        <v/>
      </c>
      <c r="AT1568">
        <f>HYPERLINK("http://www.worldcat.org/oclc/7978","WorldCat Record")</f>
        <v/>
      </c>
      <c r="AU1568" t="inlineStr">
        <is>
          <t>2264310154:eng</t>
        </is>
      </c>
      <c r="AV1568" t="inlineStr">
        <is>
          <t>7978</t>
        </is>
      </c>
      <c r="AW1568" t="inlineStr">
        <is>
          <t>991000000419702656</t>
        </is>
      </c>
      <c r="AX1568" t="inlineStr">
        <is>
          <t>991000000419702656</t>
        </is>
      </c>
      <c r="AY1568" t="inlineStr">
        <is>
          <t>2268003480002656</t>
        </is>
      </c>
      <c r="AZ1568" t="inlineStr">
        <is>
          <t>BOOK</t>
        </is>
      </c>
      <c r="BC1568" t="inlineStr">
        <is>
          <t>32285001599488</t>
        </is>
      </c>
      <c r="BD1568" t="inlineStr">
        <is>
          <t>893508414</t>
        </is>
      </c>
    </row>
    <row r="1569">
      <c r="A1569" t="inlineStr">
        <is>
          <t>No</t>
        </is>
      </c>
      <c r="B1569" t="inlineStr">
        <is>
          <t>HQ56 .C25 1980</t>
        </is>
      </c>
      <c r="C1569" t="inlineStr">
        <is>
          <t>0                      HQ 0056000C  25          1980</t>
        </is>
      </c>
      <c r="D1569" t="inlineStr">
        <is>
          <t>Family life education, curriculum guide / Steven Bignell, editor.</t>
        </is>
      </c>
      <c r="F1569" t="inlineStr">
        <is>
          <t>No</t>
        </is>
      </c>
      <c r="G1569" t="inlineStr">
        <is>
          <t>1</t>
        </is>
      </c>
      <c r="H1569" t="inlineStr">
        <is>
          <t>No</t>
        </is>
      </c>
      <c r="I1569" t="inlineStr">
        <is>
          <t>No</t>
        </is>
      </c>
      <c r="J1569" t="inlineStr">
        <is>
          <t>0</t>
        </is>
      </c>
      <c r="L1569" t="inlineStr">
        <is>
          <t>Santa Cruz, Calif. : Network Publications, 1980.</t>
        </is>
      </c>
      <c r="M1569" t="inlineStr">
        <is>
          <t>1980</t>
        </is>
      </c>
      <c r="N1569" t="inlineStr">
        <is>
          <t>Rev. ed.</t>
        </is>
      </c>
      <c r="O1569" t="inlineStr">
        <is>
          <t>eng</t>
        </is>
      </c>
      <c r="P1569" t="inlineStr">
        <is>
          <t>cau</t>
        </is>
      </c>
      <c r="R1569" t="inlineStr">
        <is>
          <t xml:space="preserve">HQ </t>
        </is>
      </c>
      <c r="S1569" t="n">
        <v>3</v>
      </c>
      <c r="T1569" t="n">
        <v>3</v>
      </c>
      <c r="U1569" t="inlineStr">
        <is>
          <t>1997-11-05</t>
        </is>
      </c>
      <c r="V1569" t="inlineStr">
        <is>
          <t>1997-11-05</t>
        </is>
      </c>
      <c r="W1569" t="inlineStr">
        <is>
          <t>1992-04-03</t>
        </is>
      </c>
      <c r="X1569" t="inlineStr">
        <is>
          <t>1992-04-03</t>
        </is>
      </c>
      <c r="Y1569" t="n">
        <v>56</v>
      </c>
      <c r="Z1569" t="n">
        <v>45</v>
      </c>
      <c r="AA1569" t="n">
        <v>141</v>
      </c>
      <c r="AB1569" t="n">
        <v>1</v>
      </c>
      <c r="AC1569" t="n">
        <v>3</v>
      </c>
      <c r="AD1569" t="n">
        <v>1</v>
      </c>
      <c r="AE1569" t="n">
        <v>3</v>
      </c>
      <c r="AF1569" t="n">
        <v>1</v>
      </c>
      <c r="AG1569" t="n">
        <v>1</v>
      </c>
      <c r="AH1569" t="n">
        <v>0</v>
      </c>
      <c r="AI1569" t="n">
        <v>0</v>
      </c>
      <c r="AJ1569" t="n">
        <v>0</v>
      </c>
      <c r="AK1569" t="n">
        <v>0</v>
      </c>
      <c r="AL1569" t="n">
        <v>0</v>
      </c>
      <c r="AM1569" t="n">
        <v>2</v>
      </c>
      <c r="AN1569" t="n">
        <v>0</v>
      </c>
      <c r="AO1569" t="n">
        <v>0</v>
      </c>
      <c r="AP1569" t="inlineStr">
        <is>
          <t>No</t>
        </is>
      </c>
      <c r="AQ1569" t="inlineStr">
        <is>
          <t>No</t>
        </is>
      </c>
      <c r="AS1569">
        <f>HYPERLINK("https://creighton-primo.hosted.exlibrisgroup.com/primo-explore/search?tab=default_tab&amp;search_scope=EVERYTHING&amp;vid=01CRU&amp;lang=en_US&amp;offset=0&amp;query=any,contains,991000295909702656","Catalog Record")</f>
        <v/>
      </c>
      <c r="AT1569">
        <f>HYPERLINK("http://www.worldcat.org/oclc/10003679","WorldCat Record")</f>
        <v/>
      </c>
      <c r="AU1569" t="inlineStr">
        <is>
          <t>54424719:eng</t>
        </is>
      </c>
      <c r="AV1569" t="inlineStr">
        <is>
          <t>10003679</t>
        </is>
      </c>
      <c r="AW1569" t="inlineStr">
        <is>
          <t>991000295909702656</t>
        </is>
      </c>
      <c r="AX1569" t="inlineStr">
        <is>
          <t>991000295909702656</t>
        </is>
      </c>
      <c r="AY1569" t="inlineStr">
        <is>
          <t>2268963620002656</t>
        </is>
      </c>
      <c r="AZ1569" t="inlineStr">
        <is>
          <t>BOOK</t>
        </is>
      </c>
      <c r="BB1569" t="inlineStr">
        <is>
          <t>9780941816021</t>
        </is>
      </c>
      <c r="BC1569" t="inlineStr">
        <is>
          <t>32285001048247</t>
        </is>
      </c>
      <c r="BD1569" t="inlineStr">
        <is>
          <t>893689598</t>
        </is>
      </c>
    </row>
    <row r="1570">
      <c r="A1570" t="inlineStr">
        <is>
          <t>No</t>
        </is>
      </c>
      <c r="B1570" t="inlineStr">
        <is>
          <t>HQ56 .C3 1983</t>
        </is>
      </c>
      <c r="C1570" t="inlineStr">
        <is>
          <t>0                      HQ 0056000C  3           1983</t>
        </is>
      </c>
      <c r="D1570" t="inlineStr">
        <is>
          <t>Educational guidance in human love : outlines for sex education / The Sacred Congregation for Catholic Education.</t>
        </is>
      </c>
      <c r="F1570" t="inlineStr">
        <is>
          <t>No</t>
        </is>
      </c>
      <c r="G1570" t="inlineStr">
        <is>
          <t>1</t>
        </is>
      </c>
      <c r="H1570" t="inlineStr">
        <is>
          <t>No</t>
        </is>
      </c>
      <c r="I1570" t="inlineStr">
        <is>
          <t>No</t>
        </is>
      </c>
      <c r="J1570" t="inlineStr">
        <is>
          <t>0</t>
        </is>
      </c>
      <c r="K1570" t="inlineStr">
        <is>
          <t>Catholic Church. Congregatio pro Institutione Catholica.</t>
        </is>
      </c>
      <c r="L1570" t="inlineStr">
        <is>
          <t>Washington : United States Catholic Conference, 1983.</t>
        </is>
      </c>
      <c r="M1570" t="inlineStr">
        <is>
          <t>1983</t>
        </is>
      </c>
      <c r="O1570" t="inlineStr">
        <is>
          <t>eng</t>
        </is>
      </c>
      <c r="P1570" t="inlineStr">
        <is>
          <t>dcu</t>
        </is>
      </c>
      <c r="R1570" t="inlineStr">
        <is>
          <t xml:space="preserve">HQ </t>
        </is>
      </c>
      <c r="S1570" t="n">
        <v>6</v>
      </c>
      <c r="T1570" t="n">
        <v>6</v>
      </c>
      <c r="U1570" t="inlineStr">
        <is>
          <t>2006-05-08</t>
        </is>
      </c>
      <c r="V1570" t="inlineStr">
        <is>
          <t>2006-05-08</t>
        </is>
      </c>
      <c r="W1570" t="inlineStr">
        <is>
          <t>1992-10-22</t>
        </is>
      </c>
      <c r="X1570" t="inlineStr">
        <is>
          <t>1992-10-22</t>
        </is>
      </c>
      <c r="Y1570" t="n">
        <v>64</v>
      </c>
      <c r="Z1570" t="n">
        <v>60</v>
      </c>
      <c r="AA1570" t="n">
        <v>89</v>
      </c>
      <c r="AB1570" t="n">
        <v>1</v>
      </c>
      <c r="AC1570" t="n">
        <v>2</v>
      </c>
      <c r="AD1570" t="n">
        <v>11</v>
      </c>
      <c r="AE1570" t="n">
        <v>15</v>
      </c>
      <c r="AF1570" t="n">
        <v>4</v>
      </c>
      <c r="AG1570" t="n">
        <v>6</v>
      </c>
      <c r="AH1570" t="n">
        <v>1</v>
      </c>
      <c r="AI1570" t="n">
        <v>2</v>
      </c>
      <c r="AJ1570" t="n">
        <v>10</v>
      </c>
      <c r="AK1570" t="n">
        <v>13</v>
      </c>
      <c r="AL1570" t="n">
        <v>0</v>
      </c>
      <c r="AM1570" t="n">
        <v>0</v>
      </c>
      <c r="AN1570" t="n">
        <v>0</v>
      </c>
      <c r="AO1570" t="n">
        <v>0</v>
      </c>
      <c r="AP1570" t="inlineStr">
        <is>
          <t>No</t>
        </is>
      </c>
      <c r="AQ1570" t="inlineStr">
        <is>
          <t>No</t>
        </is>
      </c>
      <c r="AS1570">
        <f>HYPERLINK("https://creighton-primo.hosted.exlibrisgroup.com/primo-explore/search?tab=default_tab&amp;search_scope=EVERYTHING&amp;vid=01CRU&amp;lang=en_US&amp;offset=0&amp;query=any,contains,991000395829702656","Catalog Record")</f>
        <v/>
      </c>
      <c r="AT1570">
        <f>HYPERLINK("http://www.worldcat.org/oclc/10578468","WorldCat Record")</f>
        <v/>
      </c>
      <c r="AU1570" t="inlineStr">
        <is>
          <t>3236306:eng</t>
        </is>
      </c>
      <c r="AV1570" t="inlineStr">
        <is>
          <t>10578468</t>
        </is>
      </c>
      <c r="AW1570" t="inlineStr">
        <is>
          <t>991000395829702656</t>
        </is>
      </c>
      <c r="AX1570" t="inlineStr">
        <is>
          <t>991000395829702656</t>
        </is>
      </c>
      <c r="AY1570" t="inlineStr">
        <is>
          <t>2261704940002656</t>
        </is>
      </c>
      <c r="AZ1570" t="inlineStr">
        <is>
          <t>BOOK</t>
        </is>
      </c>
      <c r="BC1570" t="inlineStr">
        <is>
          <t>32285001358208</t>
        </is>
      </c>
      <c r="BD1570" t="inlineStr">
        <is>
          <t>893695797</t>
        </is>
      </c>
    </row>
    <row r="1571">
      <c r="A1571" t="inlineStr">
        <is>
          <t>No</t>
        </is>
      </c>
      <c r="B1571" t="inlineStr">
        <is>
          <t>HQ56 .C56</t>
        </is>
      </c>
      <c r="C1571" t="inlineStr">
        <is>
          <t>0                      HQ 0056000C  56</t>
        </is>
      </c>
      <c r="D1571" t="inlineStr">
        <is>
          <t>Family living and sex education in the elementary school.</t>
        </is>
      </c>
      <c r="F1571" t="inlineStr">
        <is>
          <t>No</t>
        </is>
      </c>
      <c r="G1571" t="inlineStr">
        <is>
          <t>1</t>
        </is>
      </c>
      <c r="H1571" t="inlineStr">
        <is>
          <t>No</t>
        </is>
      </c>
      <c r="I1571" t="inlineStr">
        <is>
          <t>No</t>
        </is>
      </c>
      <c r="J1571" t="inlineStr">
        <is>
          <t>0</t>
        </is>
      </c>
      <c r="K1571" t="inlineStr">
        <is>
          <t>Closson, Ethel Young.</t>
        </is>
      </c>
      <c r="L1571" t="inlineStr">
        <is>
          <t>New York : Vantage Press, [1969]</t>
        </is>
      </c>
      <c r="M1571" t="inlineStr">
        <is>
          <t>1969</t>
        </is>
      </c>
      <c r="N1571" t="inlineStr">
        <is>
          <t>[lst ed.]</t>
        </is>
      </c>
      <c r="O1571" t="inlineStr">
        <is>
          <t>eng</t>
        </is>
      </c>
      <c r="P1571" t="inlineStr">
        <is>
          <t xml:space="preserve">xx </t>
        </is>
      </c>
      <c r="R1571" t="inlineStr">
        <is>
          <t xml:space="preserve">HQ </t>
        </is>
      </c>
      <c r="S1571" t="n">
        <v>7</v>
      </c>
      <c r="T1571" t="n">
        <v>7</v>
      </c>
      <c r="U1571" t="inlineStr">
        <is>
          <t>2005-03-29</t>
        </is>
      </c>
      <c r="V1571" t="inlineStr">
        <is>
          <t>2005-03-29</t>
        </is>
      </c>
      <c r="W1571" t="inlineStr">
        <is>
          <t>1992-04-07</t>
        </is>
      </c>
      <c r="X1571" t="inlineStr">
        <is>
          <t>1992-04-07</t>
        </is>
      </c>
      <c r="Y1571" t="n">
        <v>46</v>
      </c>
      <c r="Z1571" t="n">
        <v>42</v>
      </c>
      <c r="AA1571" t="n">
        <v>42</v>
      </c>
      <c r="AB1571" t="n">
        <v>1</v>
      </c>
      <c r="AC1571" t="n">
        <v>1</v>
      </c>
      <c r="AD1571" t="n">
        <v>0</v>
      </c>
      <c r="AE1571" t="n">
        <v>0</v>
      </c>
      <c r="AF1571" t="n">
        <v>0</v>
      </c>
      <c r="AG1571" t="n">
        <v>0</v>
      </c>
      <c r="AH1571" t="n">
        <v>0</v>
      </c>
      <c r="AI1571" t="n">
        <v>0</v>
      </c>
      <c r="AJ1571" t="n">
        <v>0</v>
      </c>
      <c r="AK1571" t="n">
        <v>0</v>
      </c>
      <c r="AL1571" t="n">
        <v>0</v>
      </c>
      <c r="AM1571" t="n">
        <v>0</v>
      </c>
      <c r="AN1571" t="n">
        <v>0</v>
      </c>
      <c r="AO1571" t="n">
        <v>0</v>
      </c>
      <c r="AP1571" t="inlineStr">
        <is>
          <t>No</t>
        </is>
      </c>
      <c r="AQ1571" t="inlineStr">
        <is>
          <t>No</t>
        </is>
      </c>
      <c r="AS1571">
        <f>HYPERLINK("https://creighton-primo.hosted.exlibrisgroup.com/primo-explore/search?tab=default_tab&amp;search_scope=EVERYTHING&amp;vid=01CRU&amp;lang=en_US&amp;offset=0&amp;query=any,contains,991002213629702656","Catalog Record")</f>
        <v/>
      </c>
      <c r="AT1571">
        <f>HYPERLINK("http://www.worldcat.org/oclc/288157","WorldCat Record")</f>
        <v/>
      </c>
      <c r="AU1571" t="inlineStr">
        <is>
          <t>1462462:eng</t>
        </is>
      </c>
      <c r="AV1571" t="inlineStr">
        <is>
          <t>288157</t>
        </is>
      </c>
      <c r="AW1571" t="inlineStr">
        <is>
          <t>991002213629702656</t>
        </is>
      </c>
      <c r="AX1571" t="inlineStr">
        <is>
          <t>991002213629702656</t>
        </is>
      </c>
      <c r="AY1571" t="inlineStr">
        <is>
          <t>2263890420002656</t>
        </is>
      </c>
      <c r="AZ1571" t="inlineStr">
        <is>
          <t>BOOK</t>
        </is>
      </c>
      <c r="BC1571" t="inlineStr">
        <is>
          <t>32285001055333</t>
        </is>
      </c>
      <c r="BD1571" t="inlineStr">
        <is>
          <t>893262146</t>
        </is>
      </c>
    </row>
    <row r="1572">
      <c r="A1572" t="inlineStr">
        <is>
          <t>No</t>
        </is>
      </c>
      <c r="B1572" t="inlineStr">
        <is>
          <t>HQ56 .N43</t>
        </is>
      </c>
      <c r="C1572" t="inlineStr">
        <is>
          <t>0                      HQ 0056000N  43</t>
        </is>
      </c>
      <c r="D1572" t="inlineStr">
        <is>
          <t>The new sex education : the sex educator's resource book / edited and with and introd. by Herbert A. Otto.</t>
        </is>
      </c>
      <c r="F1572" t="inlineStr">
        <is>
          <t>No</t>
        </is>
      </c>
      <c r="G1572" t="inlineStr">
        <is>
          <t>1</t>
        </is>
      </c>
      <c r="H1572" t="inlineStr">
        <is>
          <t>No</t>
        </is>
      </c>
      <c r="I1572" t="inlineStr">
        <is>
          <t>No</t>
        </is>
      </c>
      <c r="J1572" t="inlineStr">
        <is>
          <t>0</t>
        </is>
      </c>
      <c r="L1572" t="inlineStr">
        <is>
          <t>New York : Association Press, c1977.</t>
        </is>
      </c>
      <c r="M1572" t="inlineStr">
        <is>
          <t>1977</t>
        </is>
      </c>
      <c r="O1572" t="inlineStr">
        <is>
          <t>eng</t>
        </is>
      </c>
      <c r="P1572" t="inlineStr">
        <is>
          <t>nyu</t>
        </is>
      </c>
      <c r="R1572" t="inlineStr">
        <is>
          <t xml:space="preserve">HQ </t>
        </is>
      </c>
      <c r="S1572" t="n">
        <v>14</v>
      </c>
      <c r="T1572" t="n">
        <v>14</v>
      </c>
      <c r="U1572" t="inlineStr">
        <is>
          <t>2010-09-23</t>
        </is>
      </c>
      <c r="V1572" t="inlineStr">
        <is>
          <t>2010-09-23</t>
        </is>
      </c>
      <c r="W1572" t="inlineStr">
        <is>
          <t>1992-02-19</t>
        </is>
      </c>
      <c r="X1572" t="inlineStr">
        <is>
          <t>1992-02-19</t>
        </is>
      </c>
      <c r="Y1572" t="n">
        <v>125</v>
      </c>
      <c r="Z1572" t="n">
        <v>117</v>
      </c>
      <c r="AA1572" t="n">
        <v>183</v>
      </c>
      <c r="AB1572" t="n">
        <v>2</v>
      </c>
      <c r="AC1572" t="n">
        <v>3</v>
      </c>
      <c r="AD1572" t="n">
        <v>4</v>
      </c>
      <c r="AE1572" t="n">
        <v>5</v>
      </c>
      <c r="AF1572" t="n">
        <v>2</v>
      </c>
      <c r="AG1572" t="n">
        <v>2</v>
      </c>
      <c r="AH1572" t="n">
        <v>1</v>
      </c>
      <c r="AI1572" t="n">
        <v>1</v>
      </c>
      <c r="AJ1572" t="n">
        <v>1</v>
      </c>
      <c r="AK1572" t="n">
        <v>1</v>
      </c>
      <c r="AL1572" t="n">
        <v>1</v>
      </c>
      <c r="AM1572" t="n">
        <v>2</v>
      </c>
      <c r="AN1572" t="n">
        <v>0</v>
      </c>
      <c r="AO1572" t="n">
        <v>0</v>
      </c>
      <c r="AP1572" t="inlineStr">
        <is>
          <t>No</t>
        </is>
      </c>
      <c r="AQ1572" t="inlineStr">
        <is>
          <t>Yes</t>
        </is>
      </c>
      <c r="AR1572">
        <f>HYPERLINK("http://catalog.hathitrust.org/Record/004952977","HathiTrust Record")</f>
        <v/>
      </c>
      <c r="AS1572">
        <f>HYPERLINK("https://creighton-primo.hosted.exlibrisgroup.com/primo-explore/search?tab=default_tab&amp;search_scope=EVERYTHING&amp;vid=01CRU&amp;lang=en_US&amp;offset=0&amp;query=any,contains,991004385119702656","Catalog Record")</f>
        <v/>
      </c>
      <c r="AT1572">
        <f>HYPERLINK("http://www.worldcat.org/oclc/3240164","WorldCat Record")</f>
        <v/>
      </c>
      <c r="AU1572" t="inlineStr">
        <is>
          <t>54184044:eng</t>
        </is>
      </c>
      <c r="AV1572" t="inlineStr">
        <is>
          <t>3240164</t>
        </is>
      </c>
      <c r="AW1572" t="inlineStr">
        <is>
          <t>991004385119702656</t>
        </is>
      </c>
      <c r="AX1572" t="inlineStr">
        <is>
          <t>991004385119702656</t>
        </is>
      </c>
      <c r="AY1572" t="inlineStr">
        <is>
          <t>2256985550002656</t>
        </is>
      </c>
      <c r="AZ1572" t="inlineStr">
        <is>
          <t>BOOK</t>
        </is>
      </c>
      <c r="BB1572" t="inlineStr">
        <is>
          <t>9780695811846</t>
        </is>
      </c>
      <c r="BC1572" t="inlineStr">
        <is>
          <t>32285004809272</t>
        </is>
      </c>
      <c r="BD1572" t="inlineStr">
        <is>
          <t>893718842</t>
        </is>
      </c>
    </row>
    <row r="1573">
      <c r="A1573" t="inlineStr">
        <is>
          <t>No</t>
        </is>
      </c>
      <c r="B1573" t="inlineStr">
        <is>
          <t>HQ56 .S383</t>
        </is>
      </c>
      <c r="C1573" t="inlineStr">
        <is>
          <t>0                      HQ 0056000S  383</t>
        </is>
      </c>
      <c r="D1573" t="inlineStr">
        <is>
          <t>Sex education in the eighties : the challenge of healthy sexual evolution / edited by Lorna Brown.</t>
        </is>
      </c>
      <c r="F1573" t="inlineStr">
        <is>
          <t>No</t>
        </is>
      </c>
      <c r="G1573" t="inlineStr">
        <is>
          <t>1</t>
        </is>
      </c>
      <c r="H1573" t="inlineStr">
        <is>
          <t>No</t>
        </is>
      </c>
      <c r="I1573" t="inlineStr">
        <is>
          <t>No</t>
        </is>
      </c>
      <c r="J1573" t="inlineStr">
        <is>
          <t>0</t>
        </is>
      </c>
      <c r="L1573" t="inlineStr">
        <is>
          <t>New York : Plenum Press, c1981.</t>
        </is>
      </c>
      <c r="M1573" t="inlineStr">
        <is>
          <t>1981</t>
        </is>
      </c>
      <c r="O1573" t="inlineStr">
        <is>
          <t>eng</t>
        </is>
      </c>
      <c r="P1573" t="inlineStr">
        <is>
          <t>nyu</t>
        </is>
      </c>
      <c r="Q1573" t="inlineStr">
        <is>
          <t>Perspectives in sexuality</t>
        </is>
      </c>
      <c r="R1573" t="inlineStr">
        <is>
          <t xml:space="preserve">HQ </t>
        </is>
      </c>
      <c r="S1573" t="n">
        <v>16</v>
      </c>
      <c r="T1573" t="n">
        <v>16</v>
      </c>
      <c r="U1573" t="inlineStr">
        <is>
          <t>2005-03-29</t>
        </is>
      </c>
      <c r="V1573" t="inlineStr">
        <is>
          <t>2005-03-29</t>
        </is>
      </c>
      <c r="W1573" t="inlineStr">
        <is>
          <t>1992-02-19</t>
        </is>
      </c>
      <c r="X1573" t="inlineStr">
        <is>
          <t>1992-02-19</t>
        </is>
      </c>
      <c r="Y1573" t="n">
        <v>522</v>
      </c>
      <c r="Z1573" t="n">
        <v>431</v>
      </c>
      <c r="AA1573" t="n">
        <v>434</v>
      </c>
      <c r="AB1573" t="n">
        <v>4</v>
      </c>
      <c r="AC1573" t="n">
        <v>4</v>
      </c>
      <c r="AD1573" t="n">
        <v>19</v>
      </c>
      <c r="AE1573" t="n">
        <v>19</v>
      </c>
      <c r="AF1573" t="n">
        <v>11</v>
      </c>
      <c r="AG1573" t="n">
        <v>11</v>
      </c>
      <c r="AH1573" t="n">
        <v>3</v>
      </c>
      <c r="AI1573" t="n">
        <v>3</v>
      </c>
      <c r="AJ1573" t="n">
        <v>6</v>
      </c>
      <c r="AK1573" t="n">
        <v>6</v>
      </c>
      <c r="AL1573" t="n">
        <v>3</v>
      </c>
      <c r="AM1573" t="n">
        <v>3</v>
      </c>
      <c r="AN1573" t="n">
        <v>0</v>
      </c>
      <c r="AO1573" t="n">
        <v>0</v>
      </c>
      <c r="AP1573" t="inlineStr">
        <is>
          <t>No</t>
        </is>
      </c>
      <c r="AQ1573" t="inlineStr">
        <is>
          <t>Yes</t>
        </is>
      </c>
      <c r="AR1573">
        <f>HYPERLINK("http://catalog.hathitrust.org/Record/000190851","HathiTrust Record")</f>
        <v/>
      </c>
      <c r="AS1573">
        <f>HYPERLINK("https://creighton-primo.hosted.exlibrisgroup.com/primo-explore/search?tab=default_tab&amp;search_scope=EVERYTHING&amp;vid=01CRU&amp;lang=en_US&amp;offset=0&amp;query=any,contains,991005166439702656","Catalog Record")</f>
        <v/>
      </c>
      <c r="AT1573">
        <f>HYPERLINK("http://www.worldcat.org/oclc/7835916","WorldCat Record")</f>
        <v/>
      </c>
      <c r="AU1573" t="inlineStr">
        <is>
          <t>836678739:eng</t>
        </is>
      </c>
      <c r="AV1573" t="inlineStr">
        <is>
          <t>7835916</t>
        </is>
      </c>
      <c r="AW1573" t="inlineStr">
        <is>
          <t>991005166439702656</t>
        </is>
      </c>
      <c r="AX1573" t="inlineStr">
        <is>
          <t>991005166439702656</t>
        </is>
      </c>
      <c r="AY1573" t="inlineStr">
        <is>
          <t>2255268970002656</t>
        </is>
      </c>
      <c r="AZ1573" t="inlineStr">
        <is>
          <t>BOOK</t>
        </is>
      </c>
      <c r="BB1573" t="inlineStr">
        <is>
          <t>9780306407628</t>
        </is>
      </c>
      <c r="BC1573" t="inlineStr">
        <is>
          <t>32285000981554</t>
        </is>
      </c>
      <c r="BD1573" t="inlineStr">
        <is>
          <t>893807917</t>
        </is>
      </c>
    </row>
    <row r="1574">
      <c r="A1574" t="inlineStr">
        <is>
          <t>No</t>
        </is>
      </c>
      <c r="B1574" t="inlineStr">
        <is>
          <t>HQ56 .S38633 1989</t>
        </is>
      </c>
      <c r="C1574" t="inlineStr">
        <is>
          <t>0                      HQ 0056000S  38633       1989</t>
        </is>
      </c>
      <c r="D1574" t="inlineStr">
        <is>
          <t>Sexuality education : a resource book / [edited by] Carol Cassell, Pamela M. Wilson.</t>
        </is>
      </c>
      <c r="F1574" t="inlineStr">
        <is>
          <t>No</t>
        </is>
      </c>
      <c r="G1574" t="inlineStr">
        <is>
          <t>1</t>
        </is>
      </c>
      <c r="H1574" t="inlineStr">
        <is>
          <t>No</t>
        </is>
      </c>
      <c r="I1574" t="inlineStr">
        <is>
          <t>No</t>
        </is>
      </c>
      <c r="J1574" t="inlineStr">
        <is>
          <t>0</t>
        </is>
      </c>
      <c r="L1574" t="inlineStr">
        <is>
          <t>New York : Garland Pub., 1989.</t>
        </is>
      </c>
      <c r="M1574" t="inlineStr">
        <is>
          <t>1989</t>
        </is>
      </c>
      <c r="O1574" t="inlineStr">
        <is>
          <t>eng</t>
        </is>
      </c>
      <c r="P1574" t="inlineStr">
        <is>
          <t>nyu</t>
        </is>
      </c>
      <c r="Q1574" t="inlineStr">
        <is>
          <t>Garland reference library of social science ; vol. 416</t>
        </is>
      </c>
      <c r="R1574" t="inlineStr">
        <is>
          <t xml:space="preserve">HQ </t>
        </is>
      </c>
      <c r="S1574" t="n">
        <v>33</v>
      </c>
      <c r="T1574" t="n">
        <v>33</v>
      </c>
      <c r="U1574" t="inlineStr">
        <is>
          <t>2005-03-29</t>
        </is>
      </c>
      <c r="V1574" t="inlineStr">
        <is>
          <t>2005-03-29</t>
        </is>
      </c>
      <c r="W1574" t="inlineStr">
        <is>
          <t>1989-10-24</t>
        </is>
      </c>
      <c r="X1574" t="inlineStr">
        <is>
          <t>1989-10-24</t>
        </is>
      </c>
      <c r="Y1574" t="n">
        <v>335</v>
      </c>
      <c r="Z1574" t="n">
        <v>293</v>
      </c>
      <c r="AA1574" t="n">
        <v>315</v>
      </c>
      <c r="AB1574" t="n">
        <v>4</v>
      </c>
      <c r="AC1574" t="n">
        <v>4</v>
      </c>
      <c r="AD1574" t="n">
        <v>12</v>
      </c>
      <c r="AE1574" t="n">
        <v>12</v>
      </c>
      <c r="AF1574" t="n">
        <v>2</v>
      </c>
      <c r="AG1574" t="n">
        <v>2</v>
      </c>
      <c r="AH1574" t="n">
        <v>2</v>
      </c>
      <c r="AI1574" t="n">
        <v>2</v>
      </c>
      <c r="AJ1574" t="n">
        <v>5</v>
      </c>
      <c r="AK1574" t="n">
        <v>5</v>
      </c>
      <c r="AL1574" t="n">
        <v>3</v>
      </c>
      <c r="AM1574" t="n">
        <v>3</v>
      </c>
      <c r="AN1574" t="n">
        <v>0</v>
      </c>
      <c r="AO1574" t="n">
        <v>0</v>
      </c>
      <c r="AP1574" t="inlineStr">
        <is>
          <t>No</t>
        </is>
      </c>
      <c r="AQ1574" t="inlineStr">
        <is>
          <t>No</t>
        </is>
      </c>
      <c r="AS1574">
        <f>HYPERLINK("https://creighton-primo.hosted.exlibrisgroup.com/primo-explore/search?tab=default_tab&amp;search_scope=EVERYTHING&amp;vid=01CRU&amp;lang=en_US&amp;offset=0&amp;query=any,contains,991001289589702656","Catalog Record")</f>
        <v/>
      </c>
      <c r="AT1574">
        <f>HYPERLINK("http://www.worldcat.org/oclc/17982677","WorldCat Record")</f>
        <v/>
      </c>
      <c r="AU1574" t="inlineStr">
        <is>
          <t>4494880972:eng</t>
        </is>
      </c>
      <c r="AV1574" t="inlineStr">
        <is>
          <t>17982677</t>
        </is>
      </c>
      <c r="AW1574" t="inlineStr">
        <is>
          <t>991001289589702656</t>
        </is>
      </c>
      <c r="AX1574" t="inlineStr">
        <is>
          <t>991001289589702656</t>
        </is>
      </c>
      <c r="AY1574" t="inlineStr">
        <is>
          <t>2259415260002656</t>
        </is>
      </c>
      <c r="AZ1574" t="inlineStr">
        <is>
          <t>BOOK</t>
        </is>
      </c>
      <c r="BB1574" t="inlineStr">
        <is>
          <t>9780824078997</t>
        </is>
      </c>
      <c r="BC1574" t="inlineStr">
        <is>
          <t>32285000010032</t>
        </is>
      </c>
      <c r="BD1574" t="inlineStr">
        <is>
          <t>893690511</t>
        </is>
      </c>
    </row>
    <row r="1575">
      <c r="A1575" t="inlineStr">
        <is>
          <t>No</t>
        </is>
      </c>
      <c r="B1575" t="inlineStr">
        <is>
          <t>HQ56 .T44 1987</t>
        </is>
      </c>
      <c r="C1575" t="inlineStr">
        <is>
          <t>0                      HQ 0056000T  44          1987</t>
        </is>
      </c>
      <c r="D1575" t="inlineStr">
        <is>
          <t>Teenage pregnancy / [Mary C. McClellan, editor].</t>
        </is>
      </c>
      <c r="F1575" t="inlineStr">
        <is>
          <t>No</t>
        </is>
      </c>
      <c r="G1575" t="inlineStr">
        <is>
          <t>1</t>
        </is>
      </c>
      <c r="H1575" t="inlineStr">
        <is>
          <t>No</t>
        </is>
      </c>
      <c r="I1575" t="inlineStr">
        <is>
          <t>No</t>
        </is>
      </c>
      <c r="J1575" t="inlineStr">
        <is>
          <t>0</t>
        </is>
      </c>
      <c r="L1575" t="inlineStr">
        <is>
          <t>Bloomington, IN : Phi Delta Kappa, Center on Evaluation, Development and Research, [1987]</t>
        </is>
      </c>
      <c r="M1575" t="inlineStr">
        <is>
          <t>1987</t>
        </is>
      </c>
      <c r="O1575" t="inlineStr">
        <is>
          <t>eng</t>
        </is>
      </c>
      <c r="P1575" t="inlineStr">
        <is>
          <t>inu</t>
        </is>
      </c>
      <c r="Q1575" t="inlineStr">
        <is>
          <t>Hot topics series</t>
        </is>
      </c>
      <c r="R1575" t="inlineStr">
        <is>
          <t xml:space="preserve">HQ </t>
        </is>
      </c>
      <c r="S1575" t="n">
        <v>15</v>
      </c>
      <c r="T1575" t="n">
        <v>15</v>
      </c>
      <c r="U1575" t="inlineStr">
        <is>
          <t>2006-06-19</t>
        </is>
      </c>
      <c r="V1575" t="inlineStr">
        <is>
          <t>2006-06-19</t>
        </is>
      </c>
      <c r="W1575" t="inlineStr">
        <is>
          <t>1990-04-17</t>
        </is>
      </c>
      <c r="X1575" t="inlineStr">
        <is>
          <t>1990-04-17</t>
        </is>
      </c>
      <c r="Y1575" t="n">
        <v>207</v>
      </c>
      <c r="Z1575" t="n">
        <v>205</v>
      </c>
      <c r="AA1575" t="n">
        <v>215</v>
      </c>
      <c r="AB1575" t="n">
        <v>4</v>
      </c>
      <c r="AC1575" t="n">
        <v>4</v>
      </c>
      <c r="AD1575" t="n">
        <v>6</v>
      </c>
      <c r="AE1575" t="n">
        <v>6</v>
      </c>
      <c r="AF1575" t="n">
        <v>2</v>
      </c>
      <c r="AG1575" t="n">
        <v>2</v>
      </c>
      <c r="AH1575" t="n">
        <v>1</v>
      </c>
      <c r="AI1575" t="n">
        <v>1</v>
      </c>
      <c r="AJ1575" t="n">
        <v>0</v>
      </c>
      <c r="AK1575" t="n">
        <v>0</v>
      </c>
      <c r="AL1575" t="n">
        <v>3</v>
      </c>
      <c r="AM1575" t="n">
        <v>3</v>
      </c>
      <c r="AN1575" t="n">
        <v>0</v>
      </c>
      <c r="AO1575" t="n">
        <v>0</v>
      </c>
      <c r="AP1575" t="inlineStr">
        <is>
          <t>No</t>
        </is>
      </c>
      <c r="AQ1575" t="inlineStr">
        <is>
          <t>Yes</t>
        </is>
      </c>
      <c r="AR1575">
        <f>HYPERLINK("http://catalog.hathitrust.org/Record/000921117","HathiTrust Record")</f>
        <v/>
      </c>
      <c r="AS1575">
        <f>HYPERLINK("https://creighton-primo.hosted.exlibrisgroup.com/primo-explore/search?tab=default_tab&amp;search_scope=EVERYTHING&amp;vid=01CRU&amp;lang=en_US&amp;offset=0&amp;query=any,contains,991001170949702656","Catalog Record")</f>
        <v/>
      </c>
      <c r="AT1575">
        <f>HYPERLINK("http://www.worldcat.org/oclc/16957521","WorldCat Record")</f>
        <v/>
      </c>
      <c r="AU1575" t="inlineStr">
        <is>
          <t>354118747:eng</t>
        </is>
      </c>
      <c r="AV1575" t="inlineStr">
        <is>
          <t>16957521</t>
        </is>
      </c>
      <c r="AW1575" t="inlineStr">
        <is>
          <t>991001170949702656</t>
        </is>
      </c>
      <c r="AX1575" t="inlineStr">
        <is>
          <t>991001170949702656</t>
        </is>
      </c>
      <c r="AY1575" t="inlineStr">
        <is>
          <t>2270448010002656</t>
        </is>
      </c>
      <c r="AZ1575" t="inlineStr">
        <is>
          <t>BOOK</t>
        </is>
      </c>
      <c r="BC1575" t="inlineStr">
        <is>
          <t>32285000121136</t>
        </is>
      </c>
      <c r="BD1575" t="inlineStr">
        <is>
          <t>893784888</t>
        </is>
      </c>
    </row>
    <row r="1576">
      <c r="A1576" t="inlineStr">
        <is>
          <t>No</t>
        </is>
      </c>
      <c r="B1576" t="inlineStr">
        <is>
          <t>HQ560.5 .F35213 1995</t>
        </is>
      </c>
      <c r="C1576" t="inlineStr">
        <is>
          <t>0                      HQ 0560500F  35213       1995</t>
        </is>
      </c>
      <c r="D1576" t="inlineStr">
        <is>
          <t>Family and future : a regional programme in Latin America and the Caribbean.</t>
        </is>
      </c>
      <c r="F1576" t="inlineStr">
        <is>
          <t>No</t>
        </is>
      </c>
      <c r="G1576" t="inlineStr">
        <is>
          <t>1</t>
        </is>
      </c>
      <c r="H1576" t="inlineStr">
        <is>
          <t>No</t>
        </is>
      </c>
      <c r="I1576" t="inlineStr">
        <is>
          <t>No</t>
        </is>
      </c>
      <c r="J1576" t="inlineStr">
        <is>
          <t>0</t>
        </is>
      </c>
      <c r="K1576" t="inlineStr">
        <is>
          <t>Familia y futuro. English.</t>
        </is>
      </c>
      <c r="L1576" t="inlineStr">
        <is>
          <t>Santiago, Chile : United Nations, Economic Commission for Latin America and the Caribbean, 1995.</t>
        </is>
      </c>
      <c r="M1576" t="inlineStr">
        <is>
          <t>1995</t>
        </is>
      </c>
      <c r="N1576" t="inlineStr">
        <is>
          <t>1. ed.</t>
        </is>
      </c>
      <c r="O1576" t="inlineStr">
        <is>
          <t>eng</t>
        </is>
      </c>
      <c r="P1576" t="inlineStr">
        <is>
          <t xml:space="preserve">cl </t>
        </is>
      </c>
      <c r="R1576" t="inlineStr">
        <is>
          <t xml:space="preserve">HQ </t>
        </is>
      </c>
      <c r="S1576" t="n">
        <v>3</v>
      </c>
      <c r="T1576" t="n">
        <v>3</v>
      </c>
      <c r="U1576" t="inlineStr">
        <is>
          <t>2000-08-23</t>
        </is>
      </c>
      <c r="V1576" t="inlineStr">
        <is>
          <t>2000-08-23</t>
        </is>
      </c>
      <c r="W1576" t="inlineStr">
        <is>
          <t>1999-12-09</t>
        </is>
      </c>
      <c r="X1576" t="inlineStr">
        <is>
          <t>1999-12-09</t>
        </is>
      </c>
      <c r="Y1576" t="n">
        <v>139</v>
      </c>
      <c r="Z1576" t="n">
        <v>93</v>
      </c>
      <c r="AA1576" t="n">
        <v>95</v>
      </c>
      <c r="AB1576" t="n">
        <v>1</v>
      </c>
      <c r="AC1576" t="n">
        <v>1</v>
      </c>
      <c r="AD1576" t="n">
        <v>2</v>
      </c>
      <c r="AE1576" t="n">
        <v>2</v>
      </c>
      <c r="AF1576" t="n">
        <v>1</v>
      </c>
      <c r="AG1576" t="n">
        <v>1</v>
      </c>
      <c r="AH1576" t="n">
        <v>0</v>
      </c>
      <c r="AI1576" t="n">
        <v>0</v>
      </c>
      <c r="AJ1576" t="n">
        <v>0</v>
      </c>
      <c r="AK1576" t="n">
        <v>0</v>
      </c>
      <c r="AL1576" t="n">
        <v>0</v>
      </c>
      <c r="AM1576" t="n">
        <v>0</v>
      </c>
      <c r="AN1576" t="n">
        <v>1</v>
      </c>
      <c r="AO1576" t="n">
        <v>1</v>
      </c>
      <c r="AP1576" t="inlineStr">
        <is>
          <t>No</t>
        </is>
      </c>
      <c r="AQ1576" t="inlineStr">
        <is>
          <t>Yes</t>
        </is>
      </c>
      <c r="AR1576">
        <f>HYPERLINK("http://catalog.hathitrust.org/Record/003016885","HathiTrust Record")</f>
        <v/>
      </c>
      <c r="AS1576">
        <f>HYPERLINK("https://creighton-primo.hosted.exlibrisgroup.com/primo-explore/search?tab=default_tab&amp;search_scope=EVERYTHING&amp;vid=01CRU&amp;lang=en_US&amp;offset=0&amp;query=any,contains,991005423829702656","Catalog Record")</f>
        <v/>
      </c>
      <c r="AT1576">
        <f>HYPERLINK("http://www.worldcat.org/oclc/34690745","WorldCat Record")</f>
        <v/>
      </c>
      <c r="AU1576" t="inlineStr">
        <is>
          <t>40782025:eng</t>
        </is>
      </c>
      <c r="AV1576" t="inlineStr">
        <is>
          <t>34690745</t>
        </is>
      </c>
      <c r="AW1576" t="inlineStr">
        <is>
          <t>991005423829702656</t>
        </is>
      </c>
      <c r="AX1576" t="inlineStr">
        <is>
          <t>991005423829702656</t>
        </is>
      </c>
      <c r="AY1576" t="inlineStr">
        <is>
          <t>2257903800002656</t>
        </is>
      </c>
      <c r="AZ1576" t="inlineStr">
        <is>
          <t>BOOK</t>
        </is>
      </c>
      <c r="BB1576" t="inlineStr">
        <is>
          <t>9789211211924</t>
        </is>
      </c>
      <c r="BC1576" t="inlineStr">
        <is>
          <t>32285003630703</t>
        </is>
      </c>
      <c r="BD1576" t="inlineStr">
        <is>
          <t>893248903</t>
        </is>
      </c>
    </row>
    <row r="1577">
      <c r="A1577" t="inlineStr">
        <is>
          <t>No</t>
        </is>
      </c>
      <c r="B1577" t="inlineStr">
        <is>
          <t>HQ562 .L39</t>
        </is>
      </c>
      <c r="C1577" t="inlineStr">
        <is>
          <t>0                      HQ 0562000L  39</t>
        </is>
      </c>
      <c r="D1577" t="inlineStr">
        <is>
          <t>A death in the Sánchez family.</t>
        </is>
      </c>
      <c r="F1577" t="inlineStr">
        <is>
          <t>No</t>
        </is>
      </c>
      <c r="G1577" t="inlineStr">
        <is>
          <t>1</t>
        </is>
      </c>
      <c r="H1577" t="inlineStr">
        <is>
          <t>No</t>
        </is>
      </c>
      <c r="I1577" t="inlineStr">
        <is>
          <t>No</t>
        </is>
      </c>
      <c r="J1577" t="inlineStr">
        <is>
          <t>0</t>
        </is>
      </c>
      <c r="K1577" t="inlineStr">
        <is>
          <t>Lewis, Oscar, 1914-1970.</t>
        </is>
      </c>
      <c r="L1577" t="inlineStr">
        <is>
          <t>New York, Random House [1969]</t>
        </is>
      </c>
      <c r="M1577" t="inlineStr">
        <is>
          <t>1969</t>
        </is>
      </c>
      <c r="O1577" t="inlineStr">
        <is>
          <t>eng</t>
        </is>
      </c>
      <c r="P1577" t="inlineStr">
        <is>
          <t>nyu</t>
        </is>
      </c>
      <c r="R1577" t="inlineStr">
        <is>
          <t xml:space="preserve">HQ </t>
        </is>
      </c>
      <c r="S1577" t="n">
        <v>1</v>
      </c>
      <c r="T1577" t="n">
        <v>1</v>
      </c>
      <c r="U1577" t="inlineStr">
        <is>
          <t>2008-05-31</t>
        </is>
      </c>
      <c r="V1577" t="inlineStr">
        <is>
          <t>2008-05-31</t>
        </is>
      </c>
      <c r="W1577" t="inlineStr">
        <is>
          <t>1997-08-08</t>
        </is>
      </c>
      <c r="X1577" t="inlineStr">
        <is>
          <t>1997-08-08</t>
        </is>
      </c>
      <c r="Y1577" t="n">
        <v>1170</v>
      </c>
      <c r="Z1577" t="n">
        <v>1097</v>
      </c>
      <c r="AA1577" t="n">
        <v>1172</v>
      </c>
      <c r="AB1577" t="n">
        <v>8</v>
      </c>
      <c r="AC1577" t="n">
        <v>8</v>
      </c>
      <c r="AD1577" t="n">
        <v>37</v>
      </c>
      <c r="AE1577" t="n">
        <v>38</v>
      </c>
      <c r="AF1577" t="n">
        <v>14</v>
      </c>
      <c r="AG1577" t="n">
        <v>14</v>
      </c>
      <c r="AH1577" t="n">
        <v>7</v>
      </c>
      <c r="AI1577" t="n">
        <v>8</v>
      </c>
      <c r="AJ1577" t="n">
        <v>17</v>
      </c>
      <c r="AK1577" t="n">
        <v>18</v>
      </c>
      <c r="AL1577" t="n">
        <v>7</v>
      </c>
      <c r="AM1577" t="n">
        <v>7</v>
      </c>
      <c r="AN1577" t="n">
        <v>0</v>
      </c>
      <c r="AO1577" t="n">
        <v>0</v>
      </c>
      <c r="AP1577" t="inlineStr">
        <is>
          <t>No</t>
        </is>
      </c>
      <c r="AQ1577" t="inlineStr">
        <is>
          <t>Yes</t>
        </is>
      </c>
      <c r="AR1577">
        <f>HYPERLINK("http://catalog.hathitrust.org/Record/000163351","HathiTrust Record")</f>
        <v/>
      </c>
      <c r="AS1577">
        <f>HYPERLINK("https://creighton-primo.hosted.exlibrisgroup.com/primo-explore/search?tab=default_tab&amp;search_scope=EVERYTHING&amp;vid=01CRU&amp;lang=en_US&amp;offset=0&amp;query=any,contains,991000077859702656","Catalog Record")</f>
        <v/>
      </c>
      <c r="AT1577">
        <f>HYPERLINK("http://www.worldcat.org/oclc/30418","WorldCat Record")</f>
        <v/>
      </c>
      <c r="AU1577" t="inlineStr">
        <is>
          <t>1178969:eng</t>
        </is>
      </c>
      <c r="AV1577" t="inlineStr">
        <is>
          <t>30418</t>
        </is>
      </c>
      <c r="AW1577" t="inlineStr">
        <is>
          <t>991000077859702656</t>
        </is>
      </c>
      <c r="AX1577" t="inlineStr">
        <is>
          <t>991000077859702656</t>
        </is>
      </c>
      <c r="AY1577" t="inlineStr">
        <is>
          <t>2262316220002656</t>
        </is>
      </c>
      <c r="AZ1577" t="inlineStr">
        <is>
          <t>BOOK</t>
        </is>
      </c>
      <c r="BC1577" t="inlineStr">
        <is>
          <t>32285003089009</t>
        </is>
      </c>
      <c r="BD1577" t="inlineStr">
        <is>
          <t>893595245</t>
        </is>
      </c>
    </row>
    <row r="1578">
      <c r="A1578" t="inlineStr">
        <is>
          <t>No</t>
        </is>
      </c>
      <c r="B1578" t="inlineStr">
        <is>
          <t>HQ57 .B49</t>
        </is>
      </c>
      <c r="C1578" t="inlineStr">
        <is>
          <t>0                      HQ 0057000B  49</t>
        </is>
      </c>
      <c r="D1578" t="inlineStr">
        <is>
          <t>The flight of the stork / Anne C. Bernstein.</t>
        </is>
      </c>
      <c r="F1578" t="inlineStr">
        <is>
          <t>No</t>
        </is>
      </c>
      <c r="G1578" t="inlineStr">
        <is>
          <t>1</t>
        </is>
      </c>
      <c r="H1578" t="inlineStr">
        <is>
          <t>No</t>
        </is>
      </c>
      <c r="I1578" t="inlineStr">
        <is>
          <t>No</t>
        </is>
      </c>
      <c r="J1578" t="inlineStr">
        <is>
          <t>0</t>
        </is>
      </c>
      <c r="K1578" t="inlineStr">
        <is>
          <t>Bernstein, Anne C., 1944-</t>
        </is>
      </c>
      <c r="L1578" t="inlineStr">
        <is>
          <t>New York : Delacorte Press, c1978.</t>
        </is>
      </c>
      <c r="M1578" t="inlineStr">
        <is>
          <t>1978</t>
        </is>
      </c>
      <c r="O1578" t="inlineStr">
        <is>
          <t>eng</t>
        </is>
      </c>
      <c r="P1578" t="inlineStr">
        <is>
          <t>nyu</t>
        </is>
      </c>
      <c r="R1578" t="inlineStr">
        <is>
          <t xml:space="preserve">HQ </t>
        </is>
      </c>
      <c r="S1578" t="n">
        <v>3</v>
      </c>
      <c r="T1578" t="n">
        <v>3</v>
      </c>
      <c r="U1578" t="inlineStr">
        <is>
          <t>1994-10-11</t>
        </is>
      </c>
      <c r="V1578" t="inlineStr">
        <is>
          <t>1994-10-11</t>
        </is>
      </c>
      <c r="W1578" t="inlineStr">
        <is>
          <t>1992-10-22</t>
        </is>
      </c>
      <c r="X1578" t="inlineStr">
        <is>
          <t>1992-10-22</t>
        </is>
      </c>
      <c r="Y1578" t="n">
        <v>403</v>
      </c>
      <c r="Z1578" t="n">
        <v>384</v>
      </c>
      <c r="AA1578" t="n">
        <v>576</v>
      </c>
      <c r="AB1578" t="n">
        <v>3</v>
      </c>
      <c r="AC1578" t="n">
        <v>4</v>
      </c>
      <c r="AD1578" t="n">
        <v>4</v>
      </c>
      <c r="AE1578" t="n">
        <v>7</v>
      </c>
      <c r="AF1578" t="n">
        <v>1</v>
      </c>
      <c r="AG1578" t="n">
        <v>1</v>
      </c>
      <c r="AH1578" t="n">
        <v>0</v>
      </c>
      <c r="AI1578" t="n">
        <v>1</v>
      </c>
      <c r="AJ1578" t="n">
        <v>3</v>
      </c>
      <c r="AK1578" t="n">
        <v>5</v>
      </c>
      <c r="AL1578" t="n">
        <v>1</v>
      </c>
      <c r="AM1578" t="n">
        <v>2</v>
      </c>
      <c r="AN1578" t="n">
        <v>0</v>
      </c>
      <c r="AO1578" t="n">
        <v>0</v>
      </c>
      <c r="AP1578" t="inlineStr">
        <is>
          <t>No</t>
        </is>
      </c>
      <c r="AQ1578" t="inlineStr">
        <is>
          <t>Yes</t>
        </is>
      </c>
      <c r="AR1578">
        <f>HYPERLINK("http://catalog.hathitrust.org/Record/102004980","HathiTrust Record")</f>
        <v/>
      </c>
      <c r="AS1578">
        <f>HYPERLINK("https://creighton-primo.hosted.exlibrisgroup.com/primo-explore/search?tab=default_tab&amp;search_scope=EVERYTHING&amp;vid=01CRU&amp;lang=en_US&amp;offset=0&amp;query=any,contains,991004445619702656","Catalog Record")</f>
        <v/>
      </c>
      <c r="AT1578">
        <f>HYPERLINK("http://www.worldcat.org/oclc/3481391","WorldCat Record")</f>
        <v/>
      </c>
      <c r="AU1578" t="inlineStr">
        <is>
          <t>456551:eng</t>
        </is>
      </c>
      <c r="AV1578" t="inlineStr">
        <is>
          <t>3481391</t>
        </is>
      </c>
      <c r="AW1578" t="inlineStr">
        <is>
          <t>991004445619702656</t>
        </is>
      </c>
      <c r="AX1578" t="inlineStr">
        <is>
          <t>991004445619702656</t>
        </is>
      </c>
      <c r="AY1578" t="inlineStr">
        <is>
          <t>2264434370002656</t>
        </is>
      </c>
      <c r="AZ1578" t="inlineStr">
        <is>
          <t>BOOK</t>
        </is>
      </c>
      <c r="BB1578" t="inlineStr">
        <is>
          <t>9780440026570</t>
        </is>
      </c>
      <c r="BC1578" t="inlineStr">
        <is>
          <t>32285001358216</t>
        </is>
      </c>
      <c r="BD1578" t="inlineStr">
        <is>
          <t>893353397</t>
        </is>
      </c>
    </row>
    <row r="1579">
      <c r="A1579" t="inlineStr">
        <is>
          <t>No</t>
        </is>
      </c>
      <c r="B1579" t="inlineStr">
        <is>
          <t>HQ57 .G24 1988</t>
        </is>
      </c>
      <c r="C1579" t="inlineStr">
        <is>
          <t>0                      HQ 0057000G  24          1988</t>
        </is>
      </c>
      <c r="D1579" t="inlineStr">
        <is>
          <t>Adolescent sexuality and sex education : a handbook for parents and educators / John Gasiorowski.</t>
        </is>
      </c>
      <c r="F1579" t="inlineStr">
        <is>
          <t>No</t>
        </is>
      </c>
      <c r="G1579" t="inlineStr">
        <is>
          <t>1</t>
        </is>
      </c>
      <c r="H1579" t="inlineStr">
        <is>
          <t>No</t>
        </is>
      </c>
      <c r="I1579" t="inlineStr">
        <is>
          <t>No</t>
        </is>
      </c>
      <c r="J1579" t="inlineStr">
        <is>
          <t>0</t>
        </is>
      </c>
      <c r="K1579" t="inlineStr">
        <is>
          <t>Gasiorowski, John.</t>
        </is>
      </c>
      <c r="L1579" t="inlineStr">
        <is>
          <t>Dubuque, Iowa : Brown Publishing, 1988.</t>
        </is>
      </c>
      <c r="M1579" t="inlineStr">
        <is>
          <t>1988</t>
        </is>
      </c>
      <c r="O1579" t="inlineStr">
        <is>
          <t>eng</t>
        </is>
      </c>
      <c r="P1579" t="inlineStr">
        <is>
          <t>iau</t>
        </is>
      </c>
      <c r="R1579" t="inlineStr">
        <is>
          <t xml:space="preserve">HQ </t>
        </is>
      </c>
      <c r="S1579" t="n">
        <v>53</v>
      </c>
      <c r="T1579" t="n">
        <v>53</v>
      </c>
      <c r="U1579" t="inlineStr">
        <is>
          <t>2010-11-28</t>
        </is>
      </c>
      <c r="V1579" t="inlineStr">
        <is>
          <t>2010-11-28</t>
        </is>
      </c>
      <c r="W1579" t="inlineStr">
        <is>
          <t>1990-10-26</t>
        </is>
      </c>
      <c r="X1579" t="inlineStr">
        <is>
          <t>1990-10-26</t>
        </is>
      </c>
      <c r="Y1579" t="n">
        <v>20</v>
      </c>
      <c r="Z1579" t="n">
        <v>12</v>
      </c>
      <c r="AA1579" t="n">
        <v>12</v>
      </c>
      <c r="AB1579" t="n">
        <v>1</v>
      </c>
      <c r="AC1579" t="n">
        <v>1</v>
      </c>
      <c r="AD1579" t="n">
        <v>1</v>
      </c>
      <c r="AE1579" t="n">
        <v>1</v>
      </c>
      <c r="AF1579" t="n">
        <v>0</v>
      </c>
      <c r="AG1579" t="n">
        <v>0</v>
      </c>
      <c r="AH1579" t="n">
        <v>1</v>
      </c>
      <c r="AI1579" t="n">
        <v>1</v>
      </c>
      <c r="AJ1579" t="n">
        <v>1</v>
      </c>
      <c r="AK1579" t="n">
        <v>1</v>
      </c>
      <c r="AL1579" t="n">
        <v>0</v>
      </c>
      <c r="AM1579" t="n">
        <v>0</v>
      </c>
      <c r="AN1579" t="n">
        <v>0</v>
      </c>
      <c r="AO1579" t="n">
        <v>0</v>
      </c>
      <c r="AP1579" t="inlineStr">
        <is>
          <t>No</t>
        </is>
      </c>
      <c r="AQ1579" t="inlineStr">
        <is>
          <t>No</t>
        </is>
      </c>
      <c r="AS1579">
        <f>HYPERLINK("https://creighton-primo.hosted.exlibrisgroup.com/primo-explore/search?tab=default_tab&amp;search_scope=EVERYTHING&amp;vid=01CRU&amp;lang=en_US&amp;offset=0&amp;query=any,contains,991001410109702656","Catalog Record")</f>
        <v/>
      </c>
      <c r="AT1579">
        <f>HYPERLINK("http://www.worldcat.org/oclc/18895634","WorldCat Record")</f>
        <v/>
      </c>
      <c r="AU1579" t="inlineStr">
        <is>
          <t>19325644:eng</t>
        </is>
      </c>
      <c r="AV1579" t="inlineStr">
        <is>
          <t>18895634</t>
        </is>
      </c>
      <c r="AW1579" t="inlineStr">
        <is>
          <t>991001410109702656</t>
        </is>
      </c>
      <c r="AX1579" t="inlineStr">
        <is>
          <t>991001410109702656</t>
        </is>
      </c>
      <c r="AY1579" t="inlineStr">
        <is>
          <t>2259573800002656</t>
        </is>
      </c>
      <c r="AZ1579" t="inlineStr">
        <is>
          <t>BOOK</t>
        </is>
      </c>
      <c r="BB1579" t="inlineStr">
        <is>
          <t>9780697026385</t>
        </is>
      </c>
      <c r="BC1579" t="inlineStr">
        <is>
          <t>32285000312065</t>
        </is>
      </c>
      <c r="BD1579" t="inlineStr">
        <is>
          <t>893509614</t>
        </is>
      </c>
    </row>
    <row r="1580">
      <c r="A1580" t="inlineStr">
        <is>
          <t>No</t>
        </is>
      </c>
      <c r="B1580" t="inlineStr">
        <is>
          <t>HQ57 .L35</t>
        </is>
      </c>
      <c r="C1580" t="inlineStr">
        <is>
          <t>0                      HQ 0057000L  35</t>
        </is>
      </c>
      <c r="D1580" t="inlineStr">
        <is>
          <t>How to talk with children about sex / by Learning Technology Incorporated, in consultation with Ronald K. Filippi.</t>
        </is>
      </c>
      <c r="F1580" t="inlineStr">
        <is>
          <t>No</t>
        </is>
      </c>
      <c r="G1580" t="inlineStr">
        <is>
          <t>1</t>
        </is>
      </c>
      <c r="H1580" t="inlineStr">
        <is>
          <t>No</t>
        </is>
      </c>
      <c r="I1580" t="inlineStr">
        <is>
          <t>No</t>
        </is>
      </c>
      <c r="J1580" t="inlineStr">
        <is>
          <t>0</t>
        </is>
      </c>
      <c r="K1580" t="inlineStr">
        <is>
          <t>Learning Technology Incorporated.</t>
        </is>
      </c>
      <c r="L1580" t="inlineStr">
        <is>
          <t>New York : Wiley, [1973]</t>
        </is>
      </c>
      <c r="M1580" t="inlineStr">
        <is>
          <t>1973</t>
        </is>
      </c>
      <c r="O1580" t="inlineStr">
        <is>
          <t>eng</t>
        </is>
      </c>
      <c r="P1580" t="inlineStr">
        <is>
          <t>nyu</t>
        </is>
      </c>
      <c r="R1580" t="inlineStr">
        <is>
          <t xml:space="preserve">HQ </t>
        </is>
      </c>
      <c r="S1580" t="n">
        <v>6</v>
      </c>
      <c r="T1580" t="n">
        <v>6</v>
      </c>
      <c r="U1580" t="inlineStr">
        <is>
          <t>2009-06-24</t>
        </is>
      </c>
      <c r="V1580" t="inlineStr">
        <is>
          <t>2009-06-24</t>
        </is>
      </c>
      <c r="W1580" t="inlineStr">
        <is>
          <t>1992-04-01</t>
        </is>
      </c>
      <c r="X1580" t="inlineStr">
        <is>
          <t>1992-04-01</t>
        </is>
      </c>
      <c r="Y1580" t="n">
        <v>80</v>
      </c>
      <c r="Z1580" t="n">
        <v>62</v>
      </c>
      <c r="AA1580" t="n">
        <v>64</v>
      </c>
      <c r="AB1580" t="n">
        <v>4</v>
      </c>
      <c r="AC1580" t="n">
        <v>4</v>
      </c>
      <c r="AD1580" t="n">
        <v>4</v>
      </c>
      <c r="AE1580" t="n">
        <v>4</v>
      </c>
      <c r="AF1580" t="n">
        <v>1</v>
      </c>
      <c r="AG1580" t="n">
        <v>1</v>
      </c>
      <c r="AH1580" t="n">
        <v>0</v>
      </c>
      <c r="AI1580" t="n">
        <v>0</v>
      </c>
      <c r="AJ1580" t="n">
        <v>0</v>
      </c>
      <c r="AK1580" t="n">
        <v>0</v>
      </c>
      <c r="AL1580" t="n">
        <v>3</v>
      </c>
      <c r="AM1580" t="n">
        <v>3</v>
      </c>
      <c r="AN1580" t="n">
        <v>0</v>
      </c>
      <c r="AO1580" t="n">
        <v>0</v>
      </c>
      <c r="AP1580" t="inlineStr">
        <is>
          <t>No</t>
        </is>
      </c>
      <c r="AQ1580" t="inlineStr">
        <is>
          <t>Yes</t>
        </is>
      </c>
      <c r="AR1580">
        <f>HYPERLINK("http://catalog.hathitrust.org/Record/000977012","HathiTrust Record")</f>
        <v/>
      </c>
      <c r="AS1580">
        <f>HYPERLINK("https://creighton-primo.hosted.exlibrisgroup.com/primo-explore/search?tab=default_tab&amp;search_scope=EVERYTHING&amp;vid=01CRU&amp;lang=en_US&amp;offset=0&amp;query=any,contains,991002729749702656","Catalog Record")</f>
        <v/>
      </c>
      <c r="AT1580">
        <f>HYPERLINK("http://www.worldcat.org/oclc/415536","WorldCat Record")</f>
        <v/>
      </c>
      <c r="AU1580" t="inlineStr">
        <is>
          <t>1475731:eng</t>
        </is>
      </c>
      <c r="AV1580" t="inlineStr">
        <is>
          <t>415536</t>
        </is>
      </c>
      <c r="AW1580" t="inlineStr">
        <is>
          <t>991002729749702656</t>
        </is>
      </c>
      <c r="AX1580" t="inlineStr">
        <is>
          <t>991002729749702656</t>
        </is>
      </c>
      <c r="AY1580" t="inlineStr">
        <is>
          <t>2266917910002656</t>
        </is>
      </c>
      <c r="AZ1580" t="inlineStr">
        <is>
          <t>BOOK</t>
        </is>
      </c>
      <c r="BB1580" t="inlineStr">
        <is>
          <t>9780471520252</t>
        </is>
      </c>
      <c r="BC1580" t="inlineStr">
        <is>
          <t>32285001031375</t>
        </is>
      </c>
      <c r="BD1580" t="inlineStr">
        <is>
          <t>893698182</t>
        </is>
      </c>
    </row>
    <row r="1581">
      <c r="A1581" t="inlineStr">
        <is>
          <t>No</t>
        </is>
      </c>
      <c r="B1581" t="inlineStr">
        <is>
          <t>HQ57 .Q87 1998</t>
        </is>
      </c>
      <c r="C1581" t="inlineStr">
        <is>
          <t>0                      HQ 0057000Q  87          1998</t>
        </is>
      </c>
      <c r="D1581" t="inlineStr">
        <is>
          <t>Questions kids ask about sex and how parents can respond / Physician's Resource Council of the Alabama Family Alliance.</t>
        </is>
      </c>
      <c r="F1581" t="inlineStr">
        <is>
          <t>No</t>
        </is>
      </c>
      <c r="G1581" t="inlineStr">
        <is>
          <t>1</t>
        </is>
      </c>
      <c r="H1581" t="inlineStr">
        <is>
          <t>No</t>
        </is>
      </c>
      <c r="I1581" t="inlineStr">
        <is>
          <t>No</t>
        </is>
      </c>
      <c r="J1581" t="inlineStr">
        <is>
          <t>0</t>
        </is>
      </c>
      <c r="L1581" t="inlineStr">
        <is>
          <t>Birmingham, Ala. : Physician's Resource Council of the Alabama Family Alliance, [1998?].</t>
        </is>
      </c>
      <c r="M1581" t="inlineStr">
        <is>
          <t>1998</t>
        </is>
      </c>
      <c r="O1581" t="inlineStr">
        <is>
          <t>eng</t>
        </is>
      </c>
      <c r="P1581" t="inlineStr">
        <is>
          <t>alu</t>
        </is>
      </c>
      <c r="R1581" t="inlineStr">
        <is>
          <t xml:space="preserve">HQ </t>
        </is>
      </c>
      <c r="S1581" t="n">
        <v>2</v>
      </c>
      <c r="T1581" t="n">
        <v>2</v>
      </c>
      <c r="U1581" t="inlineStr">
        <is>
          <t>2010-11-28</t>
        </is>
      </c>
      <c r="V1581" t="inlineStr">
        <is>
          <t>2010-11-28</t>
        </is>
      </c>
      <c r="W1581" t="inlineStr">
        <is>
          <t>1999-01-20</t>
        </is>
      </c>
      <c r="X1581" t="inlineStr">
        <is>
          <t>1999-01-20</t>
        </is>
      </c>
      <c r="Y1581" t="n">
        <v>2</v>
      </c>
      <c r="Z1581" t="n">
        <v>2</v>
      </c>
      <c r="AA1581" t="n">
        <v>2</v>
      </c>
      <c r="AB1581" t="n">
        <v>1</v>
      </c>
      <c r="AC1581" t="n">
        <v>1</v>
      </c>
      <c r="AD1581" t="n">
        <v>0</v>
      </c>
      <c r="AE1581" t="n">
        <v>0</v>
      </c>
      <c r="AF1581" t="n">
        <v>0</v>
      </c>
      <c r="AG1581" t="n">
        <v>0</v>
      </c>
      <c r="AH1581" t="n">
        <v>0</v>
      </c>
      <c r="AI1581" t="n">
        <v>0</v>
      </c>
      <c r="AJ1581" t="n">
        <v>0</v>
      </c>
      <c r="AK1581" t="n">
        <v>0</v>
      </c>
      <c r="AL1581" t="n">
        <v>0</v>
      </c>
      <c r="AM1581" t="n">
        <v>0</v>
      </c>
      <c r="AN1581" t="n">
        <v>0</v>
      </c>
      <c r="AO1581" t="n">
        <v>0</v>
      </c>
      <c r="AP1581" t="inlineStr">
        <is>
          <t>No</t>
        </is>
      </c>
      <c r="AQ1581" t="inlineStr">
        <is>
          <t>No</t>
        </is>
      </c>
      <c r="AS1581">
        <f>HYPERLINK("https://creighton-primo.hosted.exlibrisgroup.com/primo-explore/search?tab=default_tab&amp;search_scope=EVERYTHING&amp;vid=01CRU&amp;lang=en_US&amp;offset=0&amp;query=any,contains,991002999369702656","Catalog Record")</f>
        <v/>
      </c>
      <c r="AT1581">
        <f>HYPERLINK("http://www.worldcat.org/oclc/40606161","WorldCat Record")</f>
        <v/>
      </c>
      <c r="AU1581" t="inlineStr">
        <is>
          <t>23558507:eng</t>
        </is>
      </c>
      <c r="AV1581" t="inlineStr">
        <is>
          <t>40606161</t>
        </is>
      </c>
      <c r="AW1581" t="inlineStr">
        <is>
          <t>991002999369702656</t>
        </is>
      </c>
      <c r="AX1581" t="inlineStr">
        <is>
          <t>991002999369702656</t>
        </is>
      </c>
      <c r="AY1581" t="inlineStr">
        <is>
          <t>2254803980002656</t>
        </is>
      </c>
      <c r="AZ1581" t="inlineStr">
        <is>
          <t>BOOK</t>
        </is>
      </c>
      <c r="BC1581" t="inlineStr">
        <is>
          <t>32285003513990</t>
        </is>
      </c>
      <c r="BD1581" t="inlineStr">
        <is>
          <t>893899513</t>
        </is>
      </c>
    </row>
    <row r="1582">
      <c r="A1582" t="inlineStr">
        <is>
          <t>No</t>
        </is>
      </c>
      <c r="B1582" t="inlineStr">
        <is>
          <t>HQ57.3 .B86 1985</t>
        </is>
      </c>
      <c r="C1582" t="inlineStr">
        <is>
          <t>0                      HQ 0057300B  86          1985</t>
        </is>
      </c>
      <c r="D1582" t="inlineStr">
        <is>
          <t>Education for sexuality : concepts and programs for teaching / John J. Burt, Linda Brower Meeks ; illustrations by James C. Brower.</t>
        </is>
      </c>
      <c r="F1582" t="inlineStr">
        <is>
          <t>No</t>
        </is>
      </c>
      <c r="G1582" t="inlineStr">
        <is>
          <t>1</t>
        </is>
      </c>
      <c r="H1582" t="inlineStr">
        <is>
          <t>No</t>
        </is>
      </c>
      <c r="I1582" t="inlineStr">
        <is>
          <t>No</t>
        </is>
      </c>
      <c r="J1582" t="inlineStr">
        <is>
          <t>0</t>
        </is>
      </c>
      <c r="K1582" t="inlineStr">
        <is>
          <t>Burt, John J.</t>
        </is>
      </c>
      <c r="L1582" t="inlineStr">
        <is>
          <t>Philadelphia : Saunders College Pub., c1985.</t>
        </is>
      </c>
      <c r="M1582" t="inlineStr">
        <is>
          <t>1985</t>
        </is>
      </c>
      <c r="N1582" t="inlineStr">
        <is>
          <t>3rd ed.</t>
        </is>
      </c>
      <c r="O1582" t="inlineStr">
        <is>
          <t>eng</t>
        </is>
      </c>
      <c r="P1582" t="inlineStr">
        <is>
          <t>pau</t>
        </is>
      </c>
      <c r="R1582" t="inlineStr">
        <is>
          <t xml:space="preserve">HQ </t>
        </is>
      </c>
      <c r="S1582" t="n">
        <v>20</v>
      </c>
      <c r="T1582" t="n">
        <v>20</v>
      </c>
      <c r="U1582" t="inlineStr">
        <is>
          <t>2007-04-03</t>
        </is>
      </c>
      <c r="V1582" t="inlineStr">
        <is>
          <t>2007-04-03</t>
        </is>
      </c>
      <c r="W1582" t="inlineStr">
        <is>
          <t>1990-02-02</t>
        </is>
      </c>
      <c r="X1582" t="inlineStr">
        <is>
          <t>1990-02-02</t>
        </is>
      </c>
      <c r="Y1582" t="n">
        <v>160</v>
      </c>
      <c r="Z1582" t="n">
        <v>132</v>
      </c>
      <c r="AA1582" t="n">
        <v>521</v>
      </c>
      <c r="AB1582" t="n">
        <v>1</v>
      </c>
      <c r="AC1582" t="n">
        <v>6</v>
      </c>
      <c r="AD1582" t="n">
        <v>2</v>
      </c>
      <c r="AE1582" t="n">
        <v>22</v>
      </c>
      <c r="AF1582" t="n">
        <v>1</v>
      </c>
      <c r="AG1582" t="n">
        <v>9</v>
      </c>
      <c r="AH1582" t="n">
        <v>1</v>
      </c>
      <c r="AI1582" t="n">
        <v>5</v>
      </c>
      <c r="AJ1582" t="n">
        <v>0</v>
      </c>
      <c r="AK1582" t="n">
        <v>7</v>
      </c>
      <c r="AL1582" t="n">
        <v>0</v>
      </c>
      <c r="AM1582" t="n">
        <v>5</v>
      </c>
      <c r="AN1582" t="n">
        <v>0</v>
      </c>
      <c r="AO1582" t="n">
        <v>0</v>
      </c>
      <c r="AP1582" t="inlineStr">
        <is>
          <t>No</t>
        </is>
      </c>
      <c r="AQ1582" t="inlineStr">
        <is>
          <t>Yes</t>
        </is>
      </c>
      <c r="AR1582">
        <f>HYPERLINK("http://catalog.hathitrust.org/Record/000348190","HathiTrust Record")</f>
        <v/>
      </c>
      <c r="AS1582">
        <f>HYPERLINK("https://creighton-primo.hosted.exlibrisgroup.com/primo-explore/search?tab=default_tab&amp;search_scope=EVERYTHING&amp;vid=01CRU&amp;lang=en_US&amp;offset=0&amp;query=any,contains,991000446399702656","Catalog Record")</f>
        <v/>
      </c>
      <c r="AT1582">
        <f>HYPERLINK("http://www.worldcat.org/oclc/10850866","WorldCat Record")</f>
        <v/>
      </c>
      <c r="AU1582" t="inlineStr">
        <is>
          <t>1278765:eng</t>
        </is>
      </c>
      <c r="AV1582" t="inlineStr">
        <is>
          <t>10850866</t>
        </is>
      </c>
      <c r="AW1582" t="inlineStr">
        <is>
          <t>991000446399702656</t>
        </is>
      </c>
      <c r="AX1582" t="inlineStr">
        <is>
          <t>991000446399702656</t>
        </is>
      </c>
      <c r="AY1582" t="inlineStr">
        <is>
          <t>2268865750002656</t>
        </is>
      </c>
      <c r="AZ1582" t="inlineStr">
        <is>
          <t>BOOK</t>
        </is>
      </c>
      <c r="BB1582" t="inlineStr">
        <is>
          <t>9780030632143</t>
        </is>
      </c>
      <c r="BC1582" t="inlineStr">
        <is>
          <t>32285000038363</t>
        </is>
      </c>
      <c r="BD1582" t="inlineStr">
        <is>
          <t>893521665</t>
        </is>
      </c>
    </row>
    <row r="1583">
      <c r="A1583" t="inlineStr">
        <is>
          <t>No</t>
        </is>
      </c>
      <c r="B1583" t="inlineStr">
        <is>
          <t>HQ57.3 .E53 1989</t>
        </is>
      </c>
      <c r="C1583" t="inlineStr">
        <is>
          <t>0                      HQ 0057300E  53          1989</t>
        </is>
      </c>
      <c r="D1583" t="inlineStr">
        <is>
          <t>Sex education : the final plague / Randy Engel.</t>
        </is>
      </c>
      <c r="F1583" t="inlineStr">
        <is>
          <t>No</t>
        </is>
      </c>
      <c r="G1583" t="inlineStr">
        <is>
          <t>1</t>
        </is>
      </c>
      <c r="H1583" t="inlineStr">
        <is>
          <t>No</t>
        </is>
      </c>
      <c r="I1583" t="inlineStr">
        <is>
          <t>No</t>
        </is>
      </c>
      <c r="J1583" t="inlineStr">
        <is>
          <t>0</t>
        </is>
      </c>
      <c r="K1583" t="inlineStr">
        <is>
          <t>Engel, Randy.</t>
        </is>
      </c>
      <c r="L1583" t="inlineStr">
        <is>
          <t>Gaithersburg, Md. : Human Life International, c1989.</t>
        </is>
      </c>
      <c r="M1583" t="inlineStr">
        <is>
          <t>1989</t>
        </is>
      </c>
      <c r="O1583" t="inlineStr">
        <is>
          <t>eng</t>
        </is>
      </c>
      <c r="P1583" t="inlineStr">
        <is>
          <t>mdu</t>
        </is>
      </c>
      <c r="R1583" t="inlineStr">
        <is>
          <t xml:space="preserve">HQ </t>
        </is>
      </c>
      <c r="S1583" t="n">
        <v>27</v>
      </c>
      <c r="T1583" t="n">
        <v>27</v>
      </c>
      <c r="U1583" t="inlineStr">
        <is>
          <t>2009-11-15</t>
        </is>
      </c>
      <c r="V1583" t="inlineStr">
        <is>
          <t>2009-11-15</t>
        </is>
      </c>
      <c r="W1583" t="inlineStr">
        <is>
          <t>1990-03-27</t>
        </is>
      </c>
      <c r="X1583" t="inlineStr">
        <is>
          <t>1990-03-27</t>
        </is>
      </c>
      <c r="Y1583" t="n">
        <v>42</v>
      </c>
      <c r="Z1583" t="n">
        <v>37</v>
      </c>
      <c r="AA1583" t="n">
        <v>58</v>
      </c>
      <c r="AB1583" t="n">
        <v>1</v>
      </c>
      <c r="AC1583" t="n">
        <v>1</v>
      </c>
      <c r="AD1583" t="n">
        <v>2</v>
      </c>
      <c r="AE1583" t="n">
        <v>3</v>
      </c>
      <c r="AF1583" t="n">
        <v>0</v>
      </c>
      <c r="AG1583" t="n">
        <v>1</v>
      </c>
      <c r="AH1583" t="n">
        <v>0</v>
      </c>
      <c r="AI1583" t="n">
        <v>1</v>
      </c>
      <c r="AJ1583" t="n">
        <v>2</v>
      </c>
      <c r="AK1583" t="n">
        <v>2</v>
      </c>
      <c r="AL1583" t="n">
        <v>0</v>
      </c>
      <c r="AM1583" t="n">
        <v>0</v>
      </c>
      <c r="AN1583" t="n">
        <v>0</v>
      </c>
      <c r="AO1583" t="n">
        <v>0</v>
      </c>
      <c r="AP1583" t="inlineStr">
        <is>
          <t>No</t>
        </is>
      </c>
      <c r="AQ1583" t="inlineStr">
        <is>
          <t>No</t>
        </is>
      </c>
      <c r="AS1583">
        <f>HYPERLINK("https://creighton-primo.hosted.exlibrisgroup.com/primo-explore/search?tab=default_tab&amp;search_scope=EVERYTHING&amp;vid=01CRU&amp;lang=en_US&amp;offset=0&amp;query=any,contains,991001657399702656","Catalog Record")</f>
        <v/>
      </c>
      <c r="AT1583">
        <f>HYPERLINK("http://www.worldcat.org/oclc/21149090","WorldCat Record")</f>
        <v/>
      </c>
      <c r="AU1583" t="inlineStr">
        <is>
          <t>22856037:eng</t>
        </is>
      </c>
      <c r="AV1583" t="inlineStr">
        <is>
          <t>21149090</t>
        </is>
      </c>
      <c r="AW1583" t="inlineStr">
        <is>
          <t>991001657399702656</t>
        </is>
      </c>
      <c r="AX1583" t="inlineStr">
        <is>
          <t>991001657399702656</t>
        </is>
      </c>
      <c r="AY1583" t="inlineStr">
        <is>
          <t>2269652160002656</t>
        </is>
      </c>
      <c r="AZ1583" t="inlineStr">
        <is>
          <t>BOOK</t>
        </is>
      </c>
      <c r="BB1583" t="inlineStr">
        <is>
          <t>9781559220255</t>
        </is>
      </c>
      <c r="BC1583" t="inlineStr">
        <is>
          <t>32285000090687</t>
        </is>
      </c>
      <c r="BD1583" t="inlineStr">
        <is>
          <t>893797720</t>
        </is>
      </c>
    </row>
    <row r="1584">
      <c r="A1584" t="inlineStr">
        <is>
          <t>No</t>
        </is>
      </c>
      <c r="B1584" t="inlineStr">
        <is>
          <t>HQ57.3 .K54</t>
        </is>
      </c>
      <c r="C1584" t="inlineStr">
        <is>
          <t>0                      HQ 0057300K  54</t>
        </is>
      </c>
      <c r="D1584" t="inlineStr">
        <is>
          <t>Sex education in the schools; a study of objectives, content, methods, materials, and evaluation.</t>
        </is>
      </c>
      <c r="F1584" t="inlineStr">
        <is>
          <t>No</t>
        </is>
      </c>
      <c r="G1584" t="inlineStr">
        <is>
          <t>1</t>
        </is>
      </c>
      <c r="H1584" t="inlineStr">
        <is>
          <t>No</t>
        </is>
      </c>
      <c r="I1584" t="inlineStr">
        <is>
          <t>No</t>
        </is>
      </c>
      <c r="J1584" t="inlineStr">
        <is>
          <t>0</t>
        </is>
      </c>
      <c r="K1584" t="inlineStr">
        <is>
          <t>Kilander, Holger Frederick, 1900-1968.</t>
        </is>
      </c>
      <c r="L1584" t="inlineStr">
        <is>
          <t>[New York] : Macmillan, [1970]</t>
        </is>
      </c>
      <c r="M1584" t="inlineStr">
        <is>
          <t>1970</t>
        </is>
      </c>
      <c r="O1584" t="inlineStr">
        <is>
          <t>eng</t>
        </is>
      </c>
      <c r="P1584" t="inlineStr">
        <is>
          <t xml:space="preserve">xx </t>
        </is>
      </c>
      <c r="R1584" t="inlineStr">
        <is>
          <t xml:space="preserve">HQ </t>
        </is>
      </c>
      <c r="S1584" t="n">
        <v>17</v>
      </c>
      <c r="T1584" t="n">
        <v>17</v>
      </c>
      <c r="U1584" t="inlineStr">
        <is>
          <t>2009-06-24</t>
        </is>
      </c>
      <c r="V1584" t="inlineStr">
        <is>
          <t>2009-06-24</t>
        </is>
      </c>
      <c r="W1584" t="inlineStr">
        <is>
          <t>1991-12-12</t>
        </is>
      </c>
      <c r="X1584" t="inlineStr">
        <is>
          <t>1991-12-12</t>
        </is>
      </c>
      <c r="Y1584" t="n">
        <v>587</v>
      </c>
      <c r="Z1584" t="n">
        <v>542</v>
      </c>
      <c r="AA1584" t="n">
        <v>550</v>
      </c>
      <c r="AB1584" t="n">
        <v>10</v>
      </c>
      <c r="AC1584" t="n">
        <v>10</v>
      </c>
      <c r="AD1584" t="n">
        <v>27</v>
      </c>
      <c r="AE1584" t="n">
        <v>27</v>
      </c>
      <c r="AF1584" t="n">
        <v>9</v>
      </c>
      <c r="AG1584" t="n">
        <v>9</v>
      </c>
      <c r="AH1584" t="n">
        <v>5</v>
      </c>
      <c r="AI1584" t="n">
        <v>5</v>
      </c>
      <c r="AJ1584" t="n">
        <v>10</v>
      </c>
      <c r="AK1584" t="n">
        <v>10</v>
      </c>
      <c r="AL1584" t="n">
        <v>9</v>
      </c>
      <c r="AM1584" t="n">
        <v>9</v>
      </c>
      <c r="AN1584" t="n">
        <v>0</v>
      </c>
      <c r="AO1584" t="n">
        <v>0</v>
      </c>
      <c r="AP1584" t="inlineStr">
        <is>
          <t>No</t>
        </is>
      </c>
      <c r="AQ1584" t="inlineStr">
        <is>
          <t>Yes</t>
        </is>
      </c>
      <c r="AR1584">
        <f>HYPERLINK("http://catalog.hathitrust.org/Record/000977018","HathiTrust Record")</f>
        <v/>
      </c>
      <c r="AS1584">
        <f>HYPERLINK("https://creighton-primo.hosted.exlibrisgroup.com/primo-explore/search?tab=default_tab&amp;search_scope=EVERYTHING&amp;vid=01CRU&amp;lang=en_US&amp;offset=0&amp;query=any,contains,991001228039702656","Catalog Record")</f>
        <v/>
      </c>
      <c r="AT1584">
        <f>HYPERLINK("http://www.worldcat.org/oclc/12033","WorldCat Record")</f>
        <v/>
      </c>
      <c r="AU1584" t="inlineStr">
        <is>
          <t>836792725:eng</t>
        </is>
      </c>
      <c r="AV1584" t="inlineStr">
        <is>
          <t>12033</t>
        </is>
      </c>
      <c r="AW1584" t="inlineStr">
        <is>
          <t>991001228039702656</t>
        </is>
      </c>
      <c r="AX1584" t="inlineStr">
        <is>
          <t>991001228039702656</t>
        </is>
      </c>
      <c r="AY1584" t="inlineStr">
        <is>
          <t>2257459530002656</t>
        </is>
      </c>
      <c r="AZ1584" t="inlineStr">
        <is>
          <t>BOOK</t>
        </is>
      </c>
      <c r="BC1584" t="inlineStr">
        <is>
          <t>32285000878396</t>
        </is>
      </c>
      <c r="BD1584" t="inlineStr">
        <is>
          <t>893243965</t>
        </is>
      </c>
    </row>
    <row r="1585">
      <c r="A1585" t="inlineStr">
        <is>
          <t>No</t>
        </is>
      </c>
      <c r="B1585" t="inlineStr">
        <is>
          <t>HQ57.5.A3 H3</t>
        </is>
      </c>
      <c r="C1585" t="inlineStr">
        <is>
          <t>0                      HQ 0057500A  3                  H  3</t>
        </is>
      </c>
      <c r="D1585" t="inlineStr">
        <is>
          <t>Sex education and the public schools : a multidimensional study for the 1970s / [by] Lawrence J. Haims.</t>
        </is>
      </c>
      <c r="F1585" t="inlineStr">
        <is>
          <t>No</t>
        </is>
      </c>
      <c r="G1585" t="inlineStr">
        <is>
          <t>1</t>
        </is>
      </c>
      <c r="H1585" t="inlineStr">
        <is>
          <t>No</t>
        </is>
      </c>
      <c r="I1585" t="inlineStr">
        <is>
          <t>No</t>
        </is>
      </c>
      <c r="J1585" t="inlineStr">
        <is>
          <t>0</t>
        </is>
      </c>
      <c r="K1585" t="inlineStr">
        <is>
          <t>Haims, Lawrence J.</t>
        </is>
      </c>
      <c r="L1585" t="inlineStr">
        <is>
          <t>Lexington, Mass. : Lexington Books, [1973]</t>
        </is>
      </c>
      <c r="M1585" t="inlineStr">
        <is>
          <t>1973</t>
        </is>
      </c>
      <c r="O1585" t="inlineStr">
        <is>
          <t>eng</t>
        </is>
      </c>
      <c r="P1585" t="inlineStr">
        <is>
          <t>mau</t>
        </is>
      </c>
      <c r="R1585" t="inlineStr">
        <is>
          <t xml:space="preserve">HQ </t>
        </is>
      </c>
      <c r="S1585" t="n">
        <v>22</v>
      </c>
      <c r="T1585" t="n">
        <v>22</v>
      </c>
      <c r="U1585" t="inlineStr">
        <is>
          <t>2007-03-26</t>
        </is>
      </c>
      <c r="V1585" t="inlineStr">
        <is>
          <t>2007-03-26</t>
        </is>
      </c>
      <c r="W1585" t="inlineStr">
        <is>
          <t>1992-11-16</t>
        </is>
      </c>
      <c r="X1585" t="inlineStr">
        <is>
          <t>1992-11-16</t>
        </is>
      </c>
      <c r="Y1585" t="n">
        <v>370</v>
      </c>
      <c r="Z1585" t="n">
        <v>318</v>
      </c>
      <c r="AA1585" t="n">
        <v>327</v>
      </c>
      <c r="AB1585" t="n">
        <v>5</v>
      </c>
      <c r="AC1585" t="n">
        <v>5</v>
      </c>
      <c r="AD1585" t="n">
        <v>11</v>
      </c>
      <c r="AE1585" t="n">
        <v>11</v>
      </c>
      <c r="AF1585" t="n">
        <v>3</v>
      </c>
      <c r="AG1585" t="n">
        <v>3</v>
      </c>
      <c r="AH1585" t="n">
        <v>1</v>
      </c>
      <c r="AI1585" t="n">
        <v>1</v>
      </c>
      <c r="AJ1585" t="n">
        <v>3</v>
      </c>
      <c r="AK1585" t="n">
        <v>3</v>
      </c>
      <c r="AL1585" t="n">
        <v>4</v>
      </c>
      <c r="AM1585" t="n">
        <v>4</v>
      </c>
      <c r="AN1585" t="n">
        <v>0</v>
      </c>
      <c r="AO1585" t="n">
        <v>0</v>
      </c>
      <c r="AP1585" t="inlineStr">
        <is>
          <t>No</t>
        </is>
      </c>
      <c r="AQ1585" t="inlineStr">
        <is>
          <t>Yes</t>
        </is>
      </c>
      <c r="AR1585">
        <f>HYPERLINK("http://catalog.hathitrust.org/Record/000009201","HathiTrust Record")</f>
        <v/>
      </c>
      <c r="AS1585">
        <f>HYPERLINK("https://creighton-primo.hosted.exlibrisgroup.com/primo-explore/search?tab=default_tab&amp;search_scope=EVERYTHING&amp;vid=01CRU&amp;lang=en_US&amp;offset=0&amp;query=any,contains,991003113589702656","Catalog Record")</f>
        <v/>
      </c>
      <c r="AT1585">
        <f>HYPERLINK("http://www.worldcat.org/oclc/658899","WorldCat Record")</f>
        <v/>
      </c>
      <c r="AU1585" t="inlineStr">
        <is>
          <t>1633655:eng</t>
        </is>
      </c>
      <c r="AV1585" t="inlineStr">
        <is>
          <t>658899</t>
        </is>
      </c>
      <c r="AW1585" t="inlineStr">
        <is>
          <t>991003113589702656</t>
        </is>
      </c>
      <c r="AX1585" t="inlineStr">
        <is>
          <t>991003113589702656</t>
        </is>
      </c>
      <c r="AY1585" t="inlineStr">
        <is>
          <t>2260383770002656</t>
        </is>
      </c>
      <c r="AZ1585" t="inlineStr">
        <is>
          <t>BOOK</t>
        </is>
      </c>
      <c r="BB1585" t="inlineStr">
        <is>
          <t>9780669867930</t>
        </is>
      </c>
      <c r="BC1585" t="inlineStr">
        <is>
          <t>32285001405132</t>
        </is>
      </c>
      <c r="BD1585" t="inlineStr">
        <is>
          <t>893774407</t>
        </is>
      </c>
    </row>
    <row r="1586">
      <c r="A1586" t="inlineStr">
        <is>
          <t>No</t>
        </is>
      </c>
      <c r="B1586" t="inlineStr">
        <is>
          <t>HQ57.5.A3 M27 2005</t>
        </is>
      </c>
      <c r="C1586" t="inlineStr">
        <is>
          <t>0                      HQ 0057500A  3                  M  27          2005</t>
        </is>
      </c>
      <c r="D1586" t="inlineStr">
        <is>
          <t>Promoting sexual responsibility : a teen pregnancy prevention resource for school employees / by Eva Marx &amp; Vicki Harrison &amp; Kamdra Strauss Riggs.</t>
        </is>
      </c>
      <c r="F1586" t="inlineStr">
        <is>
          <t>No</t>
        </is>
      </c>
      <c r="G1586" t="inlineStr">
        <is>
          <t>1</t>
        </is>
      </c>
      <c r="H1586" t="inlineStr">
        <is>
          <t>No</t>
        </is>
      </c>
      <c r="I1586" t="inlineStr">
        <is>
          <t>No</t>
        </is>
      </c>
      <c r="J1586" t="inlineStr">
        <is>
          <t>0</t>
        </is>
      </c>
      <c r="K1586" t="inlineStr">
        <is>
          <t>Marx, Eva.</t>
        </is>
      </c>
      <c r="L1586" t="inlineStr">
        <is>
          <t>Washington, D.C. : NEA Health Information Network, 2005.</t>
        </is>
      </c>
      <c r="M1586" t="inlineStr">
        <is>
          <t>2005</t>
        </is>
      </c>
      <c r="O1586" t="inlineStr">
        <is>
          <t>eng</t>
        </is>
      </c>
      <c r="P1586" t="inlineStr">
        <is>
          <t>dcu</t>
        </is>
      </c>
      <c r="R1586" t="inlineStr">
        <is>
          <t xml:space="preserve">HQ </t>
        </is>
      </c>
      <c r="S1586" t="n">
        <v>10</v>
      </c>
      <c r="T1586" t="n">
        <v>10</v>
      </c>
      <c r="U1586" t="inlineStr">
        <is>
          <t>2010-09-23</t>
        </is>
      </c>
      <c r="V1586" t="inlineStr">
        <is>
          <t>2010-09-23</t>
        </is>
      </c>
      <c r="W1586" t="inlineStr">
        <is>
          <t>2005-08-16</t>
        </is>
      </c>
      <c r="X1586" t="inlineStr">
        <is>
          <t>2005-08-16</t>
        </is>
      </c>
      <c r="Y1586" t="n">
        <v>191</v>
      </c>
      <c r="Z1586" t="n">
        <v>181</v>
      </c>
      <c r="AA1586" t="n">
        <v>181</v>
      </c>
      <c r="AB1586" t="n">
        <v>3</v>
      </c>
      <c r="AC1586" t="n">
        <v>3</v>
      </c>
      <c r="AD1586" t="n">
        <v>7</v>
      </c>
      <c r="AE1586" t="n">
        <v>7</v>
      </c>
      <c r="AF1586" t="n">
        <v>5</v>
      </c>
      <c r="AG1586" t="n">
        <v>5</v>
      </c>
      <c r="AH1586" t="n">
        <v>0</v>
      </c>
      <c r="AI1586" t="n">
        <v>0</v>
      </c>
      <c r="AJ1586" t="n">
        <v>3</v>
      </c>
      <c r="AK1586" t="n">
        <v>3</v>
      </c>
      <c r="AL1586" t="n">
        <v>2</v>
      </c>
      <c r="AM1586" t="n">
        <v>2</v>
      </c>
      <c r="AN1586" t="n">
        <v>0</v>
      </c>
      <c r="AO1586" t="n">
        <v>0</v>
      </c>
      <c r="AP1586" t="inlineStr">
        <is>
          <t>No</t>
        </is>
      </c>
      <c r="AQ1586" t="inlineStr">
        <is>
          <t>No</t>
        </is>
      </c>
      <c r="AS1586">
        <f>HYPERLINK("https://creighton-primo.hosted.exlibrisgroup.com/primo-explore/search?tab=default_tab&amp;search_scope=EVERYTHING&amp;vid=01CRU&amp;lang=en_US&amp;offset=0&amp;query=any,contains,991004630539702656","Catalog Record")</f>
        <v/>
      </c>
      <c r="AT1586">
        <f>HYPERLINK("http://www.worldcat.org/oclc/60516653","WorldCat Record")</f>
        <v/>
      </c>
      <c r="AU1586" t="inlineStr">
        <is>
          <t>9399738895:eng</t>
        </is>
      </c>
      <c r="AV1586" t="inlineStr">
        <is>
          <t>60516653</t>
        </is>
      </c>
      <c r="AW1586" t="inlineStr">
        <is>
          <t>991004630539702656</t>
        </is>
      </c>
      <c r="AX1586" t="inlineStr">
        <is>
          <t>991004630539702656</t>
        </is>
      </c>
      <c r="AY1586" t="inlineStr">
        <is>
          <t>2267979090002656</t>
        </is>
      </c>
      <c r="AZ1586" t="inlineStr">
        <is>
          <t>BOOK</t>
        </is>
      </c>
      <c r="BB1586" t="inlineStr">
        <is>
          <t>9780810632998</t>
        </is>
      </c>
      <c r="BC1586" t="inlineStr">
        <is>
          <t>32285005081020</t>
        </is>
      </c>
      <c r="BD1586" t="inlineStr">
        <is>
          <t>893904947</t>
        </is>
      </c>
    </row>
    <row r="1587">
      <c r="A1587" t="inlineStr">
        <is>
          <t>No</t>
        </is>
      </c>
      <c r="B1587" t="inlineStr">
        <is>
          <t>HQ57.5.A3 M39 2004</t>
        </is>
      </c>
      <c r="C1587" t="inlineStr">
        <is>
          <t>0                      HQ 0057500A  3                  M  39          2004</t>
        </is>
      </c>
      <c r="D1587" t="inlineStr">
        <is>
          <t>Disputing the subject of sex : sexuality and public school controversies / Cris Mayo.</t>
        </is>
      </c>
      <c r="F1587" t="inlineStr">
        <is>
          <t>No</t>
        </is>
      </c>
      <c r="G1587" t="inlineStr">
        <is>
          <t>1</t>
        </is>
      </c>
      <c r="H1587" t="inlineStr">
        <is>
          <t>No</t>
        </is>
      </c>
      <c r="I1587" t="inlineStr">
        <is>
          <t>No</t>
        </is>
      </c>
      <c r="J1587" t="inlineStr">
        <is>
          <t>0</t>
        </is>
      </c>
      <c r="K1587" t="inlineStr">
        <is>
          <t>Mayo, Cris.</t>
        </is>
      </c>
      <c r="L1587" t="inlineStr">
        <is>
          <t>Lanham, MD : Rowman &amp; Littlefield, c2004.</t>
        </is>
      </c>
      <c r="M1587" t="inlineStr">
        <is>
          <t>2004</t>
        </is>
      </c>
      <c r="O1587" t="inlineStr">
        <is>
          <t>eng</t>
        </is>
      </c>
      <c r="P1587" t="inlineStr">
        <is>
          <t>mdu</t>
        </is>
      </c>
      <c r="Q1587" t="inlineStr">
        <is>
          <t>Curriculum, cultures, and (homo)sexualities</t>
        </is>
      </c>
      <c r="R1587" t="inlineStr">
        <is>
          <t xml:space="preserve">HQ </t>
        </is>
      </c>
      <c r="S1587" t="n">
        <v>6</v>
      </c>
      <c r="T1587" t="n">
        <v>6</v>
      </c>
      <c r="U1587" t="inlineStr">
        <is>
          <t>2010-09-23</t>
        </is>
      </c>
      <c r="V1587" t="inlineStr">
        <is>
          <t>2010-09-23</t>
        </is>
      </c>
      <c r="W1587" t="inlineStr">
        <is>
          <t>2005-07-06</t>
        </is>
      </c>
      <c r="X1587" t="inlineStr">
        <is>
          <t>2005-07-06</t>
        </is>
      </c>
      <c r="Y1587" t="n">
        <v>375</v>
      </c>
      <c r="Z1587" t="n">
        <v>333</v>
      </c>
      <c r="AA1587" t="n">
        <v>349</v>
      </c>
      <c r="AB1587" t="n">
        <v>3</v>
      </c>
      <c r="AC1587" t="n">
        <v>4</v>
      </c>
      <c r="AD1587" t="n">
        <v>20</v>
      </c>
      <c r="AE1587" t="n">
        <v>21</v>
      </c>
      <c r="AF1587" t="n">
        <v>9</v>
      </c>
      <c r="AG1587" t="n">
        <v>9</v>
      </c>
      <c r="AH1587" t="n">
        <v>5</v>
      </c>
      <c r="AI1587" t="n">
        <v>5</v>
      </c>
      <c r="AJ1587" t="n">
        <v>9</v>
      </c>
      <c r="AK1587" t="n">
        <v>9</v>
      </c>
      <c r="AL1587" t="n">
        <v>2</v>
      </c>
      <c r="AM1587" t="n">
        <v>3</v>
      </c>
      <c r="AN1587" t="n">
        <v>0</v>
      </c>
      <c r="AO1587" t="n">
        <v>0</v>
      </c>
      <c r="AP1587" t="inlineStr">
        <is>
          <t>No</t>
        </is>
      </c>
      <c r="AQ1587" t="inlineStr">
        <is>
          <t>No</t>
        </is>
      </c>
      <c r="AS1587">
        <f>HYPERLINK("https://creighton-primo.hosted.exlibrisgroup.com/primo-explore/search?tab=default_tab&amp;search_scope=EVERYTHING&amp;vid=01CRU&amp;lang=en_US&amp;offset=0&amp;query=any,contains,991004527319702656","Catalog Record")</f>
        <v/>
      </c>
      <c r="AT1587">
        <f>HYPERLINK("http://www.worldcat.org/oclc/55658501","WorldCat Record")</f>
        <v/>
      </c>
      <c r="AU1587" t="inlineStr">
        <is>
          <t>1039308:eng</t>
        </is>
      </c>
      <c r="AV1587" t="inlineStr">
        <is>
          <t>55658501</t>
        </is>
      </c>
      <c r="AW1587" t="inlineStr">
        <is>
          <t>991004527319702656</t>
        </is>
      </c>
      <c r="AX1587" t="inlineStr">
        <is>
          <t>991004527319702656</t>
        </is>
      </c>
      <c r="AY1587" t="inlineStr">
        <is>
          <t>2257877770002656</t>
        </is>
      </c>
      <c r="AZ1587" t="inlineStr">
        <is>
          <t>BOOK</t>
        </is>
      </c>
      <c r="BB1587" t="inlineStr">
        <is>
          <t>9780742526587</t>
        </is>
      </c>
      <c r="BC1587" t="inlineStr">
        <is>
          <t>32285005094494</t>
        </is>
      </c>
      <c r="BD1587" t="inlineStr">
        <is>
          <t>893599944</t>
        </is>
      </c>
    </row>
    <row r="1588">
      <c r="A1588" t="inlineStr">
        <is>
          <t>No</t>
        </is>
      </c>
      <c r="B1588" t="inlineStr">
        <is>
          <t>HQ57.5.A3 M65</t>
        </is>
      </c>
      <c r="C1588" t="inlineStr">
        <is>
          <t>0                      HQ 0057500A  3                  M  65</t>
        </is>
      </c>
      <c r="D1588" t="inlineStr">
        <is>
          <t>The school's responsibility for sex education / by Elizabeth Mooney.</t>
        </is>
      </c>
      <c r="F1588" t="inlineStr">
        <is>
          <t>No</t>
        </is>
      </c>
      <c r="G1588" t="inlineStr">
        <is>
          <t>1</t>
        </is>
      </c>
      <c r="H1588" t="inlineStr">
        <is>
          <t>No</t>
        </is>
      </c>
      <c r="I1588" t="inlineStr">
        <is>
          <t>No</t>
        </is>
      </c>
      <c r="J1588" t="inlineStr">
        <is>
          <t>0</t>
        </is>
      </c>
      <c r="K1588" t="inlineStr">
        <is>
          <t>Mooney, Elizabeth Comstock.</t>
        </is>
      </c>
      <c r="L1588" t="inlineStr">
        <is>
          <t>Bloomington, Ind. : Phi Delta Kappa Educational Foundation, [1974]</t>
        </is>
      </c>
      <c r="M1588" t="inlineStr">
        <is>
          <t>1974</t>
        </is>
      </c>
      <c r="O1588" t="inlineStr">
        <is>
          <t>eng</t>
        </is>
      </c>
      <c r="P1588" t="inlineStr">
        <is>
          <t>inu</t>
        </is>
      </c>
      <c r="Q1588" t="inlineStr">
        <is>
          <t>Fastback - Phi Delta Kappa Educational Foundation ; 47</t>
        </is>
      </c>
      <c r="R1588" t="inlineStr">
        <is>
          <t xml:space="preserve">HQ </t>
        </is>
      </c>
      <c r="S1588" t="n">
        <v>3</v>
      </c>
      <c r="T1588" t="n">
        <v>3</v>
      </c>
      <c r="U1588" t="inlineStr">
        <is>
          <t>2009-11-15</t>
        </is>
      </c>
      <c r="V1588" t="inlineStr">
        <is>
          <t>2009-11-15</t>
        </is>
      </c>
      <c r="W1588" t="inlineStr">
        <is>
          <t>1997-08-08</t>
        </is>
      </c>
      <c r="X1588" t="inlineStr">
        <is>
          <t>1997-08-08</t>
        </is>
      </c>
      <c r="Y1588" t="n">
        <v>261</v>
      </c>
      <c r="Z1588" t="n">
        <v>229</v>
      </c>
      <c r="AA1588" t="n">
        <v>229</v>
      </c>
      <c r="AB1588" t="n">
        <v>4</v>
      </c>
      <c r="AC1588" t="n">
        <v>4</v>
      </c>
      <c r="AD1588" t="n">
        <v>10</v>
      </c>
      <c r="AE1588" t="n">
        <v>10</v>
      </c>
      <c r="AF1588" t="n">
        <v>3</v>
      </c>
      <c r="AG1588" t="n">
        <v>3</v>
      </c>
      <c r="AH1588" t="n">
        <v>2</v>
      </c>
      <c r="AI1588" t="n">
        <v>2</v>
      </c>
      <c r="AJ1588" t="n">
        <v>4</v>
      </c>
      <c r="AK1588" t="n">
        <v>4</v>
      </c>
      <c r="AL1588" t="n">
        <v>3</v>
      </c>
      <c r="AM1588" t="n">
        <v>3</v>
      </c>
      <c r="AN1588" t="n">
        <v>0</v>
      </c>
      <c r="AO1588" t="n">
        <v>0</v>
      </c>
      <c r="AP1588" t="inlineStr">
        <is>
          <t>No</t>
        </is>
      </c>
      <c r="AQ1588" t="inlineStr">
        <is>
          <t>No</t>
        </is>
      </c>
      <c r="AS1588">
        <f>HYPERLINK("https://creighton-primo.hosted.exlibrisgroup.com/primo-explore/search?tab=default_tab&amp;search_scope=EVERYTHING&amp;vid=01CRU&amp;lang=en_US&amp;offset=0&amp;query=any,contains,991003560509702656","Catalog Record")</f>
        <v/>
      </c>
      <c r="AT1588">
        <f>HYPERLINK("http://www.worldcat.org/oclc/1130220","WorldCat Record")</f>
        <v/>
      </c>
      <c r="AU1588" t="inlineStr">
        <is>
          <t>498790203:eng</t>
        </is>
      </c>
      <c r="AV1588" t="inlineStr">
        <is>
          <t>1130220</t>
        </is>
      </c>
      <c r="AW1588" t="inlineStr">
        <is>
          <t>991003560509702656</t>
        </is>
      </c>
      <c r="AX1588" t="inlineStr">
        <is>
          <t>991003560509702656</t>
        </is>
      </c>
      <c r="AY1588" t="inlineStr">
        <is>
          <t>2265585650002656</t>
        </is>
      </c>
      <c r="AZ1588" t="inlineStr">
        <is>
          <t>BOOK</t>
        </is>
      </c>
      <c r="BC1588" t="inlineStr">
        <is>
          <t>32285003088308</t>
        </is>
      </c>
      <c r="BD1588" t="inlineStr">
        <is>
          <t>893611164</t>
        </is>
      </c>
    </row>
    <row r="1589">
      <c r="A1589" t="inlineStr">
        <is>
          <t>No</t>
        </is>
      </c>
      <c r="B1589" t="inlineStr">
        <is>
          <t>HQ57.5.A3 S28 1984</t>
        </is>
      </c>
      <c r="C1589" t="inlineStr">
        <is>
          <t>0                      HQ 0057500A  3                  S  28          1984</t>
        </is>
      </c>
      <c r="D1589" t="inlineStr">
        <is>
          <t>The front lines of sexuality education / by Peter Scales.</t>
        </is>
      </c>
      <c r="F1589" t="inlineStr">
        <is>
          <t>No</t>
        </is>
      </c>
      <c r="G1589" t="inlineStr">
        <is>
          <t>1</t>
        </is>
      </c>
      <c r="H1589" t="inlineStr">
        <is>
          <t>No</t>
        </is>
      </c>
      <c r="I1589" t="inlineStr">
        <is>
          <t>No</t>
        </is>
      </c>
      <c r="J1589" t="inlineStr">
        <is>
          <t>0</t>
        </is>
      </c>
      <c r="K1589" t="inlineStr">
        <is>
          <t>Scales, Peter, 1949-</t>
        </is>
      </c>
      <c r="L1589" t="inlineStr">
        <is>
          <t>Santa Cruz, CA : Network Publications, 1984.</t>
        </is>
      </c>
      <c r="M1589" t="inlineStr">
        <is>
          <t>1984</t>
        </is>
      </c>
      <c r="O1589" t="inlineStr">
        <is>
          <t>eng</t>
        </is>
      </c>
      <c r="P1589" t="inlineStr">
        <is>
          <t>cau</t>
        </is>
      </c>
      <c r="R1589" t="inlineStr">
        <is>
          <t xml:space="preserve">HQ </t>
        </is>
      </c>
      <c r="S1589" t="n">
        <v>7</v>
      </c>
      <c r="T1589" t="n">
        <v>7</v>
      </c>
      <c r="U1589" t="inlineStr">
        <is>
          <t>1999-10-26</t>
        </is>
      </c>
      <c r="V1589" t="inlineStr">
        <is>
          <t>1999-10-26</t>
        </is>
      </c>
      <c r="W1589" t="inlineStr">
        <is>
          <t>1992-02-24</t>
        </is>
      </c>
      <c r="X1589" t="inlineStr">
        <is>
          <t>1992-02-24</t>
        </is>
      </c>
      <c r="Y1589" t="n">
        <v>40</v>
      </c>
      <c r="Z1589" t="n">
        <v>34</v>
      </c>
      <c r="AA1589" t="n">
        <v>34</v>
      </c>
      <c r="AB1589" t="n">
        <v>2</v>
      </c>
      <c r="AC1589" t="n">
        <v>2</v>
      </c>
      <c r="AD1589" t="n">
        <v>1</v>
      </c>
      <c r="AE1589" t="n">
        <v>1</v>
      </c>
      <c r="AF1589" t="n">
        <v>0</v>
      </c>
      <c r="AG1589" t="n">
        <v>0</v>
      </c>
      <c r="AH1589" t="n">
        <v>0</v>
      </c>
      <c r="AI1589" t="n">
        <v>0</v>
      </c>
      <c r="AJ1589" t="n">
        <v>0</v>
      </c>
      <c r="AK1589" t="n">
        <v>0</v>
      </c>
      <c r="AL1589" t="n">
        <v>1</v>
      </c>
      <c r="AM1589" t="n">
        <v>1</v>
      </c>
      <c r="AN1589" t="n">
        <v>0</v>
      </c>
      <c r="AO1589" t="n">
        <v>0</v>
      </c>
      <c r="AP1589" t="inlineStr">
        <is>
          <t>No</t>
        </is>
      </c>
      <c r="AQ1589" t="inlineStr">
        <is>
          <t>No</t>
        </is>
      </c>
      <c r="AS1589">
        <f>HYPERLINK("https://creighton-primo.hosted.exlibrisgroup.com/primo-explore/search?tab=default_tab&amp;search_scope=EVERYTHING&amp;vid=01CRU&amp;lang=en_US&amp;offset=0&amp;query=any,contains,991000680889702656","Catalog Record")</f>
        <v/>
      </c>
      <c r="AT1589">
        <f>HYPERLINK("http://www.worldcat.org/oclc/12388460","WorldCat Record")</f>
        <v/>
      </c>
      <c r="AU1589" t="inlineStr">
        <is>
          <t>5225431:eng</t>
        </is>
      </c>
      <c r="AV1589" t="inlineStr">
        <is>
          <t>12388460</t>
        </is>
      </c>
      <c r="AW1589" t="inlineStr">
        <is>
          <t>991000680889702656</t>
        </is>
      </c>
      <c r="AX1589" t="inlineStr">
        <is>
          <t>991000680889702656</t>
        </is>
      </c>
      <c r="AY1589" t="inlineStr">
        <is>
          <t>2261167700002656</t>
        </is>
      </c>
      <c r="AZ1589" t="inlineStr">
        <is>
          <t>BOOK</t>
        </is>
      </c>
      <c r="BB1589" t="inlineStr">
        <is>
          <t>9780941816137</t>
        </is>
      </c>
      <c r="BC1589" t="inlineStr">
        <is>
          <t>32285000975796</t>
        </is>
      </c>
      <c r="BD1589" t="inlineStr">
        <is>
          <t>893237525</t>
        </is>
      </c>
    </row>
    <row r="1590">
      <c r="A1590" t="inlineStr">
        <is>
          <t>No</t>
        </is>
      </c>
      <c r="B1590" t="inlineStr">
        <is>
          <t>HQ57.5.A3 S39 1984</t>
        </is>
      </c>
      <c r="C1590" t="inlineStr">
        <is>
          <t>0                      HQ 0057500A  3                  S  39          1984</t>
        </is>
      </c>
      <c r="D1590" t="inlineStr">
        <is>
          <t>Sexuality education / developed at Mathtech, Inc. by Douglas Kirby ... [et. al.].</t>
        </is>
      </c>
      <c r="E1590" t="inlineStr">
        <is>
          <t>V.5</t>
        </is>
      </c>
      <c r="F1590" t="inlineStr">
        <is>
          <t>Yes</t>
        </is>
      </c>
      <c r="G1590" t="inlineStr">
        <is>
          <t>1</t>
        </is>
      </c>
      <c r="H1590" t="inlineStr">
        <is>
          <t>No</t>
        </is>
      </c>
      <c r="I1590" t="inlineStr">
        <is>
          <t>No</t>
        </is>
      </c>
      <c r="J1590" t="inlineStr">
        <is>
          <t>0</t>
        </is>
      </c>
      <c r="L1590" t="inlineStr">
        <is>
          <t>Santa Cruz, [Calif.] : Network Publications, 1984.</t>
        </is>
      </c>
      <c r="M1590" t="inlineStr">
        <is>
          <t>1984</t>
        </is>
      </c>
      <c r="O1590" t="inlineStr">
        <is>
          <t>eng</t>
        </is>
      </c>
      <c r="P1590" t="inlineStr">
        <is>
          <t>cau</t>
        </is>
      </c>
      <c r="R1590" t="inlineStr">
        <is>
          <t xml:space="preserve">HQ </t>
        </is>
      </c>
      <c r="S1590" t="n">
        <v>7</v>
      </c>
      <c r="T1590" t="n">
        <v>45</v>
      </c>
      <c r="U1590" t="inlineStr">
        <is>
          <t>1999-10-26</t>
        </is>
      </c>
      <c r="V1590" t="inlineStr">
        <is>
          <t>2001-09-11</t>
        </is>
      </c>
      <c r="W1590" t="inlineStr">
        <is>
          <t>1992-10-22</t>
        </is>
      </c>
      <c r="X1590" t="inlineStr">
        <is>
          <t>1992-10-22</t>
        </is>
      </c>
      <c r="Y1590" t="n">
        <v>41</v>
      </c>
      <c r="Z1590" t="n">
        <v>39</v>
      </c>
      <c r="AA1590" t="n">
        <v>60</v>
      </c>
      <c r="AB1590" t="n">
        <v>1</v>
      </c>
      <c r="AC1590" t="n">
        <v>1</v>
      </c>
      <c r="AD1590" t="n">
        <v>0</v>
      </c>
      <c r="AE1590" t="n">
        <v>0</v>
      </c>
      <c r="AF1590" t="n">
        <v>0</v>
      </c>
      <c r="AG1590" t="n">
        <v>0</v>
      </c>
      <c r="AH1590" t="n">
        <v>0</v>
      </c>
      <c r="AI1590" t="n">
        <v>0</v>
      </c>
      <c r="AJ1590" t="n">
        <v>0</v>
      </c>
      <c r="AK1590" t="n">
        <v>0</v>
      </c>
      <c r="AL1590" t="n">
        <v>0</v>
      </c>
      <c r="AM1590" t="n">
        <v>0</v>
      </c>
      <c r="AN1590" t="n">
        <v>0</v>
      </c>
      <c r="AO1590" t="n">
        <v>0</v>
      </c>
      <c r="AP1590" t="inlineStr">
        <is>
          <t>No</t>
        </is>
      </c>
      <c r="AQ1590" t="inlineStr">
        <is>
          <t>No</t>
        </is>
      </c>
      <c r="AS1590">
        <f>HYPERLINK("https://creighton-primo.hosted.exlibrisgroup.com/primo-explore/search?tab=default_tab&amp;search_scope=EVERYTHING&amp;vid=01CRU&amp;lang=en_US&amp;offset=0&amp;query=any,contains,991005404569702656","Catalog Record")</f>
        <v/>
      </c>
      <c r="AT1590">
        <f>HYPERLINK("http://www.worldcat.org/oclc/11242446","WorldCat Record")</f>
        <v/>
      </c>
      <c r="AU1590" t="inlineStr">
        <is>
          <t>2286633799:eng</t>
        </is>
      </c>
      <c r="AV1590" t="inlineStr">
        <is>
          <t>11242446</t>
        </is>
      </c>
      <c r="AW1590" t="inlineStr">
        <is>
          <t>991005404569702656</t>
        </is>
      </c>
      <c r="AX1590" t="inlineStr">
        <is>
          <t>991005404569702656</t>
        </is>
      </c>
      <c r="AY1590" t="inlineStr">
        <is>
          <t>2271945180002656</t>
        </is>
      </c>
      <c r="AZ1590" t="inlineStr">
        <is>
          <t>BOOK</t>
        </is>
      </c>
      <c r="BC1590" t="inlineStr">
        <is>
          <t>32285001358232</t>
        </is>
      </c>
      <c r="BD1590" t="inlineStr">
        <is>
          <t>893437783</t>
        </is>
      </c>
    </row>
    <row r="1591">
      <c r="A1591" t="inlineStr">
        <is>
          <t>No</t>
        </is>
      </c>
      <c r="B1591" t="inlineStr">
        <is>
          <t>HQ57.5.A3 S39 1984</t>
        </is>
      </c>
      <c r="C1591" t="inlineStr">
        <is>
          <t>0                      HQ 0057500A  3                  S  39          1984</t>
        </is>
      </c>
      <c r="D1591" t="inlineStr">
        <is>
          <t>Sexuality education / developed at Mathtech, Inc. by Douglas Kirby ... [et. al.].</t>
        </is>
      </c>
      <c r="E1591" t="inlineStr">
        <is>
          <t>V.1</t>
        </is>
      </c>
      <c r="F1591" t="inlineStr">
        <is>
          <t>Yes</t>
        </is>
      </c>
      <c r="G1591" t="inlineStr">
        <is>
          <t>1</t>
        </is>
      </c>
      <c r="H1591" t="inlineStr">
        <is>
          <t>No</t>
        </is>
      </c>
      <c r="I1591" t="inlineStr">
        <is>
          <t>No</t>
        </is>
      </c>
      <c r="J1591" t="inlineStr">
        <is>
          <t>0</t>
        </is>
      </c>
      <c r="L1591" t="inlineStr">
        <is>
          <t>Santa Cruz, [Calif.] : Network Publications, 1984.</t>
        </is>
      </c>
      <c r="M1591" t="inlineStr">
        <is>
          <t>1984</t>
        </is>
      </c>
      <c r="O1591" t="inlineStr">
        <is>
          <t>eng</t>
        </is>
      </c>
      <c r="P1591" t="inlineStr">
        <is>
          <t>cau</t>
        </is>
      </c>
      <c r="R1591" t="inlineStr">
        <is>
          <t xml:space="preserve">HQ </t>
        </is>
      </c>
      <c r="S1591" t="n">
        <v>12</v>
      </c>
      <c r="T1591" t="n">
        <v>45</v>
      </c>
      <c r="U1591" t="inlineStr">
        <is>
          <t>2001-09-11</t>
        </is>
      </c>
      <c r="V1591" t="inlineStr">
        <is>
          <t>2001-09-11</t>
        </is>
      </c>
      <c r="W1591" t="inlineStr">
        <is>
          <t>1992-03-03</t>
        </is>
      </c>
      <c r="X1591" t="inlineStr">
        <is>
          <t>1992-10-22</t>
        </is>
      </c>
      <c r="Y1591" t="n">
        <v>41</v>
      </c>
      <c r="Z1591" t="n">
        <v>39</v>
      </c>
      <c r="AA1591" t="n">
        <v>60</v>
      </c>
      <c r="AB1591" t="n">
        <v>1</v>
      </c>
      <c r="AC1591" t="n">
        <v>1</v>
      </c>
      <c r="AD1591" t="n">
        <v>0</v>
      </c>
      <c r="AE1591" t="n">
        <v>0</v>
      </c>
      <c r="AF1591" t="n">
        <v>0</v>
      </c>
      <c r="AG1591" t="n">
        <v>0</v>
      </c>
      <c r="AH1591" t="n">
        <v>0</v>
      </c>
      <c r="AI1591" t="n">
        <v>0</v>
      </c>
      <c r="AJ1591" t="n">
        <v>0</v>
      </c>
      <c r="AK1591" t="n">
        <v>0</v>
      </c>
      <c r="AL1591" t="n">
        <v>0</v>
      </c>
      <c r="AM1591" t="n">
        <v>0</v>
      </c>
      <c r="AN1591" t="n">
        <v>0</v>
      </c>
      <c r="AO1591" t="n">
        <v>0</v>
      </c>
      <c r="AP1591" t="inlineStr">
        <is>
          <t>No</t>
        </is>
      </c>
      <c r="AQ1591" t="inlineStr">
        <is>
          <t>No</t>
        </is>
      </c>
      <c r="AS1591">
        <f>HYPERLINK("https://creighton-primo.hosted.exlibrisgroup.com/primo-explore/search?tab=default_tab&amp;search_scope=EVERYTHING&amp;vid=01CRU&amp;lang=en_US&amp;offset=0&amp;query=any,contains,991005404569702656","Catalog Record")</f>
        <v/>
      </c>
      <c r="AT1591">
        <f>HYPERLINK("http://www.worldcat.org/oclc/11242446","WorldCat Record")</f>
        <v/>
      </c>
      <c r="AU1591" t="inlineStr">
        <is>
          <t>2286633799:eng</t>
        </is>
      </c>
      <c r="AV1591" t="inlineStr">
        <is>
          <t>11242446</t>
        </is>
      </c>
      <c r="AW1591" t="inlineStr">
        <is>
          <t>991005404569702656</t>
        </is>
      </c>
      <c r="AX1591" t="inlineStr">
        <is>
          <t>991005404569702656</t>
        </is>
      </c>
      <c r="AY1591" t="inlineStr">
        <is>
          <t>2271945180002656</t>
        </is>
      </c>
      <c r="AZ1591" t="inlineStr">
        <is>
          <t>BOOK</t>
        </is>
      </c>
      <c r="BC1591" t="inlineStr">
        <is>
          <t>32285000990142</t>
        </is>
      </c>
      <c r="BD1591" t="inlineStr">
        <is>
          <t>893443966</t>
        </is>
      </c>
    </row>
    <row r="1592">
      <c r="A1592" t="inlineStr">
        <is>
          <t>No</t>
        </is>
      </c>
      <c r="B1592" t="inlineStr">
        <is>
          <t>HQ57.5.A3 S39 1984</t>
        </is>
      </c>
      <c r="C1592" t="inlineStr">
        <is>
          <t>0                      HQ 0057500A  3                  S  39          1984</t>
        </is>
      </c>
      <c r="D1592" t="inlineStr">
        <is>
          <t>Sexuality education / developed at Mathtech, Inc. by Douglas Kirby ... [et. al.].</t>
        </is>
      </c>
      <c r="E1592" t="inlineStr">
        <is>
          <t>V.6</t>
        </is>
      </c>
      <c r="F1592" t="inlineStr">
        <is>
          <t>Yes</t>
        </is>
      </c>
      <c r="G1592" t="inlineStr">
        <is>
          <t>1</t>
        </is>
      </c>
      <c r="H1592" t="inlineStr">
        <is>
          <t>No</t>
        </is>
      </c>
      <c r="I1592" t="inlineStr">
        <is>
          <t>No</t>
        </is>
      </c>
      <c r="J1592" t="inlineStr">
        <is>
          <t>0</t>
        </is>
      </c>
      <c r="L1592" t="inlineStr">
        <is>
          <t>Santa Cruz, [Calif.] : Network Publications, 1984.</t>
        </is>
      </c>
      <c r="M1592" t="inlineStr">
        <is>
          <t>1984</t>
        </is>
      </c>
      <c r="O1592" t="inlineStr">
        <is>
          <t>eng</t>
        </is>
      </c>
      <c r="P1592" t="inlineStr">
        <is>
          <t>cau</t>
        </is>
      </c>
      <c r="R1592" t="inlineStr">
        <is>
          <t xml:space="preserve">HQ </t>
        </is>
      </c>
      <c r="S1592" t="n">
        <v>7</v>
      </c>
      <c r="T1592" t="n">
        <v>45</v>
      </c>
      <c r="U1592" t="inlineStr">
        <is>
          <t>2001-09-11</t>
        </is>
      </c>
      <c r="V1592" t="inlineStr">
        <is>
          <t>2001-09-11</t>
        </is>
      </c>
      <c r="W1592" t="inlineStr">
        <is>
          <t>1992-10-22</t>
        </is>
      </c>
      <c r="X1592" t="inlineStr">
        <is>
          <t>1992-10-22</t>
        </is>
      </c>
      <c r="Y1592" t="n">
        <v>41</v>
      </c>
      <c r="Z1592" t="n">
        <v>39</v>
      </c>
      <c r="AA1592" t="n">
        <v>60</v>
      </c>
      <c r="AB1592" t="n">
        <v>1</v>
      </c>
      <c r="AC1592" t="n">
        <v>1</v>
      </c>
      <c r="AD1592" t="n">
        <v>0</v>
      </c>
      <c r="AE1592" t="n">
        <v>0</v>
      </c>
      <c r="AF1592" t="n">
        <v>0</v>
      </c>
      <c r="AG1592" t="n">
        <v>0</v>
      </c>
      <c r="AH1592" t="n">
        <v>0</v>
      </c>
      <c r="AI1592" t="n">
        <v>0</v>
      </c>
      <c r="AJ1592" t="n">
        <v>0</v>
      </c>
      <c r="AK1592" t="n">
        <v>0</v>
      </c>
      <c r="AL1592" t="n">
        <v>0</v>
      </c>
      <c r="AM1592" t="n">
        <v>0</v>
      </c>
      <c r="AN1592" t="n">
        <v>0</v>
      </c>
      <c r="AO1592" t="n">
        <v>0</v>
      </c>
      <c r="AP1592" t="inlineStr">
        <is>
          <t>No</t>
        </is>
      </c>
      <c r="AQ1592" t="inlineStr">
        <is>
          <t>No</t>
        </is>
      </c>
      <c r="AS1592">
        <f>HYPERLINK("https://creighton-primo.hosted.exlibrisgroup.com/primo-explore/search?tab=default_tab&amp;search_scope=EVERYTHING&amp;vid=01CRU&amp;lang=en_US&amp;offset=0&amp;query=any,contains,991005404569702656","Catalog Record")</f>
        <v/>
      </c>
      <c r="AT1592">
        <f>HYPERLINK("http://www.worldcat.org/oclc/11242446","WorldCat Record")</f>
        <v/>
      </c>
      <c r="AU1592" t="inlineStr">
        <is>
          <t>2286633799:eng</t>
        </is>
      </c>
      <c r="AV1592" t="inlineStr">
        <is>
          <t>11242446</t>
        </is>
      </c>
      <c r="AW1592" t="inlineStr">
        <is>
          <t>991005404569702656</t>
        </is>
      </c>
      <c r="AX1592" t="inlineStr">
        <is>
          <t>991005404569702656</t>
        </is>
      </c>
      <c r="AY1592" t="inlineStr">
        <is>
          <t>2271945180002656</t>
        </is>
      </c>
      <c r="AZ1592" t="inlineStr">
        <is>
          <t>BOOK</t>
        </is>
      </c>
      <c r="BC1592" t="inlineStr">
        <is>
          <t>32285001358240</t>
        </is>
      </c>
      <c r="BD1592" t="inlineStr">
        <is>
          <t>893412845</t>
        </is>
      </c>
    </row>
    <row r="1593">
      <c r="A1593" t="inlineStr">
        <is>
          <t>No</t>
        </is>
      </c>
      <c r="B1593" t="inlineStr">
        <is>
          <t>HQ57.5.A3 S39 1984</t>
        </is>
      </c>
      <c r="C1593" t="inlineStr">
        <is>
          <t>0                      HQ 0057500A  3                  S  39          1984</t>
        </is>
      </c>
      <c r="D1593" t="inlineStr">
        <is>
          <t>Sexuality education / developed at Mathtech, Inc. by Douglas Kirby ... [et. al.].</t>
        </is>
      </c>
      <c r="E1593" t="inlineStr">
        <is>
          <t>V.3</t>
        </is>
      </c>
      <c r="F1593" t="inlineStr">
        <is>
          <t>Yes</t>
        </is>
      </c>
      <c r="G1593" t="inlineStr">
        <is>
          <t>1</t>
        </is>
      </c>
      <c r="H1593" t="inlineStr">
        <is>
          <t>No</t>
        </is>
      </c>
      <c r="I1593" t="inlineStr">
        <is>
          <t>No</t>
        </is>
      </c>
      <c r="J1593" t="inlineStr">
        <is>
          <t>0</t>
        </is>
      </c>
      <c r="L1593" t="inlineStr">
        <is>
          <t>Santa Cruz, [Calif.] : Network Publications, 1984.</t>
        </is>
      </c>
      <c r="M1593" t="inlineStr">
        <is>
          <t>1984</t>
        </is>
      </c>
      <c r="O1593" t="inlineStr">
        <is>
          <t>eng</t>
        </is>
      </c>
      <c r="P1593" t="inlineStr">
        <is>
          <t>cau</t>
        </is>
      </c>
      <c r="R1593" t="inlineStr">
        <is>
          <t xml:space="preserve">HQ </t>
        </is>
      </c>
      <c r="S1593" t="n">
        <v>10</v>
      </c>
      <c r="T1593" t="n">
        <v>45</v>
      </c>
      <c r="U1593" t="inlineStr">
        <is>
          <t>2001-09-11</t>
        </is>
      </c>
      <c r="V1593" t="inlineStr">
        <is>
          <t>2001-09-11</t>
        </is>
      </c>
      <c r="W1593" t="inlineStr">
        <is>
          <t>1992-03-03</t>
        </is>
      </c>
      <c r="X1593" t="inlineStr">
        <is>
          <t>1992-10-22</t>
        </is>
      </c>
      <c r="Y1593" t="n">
        <v>41</v>
      </c>
      <c r="Z1593" t="n">
        <v>39</v>
      </c>
      <c r="AA1593" t="n">
        <v>60</v>
      </c>
      <c r="AB1593" t="n">
        <v>1</v>
      </c>
      <c r="AC1593" t="n">
        <v>1</v>
      </c>
      <c r="AD1593" t="n">
        <v>0</v>
      </c>
      <c r="AE1593" t="n">
        <v>0</v>
      </c>
      <c r="AF1593" t="n">
        <v>0</v>
      </c>
      <c r="AG1593" t="n">
        <v>0</v>
      </c>
      <c r="AH1593" t="n">
        <v>0</v>
      </c>
      <c r="AI1593" t="n">
        <v>0</v>
      </c>
      <c r="AJ1593" t="n">
        <v>0</v>
      </c>
      <c r="AK1593" t="n">
        <v>0</v>
      </c>
      <c r="AL1593" t="n">
        <v>0</v>
      </c>
      <c r="AM1593" t="n">
        <v>0</v>
      </c>
      <c r="AN1593" t="n">
        <v>0</v>
      </c>
      <c r="AO1593" t="n">
        <v>0</v>
      </c>
      <c r="AP1593" t="inlineStr">
        <is>
          <t>No</t>
        </is>
      </c>
      <c r="AQ1593" t="inlineStr">
        <is>
          <t>No</t>
        </is>
      </c>
      <c r="AS1593">
        <f>HYPERLINK("https://creighton-primo.hosted.exlibrisgroup.com/primo-explore/search?tab=default_tab&amp;search_scope=EVERYTHING&amp;vid=01CRU&amp;lang=en_US&amp;offset=0&amp;query=any,contains,991005404569702656","Catalog Record")</f>
        <v/>
      </c>
      <c r="AT1593">
        <f>HYPERLINK("http://www.worldcat.org/oclc/11242446","WorldCat Record")</f>
        <v/>
      </c>
      <c r="AU1593" t="inlineStr">
        <is>
          <t>2286633799:eng</t>
        </is>
      </c>
      <c r="AV1593" t="inlineStr">
        <is>
          <t>11242446</t>
        </is>
      </c>
      <c r="AW1593" t="inlineStr">
        <is>
          <t>991005404569702656</t>
        </is>
      </c>
      <c r="AX1593" t="inlineStr">
        <is>
          <t>991005404569702656</t>
        </is>
      </c>
      <c r="AY1593" t="inlineStr">
        <is>
          <t>2271945180002656</t>
        </is>
      </c>
      <c r="AZ1593" t="inlineStr">
        <is>
          <t>BOOK</t>
        </is>
      </c>
      <c r="BC1593" t="inlineStr">
        <is>
          <t>32285000990159</t>
        </is>
      </c>
      <c r="BD1593" t="inlineStr">
        <is>
          <t>893437784</t>
        </is>
      </c>
    </row>
    <row r="1594">
      <c r="A1594" t="inlineStr">
        <is>
          <t>No</t>
        </is>
      </c>
      <c r="B1594" t="inlineStr">
        <is>
          <t>HQ57.5.A3 S39 1984</t>
        </is>
      </c>
      <c r="C1594" t="inlineStr">
        <is>
          <t>0                      HQ 0057500A  3                  S  39          1984</t>
        </is>
      </c>
      <c r="D1594" t="inlineStr">
        <is>
          <t>Sexuality education / developed at Mathtech, Inc. by Douglas Kirby ... [et. al.].</t>
        </is>
      </c>
      <c r="E1594" t="inlineStr">
        <is>
          <t>V.2</t>
        </is>
      </c>
      <c r="F1594" t="inlineStr">
        <is>
          <t>Yes</t>
        </is>
      </c>
      <c r="G1594" t="inlineStr">
        <is>
          <t>1</t>
        </is>
      </c>
      <c r="H1594" t="inlineStr">
        <is>
          <t>No</t>
        </is>
      </c>
      <c r="I1594" t="inlineStr">
        <is>
          <t>No</t>
        </is>
      </c>
      <c r="J1594" t="inlineStr">
        <is>
          <t>0</t>
        </is>
      </c>
      <c r="L1594" t="inlineStr">
        <is>
          <t>Santa Cruz, [Calif.] : Network Publications, 1984.</t>
        </is>
      </c>
      <c r="M1594" t="inlineStr">
        <is>
          <t>1984</t>
        </is>
      </c>
      <c r="O1594" t="inlineStr">
        <is>
          <t>eng</t>
        </is>
      </c>
      <c r="P1594" t="inlineStr">
        <is>
          <t>cau</t>
        </is>
      </c>
      <c r="R1594" t="inlineStr">
        <is>
          <t xml:space="preserve">HQ </t>
        </is>
      </c>
      <c r="S1594" t="n">
        <v>9</v>
      </c>
      <c r="T1594" t="n">
        <v>45</v>
      </c>
      <c r="U1594" t="inlineStr">
        <is>
          <t>2001-09-11</t>
        </is>
      </c>
      <c r="V1594" t="inlineStr">
        <is>
          <t>2001-09-11</t>
        </is>
      </c>
      <c r="W1594" t="inlineStr">
        <is>
          <t>1992-10-22</t>
        </is>
      </c>
      <c r="X1594" t="inlineStr">
        <is>
          <t>1992-10-22</t>
        </is>
      </c>
      <c r="Y1594" t="n">
        <v>41</v>
      </c>
      <c r="Z1594" t="n">
        <v>39</v>
      </c>
      <c r="AA1594" t="n">
        <v>60</v>
      </c>
      <c r="AB1594" t="n">
        <v>1</v>
      </c>
      <c r="AC1594" t="n">
        <v>1</v>
      </c>
      <c r="AD1594" t="n">
        <v>0</v>
      </c>
      <c r="AE1594" t="n">
        <v>0</v>
      </c>
      <c r="AF1594" t="n">
        <v>0</v>
      </c>
      <c r="AG1594" t="n">
        <v>0</v>
      </c>
      <c r="AH1594" t="n">
        <v>0</v>
      </c>
      <c r="AI1594" t="n">
        <v>0</v>
      </c>
      <c r="AJ1594" t="n">
        <v>0</v>
      </c>
      <c r="AK1594" t="n">
        <v>0</v>
      </c>
      <c r="AL1594" t="n">
        <v>0</v>
      </c>
      <c r="AM1594" t="n">
        <v>0</v>
      </c>
      <c r="AN1594" t="n">
        <v>0</v>
      </c>
      <c r="AO1594" t="n">
        <v>0</v>
      </c>
      <c r="AP1594" t="inlineStr">
        <is>
          <t>No</t>
        </is>
      </c>
      <c r="AQ1594" t="inlineStr">
        <is>
          <t>No</t>
        </is>
      </c>
      <c r="AS1594">
        <f>HYPERLINK("https://creighton-primo.hosted.exlibrisgroup.com/primo-explore/search?tab=default_tab&amp;search_scope=EVERYTHING&amp;vid=01CRU&amp;lang=en_US&amp;offset=0&amp;query=any,contains,991005404569702656","Catalog Record")</f>
        <v/>
      </c>
      <c r="AT1594">
        <f>HYPERLINK("http://www.worldcat.org/oclc/11242446","WorldCat Record")</f>
        <v/>
      </c>
      <c r="AU1594" t="inlineStr">
        <is>
          <t>2286633799:eng</t>
        </is>
      </c>
      <c r="AV1594" t="inlineStr">
        <is>
          <t>11242446</t>
        </is>
      </c>
      <c r="AW1594" t="inlineStr">
        <is>
          <t>991005404569702656</t>
        </is>
      </c>
      <c r="AX1594" t="inlineStr">
        <is>
          <t>991005404569702656</t>
        </is>
      </c>
      <c r="AY1594" t="inlineStr">
        <is>
          <t>2271945180002656</t>
        </is>
      </c>
      <c r="AZ1594" t="inlineStr">
        <is>
          <t>BOOK</t>
        </is>
      </c>
      <c r="BC1594" t="inlineStr">
        <is>
          <t>32285001358224</t>
        </is>
      </c>
      <c r="BD1594" t="inlineStr">
        <is>
          <t>893443965</t>
        </is>
      </c>
    </row>
    <row r="1595">
      <c r="A1595" t="inlineStr">
        <is>
          <t>No</t>
        </is>
      </c>
      <c r="B1595" t="inlineStr">
        <is>
          <t>HQ582 .C65 1999</t>
        </is>
      </c>
      <c r="C1595" t="inlineStr">
        <is>
          <t>0                      HQ 0582000C  65          1999</t>
        </is>
      </c>
      <c r="D1595" t="inlineStr">
        <is>
          <t>La suegra en la sociedad : cómo sobrevivir a la suegra y a la hija también : ensayo / Lipe Collado.</t>
        </is>
      </c>
      <c r="F1595" t="inlineStr">
        <is>
          <t>No</t>
        </is>
      </c>
      <c r="G1595" t="inlineStr">
        <is>
          <t>1</t>
        </is>
      </c>
      <c r="H1595" t="inlineStr">
        <is>
          <t>No</t>
        </is>
      </c>
      <c r="I1595" t="inlineStr">
        <is>
          <t>No</t>
        </is>
      </c>
      <c r="J1595" t="inlineStr">
        <is>
          <t>0</t>
        </is>
      </c>
      <c r="K1595" t="inlineStr">
        <is>
          <t>Collado, Lipe, 1947-</t>
        </is>
      </c>
      <c r="L1595" t="inlineStr">
        <is>
          <t>[Dominican Republic : s.n.], 1999</t>
        </is>
      </c>
      <c r="M1595" t="inlineStr">
        <is>
          <t>1999</t>
        </is>
      </c>
      <c r="O1595" t="inlineStr">
        <is>
          <t>spa</t>
        </is>
      </c>
      <c r="P1595" t="inlineStr">
        <is>
          <t xml:space="preserve">dr </t>
        </is>
      </c>
      <c r="R1595" t="inlineStr">
        <is>
          <t xml:space="preserve">HQ </t>
        </is>
      </c>
      <c r="S1595" t="n">
        <v>1</v>
      </c>
      <c r="T1595" t="n">
        <v>1</v>
      </c>
      <c r="U1595" t="inlineStr">
        <is>
          <t>2000-11-06</t>
        </is>
      </c>
      <c r="V1595" t="inlineStr">
        <is>
          <t>2000-11-06</t>
        </is>
      </c>
      <c r="W1595" t="inlineStr">
        <is>
          <t>2000-10-31</t>
        </is>
      </c>
      <c r="X1595" t="inlineStr">
        <is>
          <t>2000-10-31</t>
        </is>
      </c>
      <c r="Y1595" t="n">
        <v>3</v>
      </c>
      <c r="Z1595" t="n">
        <v>3</v>
      </c>
      <c r="AA1595" t="n">
        <v>3</v>
      </c>
      <c r="AB1595" t="n">
        <v>1</v>
      </c>
      <c r="AC1595" t="n">
        <v>1</v>
      </c>
      <c r="AD1595" t="n">
        <v>0</v>
      </c>
      <c r="AE1595" t="n">
        <v>0</v>
      </c>
      <c r="AF1595" t="n">
        <v>0</v>
      </c>
      <c r="AG1595" t="n">
        <v>0</v>
      </c>
      <c r="AH1595" t="n">
        <v>0</v>
      </c>
      <c r="AI1595" t="n">
        <v>0</v>
      </c>
      <c r="AJ1595" t="n">
        <v>0</v>
      </c>
      <c r="AK1595" t="n">
        <v>0</v>
      </c>
      <c r="AL1595" t="n">
        <v>0</v>
      </c>
      <c r="AM1595" t="n">
        <v>0</v>
      </c>
      <c r="AN1595" t="n">
        <v>0</v>
      </c>
      <c r="AO1595" t="n">
        <v>0</v>
      </c>
      <c r="AP1595" t="inlineStr">
        <is>
          <t>No</t>
        </is>
      </c>
      <c r="AQ1595" t="inlineStr">
        <is>
          <t>No</t>
        </is>
      </c>
      <c r="AS1595">
        <f>HYPERLINK("https://creighton-primo.hosted.exlibrisgroup.com/primo-explore/search?tab=default_tab&amp;search_scope=EVERYTHING&amp;vid=01CRU&amp;lang=en_US&amp;offset=0&amp;query=any,contains,991003336449702656","Catalog Record")</f>
        <v/>
      </c>
      <c r="AT1595">
        <f>HYPERLINK("http://www.worldcat.org/oclc/45005992","WorldCat Record")</f>
        <v/>
      </c>
      <c r="AU1595" t="inlineStr">
        <is>
          <t>34572829:spa</t>
        </is>
      </c>
      <c r="AV1595" t="inlineStr">
        <is>
          <t>45005992</t>
        </is>
      </c>
      <c r="AW1595" t="inlineStr">
        <is>
          <t>991003336449702656</t>
        </is>
      </c>
      <c r="AX1595" t="inlineStr">
        <is>
          <t>991003336449702656</t>
        </is>
      </c>
      <c r="AY1595" t="inlineStr">
        <is>
          <t>2271260050002656</t>
        </is>
      </c>
      <c r="AZ1595" t="inlineStr">
        <is>
          <t>BOOK</t>
        </is>
      </c>
      <c r="BC1595" t="inlineStr">
        <is>
          <t>32285004270541</t>
        </is>
      </c>
      <c r="BD1595" t="inlineStr">
        <is>
          <t>893246262</t>
        </is>
      </c>
    </row>
    <row r="1596">
      <c r="A1596" t="inlineStr">
        <is>
          <t>No</t>
        </is>
      </c>
      <c r="B1596" t="inlineStr">
        <is>
          <t>HQ594.15.C37 R43 1999</t>
        </is>
      </c>
      <c r="C1596" t="inlineStr">
        <is>
          <t>0                      HQ 0594150C  37                 R  43          1999</t>
        </is>
      </c>
      <c r="D1596" t="inlineStr">
        <is>
          <t>The heart is unknown country : love in the changing economy of northeast Brazil / L.A. Rebhun.</t>
        </is>
      </c>
      <c r="F1596" t="inlineStr">
        <is>
          <t>No</t>
        </is>
      </c>
      <c r="G1596" t="inlineStr">
        <is>
          <t>1</t>
        </is>
      </c>
      <c r="H1596" t="inlineStr">
        <is>
          <t>No</t>
        </is>
      </c>
      <c r="I1596" t="inlineStr">
        <is>
          <t>No</t>
        </is>
      </c>
      <c r="J1596" t="inlineStr">
        <is>
          <t>0</t>
        </is>
      </c>
      <c r="K1596" t="inlineStr">
        <is>
          <t>Rebhun, Linda-Anne.</t>
        </is>
      </c>
      <c r="L1596" t="inlineStr">
        <is>
          <t>Stanford, Calif. : Stanford University Press, c1999.</t>
        </is>
      </c>
      <c r="M1596" t="inlineStr">
        <is>
          <t>1999</t>
        </is>
      </c>
      <c r="O1596" t="inlineStr">
        <is>
          <t>eng</t>
        </is>
      </c>
      <c r="P1596" t="inlineStr">
        <is>
          <t>cau</t>
        </is>
      </c>
      <c r="R1596" t="inlineStr">
        <is>
          <t xml:space="preserve">HQ </t>
        </is>
      </c>
      <c r="S1596" t="n">
        <v>1</v>
      </c>
      <c r="T1596" t="n">
        <v>1</v>
      </c>
      <c r="U1596" t="inlineStr">
        <is>
          <t>2000-09-28</t>
        </is>
      </c>
      <c r="V1596" t="inlineStr">
        <is>
          <t>2000-09-28</t>
        </is>
      </c>
      <c r="W1596" t="inlineStr">
        <is>
          <t>2000-09-28</t>
        </is>
      </c>
      <c r="X1596" t="inlineStr">
        <is>
          <t>2000-09-28</t>
        </is>
      </c>
      <c r="Y1596" t="n">
        <v>360</v>
      </c>
      <c r="Z1596" t="n">
        <v>296</v>
      </c>
      <c r="AA1596" t="n">
        <v>296</v>
      </c>
      <c r="AB1596" t="n">
        <v>2</v>
      </c>
      <c r="AC1596" t="n">
        <v>2</v>
      </c>
      <c r="AD1596" t="n">
        <v>14</v>
      </c>
      <c r="AE1596" t="n">
        <v>14</v>
      </c>
      <c r="AF1596" t="n">
        <v>6</v>
      </c>
      <c r="AG1596" t="n">
        <v>6</v>
      </c>
      <c r="AH1596" t="n">
        <v>3</v>
      </c>
      <c r="AI1596" t="n">
        <v>3</v>
      </c>
      <c r="AJ1596" t="n">
        <v>8</v>
      </c>
      <c r="AK1596" t="n">
        <v>8</v>
      </c>
      <c r="AL1596" t="n">
        <v>1</v>
      </c>
      <c r="AM1596" t="n">
        <v>1</v>
      </c>
      <c r="AN1596" t="n">
        <v>0</v>
      </c>
      <c r="AO1596" t="n">
        <v>0</v>
      </c>
      <c r="AP1596" t="inlineStr">
        <is>
          <t>No</t>
        </is>
      </c>
      <c r="AQ1596" t="inlineStr">
        <is>
          <t>No</t>
        </is>
      </c>
      <c r="AS1596">
        <f>HYPERLINK("https://creighton-primo.hosted.exlibrisgroup.com/primo-explore/search?tab=default_tab&amp;search_scope=EVERYTHING&amp;vid=01CRU&amp;lang=en_US&amp;offset=0&amp;query=any,contains,991003238759702656","Catalog Record")</f>
        <v/>
      </c>
      <c r="AT1596">
        <f>HYPERLINK("http://www.worldcat.org/oclc/41273055","WorldCat Record")</f>
        <v/>
      </c>
      <c r="AU1596" t="inlineStr">
        <is>
          <t>836985310:eng</t>
        </is>
      </c>
      <c r="AV1596" t="inlineStr">
        <is>
          <t>41273055</t>
        </is>
      </c>
      <c r="AW1596" t="inlineStr">
        <is>
          <t>991003238759702656</t>
        </is>
      </c>
      <c r="AX1596" t="inlineStr">
        <is>
          <t>991003238759702656</t>
        </is>
      </c>
      <c r="AY1596" t="inlineStr">
        <is>
          <t>2271377500002656</t>
        </is>
      </c>
      <c r="AZ1596" t="inlineStr">
        <is>
          <t>BOOK</t>
        </is>
      </c>
      <c r="BB1596" t="inlineStr">
        <is>
          <t>9780804736015</t>
        </is>
      </c>
      <c r="BC1596" t="inlineStr">
        <is>
          <t>32285003765798</t>
        </is>
      </c>
      <c r="BD1596" t="inlineStr">
        <is>
          <t>893352736</t>
        </is>
      </c>
    </row>
    <row r="1597">
      <c r="A1597" t="inlineStr">
        <is>
          <t>No</t>
        </is>
      </c>
      <c r="B1597" t="inlineStr">
        <is>
          <t>HQ60 .B7</t>
        </is>
      </c>
      <c r="C1597" t="inlineStr">
        <is>
          <t>0                      HQ 0060000B  7</t>
        </is>
      </c>
      <c r="D1597" t="inlineStr">
        <is>
          <t>The sex researchers / by Edward M. Brecher. With a foreword by William H. Masters &amp; Virginia E. Johnson.</t>
        </is>
      </c>
      <c r="F1597" t="inlineStr">
        <is>
          <t>No</t>
        </is>
      </c>
      <c r="G1597" t="inlineStr">
        <is>
          <t>1</t>
        </is>
      </c>
      <c r="H1597" t="inlineStr">
        <is>
          <t>No</t>
        </is>
      </c>
      <c r="I1597" t="inlineStr">
        <is>
          <t>No</t>
        </is>
      </c>
      <c r="J1597" t="inlineStr">
        <is>
          <t>0</t>
        </is>
      </c>
      <c r="K1597" t="inlineStr">
        <is>
          <t>Brecher, Edward M.</t>
        </is>
      </c>
      <c r="L1597" t="inlineStr">
        <is>
          <t>Boston : Little, Brown, [1969]</t>
        </is>
      </c>
      <c r="M1597" t="inlineStr">
        <is>
          <t>1969</t>
        </is>
      </c>
      <c r="N1597" t="inlineStr">
        <is>
          <t>[1st ed.]</t>
        </is>
      </c>
      <c r="O1597" t="inlineStr">
        <is>
          <t>eng</t>
        </is>
      </c>
      <c r="P1597" t="inlineStr">
        <is>
          <t>mau</t>
        </is>
      </c>
      <c r="R1597" t="inlineStr">
        <is>
          <t xml:space="preserve">HQ </t>
        </is>
      </c>
      <c r="S1597" t="n">
        <v>1</v>
      </c>
      <c r="T1597" t="n">
        <v>1</v>
      </c>
      <c r="U1597" t="inlineStr">
        <is>
          <t>2008-10-27</t>
        </is>
      </c>
      <c r="V1597" t="inlineStr">
        <is>
          <t>2008-10-27</t>
        </is>
      </c>
      <c r="W1597" t="inlineStr">
        <is>
          <t>1993-05-12</t>
        </is>
      </c>
      <c r="X1597" t="inlineStr">
        <is>
          <t>1993-05-12</t>
        </is>
      </c>
      <c r="Y1597" t="n">
        <v>662</v>
      </c>
      <c r="Z1597" t="n">
        <v>613</v>
      </c>
      <c r="AA1597" t="n">
        <v>671</v>
      </c>
      <c r="AB1597" t="n">
        <v>4</v>
      </c>
      <c r="AC1597" t="n">
        <v>4</v>
      </c>
      <c r="AD1597" t="n">
        <v>27</v>
      </c>
      <c r="AE1597" t="n">
        <v>29</v>
      </c>
      <c r="AF1597" t="n">
        <v>9</v>
      </c>
      <c r="AG1597" t="n">
        <v>10</v>
      </c>
      <c r="AH1597" t="n">
        <v>6</v>
      </c>
      <c r="AI1597" t="n">
        <v>6</v>
      </c>
      <c r="AJ1597" t="n">
        <v>13</v>
      </c>
      <c r="AK1597" t="n">
        <v>14</v>
      </c>
      <c r="AL1597" t="n">
        <v>3</v>
      </c>
      <c r="AM1597" t="n">
        <v>3</v>
      </c>
      <c r="AN1597" t="n">
        <v>2</v>
      </c>
      <c r="AO1597" t="n">
        <v>2</v>
      </c>
      <c r="AP1597" t="inlineStr">
        <is>
          <t>No</t>
        </is>
      </c>
      <c r="AQ1597" t="inlineStr">
        <is>
          <t>Yes</t>
        </is>
      </c>
      <c r="AR1597">
        <f>HYPERLINK("http://catalog.hathitrust.org/Record/001109863","HathiTrust Record")</f>
        <v/>
      </c>
      <c r="AS1597">
        <f>HYPERLINK("https://creighton-primo.hosted.exlibrisgroup.com/primo-explore/search?tab=default_tab&amp;search_scope=EVERYTHING&amp;vid=01CRU&amp;lang=en_US&amp;offset=0&amp;query=any,contains,991000074009702656","Catalog Record")</f>
        <v/>
      </c>
      <c r="AT1597">
        <f>HYPERLINK("http://www.worldcat.org/oclc/29348","WorldCat Record")</f>
        <v/>
      </c>
      <c r="AU1597" t="inlineStr">
        <is>
          <t>1175107:eng</t>
        </is>
      </c>
      <c r="AV1597" t="inlineStr">
        <is>
          <t>29348</t>
        </is>
      </c>
      <c r="AW1597" t="inlineStr">
        <is>
          <t>991000074009702656</t>
        </is>
      </c>
      <c r="AX1597" t="inlineStr">
        <is>
          <t>991000074009702656</t>
        </is>
      </c>
      <c r="AY1597" t="inlineStr">
        <is>
          <t>2266319370002656</t>
        </is>
      </c>
      <c r="AZ1597" t="inlineStr">
        <is>
          <t>BOOK</t>
        </is>
      </c>
      <c r="BC1597" t="inlineStr">
        <is>
          <t>32285001653889</t>
        </is>
      </c>
      <c r="BD1597" t="inlineStr">
        <is>
          <t>893333182</t>
        </is>
      </c>
    </row>
    <row r="1598">
      <c r="A1598" t="inlineStr">
        <is>
          <t>No</t>
        </is>
      </c>
      <c r="B1598" t="inlineStr">
        <is>
          <t>HQ60 .C37 1999</t>
        </is>
      </c>
      <c r="C1598" t="inlineStr">
        <is>
          <t>0                      HQ 0060000C  37          1999</t>
        </is>
      </c>
      <c r="D1598" t="inlineStr">
        <is>
          <t>Thinking critically about research on sex and gender / Paula J. Caplan, Jeremy B. Caplan.</t>
        </is>
      </c>
      <c r="F1598" t="inlineStr">
        <is>
          <t>No</t>
        </is>
      </c>
      <c r="G1598" t="inlineStr">
        <is>
          <t>1</t>
        </is>
      </c>
      <c r="H1598" t="inlineStr">
        <is>
          <t>No</t>
        </is>
      </c>
      <c r="I1598" t="inlineStr">
        <is>
          <t>No</t>
        </is>
      </c>
      <c r="J1598" t="inlineStr">
        <is>
          <t>0</t>
        </is>
      </c>
      <c r="K1598" t="inlineStr">
        <is>
          <t>Caplan, Paula J.</t>
        </is>
      </c>
      <c r="L1598" t="inlineStr">
        <is>
          <t>New York : Addison-Wesley Longman, 1999.</t>
        </is>
      </c>
      <c r="M1598" t="inlineStr">
        <is>
          <t>1998</t>
        </is>
      </c>
      <c r="N1598" t="inlineStr">
        <is>
          <t>2nd ed.</t>
        </is>
      </c>
      <c r="O1598" t="inlineStr">
        <is>
          <t>eng</t>
        </is>
      </c>
      <c r="P1598" t="inlineStr">
        <is>
          <t>pau</t>
        </is>
      </c>
      <c r="R1598" t="inlineStr">
        <is>
          <t xml:space="preserve">HQ </t>
        </is>
      </c>
      <c r="S1598" t="n">
        <v>2</v>
      </c>
      <c r="T1598" t="n">
        <v>2</v>
      </c>
      <c r="U1598" t="inlineStr">
        <is>
          <t>2008-04-13</t>
        </is>
      </c>
      <c r="V1598" t="inlineStr">
        <is>
          <t>2008-04-13</t>
        </is>
      </c>
      <c r="W1598" t="inlineStr">
        <is>
          <t>2002-04-25</t>
        </is>
      </c>
      <c r="X1598" t="inlineStr">
        <is>
          <t>2002-04-25</t>
        </is>
      </c>
      <c r="Y1598" t="n">
        <v>125</v>
      </c>
      <c r="Z1598" t="n">
        <v>85</v>
      </c>
      <c r="AA1598" t="n">
        <v>242</v>
      </c>
      <c r="AB1598" t="n">
        <v>2</v>
      </c>
      <c r="AC1598" t="n">
        <v>4</v>
      </c>
      <c r="AD1598" t="n">
        <v>7</v>
      </c>
      <c r="AE1598" t="n">
        <v>14</v>
      </c>
      <c r="AF1598" t="n">
        <v>2</v>
      </c>
      <c r="AG1598" t="n">
        <v>3</v>
      </c>
      <c r="AH1598" t="n">
        <v>1</v>
      </c>
      <c r="AI1598" t="n">
        <v>3</v>
      </c>
      <c r="AJ1598" t="n">
        <v>4</v>
      </c>
      <c r="AK1598" t="n">
        <v>7</v>
      </c>
      <c r="AL1598" t="n">
        <v>1</v>
      </c>
      <c r="AM1598" t="n">
        <v>3</v>
      </c>
      <c r="AN1598" t="n">
        <v>0</v>
      </c>
      <c r="AO1598" t="n">
        <v>0</v>
      </c>
      <c r="AP1598" t="inlineStr">
        <is>
          <t>No</t>
        </is>
      </c>
      <c r="AQ1598" t="inlineStr">
        <is>
          <t>Yes</t>
        </is>
      </c>
      <c r="AR1598">
        <f>HYPERLINK("http://catalog.hathitrust.org/Record/007140870","HathiTrust Record")</f>
        <v/>
      </c>
      <c r="AS1598">
        <f>HYPERLINK("https://creighton-primo.hosted.exlibrisgroup.com/primo-explore/search?tab=default_tab&amp;search_scope=EVERYTHING&amp;vid=01CRU&amp;lang=en_US&amp;offset=0&amp;query=any,contains,991003786479702656","Catalog Record")</f>
        <v/>
      </c>
      <c r="AT1598">
        <f>HYPERLINK("http://www.worldcat.org/oclc/39348073","WorldCat Record")</f>
        <v/>
      </c>
      <c r="AU1598" t="inlineStr">
        <is>
          <t>19335234:eng</t>
        </is>
      </c>
      <c r="AV1598" t="inlineStr">
        <is>
          <t>39348073</t>
        </is>
      </c>
      <c r="AW1598" t="inlineStr">
        <is>
          <t>991003786479702656</t>
        </is>
      </c>
      <c r="AX1598" t="inlineStr">
        <is>
          <t>991003786479702656</t>
        </is>
      </c>
      <c r="AY1598" t="inlineStr">
        <is>
          <t>2269295870002656</t>
        </is>
      </c>
      <c r="AZ1598" t="inlineStr">
        <is>
          <t>BOOK</t>
        </is>
      </c>
      <c r="BB1598" t="inlineStr">
        <is>
          <t>9780321049292</t>
        </is>
      </c>
      <c r="BC1598" t="inlineStr">
        <is>
          <t>32285004482625</t>
        </is>
      </c>
      <c r="BD1598" t="inlineStr">
        <is>
          <t>893894127</t>
        </is>
      </c>
    </row>
    <row r="1599">
      <c r="A1599" t="inlineStr">
        <is>
          <t>No</t>
        </is>
      </c>
      <c r="B1599" t="inlineStr">
        <is>
          <t>HQ60 .C66 1995</t>
        </is>
      </c>
      <c r="C1599" t="inlineStr">
        <is>
          <t>0                      HQ 0060000C  66          1995</t>
        </is>
      </c>
      <c r="D1599" t="inlineStr">
        <is>
          <t>Conceiving sexuality : approaches to sex research in a postmodern world / edited by Richard G. Parker and John H. Gagnon.</t>
        </is>
      </c>
      <c r="F1599" t="inlineStr">
        <is>
          <t>No</t>
        </is>
      </c>
      <c r="G1599" t="inlineStr">
        <is>
          <t>1</t>
        </is>
      </c>
      <c r="H1599" t="inlineStr">
        <is>
          <t>No</t>
        </is>
      </c>
      <c r="I1599" t="inlineStr">
        <is>
          <t>No</t>
        </is>
      </c>
      <c r="J1599" t="inlineStr">
        <is>
          <t>0</t>
        </is>
      </c>
      <c r="L1599" t="inlineStr">
        <is>
          <t>New York : Routledge, 1995.</t>
        </is>
      </c>
      <c r="M1599" t="inlineStr">
        <is>
          <t>1995</t>
        </is>
      </c>
      <c r="O1599" t="inlineStr">
        <is>
          <t>eng</t>
        </is>
      </c>
      <c r="P1599" t="inlineStr">
        <is>
          <t>nyu</t>
        </is>
      </c>
      <c r="R1599" t="inlineStr">
        <is>
          <t xml:space="preserve">HQ </t>
        </is>
      </c>
      <c r="S1599" t="n">
        <v>11</v>
      </c>
      <c r="T1599" t="n">
        <v>11</v>
      </c>
      <c r="U1599" t="inlineStr">
        <is>
          <t>2007-09-18</t>
        </is>
      </c>
      <c r="V1599" t="inlineStr">
        <is>
          <t>2007-09-18</t>
        </is>
      </c>
      <c r="W1599" t="inlineStr">
        <is>
          <t>1996-02-26</t>
        </is>
      </c>
      <c r="X1599" t="inlineStr">
        <is>
          <t>1996-02-26</t>
        </is>
      </c>
      <c r="Y1599" t="n">
        <v>501</v>
      </c>
      <c r="Z1599" t="n">
        <v>348</v>
      </c>
      <c r="AA1599" t="n">
        <v>370</v>
      </c>
      <c r="AB1599" t="n">
        <v>3</v>
      </c>
      <c r="AC1599" t="n">
        <v>3</v>
      </c>
      <c r="AD1599" t="n">
        <v>20</v>
      </c>
      <c r="AE1599" t="n">
        <v>20</v>
      </c>
      <c r="AF1599" t="n">
        <v>6</v>
      </c>
      <c r="AG1599" t="n">
        <v>6</v>
      </c>
      <c r="AH1599" t="n">
        <v>7</v>
      </c>
      <c r="AI1599" t="n">
        <v>7</v>
      </c>
      <c r="AJ1599" t="n">
        <v>10</v>
      </c>
      <c r="AK1599" t="n">
        <v>10</v>
      </c>
      <c r="AL1599" t="n">
        <v>2</v>
      </c>
      <c r="AM1599" t="n">
        <v>2</v>
      </c>
      <c r="AN1599" t="n">
        <v>0</v>
      </c>
      <c r="AO1599" t="n">
        <v>0</v>
      </c>
      <c r="AP1599" t="inlineStr">
        <is>
          <t>No</t>
        </is>
      </c>
      <c r="AQ1599" t="inlineStr">
        <is>
          <t>No</t>
        </is>
      </c>
      <c r="AS1599">
        <f>HYPERLINK("https://creighton-primo.hosted.exlibrisgroup.com/primo-explore/search?tab=default_tab&amp;search_scope=EVERYTHING&amp;vid=01CRU&amp;lang=en_US&amp;offset=0&amp;query=any,contains,991002345829702656","Catalog Record")</f>
        <v/>
      </c>
      <c r="AT1599">
        <f>HYPERLINK("http://www.worldcat.org/oclc/30544272","WorldCat Record")</f>
        <v/>
      </c>
      <c r="AU1599" t="inlineStr">
        <is>
          <t>836896001:eng</t>
        </is>
      </c>
      <c r="AV1599" t="inlineStr">
        <is>
          <t>30544272</t>
        </is>
      </c>
      <c r="AW1599" t="inlineStr">
        <is>
          <t>991002345829702656</t>
        </is>
      </c>
      <c r="AX1599" t="inlineStr">
        <is>
          <t>991002345829702656</t>
        </is>
      </c>
      <c r="AY1599" t="inlineStr">
        <is>
          <t>2261331800002656</t>
        </is>
      </c>
      <c r="AZ1599" t="inlineStr">
        <is>
          <t>BOOK</t>
        </is>
      </c>
      <c r="BB1599" t="inlineStr">
        <is>
          <t>9780415909273</t>
        </is>
      </c>
      <c r="BC1599" t="inlineStr">
        <is>
          <t>32285002138054</t>
        </is>
      </c>
      <c r="BD1599" t="inlineStr">
        <is>
          <t>893341324</t>
        </is>
      </c>
    </row>
    <row r="1600">
      <c r="A1600" t="inlineStr">
        <is>
          <t>No</t>
        </is>
      </c>
      <c r="B1600" t="inlineStr">
        <is>
          <t>HQ60 .S5 1994</t>
        </is>
      </c>
      <c r="C1600" t="inlineStr">
        <is>
          <t>0                      HQ 0060000S  5           1994</t>
        </is>
      </c>
      <c r="D1600" t="inlineStr">
        <is>
          <t>Sexual knowledge, sexual science : the history of attitudes to sexuality / edited by Roy Porter and Mikuláš Teich.</t>
        </is>
      </c>
      <c r="F1600" t="inlineStr">
        <is>
          <t>No</t>
        </is>
      </c>
      <c r="G1600" t="inlineStr">
        <is>
          <t>1</t>
        </is>
      </c>
      <c r="H1600" t="inlineStr">
        <is>
          <t>No</t>
        </is>
      </c>
      <c r="I1600" t="inlineStr">
        <is>
          <t>No</t>
        </is>
      </c>
      <c r="J1600" t="inlineStr">
        <is>
          <t>0</t>
        </is>
      </c>
      <c r="L1600" t="inlineStr">
        <is>
          <t>Cambridge [England] ; New York : Cambridge University Press, 1994.</t>
        </is>
      </c>
      <c r="M1600" t="inlineStr">
        <is>
          <t>1994</t>
        </is>
      </c>
      <c r="O1600" t="inlineStr">
        <is>
          <t>eng</t>
        </is>
      </c>
      <c r="P1600" t="inlineStr">
        <is>
          <t>enk</t>
        </is>
      </c>
      <c r="R1600" t="inlineStr">
        <is>
          <t xml:space="preserve">HQ </t>
        </is>
      </c>
      <c r="S1600" t="n">
        <v>2</v>
      </c>
      <c r="T1600" t="n">
        <v>2</v>
      </c>
      <c r="U1600" t="inlineStr">
        <is>
          <t>2007-03-13</t>
        </is>
      </c>
      <c r="V1600" t="inlineStr">
        <is>
          <t>2007-03-13</t>
        </is>
      </c>
      <c r="W1600" t="inlineStr">
        <is>
          <t>2006-04-05</t>
        </is>
      </c>
      <c r="X1600" t="inlineStr">
        <is>
          <t>2006-04-05</t>
        </is>
      </c>
      <c r="Y1600" t="n">
        <v>462</v>
      </c>
      <c r="Z1600" t="n">
        <v>297</v>
      </c>
      <c r="AA1600" t="n">
        <v>297</v>
      </c>
      <c r="AB1600" t="n">
        <v>3</v>
      </c>
      <c r="AC1600" t="n">
        <v>3</v>
      </c>
      <c r="AD1600" t="n">
        <v>16</v>
      </c>
      <c r="AE1600" t="n">
        <v>16</v>
      </c>
      <c r="AF1600" t="n">
        <v>3</v>
      </c>
      <c r="AG1600" t="n">
        <v>3</v>
      </c>
      <c r="AH1600" t="n">
        <v>6</v>
      </c>
      <c r="AI1600" t="n">
        <v>6</v>
      </c>
      <c r="AJ1600" t="n">
        <v>8</v>
      </c>
      <c r="AK1600" t="n">
        <v>8</v>
      </c>
      <c r="AL1600" t="n">
        <v>2</v>
      </c>
      <c r="AM1600" t="n">
        <v>2</v>
      </c>
      <c r="AN1600" t="n">
        <v>0</v>
      </c>
      <c r="AO1600" t="n">
        <v>0</v>
      </c>
      <c r="AP1600" t="inlineStr">
        <is>
          <t>No</t>
        </is>
      </c>
      <c r="AQ1600" t="inlineStr">
        <is>
          <t>No</t>
        </is>
      </c>
      <c r="AS1600">
        <f>HYPERLINK("https://creighton-primo.hosted.exlibrisgroup.com/primo-explore/search?tab=default_tab&amp;search_scope=EVERYTHING&amp;vid=01CRU&amp;lang=en_US&amp;offset=0&amp;query=any,contains,991004789149702656","Catalog Record")</f>
        <v/>
      </c>
      <c r="AT1600">
        <f>HYPERLINK("http://www.worldcat.org/oclc/28547146","WorldCat Record")</f>
        <v/>
      </c>
      <c r="AU1600" t="inlineStr">
        <is>
          <t>795741381:eng</t>
        </is>
      </c>
      <c r="AV1600" t="inlineStr">
        <is>
          <t>28547146</t>
        </is>
      </c>
      <c r="AW1600" t="inlineStr">
        <is>
          <t>991004789149702656</t>
        </is>
      </c>
      <c r="AX1600" t="inlineStr">
        <is>
          <t>991004789149702656</t>
        </is>
      </c>
      <c r="AY1600" t="inlineStr">
        <is>
          <t>2258153560002656</t>
        </is>
      </c>
      <c r="AZ1600" t="inlineStr">
        <is>
          <t>BOOK</t>
        </is>
      </c>
      <c r="BB1600" t="inlineStr">
        <is>
          <t>9780521444347</t>
        </is>
      </c>
      <c r="BC1600" t="inlineStr">
        <is>
          <t>32285005180509</t>
        </is>
      </c>
      <c r="BD1600" t="inlineStr">
        <is>
          <t>893350378</t>
        </is>
      </c>
    </row>
    <row r="1601">
      <c r="A1601" t="inlineStr">
        <is>
          <t>No</t>
        </is>
      </c>
      <c r="B1601" t="inlineStr">
        <is>
          <t>HQ60.5 .W45 1988</t>
        </is>
      </c>
      <c r="C1601" t="inlineStr">
        <is>
          <t>0                      HQ 0060500W  45          1988</t>
        </is>
      </c>
      <c r="D1601" t="inlineStr">
        <is>
          <t>Sexuality counseling : issues &amp; implications / Estelle Weinstein, Efrem Rosen.</t>
        </is>
      </c>
      <c r="F1601" t="inlineStr">
        <is>
          <t>No</t>
        </is>
      </c>
      <c r="G1601" t="inlineStr">
        <is>
          <t>1</t>
        </is>
      </c>
      <c r="H1601" t="inlineStr">
        <is>
          <t>No</t>
        </is>
      </c>
      <c r="I1601" t="inlineStr">
        <is>
          <t>No</t>
        </is>
      </c>
      <c r="J1601" t="inlineStr">
        <is>
          <t>0</t>
        </is>
      </c>
      <c r="K1601" t="inlineStr">
        <is>
          <t>Weinstein, Estelle, 1937-</t>
        </is>
      </c>
      <c r="L1601" t="inlineStr">
        <is>
          <t>Pacific Grove, Calif. : Brooks/Cole Pub. Co., c1988.</t>
        </is>
      </c>
      <c r="M1601" t="inlineStr">
        <is>
          <t>1988</t>
        </is>
      </c>
      <c r="O1601" t="inlineStr">
        <is>
          <t>eng</t>
        </is>
      </c>
      <c r="P1601" t="inlineStr">
        <is>
          <t>cau</t>
        </is>
      </c>
      <c r="R1601" t="inlineStr">
        <is>
          <t xml:space="preserve">HQ </t>
        </is>
      </c>
      <c r="S1601" t="n">
        <v>9</v>
      </c>
      <c r="T1601" t="n">
        <v>9</v>
      </c>
      <c r="U1601" t="inlineStr">
        <is>
          <t>2002-03-21</t>
        </is>
      </c>
      <c r="V1601" t="inlineStr">
        <is>
          <t>2002-03-21</t>
        </is>
      </c>
      <c r="W1601" t="inlineStr">
        <is>
          <t>1992-10-16</t>
        </is>
      </c>
      <c r="X1601" t="inlineStr">
        <is>
          <t>1992-10-16</t>
        </is>
      </c>
      <c r="Y1601" t="n">
        <v>280</v>
      </c>
      <c r="Z1601" t="n">
        <v>227</v>
      </c>
      <c r="AA1601" t="n">
        <v>234</v>
      </c>
      <c r="AB1601" t="n">
        <v>3</v>
      </c>
      <c r="AC1601" t="n">
        <v>3</v>
      </c>
      <c r="AD1601" t="n">
        <v>11</v>
      </c>
      <c r="AE1601" t="n">
        <v>11</v>
      </c>
      <c r="AF1601" t="n">
        <v>5</v>
      </c>
      <c r="AG1601" t="n">
        <v>5</v>
      </c>
      <c r="AH1601" t="n">
        <v>2</v>
      </c>
      <c r="AI1601" t="n">
        <v>2</v>
      </c>
      <c r="AJ1601" t="n">
        <v>6</v>
      </c>
      <c r="AK1601" t="n">
        <v>6</v>
      </c>
      <c r="AL1601" t="n">
        <v>2</v>
      </c>
      <c r="AM1601" t="n">
        <v>2</v>
      </c>
      <c r="AN1601" t="n">
        <v>0</v>
      </c>
      <c r="AO1601" t="n">
        <v>0</v>
      </c>
      <c r="AP1601" t="inlineStr">
        <is>
          <t>No</t>
        </is>
      </c>
      <c r="AQ1601" t="inlineStr">
        <is>
          <t>Yes</t>
        </is>
      </c>
      <c r="AR1601">
        <f>HYPERLINK("http://catalog.hathitrust.org/Record/000901118","HathiTrust Record")</f>
        <v/>
      </c>
      <c r="AS1601">
        <f>HYPERLINK("https://creighton-primo.hosted.exlibrisgroup.com/primo-explore/search?tab=default_tab&amp;search_scope=EVERYTHING&amp;vid=01CRU&amp;lang=en_US&amp;offset=0&amp;query=any,contains,991001181059702656","Catalog Record")</f>
        <v/>
      </c>
      <c r="AT1601">
        <f>HYPERLINK("http://www.worldcat.org/oclc/17108295","WorldCat Record")</f>
        <v/>
      </c>
      <c r="AU1601" t="inlineStr">
        <is>
          <t>13251567:eng</t>
        </is>
      </c>
      <c r="AV1601" t="inlineStr">
        <is>
          <t>17108295</t>
        </is>
      </c>
      <c r="AW1601" t="inlineStr">
        <is>
          <t>991001181059702656</t>
        </is>
      </c>
      <c r="AX1601" t="inlineStr">
        <is>
          <t>991001181059702656</t>
        </is>
      </c>
      <c r="AY1601" t="inlineStr">
        <is>
          <t>2259470020002656</t>
        </is>
      </c>
      <c r="AZ1601" t="inlineStr">
        <is>
          <t>BOOK</t>
        </is>
      </c>
      <c r="BB1601" t="inlineStr">
        <is>
          <t>9780534089580</t>
        </is>
      </c>
      <c r="BC1601" t="inlineStr">
        <is>
          <t>32285001350965</t>
        </is>
      </c>
      <c r="BD1601" t="inlineStr">
        <is>
          <t>893702818</t>
        </is>
      </c>
    </row>
    <row r="1602">
      <c r="A1602" t="inlineStr">
        <is>
          <t>No</t>
        </is>
      </c>
      <c r="B1602" t="inlineStr">
        <is>
          <t>HQ611 .A245 2001</t>
        </is>
      </c>
      <c r="C1602" t="inlineStr">
        <is>
          <t>0                      HQ 0611000A  245         2001</t>
        </is>
      </c>
      <c r="D1602" t="inlineStr">
        <is>
          <t>The history of the European family / edited by David I. Kertzer and Marzio Barbagli.</t>
        </is>
      </c>
      <c r="E1602" t="inlineStr">
        <is>
          <t>V. 1</t>
        </is>
      </c>
      <c r="F1602" t="inlineStr">
        <is>
          <t>No</t>
        </is>
      </c>
      <c r="G1602" t="inlineStr">
        <is>
          <t>1</t>
        </is>
      </c>
      <c r="H1602" t="inlineStr">
        <is>
          <t>No</t>
        </is>
      </c>
      <c r="I1602" t="inlineStr">
        <is>
          <t>No</t>
        </is>
      </c>
      <c r="J1602" t="inlineStr">
        <is>
          <t>0</t>
        </is>
      </c>
      <c r="L1602" t="inlineStr">
        <is>
          <t>New Haven : Yale University Press, c2001-</t>
        </is>
      </c>
      <c r="M1602" t="inlineStr">
        <is>
          <t>2001</t>
        </is>
      </c>
      <c r="O1602" t="inlineStr">
        <is>
          <t>eng</t>
        </is>
      </c>
      <c r="P1602" t="inlineStr">
        <is>
          <t>ctu</t>
        </is>
      </c>
      <c r="R1602" t="inlineStr">
        <is>
          <t xml:space="preserve">HQ </t>
        </is>
      </c>
      <c r="S1602" t="n">
        <v>1</v>
      </c>
      <c r="T1602" t="n">
        <v>1</v>
      </c>
      <c r="U1602" t="inlineStr">
        <is>
          <t>2002-10-10</t>
        </is>
      </c>
      <c r="V1602" t="inlineStr">
        <is>
          <t>2002-10-10</t>
        </is>
      </c>
      <c r="W1602" t="inlineStr">
        <is>
          <t>2002-09-30</t>
        </is>
      </c>
      <c r="X1602" t="inlineStr">
        <is>
          <t>2002-09-30</t>
        </is>
      </c>
      <c r="Y1602" t="n">
        <v>820</v>
      </c>
      <c r="Z1602" t="n">
        <v>700</v>
      </c>
      <c r="AA1602" t="n">
        <v>703</v>
      </c>
      <c r="AB1602" t="n">
        <v>4</v>
      </c>
      <c r="AC1602" t="n">
        <v>4</v>
      </c>
      <c r="AD1602" t="n">
        <v>38</v>
      </c>
      <c r="AE1602" t="n">
        <v>38</v>
      </c>
      <c r="AF1602" t="n">
        <v>19</v>
      </c>
      <c r="AG1602" t="n">
        <v>19</v>
      </c>
      <c r="AH1602" t="n">
        <v>8</v>
      </c>
      <c r="AI1602" t="n">
        <v>8</v>
      </c>
      <c r="AJ1602" t="n">
        <v>16</v>
      </c>
      <c r="AK1602" t="n">
        <v>16</v>
      </c>
      <c r="AL1602" t="n">
        <v>3</v>
      </c>
      <c r="AM1602" t="n">
        <v>3</v>
      </c>
      <c r="AN1602" t="n">
        <v>0</v>
      </c>
      <c r="AO1602" t="n">
        <v>0</v>
      </c>
      <c r="AP1602" t="inlineStr">
        <is>
          <t>No</t>
        </is>
      </c>
      <c r="AQ1602" t="inlineStr">
        <is>
          <t>Yes</t>
        </is>
      </c>
      <c r="AR1602">
        <f>HYPERLINK("http://catalog.hathitrust.org/Record/004215284","HathiTrust Record")</f>
        <v/>
      </c>
      <c r="AS1602">
        <f>HYPERLINK("https://creighton-primo.hosted.exlibrisgroup.com/primo-explore/search?tab=default_tab&amp;search_scope=EVERYTHING&amp;vid=01CRU&amp;lang=en_US&amp;offset=0&amp;query=any,contains,991003899939702656","Catalog Record")</f>
        <v/>
      </c>
      <c r="AT1602">
        <f>HYPERLINK("http://www.worldcat.org/oclc/47176952","WorldCat Record")</f>
        <v/>
      </c>
      <c r="AU1602" t="inlineStr">
        <is>
          <t>4202350967:eng</t>
        </is>
      </c>
      <c r="AV1602" t="inlineStr">
        <is>
          <t>47176952</t>
        </is>
      </c>
      <c r="AW1602" t="inlineStr">
        <is>
          <t>991003899939702656</t>
        </is>
      </c>
      <c r="AX1602" t="inlineStr">
        <is>
          <t>991003899939702656</t>
        </is>
      </c>
      <c r="AY1602" t="inlineStr">
        <is>
          <t>2267738120002656</t>
        </is>
      </c>
      <c r="AZ1602" t="inlineStr">
        <is>
          <t>BOOK</t>
        </is>
      </c>
      <c r="BB1602" t="inlineStr">
        <is>
          <t>9780300089714</t>
        </is>
      </c>
      <c r="BC1602" t="inlineStr">
        <is>
          <t>32285004654165</t>
        </is>
      </c>
      <c r="BD1602" t="inlineStr">
        <is>
          <t>893875431</t>
        </is>
      </c>
    </row>
    <row r="1603">
      <c r="A1603" t="inlineStr">
        <is>
          <t>No</t>
        </is>
      </c>
      <c r="B1603" t="inlineStr">
        <is>
          <t>HQ611 .O968 2001</t>
        </is>
      </c>
      <c r="C1603" t="inlineStr">
        <is>
          <t>0                      HQ 0611000O  968         2001</t>
        </is>
      </c>
      <c r="D1603" t="inlineStr">
        <is>
          <t>Ancestors : the loving family in old Europe / Steven Ozment.</t>
        </is>
      </c>
      <c r="F1603" t="inlineStr">
        <is>
          <t>No</t>
        </is>
      </c>
      <c r="G1603" t="inlineStr">
        <is>
          <t>1</t>
        </is>
      </c>
      <c r="H1603" t="inlineStr">
        <is>
          <t>No</t>
        </is>
      </c>
      <c r="I1603" t="inlineStr">
        <is>
          <t>No</t>
        </is>
      </c>
      <c r="J1603" t="inlineStr">
        <is>
          <t>0</t>
        </is>
      </c>
      <c r="K1603" t="inlineStr">
        <is>
          <t>Ozment, Steven E.</t>
        </is>
      </c>
      <c r="L1603" t="inlineStr">
        <is>
          <t>Cambridge, Mass. : Harvard University Press, 2001.</t>
        </is>
      </c>
      <c r="M1603" t="inlineStr">
        <is>
          <t>2001</t>
        </is>
      </c>
      <c r="O1603" t="inlineStr">
        <is>
          <t>eng</t>
        </is>
      </c>
      <c r="P1603" t="inlineStr">
        <is>
          <t>mau</t>
        </is>
      </c>
      <c r="R1603" t="inlineStr">
        <is>
          <t xml:space="preserve">HQ </t>
        </is>
      </c>
      <c r="S1603" t="n">
        <v>2</v>
      </c>
      <c r="T1603" t="n">
        <v>2</v>
      </c>
      <c r="U1603" t="inlineStr">
        <is>
          <t>2002-11-06</t>
        </is>
      </c>
      <c r="V1603" t="inlineStr">
        <is>
          <t>2002-11-06</t>
        </is>
      </c>
      <c r="W1603" t="inlineStr">
        <is>
          <t>2002-01-08</t>
        </is>
      </c>
      <c r="X1603" t="inlineStr">
        <is>
          <t>2002-01-08</t>
        </is>
      </c>
      <c r="Y1603" t="n">
        <v>695</v>
      </c>
      <c r="Z1603" t="n">
        <v>581</v>
      </c>
      <c r="AA1603" t="n">
        <v>587</v>
      </c>
      <c r="AB1603" t="n">
        <v>4</v>
      </c>
      <c r="AC1603" t="n">
        <v>4</v>
      </c>
      <c r="AD1603" t="n">
        <v>26</v>
      </c>
      <c r="AE1603" t="n">
        <v>26</v>
      </c>
      <c r="AF1603" t="n">
        <v>9</v>
      </c>
      <c r="AG1603" t="n">
        <v>9</v>
      </c>
      <c r="AH1603" t="n">
        <v>8</v>
      </c>
      <c r="AI1603" t="n">
        <v>8</v>
      </c>
      <c r="AJ1603" t="n">
        <v>14</v>
      </c>
      <c r="AK1603" t="n">
        <v>14</v>
      </c>
      <c r="AL1603" t="n">
        <v>3</v>
      </c>
      <c r="AM1603" t="n">
        <v>3</v>
      </c>
      <c r="AN1603" t="n">
        <v>0</v>
      </c>
      <c r="AO1603" t="n">
        <v>0</v>
      </c>
      <c r="AP1603" t="inlineStr">
        <is>
          <t>No</t>
        </is>
      </c>
      <c r="AQ1603" t="inlineStr">
        <is>
          <t>No</t>
        </is>
      </c>
      <c r="AS1603">
        <f>HYPERLINK("https://creighton-primo.hosted.exlibrisgroup.com/primo-explore/search?tab=default_tab&amp;search_scope=EVERYTHING&amp;vid=01CRU&amp;lang=en_US&amp;offset=0&amp;query=any,contains,991003695379702656","Catalog Record")</f>
        <v/>
      </c>
      <c r="AT1603">
        <f>HYPERLINK("http://www.worldcat.org/oclc/44811651","WorldCat Record")</f>
        <v/>
      </c>
      <c r="AU1603" t="inlineStr">
        <is>
          <t>837067093:eng</t>
        </is>
      </c>
      <c r="AV1603" t="inlineStr">
        <is>
          <t>44811651</t>
        </is>
      </c>
      <c r="AW1603" t="inlineStr">
        <is>
          <t>991003695379702656</t>
        </is>
      </c>
      <c r="AX1603" t="inlineStr">
        <is>
          <t>991003695379702656</t>
        </is>
      </c>
      <c r="AY1603" t="inlineStr">
        <is>
          <t>2271618080002656</t>
        </is>
      </c>
      <c r="AZ1603" t="inlineStr">
        <is>
          <t>BOOK</t>
        </is>
      </c>
      <c r="BB1603" t="inlineStr">
        <is>
          <t>9780674004832</t>
        </is>
      </c>
      <c r="BC1603" t="inlineStr">
        <is>
          <t>32285004446752</t>
        </is>
      </c>
      <c r="BD1603" t="inlineStr">
        <is>
          <t>893240488</t>
        </is>
      </c>
    </row>
    <row r="1604">
      <c r="A1604" t="inlineStr">
        <is>
          <t>No</t>
        </is>
      </c>
      <c r="B1604" t="inlineStr">
        <is>
          <t>HQ611 .O97 1983</t>
        </is>
      </c>
      <c r="C1604" t="inlineStr">
        <is>
          <t>0                      HQ 0611000O  97          1983</t>
        </is>
      </c>
      <c r="D1604" t="inlineStr">
        <is>
          <t>When fathers ruled : family life in Reformation Europe / Steven Ozment.</t>
        </is>
      </c>
      <c r="F1604" t="inlineStr">
        <is>
          <t>No</t>
        </is>
      </c>
      <c r="G1604" t="inlineStr">
        <is>
          <t>1</t>
        </is>
      </c>
      <c r="H1604" t="inlineStr">
        <is>
          <t>No</t>
        </is>
      </c>
      <c r="I1604" t="inlineStr">
        <is>
          <t>No</t>
        </is>
      </c>
      <c r="J1604" t="inlineStr">
        <is>
          <t>0</t>
        </is>
      </c>
      <c r="K1604" t="inlineStr">
        <is>
          <t>Ozment, Steven E.</t>
        </is>
      </c>
      <c r="L1604" t="inlineStr">
        <is>
          <t>Cambridge, Mass. : Harvard University Press, 1983.</t>
        </is>
      </c>
      <c r="M1604" t="inlineStr">
        <is>
          <t>1983</t>
        </is>
      </c>
      <c r="O1604" t="inlineStr">
        <is>
          <t>eng</t>
        </is>
      </c>
      <c r="P1604" t="inlineStr">
        <is>
          <t>mau</t>
        </is>
      </c>
      <c r="Q1604" t="inlineStr">
        <is>
          <t>Studies in cultural history</t>
        </is>
      </c>
      <c r="R1604" t="inlineStr">
        <is>
          <t xml:space="preserve">HQ </t>
        </is>
      </c>
      <c r="S1604" t="n">
        <v>12</v>
      </c>
      <c r="T1604" t="n">
        <v>12</v>
      </c>
      <c r="U1604" t="inlineStr">
        <is>
          <t>2002-11-06</t>
        </is>
      </c>
      <c r="V1604" t="inlineStr">
        <is>
          <t>2002-11-06</t>
        </is>
      </c>
      <c r="W1604" t="inlineStr">
        <is>
          <t>1990-10-05</t>
        </is>
      </c>
      <c r="X1604" t="inlineStr">
        <is>
          <t>1990-10-05</t>
        </is>
      </c>
      <c r="Y1604" t="n">
        <v>1110</v>
      </c>
      <c r="Z1604" t="n">
        <v>860</v>
      </c>
      <c r="AA1604" t="n">
        <v>871</v>
      </c>
      <c r="AB1604" t="n">
        <v>8</v>
      </c>
      <c r="AC1604" t="n">
        <v>8</v>
      </c>
      <c r="AD1604" t="n">
        <v>43</v>
      </c>
      <c r="AE1604" t="n">
        <v>43</v>
      </c>
      <c r="AF1604" t="n">
        <v>18</v>
      </c>
      <c r="AG1604" t="n">
        <v>18</v>
      </c>
      <c r="AH1604" t="n">
        <v>9</v>
      </c>
      <c r="AI1604" t="n">
        <v>9</v>
      </c>
      <c r="AJ1604" t="n">
        <v>21</v>
      </c>
      <c r="AK1604" t="n">
        <v>21</v>
      </c>
      <c r="AL1604" t="n">
        <v>7</v>
      </c>
      <c r="AM1604" t="n">
        <v>7</v>
      </c>
      <c r="AN1604" t="n">
        <v>0</v>
      </c>
      <c r="AO1604" t="n">
        <v>0</v>
      </c>
      <c r="AP1604" t="inlineStr">
        <is>
          <t>No</t>
        </is>
      </c>
      <c r="AQ1604" t="inlineStr">
        <is>
          <t>Yes</t>
        </is>
      </c>
      <c r="AR1604">
        <f>HYPERLINK("http://catalog.hathitrust.org/Record/000116646","HathiTrust Record")</f>
        <v/>
      </c>
      <c r="AS1604">
        <f>HYPERLINK("https://creighton-primo.hosted.exlibrisgroup.com/primo-explore/search?tab=default_tab&amp;search_scope=EVERYTHING&amp;vid=01CRU&amp;lang=en_US&amp;offset=0&amp;query=any,contains,991000184569702656","Catalog Record")</f>
        <v/>
      </c>
      <c r="AT1604">
        <f>HYPERLINK("http://www.worldcat.org/oclc/9393231","WorldCat Record")</f>
        <v/>
      </c>
      <c r="AU1604" t="inlineStr">
        <is>
          <t>311860409:eng</t>
        </is>
      </c>
      <c r="AV1604" t="inlineStr">
        <is>
          <t>9393231</t>
        </is>
      </c>
      <c r="AW1604" t="inlineStr">
        <is>
          <t>991000184569702656</t>
        </is>
      </c>
      <c r="AX1604" t="inlineStr">
        <is>
          <t>991000184569702656</t>
        </is>
      </c>
      <c r="AY1604" t="inlineStr">
        <is>
          <t>2265964400002656</t>
        </is>
      </c>
      <c r="AZ1604" t="inlineStr">
        <is>
          <t>BOOK</t>
        </is>
      </c>
      <c r="BB1604" t="inlineStr">
        <is>
          <t>9780674951204</t>
        </is>
      </c>
      <c r="BC1604" t="inlineStr">
        <is>
          <t>32285000327022</t>
        </is>
      </c>
      <c r="BD1604" t="inlineStr">
        <is>
          <t>893790322</t>
        </is>
      </c>
    </row>
    <row r="1605">
      <c r="A1605" t="inlineStr">
        <is>
          <t>No</t>
        </is>
      </c>
      <c r="B1605" t="inlineStr">
        <is>
          <t>HQ612 .C47 1989</t>
        </is>
      </c>
      <c r="C1605" t="inlineStr">
        <is>
          <t>0                      HQ 0612000C  47          1989</t>
        </is>
      </c>
      <c r="D1605" t="inlineStr">
        <is>
          <t>Changing patterns of European family life : a comparative analysis of 14 European countries / edited by Katja Boh ... [et al.].</t>
        </is>
      </c>
      <c r="F1605" t="inlineStr">
        <is>
          <t>No</t>
        </is>
      </c>
      <c r="G1605" t="inlineStr">
        <is>
          <t>1</t>
        </is>
      </c>
      <c r="H1605" t="inlineStr">
        <is>
          <t>No</t>
        </is>
      </c>
      <c r="I1605" t="inlineStr">
        <is>
          <t>No</t>
        </is>
      </c>
      <c r="J1605" t="inlineStr">
        <is>
          <t>0</t>
        </is>
      </c>
      <c r="L1605" t="inlineStr">
        <is>
          <t>London ; New York : Routledge for the European Co-ordination Centre for Research and Documentation in Social Sciences, 1989.</t>
        </is>
      </c>
      <c r="M1605" t="inlineStr">
        <is>
          <t>1989</t>
        </is>
      </c>
      <c r="O1605" t="inlineStr">
        <is>
          <t>eng</t>
        </is>
      </c>
      <c r="P1605" t="inlineStr">
        <is>
          <t>enk</t>
        </is>
      </c>
      <c r="R1605" t="inlineStr">
        <is>
          <t xml:space="preserve">HQ </t>
        </is>
      </c>
      <c r="S1605" t="n">
        <v>2</v>
      </c>
      <c r="T1605" t="n">
        <v>2</v>
      </c>
      <c r="U1605" t="inlineStr">
        <is>
          <t>1997-11-06</t>
        </is>
      </c>
      <c r="V1605" t="inlineStr">
        <is>
          <t>1997-11-06</t>
        </is>
      </c>
      <c r="W1605" t="inlineStr">
        <is>
          <t>1992-10-29</t>
        </is>
      </c>
      <c r="X1605" t="inlineStr">
        <is>
          <t>1992-10-29</t>
        </is>
      </c>
      <c r="Y1605" t="n">
        <v>292</v>
      </c>
      <c r="Z1605" t="n">
        <v>152</v>
      </c>
      <c r="AA1605" t="n">
        <v>153</v>
      </c>
      <c r="AB1605" t="n">
        <v>2</v>
      </c>
      <c r="AC1605" t="n">
        <v>2</v>
      </c>
      <c r="AD1605" t="n">
        <v>5</v>
      </c>
      <c r="AE1605" t="n">
        <v>5</v>
      </c>
      <c r="AF1605" t="n">
        <v>2</v>
      </c>
      <c r="AG1605" t="n">
        <v>2</v>
      </c>
      <c r="AH1605" t="n">
        <v>0</v>
      </c>
      <c r="AI1605" t="n">
        <v>0</v>
      </c>
      <c r="AJ1605" t="n">
        <v>4</v>
      </c>
      <c r="AK1605" t="n">
        <v>4</v>
      </c>
      <c r="AL1605" t="n">
        <v>1</v>
      </c>
      <c r="AM1605" t="n">
        <v>1</v>
      </c>
      <c r="AN1605" t="n">
        <v>0</v>
      </c>
      <c r="AO1605" t="n">
        <v>0</v>
      </c>
      <c r="AP1605" t="inlineStr">
        <is>
          <t>No</t>
        </is>
      </c>
      <c r="AQ1605" t="inlineStr">
        <is>
          <t>No</t>
        </is>
      </c>
      <c r="AS1605">
        <f>HYPERLINK("https://creighton-primo.hosted.exlibrisgroup.com/primo-explore/search?tab=default_tab&amp;search_scope=EVERYTHING&amp;vid=01CRU&amp;lang=en_US&amp;offset=0&amp;query=any,contains,991001377179702656","Catalog Record")</f>
        <v/>
      </c>
      <c r="AT1605">
        <f>HYPERLINK("http://www.worldcat.org/oclc/18625661","WorldCat Record")</f>
        <v/>
      </c>
      <c r="AU1605" t="inlineStr">
        <is>
          <t>836731671:eng</t>
        </is>
      </c>
      <c r="AV1605" t="inlineStr">
        <is>
          <t>18625661</t>
        </is>
      </c>
      <c r="AW1605" t="inlineStr">
        <is>
          <t>991001377179702656</t>
        </is>
      </c>
      <c r="AX1605" t="inlineStr">
        <is>
          <t>991001377179702656</t>
        </is>
      </c>
      <c r="AY1605" t="inlineStr">
        <is>
          <t>2263043150002656</t>
        </is>
      </c>
      <c r="AZ1605" t="inlineStr">
        <is>
          <t>BOOK</t>
        </is>
      </c>
      <c r="BB1605" t="inlineStr">
        <is>
          <t>9780415005135</t>
        </is>
      </c>
      <c r="BC1605" t="inlineStr">
        <is>
          <t>32285001359008</t>
        </is>
      </c>
      <c r="BD1605" t="inlineStr">
        <is>
          <t>893509584</t>
        </is>
      </c>
    </row>
    <row r="1606">
      <c r="A1606" t="inlineStr">
        <is>
          <t>No</t>
        </is>
      </c>
      <c r="B1606" t="inlineStr">
        <is>
          <t>HQ612 .F37 1997</t>
        </is>
      </c>
      <c r="C1606" t="inlineStr">
        <is>
          <t>0                      HQ 0612000F  37          1997</t>
        </is>
      </c>
      <c r="D1606" t="inlineStr">
        <is>
          <t>Family life and family policies in Europe / edited by Franz-Xaver Kaufmann ... [et al.].</t>
        </is>
      </c>
      <c r="E1606" t="inlineStr">
        <is>
          <t>V. 2</t>
        </is>
      </c>
      <c r="F1606" t="inlineStr">
        <is>
          <t>Yes</t>
        </is>
      </c>
      <c r="G1606" t="inlineStr">
        <is>
          <t>1</t>
        </is>
      </c>
      <c r="H1606" t="inlineStr">
        <is>
          <t>No</t>
        </is>
      </c>
      <c r="I1606" t="inlineStr">
        <is>
          <t>No</t>
        </is>
      </c>
      <c r="J1606" t="inlineStr">
        <is>
          <t>0</t>
        </is>
      </c>
      <c r="L1606" t="inlineStr">
        <is>
          <t>Oxford, England : Clarendon Press ; Oxford ; New York : Oxford University Press, 1997-2002.</t>
        </is>
      </c>
      <c r="M1606" t="inlineStr">
        <is>
          <t>1997</t>
        </is>
      </c>
      <c r="O1606" t="inlineStr">
        <is>
          <t>eng</t>
        </is>
      </c>
      <c r="P1606" t="inlineStr">
        <is>
          <t>enk</t>
        </is>
      </c>
      <c r="R1606" t="inlineStr">
        <is>
          <t xml:space="preserve">HQ </t>
        </is>
      </c>
      <c r="S1606" t="n">
        <v>3</v>
      </c>
      <c r="T1606" t="n">
        <v>3</v>
      </c>
      <c r="U1606" t="inlineStr">
        <is>
          <t>2006-11-16</t>
        </is>
      </c>
      <c r="V1606" t="inlineStr">
        <is>
          <t>2006-11-16</t>
        </is>
      </c>
      <c r="W1606" t="inlineStr">
        <is>
          <t>2004-10-13</t>
        </is>
      </c>
      <c r="X1606" t="inlineStr">
        <is>
          <t>2004-10-13</t>
        </is>
      </c>
      <c r="Y1606" t="n">
        <v>222</v>
      </c>
      <c r="Z1606" t="n">
        <v>151</v>
      </c>
      <c r="AA1606" t="n">
        <v>151</v>
      </c>
      <c r="AB1606" t="n">
        <v>2</v>
      </c>
      <c r="AC1606" t="n">
        <v>2</v>
      </c>
      <c r="AD1606" t="n">
        <v>12</v>
      </c>
      <c r="AE1606" t="n">
        <v>12</v>
      </c>
      <c r="AF1606" t="n">
        <v>2</v>
      </c>
      <c r="AG1606" t="n">
        <v>2</v>
      </c>
      <c r="AH1606" t="n">
        <v>4</v>
      </c>
      <c r="AI1606" t="n">
        <v>4</v>
      </c>
      <c r="AJ1606" t="n">
        <v>9</v>
      </c>
      <c r="AK1606" t="n">
        <v>9</v>
      </c>
      <c r="AL1606" t="n">
        <v>1</v>
      </c>
      <c r="AM1606" t="n">
        <v>1</v>
      </c>
      <c r="AN1606" t="n">
        <v>0</v>
      </c>
      <c r="AO1606" t="n">
        <v>0</v>
      </c>
      <c r="AP1606" t="inlineStr">
        <is>
          <t>No</t>
        </is>
      </c>
      <c r="AQ1606" t="inlineStr">
        <is>
          <t>No</t>
        </is>
      </c>
      <c r="AS1606">
        <f>HYPERLINK("https://creighton-primo.hosted.exlibrisgroup.com/primo-explore/search?tab=default_tab&amp;search_scope=EVERYTHING&amp;vid=01CRU&amp;lang=en_US&amp;offset=0&amp;query=any,contains,991004386059702656","Catalog Record")</f>
        <v/>
      </c>
      <c r="AT1606">
        <f>HYPERLINK("http://www.worldcat.org/oclc/39095624","WorldCat Record")</f>
        <v/>
      </c>
      <c r="AU1606" t="inlineStr">
        <is>
          <t>2825961899:eng</t>
        </is>
      </c>
      <c r="AV1606" t="inlineStr">
        <is>
          <t>39095624</t>
        </is>
      </c>
      <c r="AW1606" t="inlineStr">
        <is>
          <t>991004386059702656</t>
        </is>
      </c>
      <c r="AX1606" t="inlineStr">
        <is>
          <t>991004386059702656</t>
        </is>
      </c>
      <c r="AY1606" t="inlineStr">
        <is>
          <t>2255690000002656</t>
        </is>
      </c>
      <c r="AZ1606" t="inlineStr">
        <is>
          <t>BOOK</t>
        </is>
      </c>
      <c r="BB1606" t="inlineStr">
        <is>
          <t>9780198233275</t>
        </is>
      </c>
      <c r="BC1606" t="inlineStr">
        <is>
          <t>32285005003677</t>
        </is>
      </c>
      <c r="BD1606" t="inlineStr">
        <is>
          <t>893535954</t>
        </is>
      </c>
    </row>
    <row r="1607">
      <c r="A1607" t="inlineStr">
        <is>
          <t>No</t>
        </is>
      </c>
      <c r="B1607" t="inlineStr">
        <is>
          <t>HQ612 .H68 1999</t>
        </is>
      </c>
      <c r="C1607" t="inlineStr">
        <is>
          <t>0                      HQ 0612000H  68          1999</t>
        </is>
      </c>
      <c r="D1607" t="inlineStr">
        <is>
          <t>House life : space, place and family in Europe / edited by Donna Birdwell-Pheasant and Denise Lawrence-Zúñiga.</t>
        </is>
      </c>
      <c r="F1607" t="inlineStr">
        <is>
          <t>No</t>
        </is>
      </c>
      <c r="G1607" t="inlineStr">
        <is>
          <t>1</t>
        </is>
      </c>
      <c r="H1607" t="inlineStr">
        <is>
          <t>No</t>
        </is>
      </c>
      <c r="I1607" t="inlineStr">
        <is>
          <t>No</t>
        </is>
      </c>
      <c r="J1607" t="inlineStr">
        <is>
          <t>0</t>
        </is>
      </c>
      <c r="L1607" t="inlineStr">
        <is>
          <t>Oxford ; New York : Berg, 1999.</t>
        </is>
      </c>
      <c r="M1607" t="inlineStr">
        <is>
          <t>1999</t>
        </is>
      </c>
      <c r="O1607" t="inlineStr">
        <is>
          <t>eng</t>
        </is>
      </c>
      <c r="P1607" t="inlineStr">
        <is>
          <t>enk</t>
        </is>
      </c>
      <c r="R1607" t="inlineStr">
        <is>
          <t xml:space="preserve">HQ </t>
        </is>
      </c>
      <c r="S1607" t="n">
        <v>4</v>
      </c>
      <c r="T1607" t="n">
        <v>4</v>
      </c>
      <c r="U1607" t="inlineStr">
        <is>
          <t>2007-04-26</t>
        </is>
      </c>
      <c r="V1607" t="inlineStr">
        <is>
          <t>2007-04-26</t>
        </is>
      </c>
      <c r="W1607" t="inlineStr">
        <is>
          <t>1999-10-28</t>
        </is>
      </c>
      <c r="X1607" t="inlineStr">
        <is>
          <t>1999-10-28</t>
        </is>
      </c>
      <c r="Y1607" t="n">
        <v>302</v>
      </c>
      <c r="Z1607" t="n">
        <v>173</v>
      </c>
      <c r="AA1607" t="n">
        <v>183</v>
      </c>
      <c r="AB1607" t="n">
        <v>2</v>
      </c>
      <c r="AC1607" t="n">
        <v>2</v>
      </c>
      <c r="AD1607" t="n">
        <v>8</v>
      </c>
      <c r="AE1607" t="n">
        <v>8</v>
      </c>
      <c r="AF1607" t="n">
        <v>1</v>
      </c>
      <c r="AG1607" t="n">
        <v>1</v>
      </c>
      <c r="AH1607" t="n">
        <v>4</v>
      </c>
      <c r="AI1607" t="n">
        <v>4</v>
      </c>
      <c r="AJ1607" t="n">
        <v>4</v>
      </c>
      <c r="AK1607" t="n">
        <v>4</v>
      </c>
      <c r="AL1607" t="n">
        <v>1</v>
      </c>
      <c r="AM1607" t="n">
        <v>1</v>
      </c>
      <c r="AN1607" t="n">
        <v>0</v>
      </c>
      <c r="AO1607" t="n">
        <v>0</v>
      </c>
      <c r="AP1607" t="inlineStr">
        <is>
          <t>No</t>
        </is>
      </c>
      <c r="AQ1607" t="inlineStr">
        <is>
          <t>No</t>
        </is>
      </c>
      <c r="AS1607">
        <f>HYPERLINK("https://creighton-primo.hosted.exlibrisgroup.com/primo-explore/search?tab=default_tab&amp;search_scope=EVERYTHING&amp;vid=01CRU&amp;lang=en_US&amp;offset=0&amp;query=any,contains,991003038729702656","Catalog Record")</f>
        <v/>
      </c>
      <c r="AT1607">
        <f>HYPERLINK("http://www.worldcat.org/oclc/41970477","WorldCat Record")</f>
        <v/>
      </c>
      <c r="AU1607" t="inlineStr">
        <is>
          <t>806564167:eng</t>
        </is>
      </c>
      <c r="AV1607" t="inlineStr">
        <is>
          <t>41970477</t>
        </is>
      </c>
      <c r="AW1607" t="inlineStr">
        <is>
          <t>991003038729702656</t>
        </is>
      </c>
      <c r="AX1607" t="inlineStr">
        <is>
          <t>991003038729702656</t>
        </is>
      </c>
      <c r="AY1607" t="inlineStr">
        <is>
          <t>2255169790002656</t>
        </is>
      </c>
      <c r="AZ1607" t="inlineStr">
        <is>
          <t>BOOK</t>
        </is>
      </c>
      <c r="BB1607" t="inlineStr">
        <is>
          <t>9781859732304</t>
        </is>
      </c>
      <c r="BC1607" t="inlineStr">
        <is>
          <t>32285003615886</t>
        </is>
      </c>
      <c r="BD1607" t="inlineStr">
        <is>
          <t>893616930</t>
        </is>
      </c>
    </row>
    <row r="1608">
      <c r="A1608" t="inlineStr">
        <is>
          <t>No</t>
        </is>
      </c>
      <c r="B1608" t="inlineStr">
        <is>
          <t>HQ612 .K35</t>
        </is>
      </c>
      <c r="C1608" t="inlineStr">
        <is>
          <t>0                      HQ 0612000K  35</t>
        </is>
      </c>
      <c r="D1608" t="inlineStr">
        <is>
          <t>Child care, family benefits, and working parents : a study in comparative policy / Sheila B. Kamerman, Alfred J. Kahn.</t>
        </is>
      </c>
      <c r="F1608" t="inlineStr">
        <is>
          <t>No</t>
        </is>
      </c>
      <c r="G1608" t="inlineStr">
        <is>
          <t>1</t>
        </is>
      </c>
      <c r="H1608" t="inlineStr">
        <is>
          <t>No</t>
        </is>
      </c>
      <c r="I1608" t="inlineStr">
        <is>
          <t>No</t>
        </is>
      </c>
      <c r="J1608" t="inlineStr">
        <is>
          <t>0</t>
        </is>
      </c>
      <c r="K1608" t="inlineStr">
        <is>
          <t>Kamerman, Sheila B.</t>
        </is>
      </c>
      <c r="L1608" t="inlineStr">
        <is>
          <t>New York : Columbia University Press, 1981.</t>
        </is>
      </c>
      <c r="M1608" t="inlineStr">
        <is>
          <t>1981</t>
        </is>
      </c>
      <c r="O1608" t="inlineStr">
        <is>
          <t>eng</t>
        </is>
      </c>
      <c r="P1608" t="inlineStr">
        <is>
          <t>nyu</t>
        </is>
      </c>
      <c r="R1608" t="inlineStr">
        <is>
          <t xml:space="preserve">HQ </t>
        </is>
      </c>
      <c r="S1608" t="n">
        <v>18</v>
      </c>
      <c r="T1608" t="n">
        <v>18</v>
      </c>
      <c r="U1608" t="inlineStr">
        <is>
          <t>1997-10-13</t>
        </is>
      </c>
      <c r="V1608" t="inlineStr">
        <is>
          <t>1997-10-13</t>
        </is>
      </c>
      <c r="W1608" t="inlineStr">
        <is>
          <t>1990-02-09</t>
        </is>
      </c>
      <c r="X1608" t="inlineStr">
        <is>
          <t>1990-02-09</t>
        </is>
      </c>
      <c r="Y1608" t="n">
        <v>622</v>
      </c>
      <c r="Z1608" t="n">
        <v>514</v>
      </c>
      <c r="AA1608" t="n">
        <v>521</v>
      </c>
      <c r="AB1608" t="n">
        <v>4</v>
      </c>
      <c r="AC1608" t="n">
        <v>4</v>
      </c>
      <c r="AD1608" t="n">
        <v>22</v>
      </c>
      <c r="AE1608" t="n">
        <v>22</v>
      </c>
      <c r="AF1608" t="n">
        <v>9</v>
      </c>
      <c r="AG1608" t="n">
        <v>9</v>
      </c>
      <c r="AH1608" t="n">
        <v>5</v>
      </c>
      <c r="AI1608" t="n">
        <v>5</v>
      </c>
      <c r="AJ1608" t="n">
        <v>11</v>
      </c>
      <c r="AK1608" t="n">
        <v>11</v>
      </c>
      <c r="AL1608" t="n">
        <v>3</v>
      </c>
      <c r="AM1608" t="n">
        <v>3</v>
      </c>
      <c r="AN1608" t="n">
        <v>1</v>
      </c>
      <c r="AO1608" t="n">
        <v>1</v>
      </c>
      <c r="AP1608" t="inlineStr">
        <is>
          <t>No</t>
        </is>
      </c>
      <c r="AQ1608" t="inlineStr">
        <is>
          <t>No</t>
        </is>
      </c>
      <c r="AS1608">
        <f>HYPERLINK("https://creighton-primo.hosted.exlibrisgroup.com/primo-explore/search?tab=default_tab&amp;search_scope=EVERYTHING&amp;vid=01CRU&amp;lang=en_US&amp;offset=0&amp;query=any,contains,991005079799702656","Catalog Record")</f>
        <v/>
      </c>
      <c r="AT1608">
        <f>HYPERLINK("http://www.worldcat.org/oclc/7170309","WorldCat Record")</f>
        <v/>
      </c>
      <c r="AU1608" t="inlineStr">
        <is>
          <t>866862793:eng</t>
        </is>
      </c>
      <c r="AV1608" t="inlineStr">
        <is>
          <t>7170309</t>
        </is>
      </c>
      <c r="AW1608" t="inlineStr">
        <is>
          <t>991005079799702656</t>
        </is>
      </c>
      <c r="AX1608" t="inlineStr">
        <is>
          <t>991005079799702656</t>
        </is>
      </c>
      <c r="AY1608" t="inlineStr">
        <is>
          <t>2256652620002656</t>
        </is>
      </c>
      <c r="AZ1608" t="inlineStr">
        <is>
          <t>BOOK</t>
        </is>
      </c>
      <c r="BB1608" t="inlineStr">
        <is>
          <t>9780231051705</t>
        </is>
      </c>
      <c r="BC1608" t="inlineStr">
        <is>
          <t>32285000008846</t>
        </is>
      </c>
      <c r="BD1608" t="inlineStr">
        <is>
          <t>893412283</t>
        </is>
      </c>
    </row>
    <row r="1609">
      <c r="A1609" t="inlineStr">
        <is>
          <t>No</t>
        </is>
      </c>
      <c r="B1609" t="inlineStr">
        <is>
          <t>HQ613 .G65 1987</t>
        </is>
      </c>
      <c r="C1609" t="inlineStr">
        <is>
          <t>0                      HQ 0613000G  65          1987</t>
        </is>
      </c>
      <c r="D1609" t="inlineStr">
        <is>
          <t>Family life in western societies : a historical sociology of family relationships in Britain and North America / J.E. Goldthorpe.</t>
        </is>
      </c>
      <c r="F1609" t="inlineStr">
        <is>
          <t>No</t>
        </is>
      </c>
      <c r="G1609" t="inlineStr">
        <is>
          <t>1</t>
        </is>
      </c>
      <c r="H1609" t="inlineStr">
        <is>
          <t>No</t>
        </is>
      </c>
      <c r="I1609" t="inlineStr">
        <is>
          <t>No</t>
        </is>
      </c>
      <c r="J1609" t="inlineStr">
        <is>
          <t>0</t>
        </is>
      </c>
      <c r="K1609" t="inlineStr">
        <is>
          <t>Goldthorpe, J. E. (John Ernest)</t>
        </is>
      </c>
      <c r="L1609" t="inlineStr">
        <is>
          <t>Cambridge [Cambridgeshire] ; New York : Cambridge University Press, 1987.</t>
        </is>
      </c>
      <c r="M1609" t="inlineStr">
        <is>
          <t>1987</t>
        </is>
      </c>
      <c r="O1609" t="inlineStr">
        <is>
          <t>eng</t>
        </is>
      </c>
      <c r="P1609" t="inlineStr">
        <is>
          <t>enk</t>
        </is>
      </c>
      <c r="R1609" t="inlineStr">
        <is>
          <t xml:space="preserve">HQ </t>
        </is>
      </c>
      <c r="S1609" t="n">
        <v>9</v>
      </c>
      <c r="T1609" t="n">
        <v>9</v>
      </c>
      <c r="U1609" t="inlineStr">
        <is>
          <t>2009-04-07</t>
        </is>
      </c>
      <c r="V1609" t="inlineStr">
        <is>
          <t>2009-04-07</t>
        </is>
      </c>
      <c r="W1609" t="inlineStr">
        <is>
          <t>1992-10-29</t>
        </is>
      </c>
      <c r="X1609" t="inlineStr">
        <is>
          <t>1992-10-29</t>
        </is>
      </c>
      <c r="Y1609" t="n">
        <v>624</v>
      </c>
      <c r="Z1609" t="n">
        <v>424</v>
      </c>
      <c r="AA1609" t="n">
        <v>430</v>
      </c>
      <c r="AB1609" t="n">
        <v>2</v>
      </c>
      <c r="AC1609" t="n">
        <v>2</v>
      </c>
      <c r="AD1609" t="n">
        <v>14</v>
      </c>
      <c r="AE1609" t="n">
        <v>14</v>
      </c>
      <c r="AF1609" t="n">
        <v>3</v>
      </c>
      <c r="AG1609" t="n">
        <v>3</v>
      </c>
      <c r="AH1609" t="n">
        <v>6</v>
      </c>
      <c r="AI1609" t="n">
        <v>6</v>
      </c>
      <c r="AJ1609" t="n">
        <v>8</v>
      </c>
      <c r="AK1609" t="n">
        <v>8</v>
      </c>
      <c r="AL1609" t="n">
        <v>1</v>
      </c>
      <c r="AM1609" t="n">
        <v>1</v>
      </c>
      <c r="AN1609" t="n">
        <v>0</v>
      </c>
      <c r="AO1609" t="n">
        <v>0</v>
      </c>
      <c r="AP1609" t="inlineStr">
        <is>
          <t>No</t>
        </is>
      </c>
      <c r="AQ1609" t="inlineStr">
        <is>
          <t>No</t>
        </is>
      </c>
      <c r="AS1609">
        <f>HYPERLINK("https://creighton-primo.hosted.exlibrisgroup.com/primo-explore/search?tab=default_tab&amp;search_scope=EVERYTHING&amp;vid=01CRU&amp;lang=en_US&amp;offset=0&amp;query=any,contains,991000942769702656","Catalog Record")</f>
        <v/>
      </c>
      <c r="AT1609">
        <f>HYPERLINK("http://www.worldcat.org/oclc/14414303","WorldCat Record")</f>
        <v/>
      </c>
      <c r="AU1609" t="inlineStr">
        <is>
          <t>836694008:eng</t>
        </is>
      </c>
      <c r="AV1609" t="inlineStr">
        <is>
          <t>14414303</t>
        </is>
      </c>
      <c r="AW1609" t="inlineStr">
        <is>
          <t>991000942769702656</t>
        </is>
      </c>
      <c r="AX1609" t="inlineStr">
        <is>
          <t>991000942769702656</t>
        </is>
      </c>
      <c r="AY1609" t="inlineStr">
        <is>
          <t>2264712950002656</t>
        </is>
      </c>
      <c r="AZ1609" t="inlineStr">
        <is>
          <t>BOOK</t>
        </is>
      </c>
      <c r="BB1609" t="inlineStr">
        <is>
          <t>9780521337526</t>
        </is>
      </c>
      <c r="BC1609" t="inlineStr">
        <is>
          <t>32285001359016</t>
        </is>
      </c>
      <c r="BD1609" t="inlineStr">
        <is>
          <t>893626520</t>
        </is>
      </c>
    </row>
    <row r="1610">
      <c r="A1610" t="inlineStr">
        <is>
          <t>No</t>
        </is>
      </c>
      <c r="B1610" t="inlineStr">
        <is>
          <t>HQ613 .H65 1989</t>
        </is>
      </c>
      <c r="C1610" t="inlineStr">
        <is>
          <t>0                      HQ 0613000H  65          1989</t>
        </is>
      </c>
      <c r="D1610" t="inlineStr">
        <is>
          <t>Home and family : creating the domestic sphere / edited by Graham Allan and Graham Crow.</t>
        </is>
      </c>
      <c r="F1610" t="inlineStr">
        <is>
          <t>No</t>
        </is>
      </c>
      <c r="G1610" t="inlineStr">
        <is>
          <t>1</t>
        </is>
      </c>
      <c r="H1610" t="inlineStr">
        <is>
          <t>No</t>
        </is>
      </c>
      <c r="I1610" t="inlineStr">
        <is>
          <t>No</t>
        </is>
      </c>
      <c r="J1610" t="inlineStr">
        <is>
          <t>0</t>
        </is>
      </c>
      <c r="L1610" t="inlineStr">
        <is>
          <t>Basingstoke : Macmillan, 1989.</t>
        </is>
      </c>
      <c r="M1610" t="inlineStr">
        <is>
          <t>1989</t>
        </is>
      </c>
      <c r="O1610" t="inlineStr">
        <is>
          <t>eng</t>
        </is>
      </c>
      <c r="P1610" t="inlineStr">
        <is>
          <t>enk</t>
        </is>
      </c>
      <c r="R1610" t="inlineStr">
        <is>
          <t xml:space="preserve">HQ </t>
        </is>
      </c>
      <c r="S1610" t="n">
        <v>3</v>
      </c>
      <c r="T1610" t="n">
        <v>3</v>
      </c>
      <c r="U1610" t="inlineStr">
        <is>
          <t>1993-11-11</t>
        </is>
      </c>
      <c r="V1610" t="inlineStr">
        <is>
          <t>1993-11-11</t>
        </is>
      </c>
      <c r="W1610" t="inlineStr">
        <is>
          <t>1991-11-04</t>
        </is>
      </c>
      <c r="X1610" t="inlineStr">
        <is>
          <t>1991-11-04</t>
        </is>
      </c>
      <c r="Y1610" t="n">
        <v>181</v>
      </c>
      <c r="Z1610" t="n">
        <v>78</v>
      </c>
      <c r="AA1610" t="n">
        <v>87</v>
      </c>
      <c r="AB1610" t="n">
        <v>2</v>
      </c>
      <c r="AC1610" t="n">
        <v>2</v>
      </c>
      <c r="AD1610" t="n">
        <v>3</v>
      </c>
      <c r="AE1610" t="n">
        <v>4</v>
      </c>
      <c r="AF1610" t="n">
        <v>1</v>
      </c>
      <c r="AG1610" t="n">
        <v>2</v>
      </c>
      <c r="AH1610" t="n">
        <v>1</v>
      </c>
      <c r="AI1610" t="n">
        <v>1</v>
      </c>
      <c r="AJ1610" t="n">
        <v>2</v>
      </c>
      <c r="AK1610" t="n">
        <v>3</v>
      </c>
      <c r="AL1610" t="n">
        <v>1</v>
      </c>
      <c r="AM1610" t="n">
        <v>1</v>
      </c>
      <c r="AN1610" t="n">
        <v>0</v>
      </c>
      <c r="AO1610" t="n">
        <v>0</v>
      </c>
      <c r="AP1610" t="inlineStr">
        <is>
          <t>No</t>
        </is>
      </c>
      <c r="AQ1610" t="inlineStr">
        <is>
          <t>Yes</t>
        </is>
      </c>
      <c r="AR1610">
        <f>HYPERLINK("http://catalog.hathitrust.org/Record/009513096","HathiTrust Record")</f>
        <v/>
      </c>
      <c r="AS1610">
        <f>HYPERLINK("https://creighton-primo.hosted.exlibrisgroup.com/primo-explore/search?tab=default_tab&amp;search_scope=EVERYTHING&amp;vid=01CRU&amp;lang=en_US&amp;offset=0&amp;query=any,contains,991001493299702656","Catalog Record")</f>
        <v/>
      </c>
      <c r="AT1610">
        <f>HYPERLINK("http://www.worldcat.org/oclc/26055751","WorldCat Record")</f>
        <v/>
      </c>
      <c r="AU1610" t="inlineStr">
        <is>
          <t>816991095:eng</t>
        </is>
      </c>
      <c r="AV1610" t="inlineStr">
        <is>
          <t>26055751</t>
        </is>
      </c>
      <c r="AW1610" t="inlineStr">
        <is>
          <t>991001493299702656</t>
        </is>
      </c>
      <c r="AX1610" t="inlineStr">
        <is>
          <t>991001493299702656</t>
        </is>
      </c>
      <c r="AY1610" t="inlineStr">
        <is>
          <t>2264465070002656</t>
        </is>
      </c>
      <c r="AZ1610" t="inlineStr">
        <is>
          <t>BOOK</t>
        </is>
      </c>
      <c r="BB1610" t="inlineStr">
        <is>
          <t>9780333489758</t>
        </is>
      </c>
      <c r="BC1610" t="inlineStr">
        <is>
          <t>32285000729136</t>
        </is>
      </c>
      <c r="BD1610" t="inlineStr">
        <is>
          <t>893232024</t>
        </is>
      </c>
    </row>
    <row r="1611">
      <c r="A1611" t="inlineStr">
        <is>
          <t>No</t>
        </is>
      </c>
      <c r="B1611" t="inlineStr">
        <is>
          <t>HQ613 .L48 1977</t>
        </is>
      </c>
      <c r="C1611" t="inlineStr">
        <is>
          <t>0                      HQ 0613000L  48          1977</t>
        </is>
      </c>
      <c r="D1611" t="inlineStr">
        <is>
          <t>Family formation in an age of nascent capitalism / David Levine.</t>
        </is>
      </c>
      <c r="F1611" t="inlineStr">
        <is>
          <t>No</t>
        </is>
      </c>
      <c r="G1611" t="inlineStr">
        <is>
          <t>1</t>
        </is>
      </c>
      <c r="H1611" t="inlineStr">
        <is>
          <t>No</t>
        </is>
      </c>
      <c r="I1611" t="inlineStr">
        <is>
          <t>No</t>
        </is>
      </c>
      <c r="J1611" t="inlineStr">
        <is>
          <t>0</t>
        </is>
      </c>
      <c r="K1611" t="inlineStr">
        <is>
          <t>Levine, David, 1946-</t>
        </is>
      </c>
      <c r="L1611" t="inlineStr">
        <is>
          <t>New York : Academic Press, 1977.</t>
        </is>
      </c>
      <c r="M1611" t="inlineStr">
        <is>
          <t>1977</t>
        </is>
      </c>
      <c r="O1611" t="inlineStr">
        <is>
          <t>eng</t>
        </is>
      </c>
      <c r="P1611" t="inlineStr">
        <is>
          <t>nyu</t>
        </is>
      </c>
      <c r="Q1611" t="inlineStr">
        <is>
          <t>Studies in social discontinuity</t>
        </is>
      </c>
      <c r="R1611" t="inlineStr">
        <is>
          <t xml:space="preserve">HQ </t>
        </is>
      </c>
      <c r="S1611" t="n">
        <v>2</v>
      </c>
      <c r="T1611" t="n">
        <v>2</v>
      </c>
      <c r="U1611" t="inlineStr">
        <is>
          <t>2009-04-07</t>
        </is>
      </c>
      <c r="V1611" t="inlineStr">
        <is>
          <t>2009-04-07</t>
        </is>
      </c>
      <c r="W1611" t="inlineStr">
        <is>
          <t>1997-08-08</t>
        </is>
      </c>
      <c r="X1611" t="inlineStr">
        <is>
          <t>1997-08-08</t>
        </is>
      </c>
      <c r="Y1611" t="n">
        <v>611</v>
      </c>
      <c r="Z1611" t="n">
        <v>427</v>
      </c>
      <c r="AA1611" t="n">
        <v>461</v>
      </c>
      <c r="AB1611" t="n">
        <v>6</v>
      </c>
      <c r="AC1611" t="n">
        <v>6</v>
      </c>
      <c r="AD1611" t="n">
        <v>24</v>
      </c>
      <c r="AE1611" t="n">
        <v>26</v>
      </c>
      <c r="AF1611" t="n">
        <v>7</v>
      </c>
      <c r="AG1611" t="n">
        <v>9</v>
      </c>
      <c r="AH1611" t="n">
        <v>7</v>
      </c>
      <c r="AI1611" t="n">
        <v>8</v>
      </c>
      <c r="AJ1611" t="n">
        <v>12</v>
      </c>
      <c r="AK1611" t="n">
        <v>12</v>
      </c>
      <c r="AL1611" t="n">
        <v>4</v>
      </c>
      <c r="AM1611" t="n">
        <v>4</v>
      </c>
      <c r="AN1611" t="n">
        <v>0</v>
      </c>
      <c r="AO1611" t="n">
        <v>0</v>
      </c>
      <c r="AP1611" t="inlineStr">
        <is>
          <t>No</t>
        </is>
      </c>
      <c r="AQ1611" t="inlineStr">
        <is>
          <t>Yes</t>
        </is>
      </c>
      <c r="AR1611">
        <f>HYPERLINK("http://catalog.hathitrust.org/Record/000250483","HathiTrust Record")</f>
        <v/>
      </c>
      <c r="AS1611">
        <f>HYPERLINK("https://creighton-primo.hosted.exlibrisgroup.com/primo-explore/search?tab=default_tab&amp;search_scope=EVERYTHING&amp;vid=01CRU&amp;lang=en_US&amp;offset=0&amp;query=any,contains,991004307869702656","Catalog Record")</f>
        <v/>
      </c>
      <c r="AT1611">
        <f>HYPERLINK("http://www.worldcat.org/oclc/2984619","WorldCat Record")</f>
        <v/>
      </c>
      <c r="AU1611" t="inlineStr">
        <is>
          <t>7037042:eng</t>
        </is>
      </c>
      <c r="AV1611" t="inlineStr">
        <is>
          <t>2984619</t>
        </is>
      </c>
      <c r="AW1611" t="inlineStr">
        <is>
          <t>991004307869702656</t>
        </is>
      </c>
      <c r="AX1611" t="inlineStr">
        <is>
          <t>991004307869702656</t>
        </is>
      </c>
      <c r="AY1611" t="inlineStr">
        <is>
          <t>2258339860002656</t>
        </is>
      </c>
      <c r="AZ1611" t="inlineStr">
        <is>
          <t>BOOK</t>
        </is>
      </c>
      <c r="BB1611" t="inlineStr">
        <is>
          <t>9780124450509</t>
        </is>
      </c>
      <c r="BC1611" t="inlineStr">
        <is>
          <t>32285003089017</t>
        </is>
      </c>
      <c r="BD1611" t="inlineStr">
        <is>
          <t>893593531</t>
        </is>
      </c>
    </row>
    <row r="1612">
      <c r="A1612" t="inlineStr">
        <is>
          <t>No</t>
        </is>
      </c>
      <c r="B1612" t="inlineStr">
        <is>
          <t>HQ614 .A57 1996</t>
        </is>
      </c>
      <c r="C1612" t="inlineStr">
        <is>
          <t>0                      HQ 0614000A  57          1996</t>
        </is>
      </c>
      <c r="D1612" t="inlineStr">
        <is>
          <t>Kinship and friendship in modern Britain / Graham Allan.</t>
        </is>
      </c>
      <c r="F1612" t="inlineStr">
        <is>
          <t>No</t>
        </is>
      </c>
      <c r="G1612" t="inlineStr">
        <is>
          <t>1</t>
        </is>
      </c>
      <c r="H1612" t="inlineStr">
        <is>
          <t>No</t>
        </is>
      </c>
      <c r="I1612" t="inlineStr">
        <is>
          <t>No</t>
        </is>
      </c>
      <c r="J1612" t="inlineStr">
        <is>
          <t>0</t>
        </is>
      </c>
      <c r="K1612" t="inlineStr">
        <is>
          <t>Allan, Graham, 1948-</t>
        </is>
      </c>
      <c r="L1612" t="inlineStr">
        <is>
          <t>Oxford ; New York : Oxford University Press, 1996.</t>
        </is>
      </c>
      <c r="M1612" t="inlineStr">
        <is>
          <t>1996</t>
        </is>
      </c>
      <c r="O1612" t="inlineStr">
        <is>
          <t>eng</t>
        </is>
      </c>
      <c r="P1612" t="inlineStr">
        <is>
          <t>enk</t>
        </is>
      </c>
      <c r="Q1612" t="inlineStr">
        <is>
          <t>Oxford modern Britain</t>
        </is>
      </c>
      <c r="R1612" t="inlineStr">
        <is>
          <t xml:space="preserve">HQ </t>
        </is>
      </c>
      <c r="S1612" t="n">
        <v>1</v>
      </c>
      <c r="T1612" t="n">
        <v>1</v>
      </c>
      <c r="U1612" t="inlineStr">
        <is>
          <t>1997-02-24</t>
        </is>
      </c>
      <c r="V1612" t="inlineStr">
        <is>
          <t>1997-02-24</t>
        </is>
      </c>
      <c r="W1612" t="inlineStr">
        <is>
          <t>1996-08-05</t>
        </is>
      </c>
      <c r="X1612" t="inlineStr">
        <is>
          <t>1996-08-05</t>
        </is>
      </c>
      <c r="Y1612" t="n">
        <v>243</v>
      </c>
      <c r="Z1612" t="n">
        <v>137</v>
      </c>
      <c r="AA1612" t="n">
        <v>143</v>
      </c>
      <c r="AB1612" t="n">
        <v>1</v>
      </c>
      <c r="AC1612" t="n">
        <v>1</v>
      </c>
      <c r="AD1612" t="n">
        <v>7</v>
      </c>
      <c r="AE1612" t="n">
        <v>7</v>
      </c>
      <c r="AF1612" t="n">
        <v>1</v>
      </c>
      <c r="AG1612" t="n">
        <v>1</v>
      </c>
      <c r="AH1612" t="n">
        <v>3</v>
      </c>
      <c r="AI1612" t="n">
        <v>3</v>
      </c>
      <c r="AJ1612" t="n">
        <v>6</v>
      </c>
      <c r="AK1612" t="n">
        <v>6</v>
      </c>
      <c r="AL1612" t="n">
        <v>0</v>
      </c>
      <c r="AM1612" t="n">
        <v>0</v>
      </c>
      <c r="AN1612" t="n">
        <v>0</v>
      </c>
      <c r="AO1612" t="n">
        <v>0</v>
      </c>
      <c r="AP1612" t="inlineStr">
        <is>
          <t>No</t>
        </is>
      </c>
      <c r="AQ1612" t="inlineStr">
        <is>
          <t>Yes</t>
        </is>
      </c>
      <c r="AR1612">
        <f>HYPERLINK("http://catalog.hathitrust.org/Record/007132209","HathiTrust Record")</f>
        <v/>
      </c>
      <c r="AS1612">
        <f>HYPERLINK("https://creighton-primo.hosted.exlibrisgroup.com/primo-explore/search?tab=default_tab&amp;search_scope=EVERYTHING&amp;vid=01CRU&amp;lang=en_US&amp;offset=0&amp;query=any,contains,991002583189702656","Catalog Record")</f>
        <v/>
      </c>
      <c r="AT1612">
        <f>HYPERLINK("http://www.worldcat.org/oclc/33862937","WorldCat Record")</f>
        <v/>
      </c>
      <c r="AU1612" t="inlineStr">
        <is>
          <t>141740306:eng</t>
        </is>
      </c>
      <c r="AV1612" t="inlineStr">
        <is>
          <t>33862937</t>
        </is>
      </c>
      <c r="AW1612" t="inlineStr">
        <is>
          <t>991002583189702656</t>
        </is>
      </c>
      <c r="AX1612" t="inlineStr">
        <is>
          <t>991002583189702656</t>
        </is>
      </c>
      <c r="AY1612" t="inlineStr">
        <is>
          <t>2266870650002656</t>
        </is>
      </c>
      <c r="AZ1612" t="inlineStr">
        <is>
          <t>BOOK</t>
        </is>
      </c>
      <c r="BB1612" t="inlineStr">
        <is>
          <t>9780198781240</t>
        </is>
      </c>
      <c r="BC1612" t="inlineStr">
        <is>
          <t>32285002270584</t>
        </is>
      </c>
      <c r="BD1612" t="inlineStr">
        <is>
          <t>893873715</t>
        </is>
      </c>
    </row>
    <row r="1613">
      <c r="A1613" t="inlineStr">
        <is>
          <t>No</t>
        </is>
      </c>
      <c r="B1613" t="inlineStr">
        <is>
          <t>HQ614 .F59 1988</t>
        </is>
      </c>
      <c r="C1613" t="inlineStr">
        <is>
          <t>0                      HQ 0614000F  59          1988</t>
        </is>
      </c>
      <c r="D1613" t="inlineStr">
        <is>
          <t>The shaking of the foundations : family and society / Ronald Fletcher.</t>
        </is>
      </c>
      <c r="F1613" t="inlineStr">
        <is>
          <t>No</t>
        </is>
      </c>
      <c r="G1613" t="inlineStr">
        <is>
          <t>1</t>
        </is>
      </c>
      <c r="H1613" t="inlineStr">
        <is>
          <t>No</t>
        </is>
      </c>
      <c r="I1613" t="inlineStr">
        <is>
          <t>No</t>
        </is>
      </c>
      <c r="J1613" t="inlineStr">
        <is>
          <t>0</t>
        </is>
      </c>
      <c r="K1613" t="inlineStr">
        <is>
          <t>Fletcher, Ronald, 1921-</t>
        </is>
      </c>
      <c r="L1613" t="inlineStr">
        <is>
          <t>London ; New York : Routledge, 1988.</t>
        </is>
      </c>
      <c r="M1613" t="inlineStr">
        <is>
          <t>1988</t>
        </is>
      </c>
      <c r="O1613" t="inlineStr">
        <is>
          <t>eng</t>
        </is>
      </c>
      <c r="P1613" t="inlineStr">
        <is>
          <t>enk</t>
        </is>
      </c>
      <c r="R1613" t="inlineStr">
        <is>
          <t xml:space="preserve">HQ </t>
        </is>
      </c>
      <c r="S1613" t="n">
        <v>4</v>
      </c>
      <c r="T1613" t="n">
        <v>4</v>
      </c>
      <c r="U1613" t="inlineStr">
        <is>
          <t>1996-04-28</t>
        </is>
      </c>
      <c r="V1613" t="inlineStr">
        <is>
          <t>1996-04-28</t>
        </is>
      </c>
      <c r="W1613" t="inlineStr">
        <is>
          <t>1989-11-13</t>
        </is>
      </c>
      <c r="X1613" t="inlineStr">
        <is>
          <t>1989-11-13</t>
        </is>
      </c>
      <c r="Y1613" t="n">
        <v>258</v>
      </c>
      <c r="Z1613" t="n">
        <v>120</v>
      </c>
      <c r="AA1613" t="n">
        <v>126</v>
      </c>
      <c r="AB1613" t="n">
        <v>3</v>
      </c>
      <c r="AC1613" t="n">
        <v>3</v>
      </c>
      <c r="AD1613" t="n">
        <v>7</v>
      </c>
      <c r="AE1613" t="n">
        <v>7</v>
      </c>
      <c r="AF1613" t="n">
        <v>0</v>
      </c>
      <c r="AG1613" t="n">
        <v>0</v>
      </c>
      <c r="AH1613" t="n">
        <v>2</v>
      </c>
      <c r="AI1613" t="n">
        <v>2</v>
      </c>
      <c r="AJ1613" t="n">
        <v>2</v>
      </c>
      <c r="AK1613" t="n">
        <v>2</v>
      </c>
      <c r="AL1613" t="n">
        <v>2</v>
      </c>
      <c r="AM1613" t="n">
        <v>2</v>
      </c>
      <c r="AN1613" t="n">
        <v>1</v>
      </c>
      <c r="AO1613" t="n">
        <v>1</v>
      </c>
      <c r="AP1613" t="inlineStr">
        <is>
          <t>No</t>
        </is>
      </c>
      <c r="AQ1613" t="inlineStr">
        <is>
          <t>Yes</t>
        </is>
      </c>
      <c r="AR1613">
        <f>HYPERLINK("http://catalog.hathitrust.org/Record/101888130","HathiTrust Record")</f>
        <v/>
      </c>
      <c r="AS1613">
        <f>HYPERLINK("https://creighton-primo.hosted.exlibrisgroup.com/primo-explore/search?tab=default_tab&amp;search_scope=EVERYTHING&amp;vid=01CRU&amp;lang=en_US&amp;offset=0&amp;query=any,contains,991001203019702656","Catalog Record")</f>
        <v/>
      </c>
      <c r="AT1613">
        <f>HYPERLINK("http://www.worldcat.org/oclc/17326979","WorldCat Record")</f>
        <v/>
      </c>
      <c r="AU1613" t="inlineStr">
        <is>
          <t>475680773:eng</t>
        </is>
      </c>
      <c r="AV1613" t="inlineStr">
        <is>
          <t>17326979</t>
        </is>
      </c>
      <c r="AW1613" t="inlineStr">
        <is>
          <t>991001203019702656</t>
        </is>
      </c>
      <c r="AX1613" t="inlineStr">
        <is>
          <t>991001203019702656</t>
        </is>
      </c>
      <c r="AY1613" t="inlineStr">
        <is>
          <t>2261571320002656</t>
        </is>
      </c>
      <c r="AZ1613" t="inlineStr">
        <is>
          <t>BOOK</t>
        </is>
      </c>
      <c r="BB1613" t="inlineStr">
        <is>
          <t>9780415008747</t>
        </is>
      </c>
      <c r="BC1613" t="inlineStr">
        <is>
          <t>32285000012426</t>
        </is>
      </c>
      <c r="BD1613" t="inlineStr">
        <is>
          <t>893590103</t>
        </is>
      </c>
    </row>
    <row r="1614">
      <c r="A1614" t="inlineStr">
        <is>
          <t>No</t>
        </is>
      </c>
      <c r="B1614" t="inlineStr">
        <is>
          <t>HQ614 .G59 1987</t>
        </is>
      </c>
      <c r="C1614" t="inlineStr">
        <is>
          <t>0                      HQ 0614000G  59          1987</t>
        </is>
      </c>
      <c r="D1614" t="inlineStr">
        <is>
          <t>Give and take in families : studies in resource distribution / [edited by] Julia Brannen [and] Gail Wilson.</t>
        </is>
      </c>
      <c r="F1614" t="inlineStr">
        <is>
          <t>No</t>
        </is>
      </c>
      <c r="G1614" t="inlineStr">
        <is>
          <t>1</t>
        </is>
      </c>
      <c r="H1614" t="inlineStr">
        <is>
          <t>No</t>
        </is>
      </c>
      <c r="I1614" t="inlineStr">
        <is>
          <t>No</t>
        </is>
      </c>
      <c r="J1614" t="inlineStr">
        <is>
          <t>0</t>
        </is>
      </c>
      <c r="L1614" t="inlineStr">
        <is>
          <t>London ; Boston : Allen &amp; Unwin, 1987.</t>
        </is>
      </c>
      <c r="M1614" t="inlineStr">
        <is>
          <t>1987</t>
        </is>
      </c>
      <c r="O1614" t="inlineStr">
        <is>
          <t>eng</t>
        </is>
      </c>
      <c r="P1614" t="inlineStr">
        <is>
          <t>enk</t>
        </is>
      </c>
      <c r="R1614" t="inlineStr">
        <is>
          <t xml:space="preserve">HQ </t>
        </is>
      </c>
      <c r="S1614" t="n">
        <v>1</v>
      </c>
      <c r="T1614" t="n">
        <v>1</v>
      </c>
      <c r="U1614" t="inlineStr">
        <is>
          <t>2002-12-02</t>
        </is>
      </c>
      <c r="V1614" t="inlineStr">
        <is>
          <t>2002-12-02</t>
        </is>
      </c>
      <c r="W1614" t="inlineStr">
        <is>
          <t>1992-10-29</t>
        </is>
      </c>
      <c r="X1614" t="inlineStr">
        <is>
          <t>1992-10-29</t>
        </is>
      </c>
      <c r="Y1614" t="n">
        <v>247</v>
      </c>
      <c r="Z1614" t="n">
        <v>130</v>
      </c>
      <c r="AA1614" t="n">
        <v>130</v>
      </c>
      <c r="AB1614" t="n">
        <v>2</v>
      </c>
      <c r="AC1614" t="n">
        <v>2</v>
      </c>
      <c r="AD1614" t="n">
        <v>6</v>
      </c>
      <c r="AE1614" t="n">
        <v>6</v>
      </c>
      <c r="AF1614" t="n">
        <v>0</v>
      </c>
      <c r="AG1614" t="n">
        <v>0</v>
      </c>
      <c r="AH1614" t="n">
        <v>2</v>
      </c>
      <c r="AI1614" t="n">
        <v>2</v>
      </c>
      <c r="AJ1614" t="n">
        <v>4</v>
      </c>
      <c r="AK1614" t="n">
        <v>4</v>
      </c>
      <c r="AL1614" t="n">
        <v>1</v>
      </c>
      <c r="AM1614" t="n">
        <v>1</v>
      </c>
      <c r="AN1614" t="n">
        <v>0</v>
      </c>
      <c r="AO1614" t="n">
        <v>0</v>
      </c>
      <c r="AP1614" t="inlineStr">
        <is>
          <t>No</t>
        </is>
      </c>
      <c r="AQ1614" t="inlineStr">
        <is>
          <t>No</t>
        </is>
      </c>
      <c r="AS1614">
        <f>HYPERLINK("https://creighton-primo.hosted.exlibrisgroup.com/primo-explore/search?tab=default_tab&amp;search_scope=EVERYTHING&amp;vid=01CRU&amp;lang=en_US&amp;offset=0&amp;query=any,contains,991000960849702656","Catalog Record")</f>
        <v/>
      </c>
      <c r="AT1614">
        <f>HYPERLINK("http://www.worldcat.org/oclc/14818659","WorldCat Record")</f>
        <v/>
      </c>
      <c r="AU1614" t="inlineStr">
        <is>
          <t>836692495:eng</t>
        </is>
      </c>
      <c r="AV1614" t="inlineStr">
        <is>
          <t>14818659</t>
        </is>
      </c>
      <c r="AW1614" t="inlineStr">
        <is>
          <t>991000960849702656</t>
        </is>
      </c>
      <c r="AX1614" t="inlineStr">
        <is>
          <t>991000960849702656</t>
        </is>
      </c>
      <c r="AY1614" t="inlineStr">
        <is>
          <t>2263919650002656</t>
        </is>
      </c>
      <c r="AZ1614" t="inlineStr">
        <is>
          <t>BOOK</t>
        </is>
      </c>
      <c r="BB1614" t="inlineStr">
        <is>
          <t>9780043012529</t>
        </is>
      </c>
      <c r="BC1614" t="inlineStr">
        <is>
          <t>32285001359032</t>
        </is>
      </c>
      <c r="BD1614" t="inlineStr">
        <is>
          <t>893515785</t>
        </is>
      </c>
    </row>
    <row r="1615">
      <c r="A1615" t="inlineStr">
        <is>
          <t>No</t>
        </is>
      </c>
      <c r="B1615" t="inlineStr">
        <is>
          <t>HQ614 .S52 1993</t>
        </is>
      </c>
      <c r="C1615" t="inlineStr">
        <is>
          <t>0                      HQ 0614000S  52          1993</t>
        </is>
      </c>
      <c r="D1615" t="inlineStr">
        <is>
          <t>Social problems and the family / edited by Rudi Dallos and Eugene McLaughlin.</t>
        </is>
      </c>
      <c r="F1615" t="inlineStr">
        <is>
          <t>No</t>
        </is>
      </c>
      <c r="G1615" t="inlineStr">
        <is>
          <t>1</t>
        </is>
      </c>
      <c r="H1615" t="inlineStr">
        <is>
          <t>No</t>
        </is>
      </c>
      <c r="I1615" t="inlineStr">
        <is>
          <t>No</t>
        </is>
      </c>
      <c r="J1615" t="inlineStr">
        <is>
          <t>0</t>
        </is>
      </c>
      <c r="L1615" t="inlineStr">
        <is>
          <t>London ; Newbury Park, CA : SAGE Publications : published in association with the Open University, 1993.</t>
        </is>
      </c>
      <c r="M1615" t="inlineStr">
        <is>
          <t>1993</t>
        </is>
      </c>
      <c r="O1615" t="inlineStr">
        <is>
          <t>eng</t>
        </is>
      </c>
      <c r="P1615" t="inlineStr">
        <is>
          <t>enk</t>
        </is>
      </c>
      <c r="R1615" t="inlineStr">
        <is>
          <t xml:space="preserve">HQ </t>
        </is>
      </c>
      <c r="S1615" t="n">
        <v>7</v>
      </c>
      <c r="T1615" t="n">
        <v>7</v>
      </c>
      <c r="U1615" t="inlineStr">
        <is>
          <t>1995-06-26</t>
        </is>
      </c>
      <c r="V1615" t="inlineStr">
        <is>
          <t>1995-06-26</t>
        </is>
      </c>
      <c r="W1615" t="inlineStr">
        <is>
          <t>1993-09-02</t>
        </is>
      </c>
      <c r="X1615" t="inlineStr">
        <is>
          <t>1993-09-02</t>
        </is>
      </c>
      <c r="Y1615" t="n">
        <v>324</v>
      </c>
      <c r="Z1615" t="n">
        <v>140</v>
      </c>
      <c r="AA1615" t="n">
        <v>147</v>
      </c>
      <c r="AB1615" t="n">
        <v>1</v>
      </c>
      <c r="AC1615" t="n">
        <v>1</v>
      </c>
      <c r="AD1615" t="n">
        <v>10</v>
      </c>
      <c r="AE1615" t="n">
        <v>10</v>
      </c>
      <c r="AF1615" t="n">
        <v>5</v>
      </c>
      <c r="AG1615" t="n">
        <v>5</v>
      </c>
      <c r="AH1615" t="n">
        <v>2</v>
      </c>
      <c r="AI1615" t="n">
        <v>2</v>
      </c>
      <c r="AJ1615" t="n">
        <v>5</v>
      </c>
      <c r="AK1615" t="n">
        <v>5</v>
      </c>
      <c r="AL1615" t="n">
        <v>0</v>
      </c>
      <c r="AM1615" t="n">
        <v>0</v>
      </c>
      <c r="AN1615" t="n">
        <v>0</v>
      </c>
      <c r="AO1615" t="n">
        <v>0</v>
      </c>
      <c r="AP1615" t="inlineStr">
        <is>
          <t>No</t>
        </is>
      </c>
      <c r="AQ1615" t="inlineStr">
        <is>
          <t>Yes</t>
        </is>
      </c>
      <c r="AR1615">
        <f>HYPERLINK("http://catalog.hathitrust.org/Record/007558984","HathiTrust Record")</f>
        <v/>
      </c>
      <c r="AS1615">
        <f>HYPERLINK("https://creighton-primo.hosted.exlibrisgroup.com/primo-explore/search?tab=default_tab&amp;search_scope=EVERYTHING&amp;vid=01CRU&amp;lang=en_US&amp;offset=0&amp;query=any,contains,991002221149702656","Catalog Record")</f>
        <v/>
      </c>
      <c r="AT1615">
        <f>HYPERLINK("http://www.worldcat.org/oclc/28603317","WorldCat Record")</f>
        <v/>
      </c>
      <c r="AU1615" t="inlineStr">
        <is>
          <t>55727634:eng</t>
        </is>
      </c>
      <c r="AV1615" t="inlineStr">
        <is>
          <t>28603317</t>
        </is>
      </c>
      <c r="AW1615" t="inlineStr">
        <is>
          <t>991002221149702656</t>
        </is>
      </c>
      <c r="AX1615" t="inlineStr">
        <is>
          <t>991002221149702656</t>
        </is>
      </c>
      <c r="AY1615" t="inlineStr">
        <is>
          <t>2267942820002656</t>
        </is>
      </c>
      <c r="AZ1615" t="inlineStr">
        <is>
          <t>BOOK</t>
        </is>
      </c>
      <c r="BB1615" t="inlineStr">
        <is>
          <t>9780803988361</t>
        </is>
      </c>
      <c r="BC1615" t="inlineStr">
        <is>
          <t>32285001729879</t>
        </is>
      </c>
      <c r="BD1615" t="inlineStr">
        <is>
          <t>893898500</t>
        </is>
      </c>
    </row>
    <row r="1616">
      <c r="A1616" t="inlineStr">
        <is>
          <t>No</t>
        </is>
      </c>
      <c r="B1616" t="inlineStr">
        <is>
          <t>HQ615 .L68 1980</t>
        </is>
      </c>
      <c r="C1616" t="inlineStr">
        <is>
          <t>0                      HQ 0615000L  68          1980</t>
        </is>
      </c>
      <c r="D1616" t="inlineStr">
        <is>
          <t>Loving, parenting, and dying : the family cycle in England and America, past and present / [edited] by Vivian C. Fox and Martin H. Quitt.</t>
        </is>
      </c>
      <c r="F1616" t="inlineStr">
        <is>
          <t>No</t>
        </is>
      </c>
      <c r="G1616" t="inlineStr">
        <is>
          <t>1</t>
        </is>
      </c>
      <c r="H1616" t="inlineStr">
        <is>
          <t>No</t>
        </is>
      </c>
      <c r="I1616" t="inlineStr">
        <is>
          <t>No</t>
        </is>
      </c>
      <c r="J1616" t="inlineStr">
        <is>
          <t>0</t>
        </is>
      </c>
      <c r="L1616" t="inlineStr">
        <is>
          <t>New York, N.Y. : Psychohistory Press, c1980.</t>
        </is>
      </c>
      <c r="M1616" t="inlineStr">
        <is>
          <t>1980</t>
        </is>
      </c>
      <c r="O1616" t="inlineStr">
        <is>
          <t>eng</t>
        </is>
      </c>
      <c r="P1616" t="inlineStr">
        <is>
          <t>nyu</t>
        </is>
      </c>
      <c r="R1616" t="inlineStr">
        <is>
          <t xml:space="preserve">HQ </t>
        </is>
      </c>
      <c r="S1616" t="n">
        <v>2</v>
      </c>
      <c r="T1616" t="n">
        <v>2</v>
      </c>
      <c r="U1616" t="inlineStr">
        <is>
          <t>1994-10-31</t>
        </is>
      </c>
      <c r="V1616" t="inlineStr">
        <is>
          <t>1994-10-31</t>
        </is>
      </c>
      <c r="W1616" t="inlineStr">
        <is>
          <t>1992-10-29</t>
        </is>
      </c>
      <c r="X1616" t="inlineStr">
        <is>
          <t>1992-10-29</t>
        </is>
      </c>
      <c r="Y1616" t="n">
        <v>571</v>
      </c>
      <c r="Z1616" t="n">
        <v>497</v>
      </c>
      <c r="AA1616" t="n">
        <v>510</v>
      </c>
      <c r="AB1616" t="n">
        <v>5</v>
      </c>
      <c r="AC1616" t="n">
        <v>5</v>
      </c>
      <c r="AD1616" t="n">
        <v>28</v>
      </c>
      <c r="AE1616" t="n">
        <v>28</v>
      </c>
      <c r="AF1616" t="n">
        <v>9</v>
      </c>
      <c r="AG1616" t="n">
        <v>9</v>
      </c>
      <c r="AH1616" t="n">
        <v>8</v>
      </c>
      <c r="AI1616" t="n">
        <v>8</v>
      </c>
      <c r="AJ1616" t="n">
        <v>17</v>
      </c>
      <c r="AK1616" t="n">
        <v>17</v>
      </c>
      <c r="AL1616" t="n">
        <v>4</v>
      </c>
      <c r="AM1616" t="n">
        <v>4</v>
      </c>
      <c r="AN1616" t="n">
        <v>0</v>
      </c>
      <c r="AO1616" t="n">
        <v>0</v>
      </c>
      <c r="AP1616" t="inlineStr">
        <is>
          <t>No</t>
        </is>
      </c>
      <c r="AQ1616" t="inlineStr">
        <is>
          <t>Yes</t>
        </is>
      </c>
      <c r="AR1616">
        <f>HYPERLINK("http://catalog.hathitrust.org/Record/000102562","HathiTrust Record")</f>
        <v/>
      </c>
      <c r="AS1616">
        <f>HYPERLINK("https://creighton-primo.hosted.exlibrisgroup.com/primo-explore/search?tab=default_tab&amp;search_scope=EVERYTHING&amp;vid=01CRU&amp;lang=en_US&amp;offset=0&amp;query=any,contains,991005096539702656","Catalog Record")</f>
        <v/>
      </c>
      <c r="AT1616">
        <f>HYPERLINK("http://www.worldcat.org/oclc/7273948","WorldCat Record")</f>
        <v/>
      </c>
      <c r="AU1616" t="inlineStr">
        <is>
          <t>427242160:eng</t>
        </is>
      </c>
      <c r="AV1616" t="inlineStr">
        <is>
          <t>7273948</t>
        </is>
      </c>
      <c r="AW1616" t="inlineStr">
        <is>
          <t>991005096539702656</t>
        </is>
      </c>
      <c r="AX1616" t="inlineStr">
        <is>
          <t>991005096539702656</t>
        </is>
      </c>
      <c r="AY1616" t="inlineStr">
        <is>
          <t>2258290120002656</t>
        </is>
      </c>
      <c r="AZ1616" t="inlineStr">
        <is>
          <t>BOOK</t>
        </is>
      </c>
      <c r="BB1616" t="inlineStr">
        <is>
          <t>9780914434146</t>
        </is>
      </c>
      <c r="BC1616" t="inlineStr">
        <is>
          <t>32285001359040</t>
        </is>
      </c>
      <c r="BD1616" t="inlineStr">
        <is>
          <t>893320007</t>
        </is>
      </c>
    </row>
    <row r="1617">
      <c r="A1617" t="inlineStr">
        <is>
          <t>No</t>
        </is>
      </c>
      <c r="B1617" t="inlineStr">
        <is>
          <t>HQ619 .H8 1966a</t>
        </is>
      </c>
      <c r="C1617" t="inlineStr">
        <is>
          <t>0                      HQ 0619000H  8           1966a</t>
        </is>
      </c>
      <c r="D1617" t="inlineStr">
        <is>
          <t>New Dubliners : urbanization and the Irish family / [by] Alexander J. Humphreys.</t>
        </is>
      </c>
      <c r="F1617" t="inlineStr">
        <is>
          <t>No</t>
        </is>
      </c>
      <c r="G1617" t="inlineStr">
        <is>
          <t>1</t>
        </is>
      </c>
      <c r="H1617" t="inlineStr">
        <is>
          <t>No</t>
        </is>
      </c>
      <c r="I1617" t="inlineStr">
        <is>
          <t>No</t>
        </is>
      </c>
      <c r="J1617" t="inlineStr">
        <is>
          <t>0</t>
        </is>
      </c>
      <c r="K1617" t="inlineStr">
        <is>
          <t>Humphreys, Alexander J. (Alexander Jeremiah)</t>
        </is>
      </c>
      <c r="L1617" t="inlineStr">
        <is>
          <t>New York : Fordham University Press, [1966]</t>
        </is>
      </c>
      <c r="M1617" t="inlineStr">
        <is>
          <t>1966</t>
        </is>
      </c>
      <c r="O1617" t="inlineStr">
        <is>
          <t>eng</t>
        </is>
      </c>
      <c r="P1617" t="inlineStr">
        <is>
          <t>nyu</t>
        </is>
      </c>
      <c r="R1617" t="inlineStr">
        <is>
          <t xml:space="preserve">HQ </t>
        </is>
      </c>
      <c r="S1617" t="n">
        <v>4</v>
      </c>
      <c r="T1617" t="n">
        <v>4</v>
      </c>
      <c r="U1617" t="inlineStr">
        <is>
          <t>1998-04-07</t>
        </is>
      </c>
      <c r="V1617" t="inlineStr">
        <is>
          <t>1998-04-07</t>
        </is>
      </c>
      <c r="W1617" t="inlineStr">
        <is>
          <t>1992-05-14</t>
        </is>
      </c>
      <c r="X1617" t="inlineStr">
        <is>
          <t>1992-05-14</t>
        </is>
      </c>
      <c r="Y1617" t="n">
        <v>298</v>
      </c>
      <c r="Z1617" t="n">
        <v>273</v>
      </c>
      <c r="AA1617" t="n">
        <v>773</v>
      </c>
      <c r="AB1617" t="n">
        <v>2</v>
      </c>
      <c r="AC1617" t="n">
        <v>13</v>
      </c>
      <c r="AD1617" t="n">
        <v>18</v>
      </c>
      <c r="AE1617" t="n">
        <v>41</v>
      </c>
      <c r="AF1617" t="n">
        <v>5</v>
      </c>
      <c r="AG1617" t="n">
        <v>13</v>
      </c>
      <c r="AH1617" t="n">
        <v>6</v>
      </c>
      <c r="AI1617" t="n">
        <v>9</v>
      </c>
      <c r="AJ1617" t="n">
        <v>11</v>
      </c>
      <c r="AK1617" t="n">
        <v>14</v>
      </c>
      <c r="AL1617" t="n">
        <v>1</v>
      </c>
      <c r="AM1617" t="n">
        <v>11</v>
      </c>
      <c r="AN1617" t="n">
        <v>0</v>
      </c>
      <c r="AO1617" t="n">
        <v>1</v>
      </c>
      <c r="AP1617" t="inlineStr">
        <is>
          <t>No</t>
        </is>
      </c>
      <c r="AQ1617" t="inlineStr">
        <is>
          <t>No</t>
        </is>
      </c>
      <c r="AS1617">
        <f>HYPERLINK("https://creighton-primo.hosted.exlibrisgroup.com/primo-explore/search?tab=default_tab&amp;search_scope=EVERYTHING&amp;vid=01CRU&amp;lang=en_US&amp;offset=0&amp;query=any,contains,991002025569702656","Catalog Record")</f>
        <v/>
      </c>
      <c r="AT1617">
        <f>HYPERLINK("http://www.worldcat.org/oclc/259782","WorldCat Record")</f>
        <v/>
      </c>
      <c r="AU1617" t="inlineStr">
        <is>
          <t>881420:eng</t>
        </is>
      </c>
      <c r="AV1617" t="inlineStr">
        <is>
          <t>259782</t>
        </is>
      </c>
      <c r="AW1617" t="inlineStr">
        <is>
          <t>991002025569702656</t>
        </is>
      </c>
      <c r="AX1617" t="inlineStr">
        <is>
          <t>991002025569702656</t>
        </is>
      </c>
      <c r="AY1617" t="inlineStr">
        <is>
          <t>2272810730002656</t>
        </is>
      </c>
      <c r="AZ1617" t="inlineStr">
        <is>
          <t>BOOK</t>
        </is>
      </c>
      <c r="BC1617" t="inlineStr">
        <is>
          <t>32285001109734</t>
        </is>
      </c>
      <c r="BD1617" t="inlineStr">
        <is>
          <t>893529445</t>
        </is>
      </c>
    </row>
    <row r="1618">
      <c r="A1618" t="inlineStr">
        <is>
          <t>No</t>
        </is>
      </c>
      <c r="B1618" t="inlineStr">
        <is>
          <t>HQ623 .D6513 1979</t>
        </is>
      </c>
      <c r="C1618" t="inlineStr">
        <is>
          <t>0                      HQ 0623000D  6513        1979</t>
        </is>
      </c>
      <c r="D1618" t="inlineStr">
        <is>
          <t>The policing of families / Jacques Donzelot ; with a foreword by Gilles Deleuze ; translated from the French by Robert Hurley.</t>
        </is>
      </c>
      <c r="F1618" t="inlineStr">
        <is>
          <t>No</t>
        </is>
      </c>
      <c r="G1618" t="inlineStr">
        <is>
          <t>1</t>
        </is>
      </c>
      <c r="H1618" t="inlineStr">
        <is>
          <t>No</t>
        </is>
      </c>
      <c r="I1618" t="inlineStr">
        <is>
          <t>Yes</t>
        </is>
      </c>
      <c r="J1618" t="inlineStr">
        <is>
          <t>0</t>
        </is>
      </c>
      <c r="K1618" t="inlineStr">
        <is>
          <t>Donzelot, Jacques.</t>
        </is>
      </c>
      <c r="L1618" t="inlineStr">
        <is>
          <t>New York : Pantheon Books, c1979.</t>
        </is>
      </c>
      <c r="M1618" t="inlineStr">
        <is>
          <t>1979</t>
        </is>
      </c>
      <c r="N1618" t="inlineStr">
        <is>
          <t>1st American ed.</t>
        </is>
      </c>
      <c r="O1618" t="inlineStr">
        <is>
          <t>eng</t>
        </is>
      </c>
      <c r="P1618" t="inlineStr">
        <is>
          <t>nyu</t>
        </is>
      </c>
      <c r="R1618" t="inlineStr">
        <is>
          <t xml:space="preserve">HQ </t>
        </is>
      </c>
      <c r="S1618" t="n">
        <v>3</v>
      </c>
      <c r="T1618" t="n">
        <v>3</v>
      </c>
      <c r="U1618" t="inlineStr">
        <is>
          <t>1997-07-07</t>
        </is>
      </c>
      <c r="V1618" t="inlineStr">
        <is>
          <t>1997-07-07</t>
        </is>
      </c>
      <c r="W1618" t="inlineStr">
        <is>
          <t>1992-10-29</t>
        </is>
      </c>
      <c r="X1618" t="inlineStr">
        <is>
          <t>1992-10-29</t>
        </is>
      </c>
      <c r="Y1618" t="n">
        <v>693</v>
      </c>
      <c r="Z1618" t="n">
        <v>585</v>
      </c>
      <c r="AA1618" t="n">
        <v>665</v>
      </c>
      <c r="AB1618" t="n">
        <v>2</v>
      </c>
      <c r="AC1618" t="n">
        <v>2</v>
      </c>
      <c r="AD1618" t="n">
        <v>27</v>
      </c>
      <c r="AE1618" t="n">
        <v>31</v>
      </c>
      <c r="AF1618" t="n">
        <v>11</v>
      </c>
      <c r="AG1618" t="n">
        <v>13</v>
      </c>
      <c r="AH1618" t="n">
        <v>6</v>
      </c>
      <c r="AI1618" t="n">
        <v>8</v>
      </c>
      <c r="AJ1618" t="n">
        <v>14</v>
      </c>
      <c r="AK1618" t="n">
        <v>16</v>
      </c>
      <c r="AL1618" t="n">
        <v>1</v>
      </c>
      <c r="AM1618" t="n">
        <v>1</v>
      </c>
      <c r="AN1618" t="n">
        <v>4</v>
      </c>
      <c r="AO1618" t="n">
        <v>4</v>
      </c>
      <c r="AP1618" t="inlineStr">
        <is>
          <t>No</t>
        </is>
      </c>
      <c r="AQ1618" t="inlineStr">
        <is>
          <t>Yes</t>
        </is>
      </c>
      <c r="AR1618">
        <f>HYPERLINK("http://catalog.hathitrust.org/Record/000683354","HathiTrust Record")</f>
        <v/>
      </c>
      <c r="AS1618">
        <f>HYPERLINK("https://creighton-primo.hosted.exlibrisgroup.com/primo-explore/search?tab=default_tab&amp;search_scope=EVERYTHING&amp;vid=01CRU&amp;lang=en_US&amp;offset=0&amp;query=any,contains,991004832839702656","Catalog Record")</f>
        <v/>
      </c>
      <c r="AT1618">
        <f>HYPERLINK("http://www.worldcat.org/oclc/5413247","WorldCat Record")</f>
        <v/>
      </c>
      <c r="AU1618" t="inlineStr">
        <is>
          <t>4431800:eng</t>
        </is>
      </c>
      <c r="AV1618" t="inlineStr">
        <is>
          <t>5413247</t>
        </is>
      </c>
      <c r="AW1618" t="inlineStr">
        <is>
          <t>991004832839702656</t>
        </is>
      </c>
      <c r="AX1618" t="inlineStr">
        <is>
          <t>991004832839702656</t>
        </is>
      </c>
      <c r="AY1618" t="inlineStr">
        <is>
          <t>2259538360002656</t>
        </is>
      </c>
      <c r="AZ1618" t="inlineStr">
        <is>
          <t>BOOK</t>
        </is>
      </c>
      <c r="BB1618" t="inlineStr">
        <is>
          <t>9780394503387</t>
        </is>
      </c>
      <c r="BC1618" t="inlineStr">
        <is>
          <t>32285001359073</t>
        </is>
      </c>
      <c r="BD1618" t="inlineStr">
        <is>
          <t>893713074</t>
        </is>
      </c>
    </row>
    <row r="1619">
      <c r="A1619" t="inlineStr">
        <is>
          <t>No</t>
        </is>
      </c>
      <c r="B1619" t="inlineStr">
        <is>
          <t>HQ623 .D6513 1997</t>
        </is>
      </c>
      <c r="C1619" t="inlineStr">
        <is>
          <t>0                      HQ 0623000D  6513        1997</t>
        </is>
      </c>
      <c r="D1619" t="inlineStr">
        <is>
          <t>The policing of families / Jacques Donzelot, with a foreword by Gilles Deleuze ; translated from the French by Robert Hurley.</t>
        </is>
      </c>
      <c r="F1619" t="inlineStr">
        <is>
          <t>No</t>
        </is>
      </c>
      <c r="G1619" t="inlineStr">
        <is>
          <t>1</t>
        </is>
      </c>
      <c r="H1619" t="inlineStr">
        <is>
          <t>No</t>
        </is>
      </c>
      <c r="I1619" t="inlineStr">
        <is>
          <t>Yes</t>
        </is>
      </c>
      <c r="J1619" t="inlineStr">
        <is>
          <t>0</t>
        </is>
      </c>
      <c r="K1619" t="inlineStr">
        <is>
          <t>Donzelot, Jacques.</t>
        </is>
      </c>
      <c r="L1619" t="inlineStr">
        <is>
          <t>Baltimore : Johns Hopkins University Press, 1997.</t>
        </is>
      </c>
      <c r="M1619" t="inlineStr">
        <is>
          <t>1997</t>
        </is>
      </c>
      <c r="N1619" t="inlineStr">
        <is>
          <t>John Hopkins paperbacks ed.</t>
        </is>
      </c>
      <c r="O1619" t="inlineStr">
        <is>
          <t>eng</t>
        </is>
      </c>
      <c r="P1619" t="inlineStr">
        <is>
          <t>mdu</t>
        </is>
      </c>
      <c r="R1619" t="inlineStr">
        <is>
          <t xml:space="preserve">HQ </t>
        </is>
      </c>
      <c r="S1619" t="n">
        <v>4</v>
      </c>
      <c r="T1619" t="n">
        <v>4</v>
      </c>
      <c r="U1619" t="inlineStr">
        <is>
          <t>2002-10-30</t>
        </is>
      </c>
      <c r="V1619" t="inlineStr">
        <is>
          <t>2002-10-30</t>
        </is>
      </c>
      <c r="W1619" t="inlineStr">
        <is>
          <t>1998-05-07</t>
        </is>
      </c>
      <c r="X1619" t="inlineStr">
        <is>
          <t>1998-05-07</t>
        </is>
      </c>
      <c r="Y1619" t="n">
        <v>121</v>
      </c>
      <c r="Z1619" t="n">
        <v>75</v>
      </c>
      <c r="AA1619" t="n">
        <v>665</v>
      </c>
      <c r="AB1619" t="n">
        <v>1</v>
      </c>
      <c r="AC1619" t="n">
        <v>2</v>
      </c>
      <c r="AD1619" t="n">
        <v>3</v>
      </c>
      <c r="AE1619" t="n">
        <v>31</v>
      </c>
      <c r="AF1619" t="n">
        <v>1</v>
      </c>
      <c r="AG1619" t="n">
        <v>13</v>
      </c>
      <c r="AH1619" t="n">
        <v>2</v>
      </c>
      <c r="AI1619" t="n">
        <v>8</v>
      </c>
      <c r="AJ1619" t="n">
        <v>2</v>
      </c>
      <c r="AK1619" t="n">
        <v>16</v>
      </c>
      <c r="AL1619" t="n">
        <v>0</v>
      </c>
      <c r="AM1619" t="n">
        <v>1</v>
      </c>
      <c r="AN1619" t="n">
        <v>0</v>
      </c>
      <c r="AO1619" t="n">
        <v>4</v>
      </c>
      <c r="AP1619" t="inlineStr">
        <is>
          <t>No</t>
        </is>
      </c>
      <c r="AQ1619" t="inlineStr">
        <is>
          <t>No</t>
        </is>
      </c>
      <c r="AS1619">
        <f>HYPERLINK("https://creighton-primo.hosted.exlibrisgroup.com/primo-explore/search?tab=default_tab&amp;search_scope=EVERYTHING&amp;vid=01CRU&amp;lang=en_US&amp;offset=0&amp;query=any,contains,991002765799702656","Catalog Record")</f>
        <v/>
      </c>
      <c r="AT1619">
        <f>HYPERLINK("http://www.worldcat.org/oclc/36292834","WorldCat Record")</f>
        <v/>
      </c>
      <c r="AU1619" t="inlineStr">
        <is>
          <t>4431800:eng</t>
        </is>
      </c>
      <c r="AV1619" t="inlineStr">
        <is>
          <t>36292834</t>
        </is>
      </c>
      <c r="AW1619" t="inlineStr">
        <is>
          <t>991002765799702656</t>
        </is>
      </c>
      <c r="AX1619" t="inlineStr">
        <is>
          <t>991002765799702656</t>
        </is>
      </c>
      <c r="AY1619" t="inlineStr">
        <is>
          <t>2256711120002656</t>
        </is>
      </c>
      <c r="AZ1619" t="inlineStr">
        <is>
          <t>BOOK</t>
        </is>
      </c>
      <c r="BB1619" t="inlineStr">
        <is>
          <t>9780801856495</t>
        </is>
      </c>
      <c r="BC1619" t="inlineStr">
        <is>
          <t>32285003407169</t>
        </is>
      </c>
      <c r="BD1619" t="inlineStr">
        <is>
          <t>893498508</t>
        </is>
      </c>
    </row>
    <row r="1620">
      <c r="A1620" t="inlineStr">
        <is>
          <t>No</t>
        </is>
      </c>
      <c r="B1620" t="inlineStr">
        <is>
          <t>HQ626 .F36</t>
        </is>
      </c>
      <c r="C1620" t="inlineStr">
        <is>
          <t>0                      HQ 0626000F  36</t>
        </is>
      </c>
      <c r="D1620" t="inlineStr">
        <is>
          <t>Family and sexuality in French history / André Burguière ... [et al.] ; edited by Robert Wheaton and Tamara K. Hareven.</t>
        </is>
      </c>
      <c r="F1620" t="inlineStr">
        <is>
          <t>No</t>
        </is>
      </c>
      <c r="G1620" t="inlineStr">
        <is>
          <t>1</t>
        </is>
      </c>
      <c r="H1620" t="inlineStr">
        <is>
          <t>No</t>
        </is>
      </c>
      <c r="I1620" t="inlineStr">
        <is>
          <t>No</t>
        </is>
      </c>
      <c r="J1620" t="inlineStr">
        <is>
          <t>0</t>
        </is>
      </c>
      <c r="L1620" t="inlineStr">
        <is>
          <t>Philadelphia : University of Pennsylvania Press, 1980.</t>
        </is>
      </c>
      <c r="M1620" t="inlineStr">
        <is>
          <t>1980</t>
        </is>
      </c>
      <c r="O1620" t="inlineStr">
        <is>
          <t>eng</t>
        </is>
      </c>
      <c r="P1620" t="inlineStr">
        <is>
          <t>pau</t>
        </is>
      </c>
      <c r="R1620" t="inlineStr">
        <is>
          <t xml:space="preserve">HQ </t>
        </is>
      </c>
      <c r="S1620" t="n">
        <v>3</v>
      </c>
      <c r="T1620" t="n">
        <v>3</v>
      </c>
      <c r="U1620" t="inlineStr">
        <is>
          <t>2008-03-25</t>
        </is>
      </c>
      <c r="V1620" t="inlineStr">
        <is>
          <t>2008-03-25</t>
        </is>
      </c>
      <c r="W1620" t="inlineStr">
        <is>
          <t>1992-10-29</t>
        </is>
      </c>
      <c r="X1620" t="inlineStr">
        <is>
          <t>1992-10-29</t>
        </is>
      </c>
      <c r="Y1620" t="n">
        <v>501</v>
      </c>
      <c r="Z1620" t="n">
        <v>407</v>
      </c>
      <c r="AA1620" t="n">
        <v>432</v>
      </c>
      <c r="AB1620" t="n">
        <v>4</v>
      </c>
      <c r="AC1620" t="n">
        <v>4</v>
      </c>
      <c r="AD1620" t="n">
        <v>22</v>
      </c>
      <c r="AE1620" t="n">
        <v>22</v>
      </c>
      <c r="AF1620" t="n">
        <v>6</v>
      </c>
      <c r="AG1620" t="n">
        <v>6</v>
      </c>
      <c r="AH1620" t="n">
        <v>7</v>
      </c>
      <c r="AI1620" t="n">
        <v>7</v>
      </c>
      <c r="AJ1620" t="n">
        <v>11</v>
      </c>
      <c r="AK1620" t="n">
        <v>11</v>
      </c>
      <c r="AL1620" t="n">
        <v>3</v>
      </c>
      <c r="AM1620" t="n">
        <v>3</v>
      </c>
      <c r="AN1620" t="n">
        <v>0</v>
      </c>
      <c r="AO1620" t="n">
        <v>0</v>
      </c>
      <c r="AP1620" t="inlineStr">
        <is>
          <t>No</t>
        </is>
      </c>
      <c r="AQ1620" t="inlineStr">
        <is>
          <t>No</t>
        </is>
      </c>
      <c r="AS1620">
        <f>HYPERLINK("https://creighton-primo.hosted.exlibrisgroup.com/primo-explore/search?tab=default_tab&amp;search_scope=EVERYTHING&amp;vid=01CRU&amp;lang=en_US&amp;offset=0&amp;query=any,contains,991004914599702656","Catalog Record")</f>
        <v/>
      </c>
      <c r="AT1620">
        <f>HYPERLINK("http://www.worldcat.org/oclc/6015005","WorldCat Record")</f>
        <v/>
      </c>
      <c r="AU1620" t="inlineStr">
        <is>
          <t>181305349:eng</t>
        </is>
      </c>
      <c r="AV1620" t="inlineStr">
        <is>
          <t>6015005</t>
        </is>
      </c>
      <c r="AW1620" t="inlineStr">
        <is>
          <t>991004914599702656</t>
        </is>
      </c>
      <c r="AX1620" t="inlineStr">
        <is>
          <t>991004914599702656</t>
        </is>
      </c>
      <c r="AY1620" t="inlineStr">
        <is>
          <t>2269930090002656</t>
        </is>
      </c>
      <c r="AZ1620" t="inlineStr">
        <is>
          <t>BOOK</t>
        </is>
      </c>
      <c r="BB1620" t="inlineStr">
        <is>
          <t>9780812277753</t>
        </is>
      </c>
      <c r="BC1620" t="inlineStr">
        <is>
          <t>32285001359099</t>
        </is>
      </c>
      <c r="BD1620" t="inlineStr">
        <is>
          <t>893325930</t>
        </is>
      </c>
    </row>
    <row r="1621">
      <c r="A1621" t="inlineStr">
        <is>
          <t>No</t>
        </is>
      </c>
      <c r="B1621" t="inlineStr">
        <is>
          <t>HQ63 .B5</t>
        </is>
      </c>
      <c r="C1621" t="inlineStr">
        <is>
          <t>0                      HQ 0063000B  5</t>
        </is>
      </c>
      <c r="D1621" t="inlineStr">
        <is>
          <t>Sexuality and the Christian tradition.</t>
        </is>
      </c>
      <c r="F1621" t="inlineStr">
        <is>
          <t>No</t>
        </is>
      </c>
      <c r="G1621" t="inlineStr">
        <is>
          <t>1</t>
        </is>
      </c>
      <c r="H1621" t="inlineStr">
        <is>
          <t>No</t>
        </is>
      </c>
      <c r="I1621" t="inlineStr">
        <is>
          <t>No</t>
        </is>
      </c>
      <c r="J1621" t="inlineStr">
        <is>
          <t>0</t>
        </is>
      </c>
      <c r="K1621" t="inlineStr">
        <is>
          <t>Blenkinsopp, Joseph, 1927-</t>
        </is>
      </c>
      <c r="L1621" t="inlineStr">
        <is>
          <t>Dayton, Ohio : Pflaum Press, 1969.</t>
        </is>
      </c>
      <c r="M1621" t="inlineStr">
        <is>
          <t>1969</t>
        </is>
      </c>
      <c r="O1621" t="inlineStr">
        <is>
          <t>eng</t>
        </is>
      </c>
      <c r="P1621" t="inlineStr">
        <is>
          <t>ohu</t>
        </is>
      </c>
      <c r="Q1621" t="inlineStr">
        <is>
          <t>Themes for today</t>
        </is>
      </c>
      <c r="R1621" t="inlineStr">
        <is>
          <t xml:space="preserve">HQ </t>
        </is>
      </c>
      <c r="S1621" t="n">
        <v>10</v>
      </c>
      <c r="T1621" t="n">
        <v>10</v>
      </c>
      <c r="U1621" t="inlineStr">
        <is>
          <t>2001-04-17</t>
        </is>
      </c>
      <c r="V1621" t="inlineStr">
        <is>
          <t>2001-04-17</t>
        </is>
      </c>
      <c r="W1621" t="inlineStr">
        <is>
          <t>1992-11-10</t>
        </is>
      </c>
      <c r="X1621" t="inlineStr">
        <is>
          <t>1992-11-10</t>
        </is>
      </c>
      <c r="Y1621" t="n">
        <v>219</v>
      </c>
      <c r="Z1621" t="n">
        <v>196</v>
      </c>
      <c r="AA1621" t="n">
        <v>196</v>
      </c>
      <c r="AB1621" t="n">
        <v>2</v>
      </c>
      <c r="AC1621" t="n">
        <v>2</v>
      </c>
      <c r="AD1621" t="n">
        <v>25</v>
      </c>
      <c r="AE1621" t="n">
        <v>25</v>
      </c>
      <c r="AF1621" t="n">
        <v>10</v>
      </c>
      <c r="AG1621" t="n">
        <v>10</v>
      </c>
      <c r="AH1621" t="n">
        <v>6</v>
      </c>
      <c r="AI1621" t="n">
        <v>6</v>
      </c>
      <c r="AJ1621" t="n">
        <v>19</v>
      </c>
      <c r="AK1621" t="n">
        <v>19</v>
      </c>
      <c r="AL1621" t="n">
        <v>0</v>
      </c>
      <c r="AM1621" t="n">
        <v>0</v>
      </c>
      <c r="AN1621" t="n">
        <v>0</v>
      </c>
      <c r="AO1621" t="n">
        <v>0</v>
      </c>
      <c r="AP1621" t="inlineStr">
        <is>
          <t>No</t>
        </is>
      </c>
      <c r="AQ1621" t="inlineStr">
        <is>
          <t>No</t>
        </is>
      </c>
      <c r="AS1621">
        <f>HYPERLINK("https://creighton-primo.hosted.exlibrisgroup.com/primo-explore/search?tab=default_tab&amp;search_scope=EVERYTHING&amp;vid=01CRU&amp;lang=en_US&amp;offset=0&amp;query=any,contains,991000125609702656","Catalog Record")</f>
        <v/>
      </c>
      <c r="AT1621">
        <f>HYPERLINK("http://www.worldcat.org/oclc/51862","WorldCat Record")</f>
        <v/>
      </c>
      <c r="AU1621" t="inlineStr">
        <is>
          <t>9489914502:eng</t>
        </is>
      </c>
      <c r="AV1621" t="inlineStr">
        <is>
          <t>51862</t>
        </is>
      </c>
      <c r="AW1621" t="inlineStr">
        <is>
          <t>991000125609702656</t>
        </is>
      </c>
      <c r="AX1621" t="inlineStr">
        <is>
          <t>991000125609702656</t>
        </is>
      </c>
      <c r="AY1621" t="inlineStr">
        <is>
          <t>2256422190002656</t>
        </is>
      </c>
      <c r="AZ1621" t="inlineStr">
        <is>
          <t>BOOK</t>
        </is>
      </c>
      <c r="BC1621" t="inlineStr">
        <is>
          <t>32285001384196</t>
        </is>
      </c>
      <c r="BD1621" t="inlineStr">
        <is>
          <t>893515034</t>
        </is>
      </c>
    </row>
    <row r="1622">
      <c r="A1622" t="inlineStr">
        <is>
          <t>No</t>
        </is>
      </c>
      <c r="B1622" t="inlineStr">
        <is>
          <t>HQ63 .G4 1921</t>
        </is>
      </c>
      <c r="C1622" t="inlineStr">
        <is>
          <t>0                      HQ 0063000G  4           1921</t>
        </is>
      </c>
      <c r="D1622" t="inlineStr">
        <is>
          <t>The church and eugenics / by Thomas J. Gerrard.</t>
        </is>
      </c>
      <c r="F1622" t="inlineStr">
        <is>
          <t>No</t>
        </is>
      </c>
      <c r="G1622" t="inlineStr">
        <is>
          <t>1</t>
        </is>
      </c>
      <c r="H1622" t="inlineStr">
        <is>
          <t>No</t>
        </is>
      </c>
      <c r="I1622" t="inlineStr">
        <is>
          <t>No</t>
        </is>
      </c>
      <c r="J1622" t="inlineStr">
        <is>
          <t>0</t>
        </is>
      </c>
      <c r="K1622" t="inlineStr">
        <is>
          <t>Gerrard, Thomas J. (Thomas John), 1871-1916.</t>
        </is>
      </c>
      <c r="L1622" t="inlineStr">
        <is>
          <t>Oxford : The Catholic Social Guild ; St. Louis, Mo. : B. Herder, 1921.</t>
        </is>
      </c>
      <c r="M1622" t="inlineStr">
        <is>
          <t>1921</t>
        </is>
      </c>
      <c r="N1622" t="inlineStr">
        <is>
          <t>3rd ed., rev. and enl.</t>
        </is>
      </c>
      <c r="O1622" t="inlineStr">
        <is>
          <t>eng</t>
        </is>
      </c>
      <c r="P1622" t="inlineStr">
        <is>
          <t>enk</t>
        </is>
      </c>
      <c r="Q1622" t="inlineStr">
        <is>
          <t>Catholic manuals for social students</t>
        </is>
      </c>
      <c r="R1622" t="inlineStr">
        <is>
          <t xml:space="preserve">HQ </t>
        </is>
      </c>
      <c r="S1622" t="n">
        <v>3</v>
      </c>
      <c r="T1622" t="n">
        <v>3</v>
      </c>
      <c r="U1622" t="inlineStr">
        <is>
          <t>2002-04-29</t>
        </is>
      </c>
      <c r="V1622" t="inlineStr">
        <is>
          <t>2002-04-29</t>
        </is>
      </c>
      <c r="W1622" t="inlineStr">
        <is>
          <t>1997-02-07</t>
        </is>
      </c>
      <c r="X1622" t="inlineStr">
        <is>
          <t>1997-02-07</t>
        </is>
      </c>
      <c r="Y1622" t="n">
        <v>16</v>
      </c>
      <c r="Z1622" t="n">
        <v>13</v>
      </c>
      <c r="AA1622" t="n">
        <v>39</v>
      </c>
      <c r="AB1622" t="n">
        <v>1</v>
      </c>
      <c r="AC1622" t="n">
        <v>2</v>
      </c>
      <c r="AD1622" t="n">
        <v>4</v>
      </c>
      <c r="AE1622" t="n">
        <v>10</v>
      </c>
      <c r="AF1622" t="n">
        <v>0</v>
      </c>
      <c r="AG1622" t="n">
        <v>2</v>
      </c>
      <c r="AH1622" t="n">
        <v>0</v>
      </c>
      <c r="AI1622" t="n">
        <v>2</v>
      </c>
      <c r="AJ1622" t="n">
        <v>4</v>
      </c>
      <c r="AK1622" t="n">
        <v>5</v>
      </c>
      <c r="AL1622" t="n">
        <v>0</v>
      </c>
      <c r="AM1622" t="n">
        <v>1</v>
      </c>
      <c r="AN1622" t="n">
        <v>0</v>
      </c>
      <c r="AO1622" t="n">
        <v>0</v>
      </c>
      <c r="AP1622" t="inlineStr">
        <is>
          <t>No</t>
        </is>
      </c>
      <c r="AQ1622" t="inlineStr">
        <is>
          <t>No</t>
        </is>
      </c>
      <c r="AS1622">
        <f>HYPERLINK("https://creighton-primo.hosted.exlibrisgroup.com/primo-explore/search?tab=default_tab&amp;search_scope=EVERYTHING&amp;vid=01CRU&amp;lang=en_US&amp;offset=0&amp;query=any,contains,991005222899702656","Catalog Record")</f>
        <v/>
      </c>
      <c r="AT1622">
        <f>HYPERLINK("http://www.worldcat.org/oclc/8245264","WorldCat Record")</f>
        <v/>
      </c>
      <c r="AU1622" t="inlineStr">
        <is>
          <t>11216089:eng</t>
        </is>
      </c>
      <c r="AV1622" t="inlineStr">
        <is>
          <t>8245264</t>
        </is>
      </c>
      <c r="AW1622" t="inlineStr">
        <is>
          <t>991005222899702656</t>
        </is>
      </c>
      <c r="AX1622" t="inlineStr">
        <is>
          <t>991005222899702656</t>
        </is>
      </c>
      <c r="AY1622" t="inlineStr">
        <is>
          <t>2263515680002656</t>
        </is>
      </c>
      <c r="AZ1622" t="inlineStr">
        <is>
          <t>BOOK</t>
        </is>
      </c>
      <c r="BC1622" t="inlineStr">
        <is>
          <t>32285002424736</t>
        </is>
      </c>
      <c r="BD1622" t="inlineStr">
        <is>
          <t>893350931</t>
        </is>
      </c>
    </row>
    <row r="1623">
      <c r="A1623" t="inlineStr">
        <is>
          <t>No</t>
        </is>
      </c>
      <c r="B1623" t="inlineStr">
        <is>
          <t>HQ63 .G64</t>
        </is>
      </c>
      <c r="C1623" t="inlineStr">
        <is>
          <t>0                      HQ 0063000G  64</t>
        </is>
      </c>
      <c r="D1623" t="inlineStr">
        <is>
          <t>Christian male-female relationship; a three-month course designed for individual or group study.</t>
        </is>
      </c>
      <c r="F1623" t="inlineStr">
        <is>
          <t>No</t>
        </is>
      </c>
      <c r="G1623" t="inlineStr">
        <is>
          <t>1</t>
        </is>
      </c>
      <c r="H1623" t="inlineStr">
        <is>
          <t>No</t>
        </is>
      </c>
      <c r="I1623" t="inlineStr">
        <is>
          <t>No</t>
        </is>
      </c>
      <c r="J1623" t="inlineStr">
        <is>
          <t>0</t>
        </is>
      </c>
      <c r="K1623" t="inlineStr">
        <is>
          <t>Green, Zelma Bell.</t>
        </is>
      </c>
      <c r="L1623" t="inlineStr">
        <is>
          <t>Grand Rapids, Baker Book House [1967]</t>
        </is>
      </c>
      <c r="M1623" t="inlineStr">
        <is>
          <t>1967</t>
        </is>
      </c>
      <c r="O1623" t="inlineStr">
        <is>
          <t>eng</t>
        </is>
      </c>
      <c r="P1623" t="inlineStr">
        <is>
          <t>miu</t>
        </is>
      </c>
      <c r="R1623" t="inlineStr">
        <is>
          <t xml:space="preserve">HQ </t>
        </is>
      </c>
      <c r="S1623" t="n">
        <v>3</v>
      </c>
      <c r="T1623" t="n">
        <v>3</v>
      </c>
      <c r="U1623" t="inlineStr">
        <is>
          <t>1999-11-23</t>
        </is>
      </c>
      <c r="V1623" t="inlineStr">
        <is>
          <t>1999-11-23</t>
        </is>
      </c>
      <c r="W1623" t="inlineStr">
        <is>
          <t>1997-08-08</t>
        </is>
      </c>
      <c r="X1623" t="inlineStr">
        <is>
          <t>1997-08-08</t>
        </is>
      </c>
      <c r="Y1623" t="n">
        <v>46</v>
      </c>
      <c r="Z1623" t="n">
        <v>37</v>
      </c>
      <c r="AA1623" t="n">
        <v>40</v>
      </c>
      <c r="AB1623" t="n">
        <v>2</v>
      </c>
      <c r="AC1623" t="n">
        <v>2</v>
      </c>
      <c r="AD1623" t="n">
        <v>3</v>
      </c>
      <c r="AE1623" t="n">
        <v>3</v>
      </c>
      <c r="AF1623" t="n">
        <v>2</v>
      </c>
      <c r="AG1623" t="n">
        <v>2</v>
      </c>
      <c r="AH1623" t="n">
        <v>0</v>
      </c>
      <c r="AI1623" t="n">
        <v>0</v>
      </c>
      <c r="AJ1623" t="n">
        <v>0</v>
      </c>
      <c r="AK1623" t="n">
        <v>0</v>
      </c>
      <c r="AL1623" t="n">
        <v>1</v>
      </c>
      <c r="AM1623" t="n">
        <v>1</v>
      </c>
      <c r="AN1623" t="n">
        <v>0</v>
      </c>
      <c r="AO1623" t="n">
        <v>0</v>
      </c>
      <c r="AP1623" t="inlineStr">
        <is>
          <t>No</t>
        </is>
      </c>
      <c r="AQ1623" t="inlineStr">
        <is>
          <t>Yes</t>
        </is>
      </c>
      <c r="AR1623">
        <f>HYPERLINK("http://catalog.hathitrust.org/Record/000977029","HathiTrust Record")</f>
        <v/>
      </c>
      <c r="AS1623">
        <f>HYPERLINK("https://creighton-primo.hosted.exlibrisgroup.com/primo-explore/search?tab=default_tab&amp;search_scope=EVERYTHING&amp;vid=01CRU&amp;lang=en_US&amp;offset=0&amp;query=any,contains,991003552429702656","Catalog Record")</f>
        <v/>
      </c>
      <c r="AT1623">
        <f>HYPERLINK("http://www.worldcat.org/oclc/1120791","WorldCat Record")</f>
        <v/>
      </c>
      <c r="AU1623" t="inlineStr">
        <is>
          <t>422912004:eng</t>
        </is>
      </c>
      <c r="AV1623" t="inlineStr">
        <is>
          <t>1120791</t>
        </is>
      </c>
      <c r="AW1623" t="inlineStr">
        <is>
          <t>991003552429702656</t>
        </is>
      </c>
      <c r="AX1623" t="inlineStr">
        <is>
          <t>991003552429702656</t>
        </is>
      </c>
      <c r="AY1623" t="inlineStr">
        <is>
          <t>2266448990002656</t>
        </is>
      </c>
      <c r="AZ1623" t="inlineStr">
        <is>
          <t>BOOK</t>
        </is>
      </c>
      <c r="BC1623" t="inlineStr">
        <is>
          <t>32285003088357</t>
        </is>
      </c>
      <c r="BD1623" t="inlineStr">
        <is>
          <t>893699110</t>
        </is>
      </c>
    </row>
    <row r="1624">
      <c r="A1624" t="inlineStr">
        <is>
          <t>No</t>
        </is>
      </c>
      <c r="B1624" t="inlineStr">
        <is>
          <t>HQ63 .H6 1975</t>
        </is>
      </c>
      <c r="C1624" t="inlineStr">
        <is>
          <t>0                      HQ 0063000H  6           1975</t>
        </is>
      </c>
      <c r="D1624" t="inlineStr">
        <is>
          <t>Sex and religion : a study of their relationship and its bearing upon civilization / by Clifford Howard.</t>
        </is>
      </c>
      <c r="F1624" t="inlineStr">
        <is>
          <t>No</t>
        </is>
      </c>
      <c r="G1624" t="inlineStr">
        <is>
          <t>1</t>
        </is>
      </c>
      <c r="H1624" t="inlineStr">
        <is>
          <t>No</t>
        </is>
      </c>
      <c r="I1624" t="inlineStr">
        <is>
          <t>No</t>
        </is>
      </c>
      <c r="J1624" t="inlineStr">
        <is>
          <t>0</t>
        </is>
      </c>
      <c r="K1624" t="inlineStr">
        <is>
          <t>Howard, Clifford, 1868-1942.</t>
        </is>
      </c>
      <c r="L1624" t="inlineStr">
        <is>
          <t>New York : AMS Press, 1975.</t>
        </is>
      </c>
      <c r="M1624" t="inlineStr">
        <is>
          <t>1975</t>
        </is>
      </c>
      <c r="O1624" t="inlineStr">
        <is>
          <t>eng</t>
        </is>
      </c>
      <c r="P1624" t="inlineStr">
        <is>
          <t>nyu</t>
        </is>
      </c>
      <c r="R1624" t="inlineStr">
        <is>
          <t xml:space="preserve">HQ </t>
        </is>
      </c>
      <c r="S1624" t="n">
        <v>2</v>
      </c>
      <c r="T1624" t="n">
        <v>2</v>
      </c>
      <c r="U1624" t="inlineStr">
        <is>
          <t>1999-11-23</t>
        </is>
      </c>
      <c r="V1624" t="inlineStr">
        <is>
          <t>1999-11-23</t>
        </is>
      </c>
      <c r="W1624" t="inlineStr">
        <is>
          <t>1997-08-08</t>
        </is>
      </c>
      <c r="X1624" t="inlineStr">
        <is>
          <t>1997-08-08</t>
        </is>
      </c>
      <c r="Y1624" t="n">
        <v>66</v>
      </c>
      <c r="Z1624" t="n">
        <v>54</v>
      </c>
      <c r="AA1624" t="n">
        <v>88</v>
      </c>
      <c r="AB1624" t="n">
        <v>1</v>
      </c>
      <c r="AC1624" t="n">
        <v>1</v>
      </c>
      <c r="AD1624" t="n">
        <v>1</v>
      </c>
      <c r="AE1624" t="n">
        <v>3</v>
      </c>
      <c r="AF1624" t="n">
        <v>1</v>
      </c>
      <c r="AG1624" t="n">
        <v>2</v>
      </c>
      <c r="AH1624" t="n">
        <v>0</v>
      </c>
      <c r="AI1624" t="n">
        <v>2</v>
      </c>
      <c r="AJ1624" t="n">
        <v>0</v>
      </c>
      <c r="AK1624" t="n">
        <v>0</v>
      </c>
      <c r="AL1624" t="n">
        <v>0</v>
      </c>
      <c r="AM1624" t="n">
        <v>0</v>
      </c>
      <c r="AN1624" t="n">
        <v>0</v>
      </c>
      <c r="AO1624" t="n">
        <v>0</v>
      </c>
      <c r="AP1624" t="inlineStr">
        <is>
          <t>No</t>
        </is>
      </c>
      <c r="AQ1624" t="inlineStr">
        <is>
          <t>Yes</t>
        </is>
      </c>
      <c r="AR1624">
        <f>HYPERLINK("http://catalog.hathitrust.org/Record/007572057","HathiTrust Record")</f>
        <v/>
      </c>
      <c r="AS1624">
        <f>HYPERLINK("https://creighton-primo.hosted.exlibrisgroup.com/primo-explore/search?tab=default_tab&amp;search_scope=EVERYTHING&amp;vid=01CRU&amp;lang=en_US&amp;offset=0&amp;query=any,contains,991003897709702656","Catalog Record")</f>
        <v/>
      </c>
      <c r="AT1624">
        <f>HYPERLINK("http://www.worldcat.org/oclc/1815439","WorldCat Record")</f>
        <v/>
      </c>
      <c r="AU1624" t="inlineStr">
        <is>
          <t>1537703:eng</t>
        </is>
      </c>
      <c r="AV1624" t="inlineStr">
        <is>
          <t>1815439</t>
        </is>
      </c>
      <c r="AW1624" t="inlineStr">
        <is>
          <t>991003897709702656</t>
        </is>
      </c>
      <c r="AX1624" t="inlineStr">
        <is>
          <t>991003897709702656</t>
        </is>
      </c>
      <c r="AY1624" t="inlineStr">
        <is>
          <t>2270719010002656</t>
        </is>
      </c>
      <c r="AZ1624" t="inlineStr">
        <is>
          <t>BOOK</t>
        </is>
      </c>
      <c r="BB1624" t="inlineStr">
        <is>
          <t>9780404574635</t>
        </is>
      </c>
      <c r="BC1624" t="inlineStr">
        <is>
          <t>32285003088365</t>
        </is>
      </c>
      <c r="BD1624" t="inlineStr">
        <is>
          <t>893445931</t>
        </is>
      </c>
    </row>
    <row r="1625">
      <c r="A1625" t="inlineStr">
        <is>
          <t>No</t>
        </is>
      </c>
      <c r="B1625" t="inlineStr">
        <is>
          <t>HQ63 .H8</t>
        </is>
      </c>
      <c r="C1625" t="inlineStr">
        <is>
          <t>0                      HQ 0063000H  8</t>
        </is>
      </c>
      <c r="D1625" t="inlineStr">
        <is>
          <t>Human sexuality in our time : what the church teaches / edited by George A. Kelly.</t>
        </is>
      </c>
      <c r="F1625" t="inlineStr">
        <is>
          <t>No</t>
        </is>
      </c>
      <c r="G1625" t="inlineStr">
        <is>
          <t>1</t>
        </is>
      </c>
      <c r="H1625" t="inlineStr">
        <is>
          <t>No</t>
        </is>
      </c>
      <c r="I1625" t="inlineStr">
        <is>
          <t>No</t>
        </is>
      </c>
      <c r="J1625" t="inlineStr">
        <is>
          <t>0</t>
        </is>
      </c>
      <c r="L1625" t="inlineStr">
        <is>
          <t>[Boston] : St. Paul Editions, c1979.</t>
        </is>
      </c>
      <c r="M1625" t="inlineStr">
        <is>
          <t>1979</t>
        </is>
      </c>
      <c r="O1625" t="inlineStr">
        <is>
          <t>eng</t>
        </is>
      </c>
      <c r="P1625" t="inlineStr">
        <is>
          <t>mau</t>
        </is>
      </c>
      <c r="R1625" t="inlineStr">
        <is>
          <t xml:space="preserve">HQ </t>
        </is>
      </c>
      <c r="S1625" t="n">
        <v>16</v>
      </c>
      <c r="T1625" t="n">
        <v>16</v>
      </c>
      <c r="U1625" t="inlineStr">
        <is>
          <t>2004-11-01</t>
        </is>
      </c>
      <c r="V1625" t="inlineStr">
        <is>
          <t>2004-11-01</t>
        </is>
      </c>
      <c r="W1625" t="inlineStr">
        <is>
          <t>1992-04-09</t>
        </is>
      </c>
      <c r="X1625" t="inlineStr">
        <is>
          <t>1992-04-09</t>
        </is>
      </c>
      <c r="Y1625" t="n">
        <v>144</v>
      </c>
      <c r="Z1625" t="n">
        <v>130</v>
      </c>
      <c r="AA1625" t="n">
        <v>130</v>
      </c>
      <c r="AB1625" t="n">
        <v>3</v>
      </c>
      <c r="AC1625" t="n">
        <v>3</v>
      </c>
      <c r="AD1625" t="n">
        <v>16</v>
      </c>
      <c r="AE1625" t="n">
        <v>16</v>
      </c>
      <c r="AF1625" t="n">
        <v>4</v>
      </c>
      <c r="AG1625" t="n">
        <v>4</v>
      </c>
      <c r="AH1625" t="n">
        <v>5</v>
      </c>
      <c r="AI1625" t="n">
        <v>5</v>
      </c>
      <c r="AJ1625" t="n">
        <v>12</v>
      </c>
      <c r="AK1625" t="n">
        <v>12</v>
      </c>
      <c r="AL1625" t="n">
        <v>0</v>
      </c>
      <c r="AM1625" t="n">
        <v>0</v>
      </c>
      <c r="AN1625" t="n">
        <v>0</v>
      </c>
      <c r="AO1625" t="n">
        <v>0</v>
      </c>
      <c r="AP1625" t="inlineStr">
        <is>
          <t>No</t>
        </is>
      </c>
      <c r="AQ1625" t="inlineStr">
        <is>
          <t>No</t>
        </is>
      </c>
      <c r="AS1625">
        <f>HYPERLINK("https://creighton-primo.hosted.exlibrisgroup.com/primo-explore/search?tab=default_tab&amp;search_scope=EVERYTHING&amp;vid=01CRU&amp;lang=en_US&amp;offset=0&amp;query=any,contains,991004766509702656","Catalog Record")</f>
        <v/>
      </c>
      <c r="AT1625">
        <f>HYPERLINK("http://www.worldcat.org/oclc/5029581","WorldCat Record")</f>
        <v/>
      </c>
      <c r="AU1625" t="inlineStr">
        <is>
          <t>111160128:eng</t>
        </is>
      </c>
      <c r="AV1625" t="inlineStr">
        <is>
          <t>5029581</t>
        </is>
      </c>
      <c r="AW1625" t="inlineStr">
        <is>
          <t>991004766509702656</t>
        </is>
      </c>
      <c r="AX1625" t="inlineStr">
        <is>
          <t>991004766509702656</t>
        </is>
      </c>
      <c r="AY1625" t="inlineStr">
        <is>
          <t>2271602600002656</t>
        </is>
      </c>
      <c r="AZ1625" t="inlineStr">
        <is>
          <t>BOOK</t>
        </is>
      </c>
      <c r="BC1625" t="inlineStr">
        <is>
          <t>32285001058626</t>
        </is>
      </c>
      <c r="BD1625" t="inlineStr">
        <is>
          <t>893706820</t>
        </is>
      </c>
    </row>
    <row r="1626">
      <c r="A1626" t="inlineStr">
        <is>
          <t>No</t>
        </is>
      </c>
      <c r="B1626" t="inlineStr">
        <is>
          <t>HQ63 .J69 1971</t>
        </is>
      </c>
      <c r="C1626" t="inlineStr">
        <is>
          <t>0                      HQ 0063000J  69          1971</t>
        </is>
      </c>
      <c r="D1626" t="inlineStr">
        <is>
          <t>Love responds to life; the challenge of Humanae vitae.</t>
        </is>
      </c>
      <c r="F1626" t="inlineStr">
        <is>
          <t>No</t>
        </is>
      </c>
      <c r="G1626" t="inlineStr">
        <is>
          <t>1</t>
        </is>
      </c>
      <c r="H1626" t="inlineStr">
        <is>
          <t>No</t>
        </is>
      </c>
      <c r="I1626" t="inlineStr">
        <is>
          <t>No</t>
        </is>
      </c>
      <c r="J1626" t="inlineStr">
        <is>
          <t>0</t>
        </is>
      </c>
      <c r="K1626" t="inlineStr">
        <is>
          <t>Joyce, Mary Rosera.</t>
        </is>
      </c>
      <c r="L1626" t="inlineStr">
        <is>
          <t>Kenosha, Wis., Prow [c1971]</t>
        </is>
      </c>
      <c r="M1626" t="inlineStr">
        <is>
          <t>1971</t>
        </is>
      </c>
      <c r="O1626" t="inlineStr">
        <is>
          <t>eng</t>
        </is>
      </c>
      <c r="P1626" t="inlineStr">
        <is>
          <t>wiu</t>
        </is>
      </c>
      <c r="R1626" t="inlineStr">
        <is>
          <t xml:space="preserve">HQ </t>
        </is>
      </c>
      <c r="S1626" t="n">
        <v>1</v>
      </c>
      <c r="T1626" t="n">
        <v>1</v>
      </c>
      <c r="U1626" t="inlineStr">
        <is>
          <t>2002-09-16</t>
        </is>
      </c>
      <c r="V1626" t="inlineStr">
        <is>
          <t>2002-09-16</t>
        </is>
      </c>
      <c r="W1626" t="inlineStr">
        <is>
          <t>1997-08-08</t>
        </is>
      </c>
      <c r="X1626" t="inlineStr">
        <is>
          <t>1997-08-08</t>
        </is>
      </c>
      <c r="Y1626" t="n">
        <v>61</v>
      </c>
      <c r="Z1626" t="n">
        <v>48</v>
      </c>
      <c r="AA1626" t="n">
        <v>48</v>
      </c>
      <c r="AB1626" t="n">
        <v>1</v>
      </c>
      <c r="AC1626" t="n">
        <v>1</v>
      </c>
      <c r="AD1626" t="n">
        <v>8</v>
      </c>
      <c r="AE1626" t="n">
        <v>8</v>
      </c>
      <c r="AF1626" t="n">
        <v>1</v>
      </c>
      <c r="AG1626" t="n">
        <v>1</v>
      </c>
      <c r="AH1626" t="n">
        <v>2</v>
      </c>
      <c r="AI1626" t="n">
        <v>2</v>
      </c>
      <c r="AJ1626" t="n">
        <v>6</v>
      </c>
      <c r="AK1626" t="n">
        <v>6</v>
      </c>
      <c r="AL1626" t="n">
        <v>0</v>
      </c>
      <c r="AM1626" t="n">
        <v>0</v>
      </c>
      <c r="AN1626" t="n">
        <v>0</v>
      </c>
      <c r="AO1626" t="n">
        <v>0</v>
      </c>
      <c r="AP1626" t="inlineStr">
        <is>
          <t>No</t>
        </is>
      </c>
      <c r="AQ1626" t="inlineStr">
        <is>
          <t>No</t>
        </is>
      </c>
      <c r="AS1626">
        <f>HYPERLINK("https://creighton-primo.hosted.exlibrisgroup.com/primo-explore/search?tab=default_tab&amp;search_scope=EVERYTHING&amp;vid=01CRU&amp;lang=en_US&amp;offset=0&amp;query=any,contains,991004186389702656","Catalog Record")</f>
        <v/>
      </c>
      <c r="AT1626">
        <f>HYPERLINK("http://www.worldcat.org/oclc/2616431","WorldCat Record")</f>
        <v/>
      </c>
      <c r="AU1626" t="inlineStr">
        <is>
          <t>5582231:eng</t>
        </is>
      </c>
      <c r="AV1626" t="inlineStr">
        <is>
          <t>2616431</t>
        </is>
      </c>
      <c r="AW1626" t="inlineStr">
        <is>
          <t>991004186389702656</t>
        </is>
      </c>
      <c r="AX1626" t="inlineStr">
        <is>
          <t>991004186389702656</t>
        </is>
      </c>
      <c r="AY1626" t="inlineStr">
        <is>
          <t>2265023250002656</t>
        </is>
      </c>
      <c r="AZ1626" t="inlineStr">
        <is>
          <t>BOOK</t>
        </is>
      </c>
      <c r="BC1626" t="inlineStr">
        <is>
          <t>32285003088332</t>
        </is>
      </c>
      <c r="BD1626" t="inlineStr">
        <is>
          <t>893806772</t>
        </is>
      </c>
    </row>
    <row r="1627">
      <c r="A1627" t="inlineStr">
        <is>
          <t>No</t>
        </is>
      </c>
      <c r="B1627" t="inlineStr">
        <is>
          <t>HQ63 .R88</t>
        </is>
      </c>
      <c r="C1627" t="inlineStr">
        <is>
          <t>0                      HQ 0063000R  88</t>
        </is>
      </c>
      <c r="D1627" t="inlineStr">
        <is>
          <t>Love and sexuality : a Christian approach / [by] Mary Perkins Ryan &amp; John Julian Ryan.</t>
        </is>
      </c>
      <c r="F1627" t="inlineStr">
        <is>
          <t>No</t>
        </is>
      </c>
      <c r="G1627" t="inlineStr">
        <is>
          <t>1</t>
        </is>
      </c>
      <c r="H1627" t="inlineStr">
        <is>
          <t>Yes</t>
        </is>
      </c>
      <c r="I1627" t="inlineStr">
        <is>
          <t>No</t>
        </is>
      </c>
      <c r="J1627" t="inlineStr">
        <is>
          <t>0</t>
        </is>
      </c>
      <c r="K1627" t="inlineStr">
        <is>
          <t>Ryan, Mary Perkins, 1912-1993.</t>
        </is>
      </c>
      <c r="L1627" t="inlineStr">
        <is>
          <t>New York : Holt, Rinehart and Winston, [1967]</t>
        </is>
      </c>
      <c r="M1627" t="inlineStr">
        <is>
          <t>1967</t>
        </is>
      </c>
      <c r="N1627" t="inlineStr">
        <is>
          <t>[1st ed.]</t>
        </is>
      </c>
      <c r="O1627" t="inlineStr">
        <is>
          <t>eng</t>
        </is>
      </c>
      <c r="P1627" t="inlineStr">
        <is>
          <t>nyu</t>
        </is>
      </c>
      <c r="R1627" t="inlineStr">
        <is>
          <t xml:space="preserve">HQ </t>
        </is>
      </c>
      <c r="S1627" t="n">
        <v>6</v>
      </c>
      <c r="T1627" t="n">
        <v>10</v>
      </c>
      <c r="U1627" t="inlineStr">
        <is>
          <t>2001-04-17</t>
        </is>
      </c>
      <c r="V1627" t="inlineStr">
        <is>
          <t>2001-04-17</t>
        </is>
      </c>
      <c r="W1627" t="inlineStr">
        <is>
          <t>1993-12-08</t>
        </is>
      </c>
      <c r="X1627" t="inlineStr">
        <is>
          <t>1993-12-08</t>
        </is>
      </c>
      <c r="Y1627" t="n">
        <v>298</v>
      </c>
      <c r="Z1627" t="n">
        <v>266</v>
      </c>
      <c r="AA1627" t="n">
        <v>315</v>
      </c>
      <c r="AB1627" t="n">
        <v>3</v>
      </c>
      <c r="AC1627" t="n">
        <v>4</v>
      </c>
      <c r="AD1627" t="n">
        <v>27</v>
      </c>
      <c r="AE1627" t="n">
        <v>29</v>
      </c>
      <c r="AF1627" t="n">
        <v>10</v>
      </c>
      <c r="AG1627" t="n">
        <v>10</v>
      </c>
      <c r="AH1627" t="n">
        <v>4</v>
      </c>
      <c r="AI1627" t="n">
        <v>5</v>
      </c>
      <c r="AJ1627" t="n">
        <v>20</v>
      </c>
      <c r="AK1627" t="n">
        <v>22</v>
      </c>
      <c r="AL1627" t="n">
        <v>1</v>
      </c>
      <c r="AM1627" t="n">
        <v>1</v>
      </c>
      <c r="AN1627" t="n">
        <v>0</v>
      </c>
      <c r="AO1627" t="n">
        <v>0</v>
      </c>
      <c r="AP1627" t="inlineStr">
        <is>
          <t>No</t>
        </is>
      </c>
      <c r="AQ1627" t="inlineStr">
        <is>
          <t>No</t>
        </is>
      </c>
      <c r="AS1627">
        <f>HYPERLINK("https://creighton-primo.hosted.exlibrisgroup.com/primo-explore/search?tab=default_tab&amp;search_scope=EVERYTHING&amp;vid=01CRU&amp;lang=en_US&amp;offset=0&amp;query=any,contains,991001766209702656","Catalog Record")</f>
        <v/>
      </c>
      <c r="AT1627">
        <f>HYPERLINK("http://www.worldcat.org/oclc/254292","WorldCat Record")</f>
        <v/>
      </c>
      <c r="AU1627" t="inlineStr">
        <is>
          <t>1146203:eng</t>
        </is>
      </c>
      <c r="AV1627" t="inlineStr">
        <is>
          <t>254292</t>
        </is>
      </c>
      <c r="AW1627" t="inlineStr">
        <is>
          <t>991001766209702656</t>
        </is>
      </c>
      <c r="AX1627" t="inlineStr">
        <is>
          <t>991001766209702656</t>
        </is>
      </c>
      <c r="AY1627" t="inlineStr">
        <is>
          <t>2269371210002656</t>
        </is>
      </c>
      <c r="AZ1627" t="inlineStr">
        <is>
          <t>BOOK</t>
        </is>
      </c>
      <c r="BC1627" t="inlineStr">
        <is>
          <t>32285001806966</t>
        </is>
      </c>
      <c r="BD1627" t="inlineStr">
        <is>
          <t>893872781</t>
        </is>
      </c>
    </row>
    <row r="1628">
      <c r="A1628" t="inlineStr">
        <is>
          <t>No</t>
        </is>
      </c>
      <c r="B1628" t="inlineStr">
        <is>
          <t>HQ637 .F34 1994</t>
        </is>
      </c>
      <c r="C1628" t="inlineStr">
        <is>
          <t>0                      HQ 0637000F  34          1994</t>
        </is>
      </c>
      <c r="D1628" t="inlineStr">
        <is>
          <t>Families before and after perestroika : Russian and U.S. perspectives / edited by James W. Maddock ... [et al.].</t>
        </is>
      </c>
      <c r="F1628" t="inlineStr">
        <is>
          <t>No</t>
        </is>
      </c>
      <c r="G1628" t="inlineStr">
        <is>
          <t>1</t>
        </is>
      </c>
      <c r="H1628" t="inlineStr">
        <is>
          <t>No</t>
        </is>
      </c>
      <c r="I1628" t="inlineStr">
        <is>
          <t>No</t>
        </is>
      </c>
      <c r="J1628" t="inlineStr">
        <is>
          <t>0</t>
        </is>
      </c>
      <c r="L1628" t="inlineStr">
        <is>
          <t>New York : Guilford Press, c1994.</t>
        </is>
      </c>
      <c r="M1628" t="inlineStr">
        <is>
          <t>1994</t>
        </is>
      </c>
      <c r="O1628" t="inlineStr">
        <is>
          <t>eng</t>
        </is>
      </c>
      <c r="P1628" t="inlineStr">
        <is>
          <t>nyu</t>
        </is>
      </c>
      <c r="Q1628" t="inlineStr">
        <is>
          <t>Perspectives on marriage and the family</t>
        </is>
      </c>
      <c r="R1628" t="inlineStr">
        <is>
          <t xml:space="preserve">HQ </t>
        </is>
      </c>
      <c r="S1628" t="n">
        <v>2</v>
      </c>
      <c r="T1628" t="n">
        <v>2</v>
      </c>
      <c r="U1628" t="inlineStr">
        <is>
          <t>1997-09-19</t>
        </is>
      </c>
      <c r="V1628" t="inlineStr">
        <is>
          <t>1997-09-19</t>
        </is>
      </c>
      <c r="W1628" t="inlineStr">
        <is>
          <t>1994-08-22</t>
        </is>
      </c>
      <c r="X1628" t="inlineStr">
        <is>
          <t>1994-08-22</t>
        </is>
      </c>
      <c r="Y1628" t="n">
        <v>231</v>
      </c>
      <c r="Z1628" t="n">
        <v>189</v>
      </c>
      <c r="AA1628" t="n">
        <v>189</v>
      </c>
      <c r="AB1628" t="n">
        <v>3</v>
      </c>
      <c r="AC1628" t="n">
        <v>3</v>
      </c>
      <c r="AD1628" t="n">
        <v>10</v>
      </c>
      <c r="AE1628" t="n">
        <v>10</v>
      </c>
      <c r="AF1628" t="n">
        <v>1</v>
      </c>
      <c r="AG1628" t="n">
        <v>1</v>
      </c>
      <c r="AH1628" t="n">
        <v>3</v>
      </c>
      <c r="AI1628" t="n">
        <v>3</v>
      </c>
      <c r="AJ1628" t="n">
        <v>6</v>
      </c>
      <c r="AK1628" t="n">
        <v>6</v>
      </c>
      <c r="AL1628" t="n">
        <v>2</v>
      </c>
      <c r="AM1628" t="n">
        <v>2</v>
      </c>
      <c r="AN1628" t="n">
        <v>0</v>
      </c>
      <c r="AO1628" t="n">
        <v>0</v>
      </c>
      <c r="AP1628" t="inlineStr">
        <is>
          <t>No</t>
        </is>
      </c>
      <c r="AQ1628" t="inlineStr">
        <is>
          <t>No</t>
        </is>
      </c>
      <c r="AS1628">
        <f>HYPERLINK("https://creighton-primo.hosted.exlibrisgroup.com/primo-explore/search?tab=default_tab&amp;search_scope=EVERYTHING&amp;vid=01CRU&amp;lang=en_US&amp;offset=0&amp;query=any,contains,991002229489702656","Catalog Record")</f>
        <v/>
      </c>
      <c r="AT1628">
        <f>HYPERLINK("http://www.worldcat.org/oclc/28711625","WorldCat Record")</f>
        <v/>
      </c>
      <c r="AU1628" t="inlineStr">
        <is>
          <t>30990837:eng</t>
        </is>
      </c>
      <c r="AV1628" t="inlineStr">
        <is>
          <t>28711625</t>
        </is>
      </c>
      <c r="AW1628" t="inlineStr">
        <is>
          <t>991002229489702656</t>
        </is>
      </c>
      <c r="AX1628" t="inlineStr">
        <is>
          <t>991002229489702656</t>
        </is>
      </c>
      <c r="AY1628" t="inlineStr">
        <is>
          <t>2262801500002656</t>
        </is>
      </c>
      <c r="AZ1628" t="inlineStr">
        <is>
          <t>BOOK</t>
        </is>
      </c>
      <c r="BB1628" t="inlineStr">
        <is>
          <t>9780898620856</t>
        </is>
      </c>
      <c r="BC1628" t="inlineStr">
        <is>
          <t>32285001943272</t>
        </is>
      </c>
      <c r="BD1628" t="inlineStr">
        <is>
          <t>893792199</t>
        </is>
      </c>
    </row>
    <row r="1629">
      <c r="A1629" t="inlineStr">
        <is>
          <t>No</t>
        </is>
      </c>
      <c r="B1629" t="inlineStr">
        <is>
          <t>HQ637 .V63</t>
        </is>
      </c>
      <c r="C1629" t="inlineStr">
        <is>
          <t>0                      HQ 0637000V  63</t>
        </is>
      </c>
      <c r="D1629" t="inlineStr">
        <is>
          <t>Family policy in the USSR since 1944 / by April A. von Frank.</t>
        </is>
      </c>
      <c r="F1629" t="inlineStr">
        <is>
          <t>No</t>
        </is>
      </c>
      <c r="G1629" t="inlineStr">
        <is>
          <t>1</t>
        </is>
      </c>
      <c r="H1629" t="inlineStr">
        <is>
          <t>No</t>
        </is>
      </c>
      <c r="I1629" t="inlineStr">
        <is>
          <t>No</t>
        </is>
      </c>
      <c r="J1629" t="inlineStr">
        <is>
          <t>0</t>
        </is>
      </c>
      <c r="K1629" t="inlineStr">
        <is>
          <t>Von Frank, April A.</t>
        </is>
      </c>
      <c r="L1629" t="inlineStr">
        <is>
          <t>Palo Alto, Calif. : R &amp; E Research Associates, 1979.</t>
        </is>
      </c>
      <c r="M1629" t="inlineStr">
        <is>
          <t>1979</t>
        </is>
      </c>
      <c r="O1629" t="inlineStr">
        <is>
          <t>eng</t>
        </is>
      </c>
      <c r="P1629" t="inlineStr">
        <is>
          <t>cau</t>
        </is>
      </c>
      <c r="R1629" t="inlineStr">
        <is>
          <t xml:space="preserve">HQ </t>
        </is>
      </c>
      <c r="S1629" t="n">
        <v>1</v>
      </c>
      <c r="T1629" t="n">
        <v>1</v>
      </c>
      <c r="U1629" t="inlineStr">
        <is>
          <t>2001-09-13</t>
        </is>
      </c>
      <c r="V1629" t="inlineStr">
        <is>
          <t>2001-09-13</t>
        </is>
      </c>
      <c r="W1629" t="inlineStr">
        <is>
          <t>1992-10-30</t>
        </is>
      </c>
      <c r="X1629" t="inlineStr">
        <is>
          <t>1992-10-30</t>
        </is>
      </c>
      <c r="Y1629" t="n">
        <v>156</v>
      </c>
      <c r="Z1629" t="n">
        <v>128</v>
      </c>
      <c r="AA1629" t="n">
        <v>131</v>
      </c>
      <c r="AB1629" t="n">
        <v>2</v>
      </c>
      <c r="AC1629" t="n">
        <v>2</v>
      </c>
      <c r="AD1629" t="n">
        <v>6</v>
      </c>
      <c r="AE1629" t="n">
        <v>6</v>
      </c>
      <c r="AF1629" t="n">
        <v>0</v>
      </c>
      <c r="AG1629" t="n">
        <v>0</v>
      </c>
      <c r="AH1629" t="n">
        <v>1</v>
      </c>
      <c r="AI1629" t="n">
        <v>1</v>
      </c>
      <c r="AJ1629" t="n">
        <v>5</v>
      </c>
      <c r="AK1629" t="n">
        <v>5</v>
      </c>
      <c r="AL1629" t="n">
        <v>1</v>
      </c>
      <c r="AM1629" t="n">
        <v>1</v>
      </c>
      <c r="AN1629" t="n">
        <v>0</v>
      </c>
      <c r="AO1629" t="n">
        <v>0</v>
      </c>
      <c r="AP1629" t="inlineStr">
        <is>
          <t>No</t>
        </is>
      </c>
      <c r="AQ1629" t="inlineStr">
        <is>
          <t>No</t>
        </is>
      </c>
      <c r="AS1629">
        <f>HYPERLINK("https://creighton-primo.hosted.exlibrisgroup.com/primo-explore/search?tab=default_tab&amp;search_scope=EVERYTHING&amp;vid=01CRU&amp;lang=en_US&amp;offset=0&amp;query=any,contains,991004814119702656","Catalog Record")</f>
        <v/>
      </c>
      <c r="AT1629">
        <f>HYPERLINK("http://www.worldcat.org/oclc/6329507","WorldCat Record")</f>
        <v/>
      </c>
      <c r="AU1629" t="inlineStr">
        <is>
          <t>541920:eng</t>
        </is>
      </c>
      <c r="AV1629" t="inlineStr">
        <is>
          <t>6329507</t>
        </is>
      </c>
      <c r="AW1629" t="inlineStr">
        <is>
          <t>991004814119702656</t>
        </is>
      </c>
      <c r="AX1629" t="inlineStr">
        <is>
          <t>991004814119702656</t>
        </is>
      </c>
      <c r="AY1629" t="inlineStr">
        <is>
          <t>2270006200002656</t>
        </is>
      </c>
      <c r="AZ1629" t="inlineStr">
        <is>
          <t>BOOK</t>
        </is>
      </c>
      <c r="BB1629" t="inlineStr">
        <is>
          <t>9780882475523</t>
        </is>
      </c>
      <c r="BC1629" t="inlineStr">
        <is>
          <t>32285001359115</t>
        </is>
      </c>
      <c r="BD1629" t="inlineStr">
        <is>
          <t>893619114</t>
        </is>
      </c>
    </row>
    <row r="1630">
      <c r="A1630" t="inlineStr">
        <is>
          <t>No</t>
        </is>
      </c>
      <c r="B1630" t="inlineStr">
        <is>
          <t>HQ638 .F57</t>
        </is>
      </c>
      <c r="C1630" t="inlineStr">
        <is>
          <t>0                      HQ 0638000F  57</t>
        </is>
      </c>
      <c r="D1630" t="inlineStr">
        <is>
          <t>The Soviet marriage market : mate-selection in Russia and the USSR / Wesley Andrew Fisher.</t>
        </is>
      </c>
      <c r="F1630" t="inlineStr">
        <is>
          <t>No</t>
        </is>
      </c>
      <c r="G1630" t="inlineStr">
        <is>
          <t>1</t>
        </is>
      </c>
      <c r="H1630" t="inlineStr">
        <is>
          <t>No</t>
        </is>
      </c>
      <c r="I1630" t="inlineStr">
        <is>
          <t>No</t>
        </is>
      </c>
      <c r="J1630" t="inlineStr">
        <is>
          <t>0</t>
        </is>
      </c>
      <c r="K1630" t="inlineStr">
        <is>
          <t>Fisher, Wesley A.</t>
        </is>
      </c>
      <c r="L1630" t="inlineStr">
        <is>
          <t>New York : Praeger, 1980.</t>
        </is>
      </c>
      <c r="M1630" t="inlineStr">
        <is>
          <t>1980</t>
        </is>
      </c>
      <c r="O1630" t="inlineStr">
        <is>
          <t>eng</t>
        </is>
      </c>
      <c r="P1630" t="inlineStr">
        <is>
          <t>nyu</t>
        </is>
      </c>
      <c r="Q1630" t="inlineStr">
        <is>
          <t>Studies of the Russian Institute Columbia University</t>
        </is>
      </c>
      <c r="R1630" t="inlineStr">
        <is>
          <t xml:space="preserve">HQ </t>
        </is>
      </c>
      <c r="S1630" t="n">
        <v>6</v>
      </c>
      <c r="T1630" t="n">
        <v>6</v>
      </c>
      <c r="U1630" t="inlineStr">
        <is>
          <t>1994-10-30</t>
        </is>
      </c>
      <c r="V1630" t="inlineStr">
        <is>
          <t>1994-10-30</t>
        </is>
      </c>
      <c r="W1630" t="inlineStr">
        <is>
          <t>1992-10-30</t>
        </is>
      </c>
      <c r="X1630" t="inlineStr">
        <is>
          <t>1992-10-30</t>
        </is>
      </c>
      <c r="Y1630" t="n">
        <v>369</v>
      </c>
      <c r="Z1630" t="n">
        <v>293</v>
      </c>
      <c r="AA1630" t="n">
        <v>300</v>
      </c>
      <c r="AB1630" t="n">
        <v>3</v>
      </c>
      <c r="AC1630" t="n">
        <v>3</v>
      </c>
      <c r="AD1630" t="n">
        <v>15</v>
      </c>
      <c r="AE1630" t="n">
        <v>15</v>
      </c>
      <c r="AF1630" t="n">
        <v>5</v>
      </c>
      <c r="AG1630" t="n">
        <v>5</v>
      </c>
      <c r="AH1630" t="n">
        <v>4</v>
      </c>
      <c r="AI1630" t="n">
        <v>4</v>
      </c>
      <c r="AJ1630" t="n">
        <v>6</v>
      </c>
      <c r="AK1630" t="n">
        <v>6</v>
      </c>
      <c r="AL1630" t="n">
        <v>2</v>
      </c>
      <c r="AM1630" t="n">
        <v>2</v>
      </c>
      <c r="AN1630" t="n">
        <v>0</v>
      </c>
      <c r="AO1630" t="n">
        <v>0</v>
      </c>
      <c r="AP1630" t="inlineStr">
        <is>
          <t>No</t>
        </is>
      </c>
      <c r="AQ1630" t="inlineStr">
        <is>
          <t>Yes</t>
        </is>
      </c>
      <c r="AR1630">
        <f>HYPERLINK("http://catalog.hathitrust.org/Record/000712947","HathiTrust Record")</f>
        <v/>
      </c>
      <c r="AS1630">
        <f>HYPERLINK("https://creighton-primo.hosted.exlibrisgroup.com/primo-explore/search?tab=default_tab&amp;search_scope=EVERYTHING&amp;vid=01CRU&amp;lang=en_US&amp;offset=0&amp;query=any,contains,991004947399702656","Catalog Record")</f>
        <v/>
      </c>
      <c r="AT1630">
        <f>HYPERLINK("http://www.worldcat.org/oclc/6222725","WorldCat Record")</f>
        <v/>
      </c>
      <c r="AU1630" t="inlineStr">
        <is>
          <t>431580:eng</t>
        </is>
      </c>
      <c r="AV1630" t="inlineStr">
        <is>
          <t>6222725</t>
        </is>
      </c>
      <c r="AW1630" t="inlineStr">
        <is>
          <t>991004947399702656</t>
        </is>
      </c>
      <c r="AX1630" t="inlineStr">
        <is>
          <t>991004947399702656</t>
        </is>
      </c>
      <c r="AY1630" t="inlineStr">
        <is>
          <t>2268627120002656</t>
        </is>
      </c>
      <c r="AZ1630" t="inlineStr">
        <is>
          <t>BOOK</t>
        </is>
      </c>
      <c r="BB1630" t="inlineStr">
        <is>
          <t>9780030453465</t>
        </is>
      </c>
      <c r="BC1630" t="inlineStr">
        <is>
          <t>32285001359123</t>
        </is>
      </c>
      <c r="BD1630" t="inlineStr">
        <is>
          <t>893418186</t>
        </is>
      </c>
    </row>
    <row r="1631">
      <c r="A1631" t="inlineStr">
        <is>
          <t>No</t>
        </is>
      </c>
      <c r="B1631" t="inlineStr">
        <is>
          <t>HQ64 .G65</t>
        </is>
      </c>
      <c r="C1631" t="inlineStr">
        <is>
          <t>0                      HQ 0064000G  65</t>
        </is>
      </c>
      <c r="D1631" t="inlineStr">
        <is>
          <t>A bibliography of sex rites and customs; an annotated record of books, articles, and illustrations in all languages. London, G. Routledge, 1931.</t>
        </is>
      </c>
      <c r="F1631" t="inlineStr">
        <is>
          <t>No</t>
        </is>
      </c>
      <c r="G1631" t="inlineStr">
        <is>
          <t>1</t>
        </is>
      </c>
      <c r="H1631" t="inlineStr">
        <is>
          <t>No</t>
        </is>
      </c>
      <c r="I1631" t="inlineStr">
        <is>
          <t>No</t>
        </is>
      </c>
      <c r="J1631" t="inlineStr">
        <is>
          <t>0</t>
        </is>
      </c>
      <c r="K1631" t="inlineStr">
        <is>
          <t>Goodland, Roger, 1880-</t>
        </is>
      </c>
      <c r="L1631" t="inlineStr">
        <is>
          <t>[New York, AMS Press, 1974]</t>
        </is>
      </c>
      <c r="M1631" t="inlineStr">
        <is>
          <t>1974</t>
        </is>
      </c>
      <c r="O1631" t="inlineStr">
        <is>
          <t>eng</t>
        </is>
      </c>
      <c r="P1631" t="inlineStr">
        <is>
          <t>nyu</t>
        </is>
      </c>
      <c r="R1631" t="inlineStr">
        <is>
          <t xml:space="preserve">HQ </t>
        </is>
      </c>
      <c r="S1631" t="n">
        <v>0</v>
      </c>
      <c r="T1631" t="n">
        <v>0</v>
      </c>
      <c r="U1631" t="inlineStr">
        <is>
          <t>2002-03-27</t>
        </is>
      </c>
      <c r="V1631" t="inlineStr">
        <is>
          <t>2002-03-27</t>
        </is>
      </c>
      <c r="W1631" t="inlineStr">
        <is>
          <t>1997-08-08</t>
        </is>
      </c>
      <c r="X1631" t="inlineStr">
        <is>
          <t>1997-08-08</t>
        </is>
      </c>
      <c r="Y1631" t="n">
        <v>35</v>
      </c>
      <c r="Z1631" t="n">
        <v>29</v>
      </c>
      <c r="AA1631" t="n">
        <v>183</v>
      </c>
      <c r="AB1631" t="n">
        <v>1</v>
      </c>
      <c r="AC1631" t="n">
        <v>2</v>
      </c>
      <c r="AD1631" t="n">
        <v>0</v>
      </c>
      <c r="AE1631" t="n">
        <v>2</v>
      </c>
      <c r="AF1631" t="n">
        <v>0</v>
      </c>
      <c r="AG1631" t="n">
        <v>0</v>
      </c>
      <c r="AH1631" t="n">
        <v>0</v>
      </c>
      <c r="AI1631" t="n">
        <v>1</v>
      </c>
      <c r="AJ1631" t="n">
        <v>0</v>
      </c>
      <c r="AK1631" t="n">
        <v>0</v>
      </c>
      <c r="AL1631" t="n">
        <v>0</v>
      </c>
      <c r="AM1631" t="n">
        <v>1</v>
      </c>
      <c r="AN1631" t="n">
        <v>0</v>
      </c>
      <c r="AO1631" t="n">
        <v>0</v>
      </c>
      <c r="AP1631" t="inlineStr">
        <is>
          <t>No</t>
        </is>
      </c>
      <c r="AQ1631" t="inlineStr">
        <is>
          <t>No</t>
        </is>
      </c>
      <c r="AS1631">
        <f>HYPERLINK("https://creighton-primo.hosted.exlibrisgroup.com/primo-explore/search?tab=default_tab&amp;search_scope=EVERYTHING&amp;vid=01CRU&amp;lang=en_US&amp;offset=0&amp;query=any,contains,991003447659702656","Catalog Record")</f>
        <v/>
      </c>
      <c r="AT1631">
        <f>HYPERLINK("http://www.worldcat.org/oclc/983647","WorldCat Record")</f>
        <v/>
      </c>
      <c r="AU1631" t="inlineStr">
        <is>
          <t>373517620:eng</t>
        </is>
      </c>
      <c r="AV1631" t="inlineStr">
        <is>
          <t>983647</t>
        </is>
      </c>
      <c r="AW1631" t="inlineStr">
        <is>
          <t>991003447659702656</t>
        </is>
      </c>
      <c r="AX1631" t="inlineStr">
        <is>
          <t>991003447659702656</t>
        </is>
      </c>
      <c r="AY1631" t="inlineStr">
        <is>
          <t>2272688100002656</t>
        </is>
      </c>
      <c r="AZ1631" t="inlineStr">
        <is>
          <t>BOOK</t>
        </is>
      </c>
      <c r="BB1631" t="inlineStr">
        <is>
          <t>9780404574451</t>
        </is>
      </c>
      <c r="BC1631" t="inlineStr">
        <is>
          <t>32285003088381</t>
        </is>
      </c>
      <c r="BD1631" t="inlineStr">
        <is>
          <t>893893724</t>
        </is>
      </c>
    </row>
    <row r="1632">
      <c r="A1632" t="inlineStr">
        <is>
          <t>No</t>
        </is>
      </c>
      <c r="B1632" t="inlineStr">
        <is>
          <t>HQ64 .P3 1960</t>
        </is>
      </c>
      <c r="C1632" t="inlineStr">
        <is>
          <t>0                      HQ 0064000P  3           1960</t>
        </is>
      </c>
      <c r="D1632" t="inlineStr">
        <is>
          <t>A history of orgies / by Burgo Partridge.</t>
        </is>
      </c>
      <c r="F1632" t="inlineStr">
        <is>
          <t>No</t>
        </is>
      </c>
      <c r="G1632" t="inlineStr">
        <is>
          <t>1</t>
        </is>
      </c>
      <c r="H1632" t="inlineStr">
        <is>
          <t>No</t>
        </is>
      </c>
      <c r="I1632" t="inlineStr">
        <is>
          <t>No</t>
        </is>
      </c>
      <c r="J1632" t="inlineStr">
        <is>
          <t>0</t>
        </is>
      </c>
      <c r="K1632" t="inlineStr">
        <is>
          <t>Partridge, Burgo.</t>
        </is>
      </c>
      <c r="L1632" t="inlineStr">
        <is>
          <t>New York : Bonanza Books, c1960.</t>
        </is>
      </c>
      <c r="M1632" t="inlineStr">
        <is>
          <t>1960</t>
        </is>
      </c>
      <c r="O1632" t="inlineStr">
        <is>
          <t>eng</t>
        </is>
      </c>
      <c r="P1632" t="inlineStr">
        <is>
          <t>nyu</t>
        </is>
      </c>
      <c r="R1632" t="inlineStr">
        <is>
          <t xml:space="preserve">HQ </t>
        </is>
      </c>
      <c r="S1632" t="n">
        <v>7</v>
      </c>
      <c r="T1632" t="n">
        <v>7</v>
      </c>
      <c r="U1632" t="inlineStr">
        <is>
          <t>2007-09-18</t>
        </is>
      </c>
      <c r="V1632" t="inlineStr">
        <is>
          <t>2007-09-18</t>
        </is>
      </c>
      <c r="W1632" t="inlineStr">
        <is>
          <t>1999-02-04</t>
        </is>
      </c>
      <c r="X1632" t="inlineStr">
        <is>
          <t>1999-02-04</t>
        </is>
      </c>
      <c r="Y1632" t="n">
        <v>155</v>
      </c>
      <c r="Z1632" t="n">
        <v>141</v>
      </c>
      <c r="AA1632" t="n">
        <v>323</v>
      </c>
      <c r="AB1632" t="n">
        <v>2</v>
      </c>
      <c r="AC1632" t="n">
        <v>2</v>
      </c>
      <c r="AD1632" t="n">
        <v>8</v>
      </c>
      <c r="AE1632" t="n">
        <v>16</v>
      </c>
      <c r="AF1632" t="n">
        <v>2</v>
      </c>
      <c r="AG1632" t="n">
        <v>5</v>
      </c>
      <c r="AH1632" t="n">
        <v>1</v>
      </c>
      <c r="AI1632" t="n">
        <v>5</v>
      </c>
      <c r="AJ1632" t="n">
        <v>5</v>
      </c>
      <c r="AK1632" t="n">
        <v>9</v>
      </c>
      <c r="AL1632" t="n">
        <v>1</v>
      </c>
      <c r="AM1632" t="n">
        <v>1</v>
      </c>
      <c r="AN1632" t="n">
        <v>0</v>
      </c>
      <c r="AO1632" t="n">
        <v>0</v>
      </c>
      <c r="AP1632" t="inlineStr">
        <is>
          <t>No</t>
        </is>
      </c>
      <c r="AQ1632" t="inlineStr">
        <is>
          <t>No</t>
        </is>
      </c>
      <c r="AR1632">
        <f>HYPERLINK("http://catalog.hathitrust.org/Record/102070293","HathiTrust Record")</f>
        <v/>
      </c>
      <c r="AS1632">
        <f>HYPERLINK("https://creighton-primo.hosted.exlibrisgroup.com/primo-explore/search?tab=default_tab&amp;search_scope=EVERYTHING&amp;vid=01CRU&amp;lang=en_US&amp;offset=0&amp;query=any,contains,991002019729702656","Catalog Record")</f>
        <v/>
      </c>
      <c r="AT1632">
        <f>HYPERLINK("http://www.worldcat.org/oclc/259353","WorldCat Record")</f>
        <v/>
      </c>
      <c r="AU1632" t="inlineStr">
        <is>
          <t>953850:eng</t>
        </is>
      </c>
      <c r="AV1632" t="inlineStr">
        <is>
          <t>259353</t>
        </is>
      </c>
      <c r="AW1632" t="inlineStr">
        <is>
          <t>991002019729702656</t>
        </is>
      </c>
      <c r="AX1632" t="inlineStr">
        <is>
          <t>991002019729702656</t>
        </is>
      </c>
      <c r="AY1632" t="inlineStr">
        <is>
          <t>2272793140002656</t>
        </is>
      </c>
      <c r="AZ1632" t="inlineStr">
        <is>
          <t>BOOK</t>
        </is>
      </c>
      <c r="BC1632" t="inlineStr">
        <is>
          <t>32285003517900</t>
        </is>
      </c>
      <c r="BD1632" t="inlineStr">
        <is>
          <t>893791958</t>
        </is>
      </c>
    </row>
    <row r="1633">
      <c r="A1633" t="inlineStr">
        <is>
          <t>No</t>
        </is>
      </c>
      <c r="B1633" t="inlineStr">
        <is>
          <t>HQ64 .S37 1986</t>
        </is>
      </c>
      <c r="C1633" t="inlineStr">
        <is>
          <t>0                      HQ 0064000S  37          1986</t>
        </is>
      </c>
      <c r="D1633" t="inlineStr">
        <is>
          <t>Sexual desire : a moral philosophy of the erotic / Roger Scruton.</t>
        </is>
      </c>
      <c r="F1633" t="inlineStr">
        <is>
          <t>No</t>
        </is>
      </c>
      <c r="G1633" t="inlineStr">
        <is>
          <t>1</t>
        </is>
      </c>
      <c r="H1633" t="inlineStr">
        <is>
          <t>No</t>
        </is>
      </c>
      <c r="I1633" t="inlineStr">
        <is>
          <t>No</t>
        </is>
      </c>
      <c r="J1633" t="inlineStr">
        <is>
          <t>0</t>
        </is>
      </c>
      <c r="K1633" t="inlineStr">
        <is>
          <t>Scruton, Roger.</t>
        </is>
      </c>
      <c r="L1633" t="inlineStr">
        <is>
          <t>New York : Free Press, 1986.</t>
        </is>
      </c>
      <c r="M1633" t="inlineStr">
        <is>
          <t>1986</t>
        </is>
      </c>
      <c r="N1633" t="inlineStr">
        <is>
          <t>1st American ed.</t>
        </is>
      </c>
      <c r="O1633" t="inlineStr">
        <is>
          <t>eng</t>
        </is>
      </c>
      <c r="P1633" t="inlineStr">
        <is>
          <t>nyu</t>
        </is>
      </c>
      <c r="R1633" t="inlineStr">
        <is>
          <t xml:space="preserve">HQ </t>
        </is>
      </c>
      <c r="S1633" t="n">
        <v>7</v>
      </c>
      <c r="T1633" t="n">
        <v>7</v>
      </c>
      <c r="U1633" t="inlineStr">
        <is>
          <t>2002-07-10</t>
        </is>
      </c>
      <c r="V1633" t="inlineStr">
        <is>
          <t>2002-07-10</t>
        </is>
      </c>
      <c r="W1633" t="inlineStr">
        <is>
          <t>1992-04-28</t>
        </is>
      </c>
      <c r="X1633" t="inlineStr">
        <is>
          <t>1992-04-28</t>
        </is>
      </c>
      <c r="Y1633" t="n">
        <v>446</v>
      </c>
      <c r="Z1633" t="n">
        <v>389</v>
      </c>
      <c r="AA1633" t="n">
        <v>391</v>
      </c>
      <c r="AB1633" t="n">
        <v>3</v>
      </c>
      <c r="AC1633" t="n">
        <v>3</v>
      </c>
      <c r="AD1633" t="n">
        <v>21</v>
      </c>
      <c r="AE1633" t="n">
        <v>21</v>
      </c>
      <c r="AF1633" t="n">
        <v>6</v>
      </c>
      <c r="AG1633" t="n">
        <v>6</v>
      </c>
      <c r="AH1633" t="n">
        <v>5</v>
      </c>
      <c r="AI1633" t="n">
        <v>5</v>
      </c>
      <c r="AJ1633" t="n">
        <v>12</v>
      </c>
      <c r="AK1633" t="n">
        <v>12</v>
      </c>
      <c r="AL1633" t="n">
        <v>2</v>
      </c>
      <c r="AM1633" t="n">
        <v>2</v>
      </c>
      <c r="AN1633" t="n">
        <v>1</v>
      </c>
      <c r="AO1633" t="n">
        <v>1</v>
      </c>
      <c r="AP1633" t="inlineStr">
        <is>
          <t>No</t>
        </is>
      </c>
      <c r="AQ1633" t="inlineStr">
        <is>
          <t>Yes</t>
        </is>
      </c>
      <c r="AR1633">
        <f>HYPERLINK("http://catalog.hathitrust.org/Record/102087719","HathiTrust Record")</f>
        <v/>
      </c>
      <c r="AS1633">
        <f>HYPERLINK("https://creighton-primo.hosted.exlibrisgroup.com/primo-explore/search?tab=default_tab&amp;search_scope=EVERYTHING&amp;vid=01CRU&amp;lang=en_US&amp;offset=0&amp;query=any,contains,991005405969702656","Catalog Record")</f>
        <v/>
      </c>
      <c r="AT1633">
        <f>HYPERLINK("http://www.worldcat.org/oclc/12840112","WorldCat Record")</f>
        <v/>
      </c>
      <c r="AU1633" t="inlineStr">
        <is>
          <t>4020077991:eng</t>
        </is>
      </c>
      <c r="AV1633" t="inlineStr">
        <is>
          <t>12840112</t>
        </is>
      </c>
      <c r="AW1633" t="inlineStr">
        <is>
          <t>991005405969702656</t>
        </is>
      </c>
      <c r="AX1633" t="inlineStr">
        <is>
          <t>991005405969702656</t>
        </is>
      </c>
      <c r="AY1633" t="inlineStr">
        <is>
          <t>2267274620002656</t>
        </is>
      </c>
      <c r="AZ1633" t="inlineStr">
        <is>
          <t>BOOK</t>
        </is>
      </c>
      <c r="BB1633" t="inlineStr">
        <is>
          <t>9780029292808</t>
        </is>
      </c>
      <c r="BC1633" t="inlineStr">
        <is>
          <t>32285001089795</t>
        </is>
      </c>
      <c r="BD1633" t="inlineStr">
        <is>
          <t>893508209</t>
        </is>
      </c>
    </row>
    <row r="1634">
      <c r="A1634" t="inlineStr">
        <is>
          <t>No</t>
        </is>
      </c>
      <c r="B1634" t="inlineStr">
        <is>
          <t>HQ667 .F68</t>
        </is>
      </c>
      <c r="C1634" t="inlineStr">
        <is>
          <t>0                      HQ 0667000F  68</t>
        </is>
      </c>
      <c r="D1634" t="inlineStr">
        <is>
          <t>Chinese lineage and society : Fukien and Kwangtung.</t>
        </is>
      </c>
      <c r="F1634" t="inlineStr">
        <is>
          <t>No</t>
        </is>
      </c>
      <c r="G1634" t="inlineStr">
        <is>
          <t>1</t>
        </is>
      </c>
      <c r="H1634" t="inlineStr">
        <is>
          <t>No</t>
        </is>
      </c>
      <c r="I1634" t="inlineStr">
        <is>
          <t>No</t>
        </is>
      </c>
      <c r="J1634" t="inlineStr">
        <is>
          <t>0</t>
        </is>
      </c>
      <c r="K1634" t="inlineStr">
        <is>
          <t>Freedman, Maurice, 1920-1975.</t>
        </is>
      </c>
      <c r="L1634" t="inlineStr">
        <is>
          <t>London : Athlone P. ; New York : Humanities P., 1966.</t>
        </is>
      </c>
      <c r="M1634" t="inlineStr">
        <is>
          <t>1966</t>
        </is>
      </c>
      <c r="O1634" t="inlineStr">
        <is>
          <t>eng</t>
        </is>
      </c>
      <c r="P1634" t="inlineStr">
        <is>
          <t>enk</t>
        </is>
      </c>
      <c r="Q1634" t="inlineStr">
        <is>
          <t>London School of Economics. Monographs on social anthropology, no. 33</t>
        </is>
      </c>
      <c r="R1634" t="inlineStr">
        <is>
          <t xml:space="preserve">HQ </t>
        </is>
      </c>
      <c r="S1634" t="n">
        <v>7</v>
      </c>
      <c r="T1634" t="n">
        <v>7</v>
      </c>
      <c r="U1634" t="inlineStr">
        <is>
          <t>1999-03-19</t>
        </is>
      </c>
      <c r="V1634" t="inlineStr">
        <is>
          <t>1999-03-19</t>
        </is>
      </c>
      <c r="W1634" t="inlineStr">
        <is>
          <t>1997-08-08</t>
        </is>
      </c>
      <c r="X1634" t="inlineStr">
        <is>
          <t>1997-08-08</t>
        </is>
      </c>
      <c r="Y1634" t="n">
        <v>393</v>
      </c>
      <c r="Z1634" t="n">
        <v>278</v>
      </c>
      <c r="AA1634" t="n">
        <v>377</v>
      </c>
      <c r="AB1634" t="n">
        <v>2</v>
      </c>
      <c r="AC1634" t="n">
        <v>2</v>
      </c>
      <c r="AD1634" t="n">
        <v>12</v>
      </c>
      <c r="AE1634" t="n">
        <v>17</v>
      </c>
      <c r="AF1634" t="n">
        <v>2</v>
      </c>
      <c r="AG1634" t="n">
        <v>6</v>
      </c>
      <c r="AH1634" t="n">
        <v>5</v>
      </c>
      <c r="AI1634" t="n">
        <v>6</v>
      </c>
      <c r="AJ1634" t="n">
        <v>6</v>
      </c>
      <c r="AK1634" t="n">
        <v>9</v>
      </c>
      <c r="AL1634" t="n">
        <v>1</v>
      </c>
      <c r="AM1634" t="n">
        <v>1</v>
      </c>
      <c r="AN1634" t="n">
        <v>0</v>
      </c>
      <c r="AO1634" t="n">
        <v>0</v>
      </c>
      <c r="AP1634" t="inlineStr">
        <is>
          <t>No</t>
        </is>
      </c>
      <c r="AQ1634" t="inlineStr">
        <is>
          <t>Yes</t>
        </is>
      </c>
      <c r="AR1634">
        <f>HYPERLINK("http://catalog.hathitrust.org/Record/001664333","HathiTrust Record")</f>
        <v/>
      </c>
      <c r="AS1634">
        <f>HYPERLINK("https://creighton-primo.hosted.exlibrisgroup.com/primo-explore/search?tab=default_tab&amp;search_scope=EVERYTHING&amp;vid=01CRU&amp;lang=en_US&amp;offset=0&amp;query=any,contains,991003414469702656","Catalog Record")</f>
        <v/>
      </c>
      <c r="AT1634">
        <f>HYPERLINK("http://www.worldcat.org/oclc/953124","WorldCat Record")</f>
        <v/>
      </c>
      <c r="AU1634" t="inlineStr">
        <is>
          <t>117973227:eng</t>
        </is>
      </c>
      <c r="AV1634" t="inlineStr">
        <is>
          <t>953124</t>
        </is>
      </c>
      <c r="AW1634" t="inlineStr">
        <is>
          <t>991003414469702656</t>
        </is>
      </c>
      <c r="AX1634" t="inlineStr">
        <is>
          <t>991003414469702656</t>
        </is>
      </c>
      <c r="AY1634" t="inlineStr">
        <is>
          <t>2261159380002656</t>
        </is>
      </c>
      <c r="AZ1634" t="inlineStr">
        <is>
          <t>BOOK</t>
        </is>
      </c>
      <c r="BC1634" t="inlineStr">
        <is>
          <t>32285003089090</t>
        </is>
      </c>
      <c r="BD1634" t="inlineStr">
        <is>
          <t>893240189</t>
        </is>
      </c>
    </row>
    <row r="1635">
      <c r="A1635" t="inlineStr">
        <is>
          <t>No</t>
        </is>
      </c>
      <c r="B1635" t="inlineStr">
        <is>
          <t>HQ667 .L5</t>
        </is>
      </c>
      <c r="C1635" t="inlineStr">
        <is>
          <t>0                      HQ 0667000L  5</t>
        </is>
      </c>
      <c r="D1635" t="inlineStr">
        <is>
          <t>The traditional Chinese clan rules.</t>
        </is>
      </c>
      <c r="F1635" t="inlineStr">
        <is>
          <t>No</t>
        </is>
      </c>
      <c r="G1635" t="inlineStr">
        <is>
          <t>1</t>
        </is>
      </c>
      <c r="H1635" t="inlineStr">
        <is>
          <t>No</t>
        </is>
      </c>
      <c r="I1635" t="inlineStr">
        <is>
          <t>No</t>
        </is>
      </c>
      <c r="J1635" t="inlineStr">
        <is>
          <t>0</t>
        </is>
      </c>
      <c r="K1635" t="inlineStr">
        <is>
          <t>Liu, Hui-chen Wang.</t>
        </is>
      </c>
      <c r="L1635" t="inlineStr">
        <is>
          <t>Locust Valley, N.Y., Published for the Association for Asian Studies by J. J. Augustin [1959]</t>
        </is>
      </c>
      <c r="M1635" t="inlineStr">
        <is>
          <t>1959</t>
        </is>
      </c>
      <c r="O1635" t="inlineStr">
        <is>
          <t>eng</t>
        </is>
      </c>
      <c r="P1635" t="inlineStr">
        <is>
          <t>nyu</t>
        </is>
      </c>
      <c r="Q1635" t="inlineStr">
        <is>
          <t>Monographs of the Association for Asian Studies ; 7</t>
        </is>
      </c>
      <c r="R1635" t="inlineStr">
        <is>
          <t xml:space="preserve">HQ </t>
        </is>
      </c>
      <c r="S1635" t="n">
        <v>2</v>
      </c>
      <c r="T1635" t="n">
        <v>2</v>
      </c>
      <c r="U1635" t="inlineStr">
        <is>
          <t>2003-11-01</t>
        </is>
      </c>
      <c r="V1635" t="inlineStr">
        <is>
          <t>2003-11-01</t>
        </is>
      </c>
      <c r="W1635" t="inlineStr">
        <is>
          <t>1997-11-04</t>
        </is>
      </c>
      <c r="X1635" t="inlineStr">
        <is>
          <t>1997-11-04</t>
        </is>
      </c>
      <c r="Y1635" t="n">
        <v>295</v>
      </c>
      <c r="Z1635" t="n">
        <v>216</v>
      </c>
      <c r="AA1635" t="n">
        <v>223</v>
      </c>
      <c r="AB1635" t="n">
        <v>2</v>
      </c>
      <c r="AC1635" t="n">
        <v>2</v>
      </c>
      <c r="AD1635" t="n">
        <v>9</v>
      </c>
      <c r="AE1635" t="n">
        <v>9</v>
      </c>
      <c r="AF1635" t="n">
        <v>4</v>
      </c>
      <c r="AG1635" t="n">
        <v>4</v>
      </c>
      <c r="AH1635" t="n">
        <v>2</v>
      </c>
      <c r="AI1635" t="n">
        <v>2</v>
      </c>
      <c r="AJ1635" t="n">
        <v>4</v>
      </c>
      <c r="AK1635" t="n">
        <v>4</v>
      </c>
      <c r="AL1635" t="n">
        <v>1</v>
      </c>
      <c r="AM1635" t="n">
        <v>1</v>
      </c>
      <c r="AN1635" t="n">
        <v>1</v>
      </c>
      <c r="AO1635" t="n">
        <v>1</v>
      </c>
      <c r="AP1635" t="inlineStr">
        <is>
          <t>Yes</t>
        </is>
      </c>
      <c r="AQ1635" t="inlineStr">
        <is>
          <t>No</t>
        </is>
      </c>
      <c r="AR1635">
        <f>HYPERLINK("http://catalog.hathitrust.org/Record/000977399","HathiTrust Record")</f>
        <v/>
      </c>
      <c r="AS1635">
        <f>HYPERLINK("https://creighton-primo.hosted.exlibrisgroup.com/primo-explore/search?tab=default_tab&amp;search_scope=EVERYTHING&amp;vid=01CRU&amp;lang=en_US&amp;offset=0&amp;query=any,contains,991002144209702656","Catalog Record")</f>
        <v/>
      </c>
      <c r="AT1635">
        <f>HYPERLINK("http://www.worldcat.org/oclc/271194","WorldCat Record")</f>
        <v/>
      </c>
      <c r="AU1635" t="inlineStr">
        <is>
          <t>1399638:eng</t>
        </is>
      </c>
      <c r="AV1635" t="inlineStr">
        <is>
          <t>271194</t>
        </is>
      </c>
      <c r="AW1635" t="inlineStr">
        <is>
          <t>991002144209702656</t>
        </is>
      </c>
      <c r="AX1635" t="inlineStr">
        <is>
          <t>991002144209702656</t>
        </is>
      </c>
      <c r="AY1635" t="inlineStr">
        <is>
          <t>2262033330002656</t>
        </is>
      </c>
      <c r="AZ1635" t="inlineStr">
        <is>
          <t>BOOK</t>
        </is>
      </c>
      <c r="BC1635" t="inlineStr">
        <is>
          <t>32285003089108</t>
        </is>
      </c>
      <c r="BD1635" t="inlineStr">
        <is>
          <t>893609510</t>
        </is>
      </c>
    </row>
    <row r="1636">
      <c r="A1636" t="inlineStr">
        <is>
          <t>No</t>
        </is>
      </c>
      <c r="B1636" t="inlineStr">
        <is>
          <t>HQ668 .L3</t>
        </is>
      </c>
      <c r="C1636" t="inlineStr">
        <is>
          <t>0                      HQ 0668000L  3</t>
        </is>
      </c>
      <c r="D1636" t="inlineStr">
        <is>
          <t>Chinese family and society, by Olga Lang. Published under the auspices of the International Secretariat, Institute of Pacific Relations, and the Institute of Social Research.</t>
        </is>
      </c>
      <c r="F1636" t="inlineStr">
        <is>
          <t>No</t>
        </is>
      </c>
      <c r="G1636" t="inlineStr">
        <is>
          <t>1</t>
        </is>
      </c>
      <c r="H1636" t="inlineStr">
        <is>
          <t>No</t>
        </is>
      </c>
      <c r="I1636" t="inlineStr">
        <is>
          <t>No</t>
        </is>
      </c>
      <c r="J1636" t="inlineStr">
        <is>
          <t>0</t>
        </is>
      </c>
      <c r="K1636" t="inlineStr">
        <is>
          <t>Lang, Olga.</t>
        </is>
      </c>
      <c r="L1636" t="inlineStr">
        <is>
          <t>New Haven, Yale University Press; London, G. Cumberlege, Oxford University Press, 1946.</t>
        </is>
      </c>
      <c r="M1636" t="inlineStr">
        <is>
          <t>1946</t>
        </is>
      </c>
      <c r="O1636" t="inlineStr">
        <is>
          <t>eng</t>
        </is>
      </c>
      <c r="P1636" t="inlineStr">
        <is>
          <t>ctu</t>
        </is>
      </c>
      <c r="R1636" t="inlineStr">
        <is>
          <t xml:space="preserve">HQ </t>
        </is>
      </c>
      <c r="S1636" t="n">
        <v>3</v>
      </c>
      <c r="T1636" t="n">
        <v>3</v>
      </c>
      <c r="U1636" t="inlineStr">
        <is>
          <t>2005-11-28</t>
        </is>
      </c>
      <c r="V1636" t="inlineStr">
        <is>
          <t>2005-11-28</t>
        </is>
      </c>
      <c r="W1636" t="inlineStr">
        <is>
          <t>1997-08-11</t>
        </is>
      </c>
      <c r="X1636" t="inlineStr">
        <is>
          <t>1997-08-11</t>
        </is>
      </c>
      <c r="Y1636" t="n">
        <v>573</v>
      </c>
      <c r="Z1636" t="n">
        <v>483</v>
      </c>
      <c r="AA1636" t="n">
        <v>681</v>
      </c>
      <c r="AB1636" t="n">
        <v>4</v>
      </c>
      <c r="AC1636" t="n">
        <v>4</v>
      </c>
      <c r="AD1636" t="n">
        <v>19</v>
      </c>
      <c r="AE1636" t="n">
        <v>30</v>
      </c>
      <c r="AF1636" t="n">
        <v>9</v>
      </c>
      <c r="AG1636" t="n">
        <v>13</v>
      </c>
      <c r="AH1636" t="n">
        <v>5</v>
      </c>
      <c r="AI1636" t="n">
        <v>7</v>
      </c>
      <c r="AJ1636" t="n">
        <v>7</v>
      </c>
      <c r="AK1636" t="n">
        <v>14</v>
      </c>
      <c r="AL1636" t="n">
        <v>3</v>
      </c>
      <c r="AM1636" t="n">
        <v>3</v>
      </c>
      <c r="AN1636" t="n">
        <v>0</v>
      </c>
      <c r="AO1636" t="n">
        <v>0</v>
      </c>
      <c r="AP1636" t="inlineStr">
        <is>
          <t>No</t>
        </is>
      </c>
      <c r="AQ1636" t="inlineStr">
        <is>
          <t>Yes</t>
        </is>
      </c>
      <c r="AR1636">
        <f>HYPERLINK("http://catalog.hathitrust.org/Record/007121747","HathiTrust Record")</f>
        <v/>
      </c>
      <c r="AS1636">
        <f>HYPERLINK("https://creighton-primo.hosted.exlibrisgroup.com/primo-explore/search?tab=default_tab&amp;search_scope=EVERYTHING&amp;vid=01CRU&amp;lang=en_US&amp;offset=0&amp;query=any,contains,991003763499702656","Catalog Record")</f>
        <v/>
      </c>
      <c r="AT1636">
        <f>HYPERLINK("http://www.worldcat.org/oclc/1453870","WorldCat Record")</f>
        <v/>
      </c>
      <c r="AU1636" t="inlineStr">
        <is>
          <t>1563666:eng</t>
        </is>
      </c>
      <c r="AV1636" t="inlineStr">
        <is>
          <t>1453870</t>
        </is>
      </c>
      <c r="AW1636" t="inlineStr">
        <is>
          <t>991003763499702656</t>
        </is>
      </c>
      <c r="AX1636" t="inlineStr">
        <is>
          <t>991003763499702656</t>
        </is>
      </c>
      <c r="AY1636" t="inlineStr">
        <is>
          <t>2257216810002656</t>
        </is>
      </c>
      <c r="AZ1636" t="inlineStr">
        <is>
          <t>BOOK</t>
        </is>
      </c>
      <c r="BC1636" t="inlineStr">
        <is>
          <t>32285003089124</t>
        </is>
      </c>
      <c r="BD1636" t="inlineStr">
        <is>
          <t>893775139</t>
        </is>
      </c>
    </row>
    <row r="1637">
      <c r="A1637" t="inlineStr">
        <is>
          <t>No</t>
        </is>
      </c>
      <c r="B1637" t="inlineStr">
        <is>
          <t>HQ669 .K27 1966</t>
        </is>
      </c>
      <c r="C1637" t="inlineStr">
        <is>
          <t>0                      HQ 0669000K  27          1966</t>
        </is>
      </c>
      <c r="D1637" t="inlineStr">
        <is>
          <t>Marriage and family in India, by K.M. Kapadia.</t>
        </is>
      </c>
      <c r="F1637" t="inlineStr">
        <is>
          <t>No</t>
        </is>
      </c>
      <c r="G1637" t="inlineStr">
        <is>
          <t>1</t>
        </is>
      </c>
      <c r="H1637" t="inlineStr">
        <is>
          <t>No</t>
        </is>
      </c>
      <c r="I1637" t="inlineStr">
        <is>
          <t>No</t>
        </is>
      </c>
      <c r="J1637" t="inlineStr">
        <is>
          <t>0</t>
        </is>
      </c>
      <c r="K1637" t="inlineStr">
        <is>
          <t>Kapadia, K. M. (Kanailal Motilal)</t>
        </is>
      </c>
      <c r="L1637" t="inlineStr">
        <is>
          <t>[London] Oxford University Press [1966]</t>
        </is>
      </c>
      <c r="M1637" t="inlineStr">
        <is>
          <t>1966</t>
        </is>
      </c>
      <c r="N1637" t="inlineStr">
        <is>
          <t>3d ed.</t>
        </is>
      </c>
      <c r="O1637" t="inlineStr">
        <is>
          <t>eng</t>
        </is>
      </c>
      <c r="P1637" t="inlineStr">
        <is>
          <t xml:space="preserve">xx </t>
        </is>
      </c>
      <c r="R1637" t="inlineStr">
        <is>
          <t xml:space="preserve">HQ </t>
        </is>
      </c>
      <c r="S1637" t="n">
        <v>38</v>
      </c>
      <c r="T1637" t="n">
        <v>38</v>
      </c>
      <c r="U1637" t="inlineStr">
        <is>
          <t>2008-04-03</t>
        </is>
      </c>
      <c r="V1637" t="inlineStr">
        <is>
          <t>2008-04-03</t>
        </is>
      </c>
      <c r="W1637" t="inlineStr">
        <is>
          <t>1992-06-10</t>
        </is>
      </c>
      <c r="X1637" t="inlineStr">
        <is>
          <t>1992-06-10</t>
        </is>
      </c>
      <c r="Y1637" t="n">
        <v>497</v>
      </c>
      <c r="Z1637" t="n">
        <v>437</v>
      </c>
      <c r="AA1637" t="n">
        <v>566</v>
      </c>
      <c r="AB1637" t="n">
        <v>3</v>
      </c>
      <c r="AC1637" t="n">
        <v>3</v>
      </c>
      <c r="AD1637" t="n">
        <v>15</v>
      </c>
      <c r="AE1637" t="n">
        <v>18</v>
      </c>
      <c r="AF1637" t="n">
        <v>4</v>
      </c>
      <c r="AG1637" t="n">
        <v>4</v>
      </c>
      <c r="AH1637" t="n">
        <v>3</v>
      </c>
      <c r="AI1637" t="n">
        <v>4</v>
      </c>
      <c r="AJ1637" t="n">
        <v>7</v>
      </c>
      <c r="AK1637" t="n">
        <v>9</v>
      </c>
      <c r="AL1637" t="n">
        <v>2</v>
      </c>
      <c r="AM1637" t="n">
        <v>2</v>
      </c>
      <c r="AN1637" t="n">
        <v>2</v>
      </c>
      <c r="AO1637" t="n">
        <v>2</v>
      </c>
      <c r="AP1637" t="inlineStr">
        <is>
          <t>No</t>
        </is>
      </c>
      <c r="AQ1637" t="inlineStr">
        <is>
          <t>No</t>
        </is>
      </c>
      <c r="AS1637">
        <f>HYPERLINK("https://creighton-primo.hosted.exlibrisgroup.com/primo-explore/search?tab=default_tab&amp;search_scope=EVERYTHING&amp;vid=01CRU&amp;lang=en_US&amp;offset=0&amp;query=any,contains,991000999379702656","Catalog Record")</f>
        <v/>
      </c>
      <c r="AT1637">
        <f>HYPERLINK("http://www.worldcat.org/oclc/25443120","WorldCat Record")</f>
        <v/>
      </c>
      <c r="AU1637" t="inlineStr">
        <is>
          <t>2162486:eng</t>
        </is>
      </c>
      <c r="AV1637" t="inlineStr">
        <is>
          <t>25443120</t>
        </is>
      </c>
      <c r="AW1637" t="inlineStr">
        <is>
          <t>991000999379702656</t>
        </is>
      </c>
      <c r="AX1637" t="inlineStr">
        <is>
          <t>991000999379702656</t>
        </is>
      </c>
      <c r="AY1637" t="inlineStr">
        <is>
          <t>2267415150002656</t>
        </is>
      </c>
      <c r="AZ1637" t="inlineStr">
        <is>
          <t>BOOK</t>
        </is>
      </c>
      <c r="BC1637" t="inlineStr">
        <is>
          <t>32285001099273</t>
        </is>
      </c>
      <c r="BD1637" t="inlineStr">
        <is>
          <t>893589932</t>
        </is>
      </c>
    </row>
    <row r="1638">
      <c r="A1638" t="inlineStr">
        <is>
          <t>No</t>
        </is>
      </c>
      <c r="B1638" t="inlineStr">
        <is>
          <t>HQ669 .R6</t>
        </is>
      </c>
      <c r="C1638" t="inlineStr">
        <is>
          <t>0                      HQ 0669000R  6</t>
        </is>
      </c>
      <c r="D1638" t="inlineStr">
        <is>
          <t>The Hindu family in its urban setting.</t>
        </is>
      </c>
      <c r="F1638" t="inlineStr">
        <is>
          <t>No</t>
        </is>
      </c>
      <c r="G1638" t="inlineStr">
        <is>
          <t>1</t>
        </is>
      </c>
      <c r="H1638" t="inlineStr">
        <is>
          <t>No</t>
        </is>
      </c>
      <c r="I1638" t="inlineStr">
        <is>
          <t>No</t>
        </is>
      </c>
      <c r="J1638" t="inlineStr">
        <is>
          <t>0</t>
        </is>
      </c>
      <c r="K1638" t="inlineStr">
        <is>
          <t>Ross, Aileen D.</t>
        </is>
      </c>
      <c r="L1638" t="inlineStr">
        <is>
          <t>[Toronto] : University of Toronto Press, [1961]</t>
        </is>
      </c>
      <c r="M1638" t="inlineStr">
        <is>
          <t>1961</t>
        </is>
      </c>
      <c r="O1638" t="inlineStr">
        <is>
          <t>eng</t>
        </is>
      </c>
      <c r="P1638" t="inlineStr">
        <is>
          <t>onc</t>
        </is>
      </c>
      <c r="R1638" t="inlineStr">
        <is>
          <t xml:space="preserve">HQ </t>
        </is>
      </c>
      <c r="S1638" t="n">
        <v>16</v>
      </c>
      <c r="T1638" t="n">
        <v>16</v>
      </c>
      <c r="U1638" t="inlineStr">
        <is>
          <t>2004-12-06</t>
        </is>
      </c>
      <c r="V1638" t="inlineStr">
        <is>
          <t>2004-12-06</t>
        </is>
      </c>
      <c r="W1638" t="inlineStr">
        <is>
          <t>1994-01-14</t>
        </is>
      </c>
      <c r="X1638" t="inlineStr">
        <is>
          <t>1994-01-14</t>
        </is>
      </c>
      <c r="Y1638" t="n">
        <v>517</v>
      </c>
      <c r="Z1638" t="n">
        <v>421</v>
      </c>
      <c r="AA1638" t="n">
        <v>537</v>
      </c>
      <c r="AB1638" t="n">
        <v>4</v>
      </c>
      <c r="AC1638" t="n">
        <v>4</v>
      </c>
      <c r="AD1638" t="n">
        <v>13</v>
      </c>
      <c r="AE1638" t="n">
        <v>23</v>
      </c>
      <c r="AF1638" t="n">
        <v>2</v>
      </c>
      <c r="AG1638" t="n">
        <v>7</v>
      </c>
      <c r="AH1638" t="n">
        <v>4</v>
      </c>
      <c r="AI1638" t="n">
        <v>7</v>
      </c>
      <c r="AJ1638" t="n">
        <v>6</v>
      </c>
      <c r="AK1638" t="n">
        <v>11</v>
      </c>
      <c r="AL1638" t="n">
        <v>3</v>
      </c>
      <c r="AM1638" t="n">
        <v>3</v>
      </c>
      <c r="AN1638" t="n">
        <v>0</v>
      </c>
      <c r="AO1638" t="n">
        <v>0</v>
      </c>
      <c r="AP1638" t="inlineStr">
        <is>
          <t>No</t>
        </is>
      </c>
      <c r="AQ1638" t="inlineStr">
        <is>
          <t>Yes</t>
        </is>
      </c>
      <c r="AR1638">
        <f>HYPERLINK("http://catalog.hathitrust.org/Record/000965717","HathiTrust Record")</f>
        <v/>
      </c>
      <c r="AS1638">
        <f>HYPERLINK("https://creighton-primo.hosted.exlibrisgroup.com/primo-explore/search?tab=default_tab&amp;search_scope=EVERYTHING&amp;vid=01CRU&amp;lang=en_US&amp;offset=0&amp;query=any,contains,991002025549702656","Catalog Record")</f>
        <v/>
      </c>
      <c r="AT1638">
        <f>HYPERLINK("http://www.worldcat.org/oclc/259778","WorldCat Record")</f>
        <v/>
      </c>
      <c r="AU1638" t="inlineStr">
        <is>
          <t>9039164105:eng</t>
        </is>
      </c>
      <c r="AV1638" t="inlineStr">
        <is>
          <t>259778</t>
        </is>
      </c>
      <c r="AW1638" t="inlineStr">
        <is>
          <t>991002025549702656</t>
        </is>
      </c>
      <c r="AX1638" t="inlineStr">
        <is>
          <t>991002025549702656</t>
        </is>
      </c>
      <c r="AY1638" t="inlineStr">
        <is>
          <t>2272669570002656</t>
        </is>
      </c>
      <c r="AZ1638" t="inlineStr">
        <is>
          <t>BOOK</t>
        </is>
      </c>
      <c r="BC1638" t="inlineStr">
        <is>
          <t>32285001829703</t>
        </is>
      </c>
      <c r="BD1638" t="inlineStr">
        <is>
          <t>893691132</t>
        </is>
      </c>
    </row>
    <row r="1639">
      <c r="A1639" t="inlineStr">
        <is>
          <t>No</t>
        </is>
      </c>
      <c r="B1639" t="inlineStr">
        <is>
          <t>HQ670 .F35 1971</t>
        </is>
      </c>
      <c r="C1639" t="inlineStr">
        <is>
          <t>0                      HQ 0670000F  35          1971</t>
        </is>
      </c>
      <c r="D1639" t="inlineStr">
        <is>
          <t>Family and social change in modern India / edited by Giri Raj Gupta.</t>
        </is>
      </c>
      <c r="F1639" t="inlineStr">
        <is>
          <t>No</t>
        </is>
      </c>
      <c r="G1639" t="inlineStr">
        <is>
          <t>1</t>
        </is>
      </c>
      <c r="H1639" t="inlineStr">
        <is>
          <t>No</t>
        </is>
      </c>
      <c r="I1639" t="inlineStr">
        <is>
          <t>No</t>
        </is>
      </c>
      <c r="J1639" t="inlineStr">
        <is>
          <t>0</t>
        </is>
      </c>
      <c r="L1639" t="inlineStr">
        <is>
          <t>Durham, N.C. : Carolina Academic Press, c1971.</t>
        </is>
      </c>
      <c r="M1639" t="inlineStr">
        <is>
          <t>1971</t>
        </is>
      </c>
      <c r="O1639" t="inlineStr">
        <is>
          <t>eng</t>
        </is>
      </c>
      <c r="P1639" t="inlineStr">
        <is>
          <t>ncu</t>
        </is>
      </c>
      <c r="Q1639" t="inlineStr">
        <is>
          <t>Main currents in Indian sociology ; 2</t>
        </is>
      </c>
      <c r="R1639" t="inlineStr">
        <is>
          <t xml:space="preserve">HQ </t>
        </is>
      </c>
      <c r="S1639" t="n">
        <v>31</v>
      </c>
      <c r="T1639" t="n">
        <v>31</v>
      </c>
      <c r="U1639" t="inlineStr">
        <is>
          <t>2008-10-09</t>
        </is>
      </c>
      <c r="V1639" t="inlineStr">
        <is>
          <t>2008-10-09</t>
        </is>
      </c>
      <c r="W1639" t="inlineStr">
        <is>
          <t>1992-02-12</t>
        </is>
      </c>
      <c r="X1639" t="inlineStr">
        <is>
          <t>1992-02-12</t>
        </is>
      </c>
      <c r="Y1639" t="n">
        <v>96</v>
      </c>
      <c r="Z1639" t="n">
        <v>73</v>
      </c>
      <c r="AA1639" t="n">
        <v>108</v>
      </c>
      <c r="AB1639" t="n">
        <v>1</v>
      </c>
      <c r="AC1639" t="n">
        <v>1</v>
      </c>
      <c r="AD1639" t="n">
        <v>3</v>
      </c>
      <c r="AE1639" t="n">
        <v>3</v>
      </c>
      <c r="AF1639" t="n">
        <v>1</v>
      </c>
      <c r="AG1639" t="n">
        <v>1</v>
      </c>
      <c r="AH1639" t="n">
        <v>1</v>
      </c>
      <c r="AI1639" t="n">
        <v>1</v>
      </c>
      <c r="AJ1639" t="n">
        <v>1</v>
      </c>
      <c r="AK1639" t="n">
        <v>1</v>
      </c>
      <c r="AL1639" t="n">
        <v>0</v>
      </c>
      <c r="AM1639" t="n">
        <v>0</v>
      </c>
      <c r="AN1639" t="n">
        <v>0</v>
      </c>
      <c r="AO1639" t="n">
        <v>0</v>
      </c>
      <c r="AP1639" t="inlineStr">
        <is>
          <t>No</t>
        </is>
      </c>
      <c r="AQ1639" t="inlineStr">
        <is>
          <t>No</t>
        </is>
      </c>
      <c r="AS1639">
        <f>HYPERLINK("https://creighton-primo.hosted.exlibrisgroup.com/primo-explore/search?tab=default_tab&amp;search_scope=EVERYTHING&amp;vid=01CRU&amp;lang=en_US&amp;offset=0&amp;query=any,contains,991004311419702656","Catalog Record")</f>
        <v/>
      </c>
      <c r="AT1639">
        <f>HYPERLINK("http://www.worldcat.org/oclc/2995966","WorldCat Record")</f>
        <v/>
      </c>
      <c r="AU1639" t="inlineStr">
        <is>
          <t>54157382:eng</t>
        </is>
      </c>
      <c r="AV1639" t="inlineStr">
        <is>
          <t>2995966</t>
        </is>
      </c>
      <c r="AW1639" t="inlineStr">
        <is>
          <t>991004311419702656</t>
        </is>
      </c>
      <c r="AX1639" t="inlineStr">
        <is>
          <t>991004311419702656</t>
        </is>
      </c>
      <c r="AY1639" t="inlineStr">
        <is>
          <t>2261150620002656</t>
        </is>
      </c>
      <c r="AZ1639" t="inlineStr">
        <is>
          <t>BOOK</t>
        </is>
      </c>
      <c r="BB1639" t="inlineStr">
        <is>
          <t>9780890890608</t>
        </is>
      </c>
      <c r="BC1639" t="inlineStr">
        <is>
          <t>32285000958107</t>
        </is>
      </c>
      <c r="BD1639" t="inlineStr">
        <is>
          <t>893800843</t>
        </is>
      </c>
    </row>
    <row r="1640">
      <c r="A1640" t="inlineStr">
        <is>
          <t>No</t>
        </is>
      </c>
      <c r="B1640" t="inlineStr">
        <is>
          <t>HQ670 .F365 1994</t>
        </is>
      </c>
      <c r="C1640" t="inlineStr">
        <is>
          <t>0                      HQ 0670000F  365         1994</t>
        </is>
      </c>
      <c r="D1640" t="inlineStr">
        <is>
          <t>Family, kinship and marriage in India / edited by Patricia Uberoi.</t>
        </is>
      </c>
      <c r="F1640" t="inlineStr">
        <is>
          <t>No</t>
        </is>
      </c>
      <c r="G1640" t="inlineStr">
        <is>
          <t>1</t>
        </is>
      </c>
      <c r="H1640" t="inlineStr">
        <is>
          <t>No</t>
        </is>
      </c>
      <c r="I1640" t="inlineStr">
        <is>
          <t>No</t>
        </is>
      </c>
      <c r="J1640" t="inlineStr">
        <is>
          <t>0</t>
        </is>
      </c>
      <c r="L1640" t="inlineStr">
        <is>
          <t>New Delhi ; New York : Oxford University Press, 1994.</t>
        </is>
      </c>
      <c r="M1640" t="inlineStr">
        <is>
          <t>1994</t>
        </is>
      </c>
      <c r="O1640" t="inlineStr">
        <is>
          <t>eng</t>
        </is>
      </c>
      <c r="P1640" t="inlineStr">
        <is>
          <t xml:space="preserve">ii </t>
        </is>
      </c>
      <c r="Q1640" t="inlineStr">
        <is>
          <t>Oxford in India readings in sociology and social anthropology</t>
        </is>
      </c>
      <c r="R1640" t="inlineStr">
        <is>
          <t xml:space="preserve">HQ </t>
        </is>
      </c>
      <c r="S1640" t="n">
        <v>17</v>
      </c>
      <c r="T1640" t="n">
        <v>17</v>
      </c>
      <c r="U1640" t="inlineStr">
        <is>
          <t>2010-11-30</t>
        </is>
      </c>
      <c r="V1640" t="inlineStr">
        <is>
          <t>2010-11-30</t>
        </is>
      </c>
      <c r="W1640" t="inlineStr">
        <is>
          <t>2005-09-28</t>
        </is>
      </c>
      <c r="X1640" t="inlineStr">
        <is>
          <t>2005-09-28</t>
        </is>
      </c>
      <c r="Y1640" t="n">
        <v>48</v>
      </c>
      <c r="Z1640" t="n">
        <v>26</v>
      </c>
      <c r="AA1640" t="n">
        <v>165</v>
      </c>
      <c r="AB1640" t="n">
        <v>1</v>
      </c>
      <c r="AC1640" t="n">
        <v>1</v>
      </c>
      <c r="AD1640" t="n">
        <v>1</v>
      </c>
      <c r="AE1640" t="n">
        <v>8</v>
      </c>
      <c r="AF1640" t="n">
        <v>1</v>
      </c>
      <c r="AG1640" t="n">
        <v>1</v>
      </c>
      <c r="AH1640" t="n">
        <v>0</v>
      </c>
      <c r="AI1640" t="n">
        <v>3</v>
      </c>
      <c r="AJ1640" t="n">
        <v>1</v>
      </c>
      <c r="AK1640" t="n">
        <v>6</v>
      </c>
      <c r="AL1640" t="n">
        <v>0</v>
      </c>
      <c r="AM1640" t="n">
        <v>0</v>
      </c>
      <c r="AN1640" t="n">
        <v>0</v>
      </c>
      <c r="AO1640" t="n">
        <v>0</v>
      </c>
      <c r="AP1640" t="inlineStr">
        <is>
          <t>No</t>
        </is>
      </c>
      <c r="AQ1640" t="inlineStr">
        <is>
          <t>No</t>
        </is>
      </c>
      <c r="AS1640">
        <f>HYPERLINK("https://creighton-primo.hosted.exlibrisgroup.com/primo-explore/search?tab=default_tab&amp;search_scope=EVERYTHING&amp;vid=01CRU&amp;lang=en_US&amp;offset=0&amp;query=any,contains,991004650889702656","Catalog Record")</f>
        <v/>
      </c>
      <c r="AT1640">
        <f>HYPERLINK("http://www.worldcat.org/oclc/31805136","WorldCat Record")</f>
        <v/>
      </c>
      <c r="AU1640" t="inlineStr">
        <is>
          <t>55893137:eng</t>
        </is>
      </c>
      <c r="AV1640" t="inlineStr">
        <is>
          <t>31805136</t>
        </is>
      </c>
      <c r="AW1640" t="inlineStr">
        <is>
          <t>991004650889702656</t>
        </is>
      </c>
      <c r="AX1640" t="inlineStr">
        <is>
          <t>991004650889702656</t>
        </is>
      </c>
      <c r="AY1640" t="inlineStr">
        <is>
          <t>2258289730002656</t>
        </is>
      </c>
      <c r="AZ1640" t="inlineStr">
        <is>
          <t>BOOK</t>
        </is>
      </c>
      <c r="BB1640" t="inlineStr">
        <is>
          <t>9780195635089</t>
        </is>
      </c>
      <c r="BC1640" t="inlineStr">
        <is>
          <t>32285005085708</t>
        </is>
      </c>
      <c r="BD1640" t="inlineStr">
        <is>
          <t>893788962</t>
        </is>
      </c>
    </row>
    <row r="1641">
      <c r="A1641" t="inlineStr">
        <is>
          <t>No</t>
        </is>
      </c>
      <c r="B1641" t="inlineStr">
        <is>
          <t>HQ670 .S49 1998</t>
        </is>
      </c>
      <c r="C1641" t="inlineStr">
        <is>
          <t>0                      HQ 0670000S  49          1998</t>
        </is>
      </c>
      <c r="D1641" t="inlineStr">
        <is>
          <t>The family in India : critical essays / A.M. Shah.</t>
        </is>
      </c>
      <c r="F1641" t="inlineStr">
        <is>
          <t>No</t>
        </is>
      </c>
      <c r="G1641" t="inlineStr">
        <is>
          <t>1</t>
        </is>
      </c>
      <c r="H1641" t="inlineStr">
        <is>
          <t>No</t>
        </is>
      </c>
      <c r="I1641" t="inlineStr">
        <is>
          <t>No</t>
        </is>
      </c>
      <c r="J1641" t="inlineStr">
        <is>
          <t>0</t>
        </is>
      </c>
      <c r="K1641" t="inlineStr">
        <is>
          <t>Shah, A. M., 1931-2020.</t>
        </is>
      </c>
      <c r="L1641" t="inlineStr">
        <is>
          <t>New Delhi : Orient Longman, 1998.</t>
        </is>
      </c>
      <c r="M1641" t="inlineStr">
        <is>
          <t>1998</t>
        </is>
      </c>
      <c r="O1641" t="inlineStr">
        <is>
          <t>eng</t>
        </is>
      </c>
      <c r="P1641" t="inlineStr">
        <is>
          <t xml:space="preserve">ii </t>
        </is>
      </c>
      <c r="R1641" t="inlineStr">
        <is>
          <t xml:space="preserve">HQ </t>
        </is>
      </c>
      <c r="S1641" t="n">
        <v>4</v>
      </c>
      <c r="T1641" t="n">
        <v>4</v>
      </c>
      <c r="U1641" t="inlineStr">
        <is>
          <t>2008-03-09</t>
        </is>
      </c>
      <c r="V1641" t="inlineStr">
        <is>
          <t>2008-03-09</t>
        </is>
      </c>
      <c r="W1641" t="inlineStr">
        <is>
          <t>2005-10-13</t>
        </is>
      </c>
      <c r="X1641" t="inlineStr">
        <is>
          <t>2005-10-13</t>
        </is>
      </c>
      <c r="Y1641" t="n">
        <v>45</v>
      </c>
      <c r="Z1641" t="n">
        <v>29</v>
      </c>
      <c r="AA1641" t="n">
        <v>31</v>
      </c>
      <c r="AB1641" t="n">
        <v>1</v>
      </c>
      <c r="AC1641" t="n">
        <v>1</v>
      </c>
      <c r="AD1641" t="n">
        <v>0</v>
      </c>
      <c r="AE1641" t="n">
        <v>0</v>
      </c>
      <c r="AF1641" t="n">
        <v>0</v>
      </c>
      <c r="AG1641" t="n">
        <v>0</v>
      </c>
      <c r="AH1641" t="n">
        <v>0</v>
      </c>
      <c r="AI1641" t="n">
        <v>0</v>
      </c>
      <c r="AJ1641" t="n">
        <v>0</v>
      </c>
      <c r="AK1641" t="n">
        <v>0</v>
      </c>
      <c r="AL1641" t="n">
        <v>0</v>
      </c>
      <c r="AM1641" t="n">
        <v>0</v>
      </c>
      <c r="AN1641" t="n">
        <v>0</v>
      </c>
      <c r="AO1641" t="n">
        <v>0</v>
      </c>
      <c r="AP1641" t="inlineStr">
        <is>
          <t>No</t>
        </is>
      </c>
      <c r="AQ1641" t="inlineStr">
        <is>
          <t>No</t>
        </is>
      </c>
      <c r="AS1641">
        <f>HYPERLINK("https://creighton-primo.hosted.exlibrisgroup.com/primo-explore/search?tab=default_tab&amp;search_scope=EVERYTHING&amp;vid=01CRU&amp;lang=en_US&amp;offset=0&amp;query=any,contains,991004657159702656","Catalog Record")</f>
        <v/>
      </c>
      <c r="AT1641">
        <f>HYPERLINK("http://www.worldcat.org/oclc/39130682","WorldCat Record")</f>
        <v/>
      </c>
      <c r="AU1641" t="inlineStr">
        <is>
          <t>42484899:eng</t>
        </is>
      </c>
      <c r="AV1641" t="inlineStr">
        <is>
          <t>39130682</t>
        </is>
      </c>
      <c r="AW1641" t="inlineStr">
        <is>
          <t>991004657159702656</t>
        </is>
      </c>
      <c r="AX1641" t="inlineStr">
        <is>
          <t>991004657159702656</t>
        </is>
      </c>
      <c r="AY1641" t="inlineStr">
        <is>
          <t>2265146340002656</t>
        </is>
      </c>
      <c r="AZ1641" t="inlineStr">
        <is>
          <t>BOOK</t>
        </is>
      </c>
      <c r="BB1641" t="inlineStr">
        <is>
          <t>9788125013068</t>
        </is>
      </c>
      <c r="BC1641" t="inlineStr">
        <is>
          <t>32285005089437</t>
        </is>
      </c>
      <c r="BD1641" t="inlineStr">
        <is>
          <t>893430334</t>
        </is>
      </c>
    </row>
    <row r="1642">
      <c r="A1642" t="inlineStr">
        <is>
          <t>No</t>
        </is>
      </c>
      <c r="B1642" t="inlineStr">
        <is>
          <t>HQ670 .S52</t>
        </is>
      </c>
      <c r="C1642" t="inlineStr">
        <is>
          <t>0                      HQ 0670000S  52</t>
        </is>
      </c>
      <c r="D1642" t="inlineStr">
        <is>
          <t>The household dimension of the family in India : a field study in a Gujarat village and a review of other studies / [by] A. M. Shah. With a foreword by M. N. Srinivas.</t>
        </is>
      </c>
      <c r="F1642" t="inlineStr">
        <is>
          <t>No</t>
        </is>
      </c>
      <c r="G1642" t="inlineStr">
        <is>
          <t>1</t>
        </is>
      </c>
      <c r="H1642" t="inlineStr">
        <is>
          <t>No</t>
        </is>
      </c>
      <c r="I1642" t="inlineStr">
        <is>
          <t>No</t>
        </is>
      </c>
      <c r="J1642" t="inlineStr">
        <is>
          <t>0</t>
        </is>
      </c>
      <c r="K1642" t="inlineStr">
        <is>
          <t>Shah, A. M., 1931-2020.</t>
        </is>
      </c>
      <c r="L1642" t="inlineStr">
        <is>
          <t>Berkeley : University of California Press, [1974]</t>
        </is>
      </c>
      <c r="M1642" t="inlineStr">
        <is>
          <t>1974</t>
        </is>
      </c>
      <c r="O1642" t="inlineStr">
        <is>
          <t>eng</t>
        </is>
      </c>
      <c r="P1642" t="inlineStr">
        <is>
          <t>cau</t>
        </is>
      </c>
      <c r="R1642" t="inlineStr">
        <is>
          <t xml:space="preserve">HQ </t>
        </is>
      </c>
      <c r="S1642" t="n">
        <v>24</v>
      </c>
      <c r="T1642" t="n">
        <v>24</v>
      </c>
      <c r="U1642" t="inlineStr">
        <is>
          <t>2008-10-09</t>
        </is>
      </c>
      <c r="V1642" t="inlineStr">
        <is>
          <t>2008-10-09</t>
        </is>
      </c>
      <c r="W1642" t="inlineStr">
        <is>
          <t>1993-04-22</t>
        </is>
      </c>
      <c r="X1642" t="inlineStr">
        <is>
          <t>1993-04-22</t>
        </is>
      </c>
      <c r="Y1642" t="n">
        <v>476</v>
      </c>
      <c r="Z1642" t="n">
        <v>374</v>
      </c>
      <c r="AA1642" t="n">
        <v>378</v>
      </c>
      <c r="AB1642" t="n">
        <v>3</v>
      </c>
      <c r="AC1642" t="n">
        <v>3</v>
      </c>
      <c r="AD1642" t="n">
        <v>15</v>
      </c>
      <c r="AE1642" t="n">
        <v>15</v>
      </c>
      <c r="AF1642" t="n">
        <v>4</v>
      </c>
      <c r="AG1642" t="n">
        <v>4</v>
      </c>
      <c r="AH1642" t="n">
        <v>5</v>
      </c>
      <c r="AI1642" t="n">
        <v>5</v>
      </c>
      <c r="AJ1642" t="n">
        <v>9</v>
      </c>
      <c r="AK1642" t="n">
        <v>9</v>
      </c>
      <c r="AL1642" t="n">
        <v>2</v>
      </c>
      <c r="AM1642" t="n">
        <v>2</v>
      </c>
      <c r="AN1642" t="n">
        <v>0</v>
      </c>
      <c r="AO1642" t="n">
        <v>0</v>
      </c>
      <c r="AP1642" t="inlineStr">
        <is>
          <t>No</t>
        </is>
      </c>
      <c r="AQ1642" t="inlineStr">
        <is>
          <t>Yes</t>
        </is>
      </c>
      <c r="AR1642">
        <f>HYPERLINK("http://catalog.hathitrust.org/Record/000977427","HathiTrust Record")</f>
        <v/>
      </c>
      <c r="AS1642">
        <f>HYPERLINK("https://creighton-primo.hosted.exlibrisgroup.com/primo-explore/search?tab=default_tab&amp;search_scope=EVERYTHING&amp;vid=01CRU&amp;lang=en_US&amp;offset=0&amp;query=any,contains,991003352499702656","Catalog Record")</f>
        <v/>
      </c>
      <c r="AT1642">
        <f>HYPERLINK("http://www.worldcat.org/oclc/886086","WorldCat Record")</f>
        <v/>
      </c>
      <c r="AU1642" t="inlineStr">
        <is>
          <t>293315846:eng</t>
        </is>
      </c>
      <c r="AV1642" t="inlineStr">
        <is>
          <t>886086</t>
        </is>
      </c>
      <c r="AW1642" t="inlineStr">
        <is>
          <t>991003352499702656</t>
        </is>
      </c>
      <c r="AX1642" t="inlineStr">
        <is>
          <t>991003352499702656</t>
        </is>
      </c>
      <c r="AY1642" t="inlineStr">
        <is>
          <t>2259773240002656</t>
        </is>
      </c>
      <c r="AZ1642" t="inlineStr">
        <is>
          <t>BOOK</t>
        </is>
      </c>
      <c r="BB1642" t="inlineStr">
        <is>
          <t>9780520017900</t>
        </is>
      </c>
      <c r="BC1642" t="inlineStr">
        <is>
          <t>32285001622603</t>
        </is>
      </c>
      <c r="BD1642" t="inlineStr">
        <is>
          <t>893234093</t>
        </is>
      </c>
    </row>
    <row r="1643">
      <c r="A1643" t="inlineStr">
        <is>
          <t>No</t>
        </is>
      </c>
      <c r="B1643" t="inlineStr">
        <is>
          <t>HQ682 .B55</t>
        </is>
      </c>
      <c r="C1643" t="inlineStr">
        <is>
          <t>0                      HQ 0682000B  55</t>
        </is>
      </c>
      <c r="D1643" t="inlineStr">
        <is>
          <t>Love match and arranged marriage; a Tokyo-Detroit comparison [by] Robert O. Blood, Jr.</t>
        </is>
      </c>
      <c r="F1643" t="inlineStr">
        <is>
          <t>No</t>
        </is>
      </c>
      <c r="G1643" t="inlineStr">
        <is>
          <t>1</t>
        </is>
      </c>
      <c r="H1643" t="inlineStr">
        <is>
          <t>No</t>
        </is>
      </c>
      <c r="I1643" t="inlineStr">
        <is>
          <t>No</t>
        </is>
      </c>
      <c r="J1643" t="inlineStr">
        <is>
          <t>0</t>
        </is>
      </c>
      <c r="K1643" t="inlineStr">
        <is>
          <t>Blood, Robert O.</t>
        </is>
      </c>
      <c r="L1643" t="inlineStr">
        <is>
          <t>New York, Free Press [1967]</t>
        </is>
      </c>
      <c r="M1643" t="inlineStr">
        <is>
          <t>1967</t>
        </is>
      </c>
      <c r="O1643" t="inlineStr">
        <is>
          <t>eng</t>
        </is>
      </c>
      <c r="P1643" t="inlineStr">
        <is>
          <t>nyu</t>
        </is>
      </c>
      <c r="R1643" t="inlineStr">
        <is>
          <t xml:space="preserve">HQ </t>
        </is>
      </c>
      <c r="S1643" t="n">
        <v>24</v>
      </c>
      <c r="T1643" t="n">
        <v>24</v>
      </c>
      <c r="U1643" t="inlineStr">
        <is>
          <t>2009-04-15</t>
        </is>
      </c>
      <c r="V1643" t="inlineStr">
        <is>
          <t>2009-04-15</t>
        </is>
      </c>
      <c r="W1643" t="inlineStr">
        <is>
          <t>1997-08-11</t>
        </is>
      </c>
      <c r="X1643" t="inlineStr">
        <is>
          <t>1997-08-11</t>
        </is>
      </c>
      <c r="Y1643" t="n">
        <v>625</v>
      </c>
      <c r="Z1643" t="n">
        <v>526</v>
      </c>
      <c r="AA1643" t="n">
        <v>529</v>
      </c>
      <c r="AB1643" t="n">
        <v>5</v>
      </c>
      <c r="AC1643" t="n">
        <v>5</v>
      </c>
      <c r="AD1643" t="n">
        <v>29</v>
      </c>
      <c r="AE1643" t="n">
        <v>29</v>
      </c>
      <c r="AF1643" t="n">
        <v>13</v>
      </c>
      <c r="AG1643" t="n">
        <v>13</v>
      </c>
      <c r="AH1643" t="n">
        <v>3</v>
      </c>
      <c r="AI1643" t="n">
        <v>3</v>
      </c>
      <c r="AJ1643" t="n">
        <v>15</v>
      </c>
      <c r="AK1643" t="n">
        <v>15</v>
      </c>
      <c r="AL1643" t="n">
        <v>4</v>
      </c>
      <c r="AM1643" t="n">
        <v>4</v>
      </c>
      <c r="AN1643" t="n">
        <v>0</v>
      </c>
      <c r="AO1643" t="n">
        <v>0</v>
      </c>
      <c r="AP1643" t="inlineStr">
        <is>
          <t>No</t>
        </is>
      </c>
      <c r="AQ1643" t="inlineStr">
        <is>
          <t>Yes</t>
        </is>
      </c>
      <c r="AR1643">
        <f>HYPERLINK("http://catalog.hathitrust.org/Record/000977435","HathiTrust Record")</f>
        <v/>
      </c>
      <c r="AS1643">
        <f>HYPERLINK("https://creighton-primo.hosted.exlibrisgroup.com/primo-explore/search?tab=default_tab&amp;search_scope=EVERYTHING&amp;vid=01CRU&amp;lang=en_US&amp;offset=0&amp;query=any,contains,991002834099702656","Catalog Record")</f>
        <v/>
      </c>
      <c r="AT1643">
        <f>HYPERLINK("http://www.worldcat.org/oclc/479144","WorldCat Record")</f>
        <v/>
      </c>
      <c r="AU1643" t="inlineStr">
        <is>
          <t>308737746:eng</t>
        </is>
      </c>
      <c r="AV1643" t="inlineStr">
        <is>
          <t>479144</t>
        </is>
      </c>
      <c r="AW1643" t="inlineStr">
        <is>
          <t>991002834099702656</t>
        </is>
      </c>
      <c r="AX1643" t="inlineStr">
        <is>
          <t>991002834099702656</t>
        </is>
      </c>
      <c r="AY1643" t="inlineStr">
        <is>
          <t>2263847530002656</t>
        </is>
      </c>
      <c r="AZ1643" t="inlineStr">
        <is>
          <t>BOOK</t>
        </is>
      </c>
      <c r="BC1643" t="inlineStr">
        <is>
          <t>32285003089157</t>
        </is>
      </c>
      <c r="BD1643" t="inlineStr">
        <is>
          <t>893874061</t>
        </is>
      </c>
    </row>
    <row r="1644">
      <c r="A1644" t="inlineStr">
        <is>
          <t>No</t>
        </is>
      </c>
      <c r="B1644" t="inlineStr">
        <is>
          <t>HQ682 .W48 1988</t>
        </is>
      </c>
      <c r="C1644" t="inlineStr">
        <is>
          <t>0                      HQ 0682000W  48          1988</t>
        </is>
      </c>
      <c r="D1644" t="inlineStr">
        <is>
          <t>The Japanese overseas : can they go home again? / Merry White.</t>
        </is>
      </c>
      <c r="F1644" t="inlineStr">
        <is>
          <t>No</t>
        </is>
      </c>
      <c r="G1644" t="inlineStr">
        <is>
          <t>1</t>
        </is>
      </c>
      <c r="H1644" t="inlineStr">
        <is>
          <t>No</t>
        </is>
      </c>
      <c r="I1644" t="inlineStr">
        <is>
          <t>No</t>
        </is>
      </c>
      <c r="J1644" t="inlineStr">
        <is>
          <t>0</t>
        </is>
      </c>
      <c r="K1644" t="inlineStr">
        <is>
          <t>White, Merry I., 1941-</t>
        </is>
      </c>
      <c r="L1644" t="inlineStr">
        <is>
          <t>New York : Free Press ; London : Collier Macmillan, c1988.</t>
        </is>
      </c>
      <c r="M1644" t="inlineStr">
        <is>
          <t>1988</t>
        </is>
      </c>
      <c r="O1644" t="inlineStr">
        <is>
          <t>eng</t>
        </is>
      </c>
      <c r="P1644" t="inlineStr">
        <is>
          <t>nyu</t>
        </is>
      </c>
      <c r="R1644" t="inlineStr">
        <is>
          <t xml:space="preserve">HQ </t>
        </is>
      </c>
      <c r="S1644" t="n">
        <v>10</v>
      </c>
      <c r="T1644" t="n">
        <v>10</v>
      </c>
      <c r="U1644" t="inlineStr">
        <is>
          <t>1996-04-02</t>
        </is>
      </c>
      <c r="V1644" t="inlineStr">
        <is>
          <t>1996-04-02</t>
        </is>
      </c>
      <c r="W1644" t="inlineStr">
        <is>
          <t>1990-03-27</t>
        </is>
      </c>
      <c r="X1644" t="inlineStr">
        <is>
          <t>1990-03-27</t>
        </is>
      </c>
      <c r="Y1644" t="n">
        <v>555</v>
      </c>
      <c r="Z1644" t="n">
        <v>476</v>
      </c>
      <c r="AA1644" t="n">
        <v>757</v>
      </c>
      <c r="AB1644" t="n">
        <v>4</v>
      </c>
      <c r="AC1644" t="n">
        <v>7</v>
      </c>
      <c r="AD1644" t="n">
        <v>19</v>
      </c>
      <c r="AE1644" t="n">
        <v>35</v>
      </c>
      <c r="AF1644" t="n">
        <v>8</v>
      </c>
      <c r="AG1644" t="n">
        <v>16</v>
      </c>
      <c r="AH1644" t="n">
        <v>6</v>
      </c>
      <c r="AI1644" t="n">
        <v>9</v>
      </c>
      <c r="AJ1644" t="n">
        <v>10</v>
      </c>
      <c r="AK1644" t="n">
        <v>17</v>
      </c>
      <c r="AL1644" t="n">
        <v>3</v>
      </c>
      <c r="AM1644" t="n">
        <v>5</v>
      </c>
      <c r="AN1644" t="n">
        <v>0</v>
      </c>
      <c r="AO1644" t="n">
        <v>0</v>
      </c>
      <c r="AP1644" t="inlineStr">
        <is>
          <t>No</t>
        </is>
      </c>
      <c r="AQ1644" t="inlineStr">
        <is>
          <t>Yes</t>
        </is>
      </c>
      <c r="AR1644">
        <f>HYPERLINK("http://catalog.hathitrust.org/Record/000905577","HathiTrust Record")</f>
        <v/>
      </c>
      <c r="AS1644">
        <f>HYPERLINK("https://creighton-primo.hosted.exlibrisgroup.com/primo-explore/search?tab=default_tab&amp;search_scope=EVERYTHING&amp;vid=01CRU&amp;lang=en_US&amp;offset=0&amp;query=any,contains,991001185999702656","Catalog Record")</f>
        <v/>
      </c>
      <c r="AT1644">
        <f>HYPERLINK("http://www.worldcat.org/oclc/17202879","WorldCat Record")</f>
        <v/>
      </c>
      <c r="AU1644" t="inlineStr">
        <is>
          <t>15429035:eng</t>
        </is>
      </c>
      <c r="AV1644" t="inlineStr">
        <is>
          <t>17202879</t>
        </is>
      </c>
      <c r="AW1644" t="inlineStr">
        <is>
          <t>991001185999702656</t>
        </is>
      </c>
      <c r="AX1644" t="inlineStr">
        <is>
          <t>991001185999702656</t>
        </is>
      </c>
      <c r="AY1644" t="inlineStr">
        <is>
          <t>2258624370002656</t>
        </is>
      </c>
      <c r="AZ1644" t="inlineStr">
        <is>
          <t>BOOK</t>
        </is>
      </c>
      <c r="BB1644" t="inlineStr">
        <is>
          <t>9780029350911</t>
        </is>
      </c>
      <c r="BC1644" t="inlineStr">
        <is>
          <t>32285000097542</t>
        </is>
      </c>
      <c r="BD1644" t="inlineStr">
        <is>
          <t>893803419</t>
        </is>
      </c>
    </row>
    <row r="1645">
      <c r="A1645" t="inlineStr">
        <is>
          <t>No</t>
        </is>
      </c>
      <c r="B1645" t="inlineStr">
        <is>
          <t>HQ682.S35 C4 1973</t>
        </is>
      </c>
      <c r="C1645" t="inlineStr">
        <is>
          <t>0                      HQ 0682000S  35                 C  4           1973</t>
        </is>
      </c>
      <c r="D1645" t="inlineStr">
        <is>
          <t>Changing values of the Japanese family, by Chiye Sano.</t>
        </is>
      </c>
      <c r="F1645" t="inlineStr">
        <is>
          <t>No</t>
        </is>
      </c>
      <c r="G1645" t="inlineStr">
        <is>
          <t>1</t>
        </is>
      </c>
      <c r="H1645" t="inlineStr">
        <is>
          <t>No</t>
        </is>
      </c>
      <c r="I1645" t="inlineStr">
        <is>
          <t>No</t>
        </is>
      </c>
      <c r="J1645" t="inlineStr">
        <is>
          <t>0</t>
        </is>
      </c>
      <c r="K1645" t="inlineStr">
        <is>
          <t>Sano, Chie.</t>
        </is>
      </c>
      <c r="L1645" t="inlineStr">
        <is>
          <t>Westport, Conn., Greenwood Press [1973, c1958]</t>
        </is>
      </c>
      <c r="M1645" t="inlineStr">
        <is>
          <t>1973</t>
        </is>
      </c>
      <c r="O1645" t="inlineStr">
        <is>
          <t>eng</t>
        </is>
      </c>
      <c r="P1645" t="inlineStr">
        <is>
          <t>ctu</t>
        </is>
      </c>
      <c r="R1645" t="inlineStr">
        <is>
          <t xml:space="preserve">HQ </t>
        </is>
      </c>
      <c r="S1645" t="n">
        <v>9</v>
      </c>
      <c r="T1645" t="n">
        <v>9</v>
      </c>
      <c r="U1645" t="inlineStr">
        <is>
          <t>2008-03-16</t>
        </is>
      </c>
      <c r="V1645" t="inlineStr">
        <is>
          <t>2008-03-16</t>
        </is>
      </c>
      <c r="W1645" t="inlineStr">
        <is>
          <t>1997-08-11</t>
        </is>
      </c>
      <c r="X1645" t="inlineStr">
        <is>
          <t>1997-08-11</t>
        </is>
      </c>
      <c r="Y1645" t="n">
        <v>162</v>
      </c>
      <c r="Z1645" t="n">
        <v>128</v>
      </c>
      <c r="AA1645" t="n">
        <v>250</v>
      </c>
      <c r="AB1645" t="n">
        <v>1</v>
      </c>
      <c r="AC1645" t="n">
        <v>2</v>
      </c>
      <c r="AD1645" t="n">
        <v>6</v>
      </c>
      <c r="AE1645" t="n">
        <v>10</v>
      </c>
      <c r="AF1645" t="n">
        <v>2</v>
      </c>
      <c r="AG1645" t="n">
        <v>3</v>
      </c>
      <c r="AH1645" t="n">
        <v>3</v>
      </c>
      <c r="AI1645" t="n">
        <v>3</v>
      </c>
      <c r="AJ1645" t="n">
        <v>4</v>
      </c>
      <c r="AK1645" t="n">
        <v>7</v>
      </c>
      <c r="AL1645" t="n">
        <v>0</v>
      </c>
      <c r="AM1645" t="n">
        <v>1</v>
      </c>
      <c r="AN1645" t="n">
        <v>0</v>
      </c>
      <c r="AO1645" t="n">
        <v>0</v>
      </c>
      <c r="AP1645" t="inlineStr">
        <is>
          <t>No</t>
        </is>
      </c>
      <c r="AQ1645" t="inlineStr">
        <is>
          <t>No</t>
        </is>
      </c>
      <c r="AS1645">
        <f>HYPERLINK("https://creighton-primo.hosted.exlibrisgroup.com/primo-explore/search?tab=default_tab&amp;search_scope=EVERYTHING&amp;vid=01CRU&amp;lang=en_US&amp;offset=0&amp;query=any,contains,991003167519702656","Catalog Record")</f>
        <v/>
      </c>
      <c r="AT1645">
        <f>HYPERLINK("http://www.worldcat.org/oclc/704796","WorldCat Record")</f>
        <v/>
      </c>
      <c r="AU1645" t="inlineStr">
        <is>
          <t>1383731:eng</t>
        </is>
      </c>
      <c r="AV1645" t="inlineStr">
        <is>
          <t>704796</t>
        </is>
      </c>
      <c r="AW1645" t="inlineStr">
        <is>
          <t>991003167519702656</t>
        </is>
      </c>
      <c r="AX1645" t="inlineStr">
        <is>
          <t>991003167519702656</t>
        </is>
      </c>
      <c r="AY1645" t="inlineStr">
        <is>
          <t>2259214450002656</t>
        </is>
      </c>
      <c r="AZ1645" t="inlineStr">
        <is>
          <t>BOOK</t>
        </is>
      </c>
      <c r="BB1645" t="inlineStr">
        <is>
          <t>9780837169743</t>
        </is>
      </c>
      <c r="BC1645" t="inlineStr">
        <is>
          <t>32285003089173</t>
        </is>
      </c>
      <c r="BD1645" t="inlineStr">
        <is>
          <t>893434706</t>
        </is>
      </c>
    </row>
    <row r="1646">
      <c r="A1646" t="inlineStr">
        <is>
          <t>No</t>
        </is>
      </c>
      <c r="B1646" t="inlineStr">
        <is>
          <t>HQ684 .C47 1979</t>
        </is>
      </c>
      <c r="C1646" t="inlineStr">
        <is>
          <t>0                      HQ 0684000C  47          1979</t>
        </is>
      </c>
      <c r="D1646" t="inlineStr">
        <is>
          <t>The modern Chinese family / by Wai-Kin Che.</t>
        </is>
      </c>
      <c r="F1646" t="inlineStr">
        <is>
          <t>No</t>
        </is>
      </c>
      <c r="G1646" t="inlineStr">
        <is>
          <t>1</t>
        </is>
      </c>
      <c r="H1646" t="inlineStr">
        <is>
          <t>No</t>
        </is>
      </c>
      <c r="I1646" t="inlineStr">
        <is>
          <t>No</t>
        </is>
      </c>
      <c r="J1646" t="inlineStr">
        <is>
          <t>0</t>
        </is>
      </c>
      <c r="K1646" t="inlineStr">
        <is>
          <t>Che, Wai-Kin.</t>
        </is>
      </c>
      <c r="L1646" t="inlineStr">
        <is>
          <t>Palo Alto, Calif. : R &amp; E Research Associates, 1979.</t>
        </is>
      </c>
      <c r="M1646" t="inlineStr">
        <is>
          <t>1979</t>
        </is>
      </c>
      <c r="O1646" t="inlineStr">
        <is>
          <t>eng</t>
        </is>
      </c>
      <c r="P1646" t="inlineStr">
        <is>
          <t>cau</t>
        </is>
      </c>
      <c r="R1646" t="inlineStr">
        <is>
          <t xml:space="preserve">HQ </t>
        </is>
      </c>
      <c r="S1646" t="n">
        <v>9</v>
      </c>
      <c r="T1646" t="n">
        <v>9</v>
      </c>
      <c r="U1646" t="inlineStr">
        <is>
          <t>2008-03-25</t>
        </is>
      </c>
      <c r="V1646" t="inlineStr">
        <is>
          <t>2008-03-25</t>
        </is>
      </c>
      <c r="W1646" t="inlineStr">
        <is>
          <t>1992-11-16</t>
        </is>
      </c>
      <c r="X1646" t="inlineStr">
        <is>
          <t>1992-11-16</t>
        </is>
      </c>
      <c r="Y1646" t="n">
        <v>211</v>
      </c>
      <c r="Z1646" t="n">
        <v>173</v>
      </c>
      <c r="AA1646" t="n">
        <v>179</v>
      </c>
      <c r="AB1646" t="n">
        <v>2</v>
      </c>
      <c r="AC1646" t="n">
        <v>2</v>
      </c>
      <c r="AD1646" t="n">
        <v>7</v>
      </c>
      <c r="AE1646" t="n">
        <v>7</v>
      </c>
      <c r="AF1646" t="n">
        <v>1</v>
      </c>
      <c r="AG1646" t="n">
        <v>1</v>
      </c>
      <c r="AH1646" t="n">
        <v>0</v>
      </c>
      <c r="AI1646" t="n">
        <v>0</v>
      </c>
      <c r="AJ1646" t="n">
        <v>6</v>
      </c>
      <c r="AK1646" t="n">
        <v>6</v>
      </c>
      <c r="AL1646" t="n">
        <v>1</v>
      </c>
      <c r="AM1646" t="n">
        <v>1</v>
      </c>
      <c r="AN1646" t="n">
        <v>0</v>
      </c>
      <c r="AO1646" t="n">
        <v>0</v>
      </c>
      <c r="AP1646" t="inlineStr">
        <is>
          <t>No</t>
        </is>
      </c>
      <c r="AQ1646" t="inlineStr">
        <is>
          <t>No</t>
        </is>
      </c>
      <c r="AS1646">
        <f>HYPERLINK("https://creighton-primo.hosted.exlibrisgroup.com/primo-explore/search?tab=default_tab&amp;search_scope=EVERYTHING&amp;vid=01CRU&amp;lang=en_US&amp;offset=0&amp;query=any,contains,991004806059702656","Catalog Record")</f>
        <v/>
      </c>
      <c r="AT1646">
        <f>HYPERLINK("http://www.worldcat.org/oclc/5247861","WorldCat Record")</f>
        <v/>
      </c>
      <c r="AU1646" t="inlineStr">
        <is>
          <t>541922:eng</t>
        </is>
      </c>
      <c r="AV1646" t="inlineStr">
        <is>
          <t>5247861</t>
        </is>
      </c>
      <c r="AW1646" t="inlineStr">
        <is>
          <t>991004806059702656</t>
        </is>
      </c>
      <c r="AX1646" t="inlineStr">
        <is>
          <t>991004806059702656</t>
        </is>
      </c>
      <c r="AY1646" t="inlineStr">
        <is>
          <t>2260294610002656</t>
        </is>
      </c>
      <c r="AZ1646" t="inlineStr">
        <is>
          <t>BOOK</t>
        </is>
      </c>
      <c r="BB1646" t="inlineStr">
        <is>
          <t>9780882475547</t>
        </is>
      </c>
      <c r="BC1646" t="inlineStr">
        <is>
          <t>32285001405421</t>
        </is>
      </c>
      <c r="BD1646" t="inlineStr">
        <is>
          <t>893248001</t>
        </is>
      </c>
    </row>
    <row r="1647">
      <c r="A1647" t="inlineStr">
        <is>
          <t>No</t>
        </is>
      </c>
      <c r="B1647" t="inlineStr">
        <is>
          <t>HQ71 .D245 1990</t>
        </is>
      </c>
      <c r="C1647" t="inlineStr">
        <is>
          <t>0                      HQ 0071000D  245         1990</t>
        </is>
      </c>
      <c r="D1647" t="inlineStr">
        <is>
          <t>The courage to heal workbook : for women and men survivors of child sexual abuse / Laura Davis.</t>
        </is>
      </c>
      <c r="F1647" t="inlineStr">
        <is>
          <t>No</t>
        </is>
      </c>
      <c r="G1647" t="inlineStr">
        <is>
          <t>1</t>
        </is>
      </c>
      <c r="H1647" t="inlineStr">
        <is>
          <t>No</t>
        </is>
      </c>
      <c r="I1647" t="inlineStr">
        <is>
          <t>No</t>
        </is>
      </c>
      <c r="J1647" t="inlineStr">
        <is>
          <t>0</t>
        </is>
      </c>
      <c r="K1647" t="inlineStr">
        <is>
          <t>Davis, Laura.</t>
        </is>
      </c>
      <c r="L1647" t="inlineStr">
        <is>
          <t>New York, N.Y. : Harper &amp; Row, 1990.</t>
        </is>
      </c>
      <c r="M1647" t="inlineStr">
        <is>
          <t>1990</t>
        </is>
      </c>
      <c r="O1647" t="inlineStr">
        <is>
          <t>eng</t>
        </is>
      </c>
      <c r="P1647" t="inlineStr">
        <is>
          <t>nyu</t>
        </is>
      </c>
      <c r="R1647" t="inlineStr">
        <is>
          <t xml:space="preserve">HQ </t>
        </is>
      </c>
      <c r="S1647" t="n">
        <v>15</v>
      </c>
      <c r="T1647" t="n">
        <v>15</v>
      </c>
      <c r="U1647" t="inlineStr">
        <is>
          <t>2008-09-19</t>
        </is>
      </c>
      <c r="V1647" t="inlineStr">
        <is>
          <t>2008-09-19</t>
        </is>
      </c>
      <c r="W1647" t="inlineStr">
        <is>
          <t>1992-09-29</t>
        </is>
      </c>
      <c r="X1647" t="inlineStr">
        <is>
          <t>1992-09-29</t>
        </is>
      </c>
      <c r="Y1647" t="n">
        <v>593</v>
      </c>
      <c r="Z1647" t="n">
        <v>518</v>
      </c>
      <c r="AA1647" t="n">
        <v>563</v>
      </c>
      <c r="AB1647" t="n">
        <v>4</v>
      </c>
      <c r="AC1647" t="n">
        <v>4</v>
      </c>
      <c r="AD1647" t="n">
        <v>13</v>
      </c>
      <c r="AE1647" t="n">
        <v>14</v>
      </c>
      <c r="AF1647" t="n">
        <v>6</v>
      </c>
      <c r="AG1647" t="n">
        <v>6</v>
      </c>
      <c r="AH1647" t="n">
        <v>2</v>
      </c>
      <c r="AI1647" t="n">
        <v>3</v>
      </c>
      <c r="AJ1647" t="n">
        <v>5</v>
      </c>
      <c r="AK1647" t="n">
        <v>6</v>
      </c>
      <c r="AL1647" t="n">
        <v>3</v>
      </c>
      <c r="AM1647" t="n">
        <v>3</v>
      </c>
      <c r="AN1647" t="n">
        <v>0</v>
      </c>
      <c r="AO1647" t="n">
        <v>0</v>
      </c>
      <c r="AP1647" t="inlineStr">
        <is>
          <t>No</t>
        </is>
      </c>
      <c r="AQ1647" t="inlineStr">
        <is>
          <t>No</t>
        </is>
      </c>
      <c r="AS1647">
        <f>HYPERLINK("https://creighton-primo.hosted.exlibrisgroup.com/primo-explore/search?tab=default_tab&amp;search_scope=EVERYTHING&amp;vid=01CRU&amp;lang=en_US&amp;offset=0&amp;query=any,contains,991001545689702656","Catalog Record")</f>
        <v/>
      </c>
      <c r="AT1647">
        <f>HYPERLINK("http://www.worldcat.org/oclc/20167838","WorldCat Record")</f>
        <v/>
      </c>
      <c r="AU1647" t="inlineStr">
        <is>
          <t>3858476161:eng</t>
        </is>
      </c>
      <c r="AV1647" t="inlineStr">
        <is>
          <t>20167838</t>
        </is>
      </c>
      <c r="AW1647" t="inlineStr">
        <is>
          <t>991001545689702656</t>
        </is>
      </c>
      <c r="AX1647" t="inlineStr">
        <is>
          <t>991001545689702656</t>
        </is>
      </c>
      <c r="AY1647" t="inlineStr">
        <is>
          <t>2270535320002656</t>
        </is>
      </c>
      <c r="AZ1647" t="inlineStr">
        <is>
          <t>BOOK</t>
        </is>
      </c>
      <c r="BB1647" t="inlineStr">
        <is>
          <t>9780060964375</t>
        </is>
      </c>
      <c r="BC1647" t="inlineStr">
        <is>
          <t>32285001341535</t>
        </is>
      </c>
      <c r="BD1647" t="inlineStr">
        <is>
          <t>893328196</t>
        </is>
      </c>
    </row>
    <row r="1648">
      <c r="A1648" t="inlineStr">
        <is>
          <t>No</t>
        </is>
      </c>
      <c r="B1648" t="inlineStr">
        <is>
          <t>HQ71 .D49 1991</t>
        </is>
      </c>
      <c r="C1648" t="inlineStr">
        <is>
          <t>0                      HQ 0071000D  49          1991</t>
        </is>
      </c>
      <c r="D1648" t="inlineStr">
        <is>
          <t>Sexual dissidence : Augustine to Wilde, Freud to Foucault / Jonathan Dollimore.</t>
        </is>
      </c>
      <c r="F1648" t="inlineStr">
        <is>
          <t>No</t>
        </is>
      </c>
      <c r="G1648" t="inlineStr">
        <is>
          <t>1</t>
        </is>
      </c>
      <c r="H1648" t="inlineStr">
        <is>
          <t>No</t>
        </is>
      </c>
      <c r="I1648" t="inlineStr">
        <is>
          <t>No</t>
        </is>
      </c>
      <c r="J1648" t="inlineStr">
        <is>
          <t>0</t>
        </is>
      </c>
      <c r="K1648" t="inlineStr">
        <is>
          <t>Dollimore, Jonathan.</t>
        </is>
      </c>
      <c r="L1648" t="inlineStr">
        <is>
          <t>Oxford : Clarendon Press ; New York : Oxford University Press, 1991.</t>
        </is>
      </c>
      <c r="M1648" t="inlineStr">
        <is>
          <t>1991</t>
        </is>
      </c>
      <c r="O1648" t="inlineStr">
        <is>
          <t>eng</t>
        </is>
      </c>
      <c r="P1648" t="inlineStr">
        <is>
          <t>enk</t>
        </is>
      </c>
      <c r="R1648" t="inlineStr">
        <is>
          <t xml:space="preserve">HQ </t>
        </is>
      </c>
      <c r="S1648" t="n">
        <v>3</v>
      </c>
      <c r="T1648" t="n">
        <v>3</v>
      </c>
      <c r="U1648" t="inlineStr">
        <is>
          <t>2007-11-12</t>
        </is>
      </c>
      <c r="V1648" t="inlineStr">
        <is>
          <t>2007-11-12</t>
        </is>
      </c>
      <c r="W1648" t="inlineStr">
        <is>
          <t>2005-03-15</t>
        </is>
      </c>
      <c r="X1648" t="inlineStr">
        <is>
          <t>2005-03-15</t>
        </is>
      </c>
      <c r="Y1648" t="n">
        <v>754</v>
      </c>
      <c r="Z1648" t="n">
        <v>477</v>
      </c>
      <c r="AA1648" t="n">
        <v>502</v>
      </c>
      <c r="AB1648" t="n">
        <v>5</v>
      </c>
      <c r="AC1648" t="n">
        <v>5</v>
      </c>
      <c r="AD1648" t="n">
        <v>31</v>
      </c>
      <c r="AE1648" t="n">
        <v>31</v>
      </c>
      <c r="AF1648" t="n">
        <v>8</v>
      </c>
      <c r="AG1648" t="n">
        <v>8</v>
      </c>
      <c r="AH1648" t="n">
        <v>10</v>
      </c>
      <c r="AI1648" t="n">
        <v>10</v>
      </c>
      <c r="AJ1648" t="n">
        <v>14</v>
      </c>
      <c r="AK1648" t="n">
        <v>14</v>
      </c>
      <c r="AL1648" t="n">
        <v>4</v>
      </c>
      <c r="AM1648" t="n">
        <v>4</v>
      </c>
      <c r="AN1648" t="n">
        <v>1</v>
      </c>
      <c r="AO1648" t="n">
        <v>1</v>
      </c>
      <c r="AP1648" t="inlineStr">
        <is>
          <t>No</t>
        </is>
      </c>
      <c r="AQ1648" t="inlineStr">
        <is>
          <t>No</t>
        </is>
      </c>
      <c r="AS1648">
        <f>HYPERLINK("https://creighton-primo.hosted.exlibrisgroup.com/primo-explore/search?tab=default_tab&amp;search_scope=EVERYTHING&amp;vid=01CRU&amp;lang=en_US&amp;offset=0&amp;query=any,contains,991004498709702656","Catalog Record")</f>
        <v/>
      </c>
      <c r="AT1648">
        <f>HYPERLINK("http://www.worldcat.org/oclc/23210968","WorldCat Record")</f>
        <v/>
      </c>
      <c r="AU1648" t="inlineStr">
        <is>
          <t>233024576:eng</t>
        </is>
      </c>
      <c r="AV1648" t="inlineStr">
        <is>
          <t>23210968</t>
        </is>
      </c>
      <c r="AW1648" t="inlineStr">
        <is>
          <t>991004498709702656</t>
        </is>
      </c>
      <c r="AX1648" t="inlineStr">
        <is>
          <t>991004498709702656</t>
        </is>
      </c>
      <c r="AY1648" t="inlineStr">
        <is>
          <t>2263137220002656</t>
        </is>
      </c>
      <c r="AZ1648" t="inlineStr">
        <is>
          <t>BOOK</t>
        </is>
      </c>
      <c r="BB1648" t="inlineStr">
        <is>
          <t>9780198112259</t>
        </is>
      </c>
      <c r="BC1648" t="inlineStr">
        <is>
          <t>32285005041461</t>
        </is>
      </c>
      <c r="BD1648" t="inlineStr">
        <is>
          <t>893807141</t>
        </is>
      </c>
    </row>
    <row r="1649">
      <c r="A1649" t="inlineStr">
        <is>
          <t>No</t>
        </is>
      </c>
      <c r="B1649" t="inlineStr">
        <is>
          <t>HQ71 .F52 1986</t>
        </is>
      </c>
      <c r="C1649" t="inlineStr">
        <is>
          <t>0                      HQ 0071000F  52          1986</t>
        </is>
      </c>
      <c r="D1649" t="inlineStr">
        <is>
          <t>A sourcebook on child sexual abuse / David Finkelhor with Sharon Araji ... [et al.].</t>
        </is>
      </c>
      <c r="F1649" t="inlineStr">
        <is>
          <t>No</t>
        </is>
      </c>
      <c r="G1649" t="inlineStr">
        <is>
          <t>1</t>
        </is>
      </c>
      <c r="H1649" t="inlineStr">
        <is>
          <t>No</t>
        </is>
      </c>
      <c r="I1649" t="inlineStr">
        <is>
          <t>No</t>
        </is>
      </c>
      <c r="J1649" t="inlineStr">
        <is>
          <t>0</t>
        </is>
      </c>
      <c r="K1649" t="inlineStr">
        <is>
          <t>Finkelhor, David.</t>
        </is>
      </c>
      <c r="L1649" t="inlineStr">
        <is>
          <t>Beverly Hills : Sage Publications, c1986.</t>
        </is>
      </c>
      <c r="M1649" t="inlineStr">
        <is>
          <t>1986</t>
        </is>
      </c>
      <c r="O1649" t="inlineStr">
        <is>
          <t>eng</t>
        </is>
      </c>
      <c r="P1649" t="inlineStr">
        <is>
          <t>cau</t>
        </is>
      </c>
      <c r="R1649" t="inlineStr">
        <is>
          <t xml:space="preserve">HQ </t>
        </is>
      </c>
      <c r="S1649" t="n">
        <v>30</v>
      </c>
      <c r="T1649" t="n">
        <v>30</v>
      </c>
      <c r="U1649" t="inlineStr">
        <is>
          <t>1997-10-29</t>
        </is>
      </c>
      <c r="V1649" t="inlineStr">
        <is>
          <t>1997-10-29</t>
        </is>
      </c>
      <c r="W1649" t="inlineStr">
        <is>
          <t>1991-12-12</t>
        </is>
      </c>
      <c r="X1649" t="inlineStr">
        <is>
          <t>1991-12-12</t>
        </is>
      </c>
      <c r="Y1649" t="n">
        <v>875</v>
      </c>
      <c r="Z1649" t="n">
        <v>672</v>
      </c>
      <c r="AA1649" t="n">
        <v>680</v>
      </c>
      <c r="AB1649" t="n">
        <v>7</v>
      </c>
      <c r="AC1649" t="n">
        <v>7</v>
      </c>
      <c r="AD1649" t="n">
        <v>35</v>
      </c>
      <c r="AE1649" t="n">
        <v>35</v>
      </c>
      <c r="AF1649" t="n">
        <v>12</v>
      </c>
      <c r="AG1649" t="n">
        <v>12</v>
      </c>
      <c r="AH1649" t="n">
        <v>8</v>
      </c>
      <c r="AI1649" t="n">
        <v>8</v>
      </c>
      <c r="AJ1649" t="n">
        <v>19</v>
      </c>
      <c r="AK1649" t="n">
        <v>19</v>
      </c>
      <c r="AL1649" t="n">
        <v>6</v>
      </c>
      <c r="AM1649" t="n">
        <v>6</v>
      </c>
      <c r="AN1649" t="n">
        <v>0</v>
      </c>
      <c r="AO1649" t="n">
        <v>0</v>
      </c>
      <c r="AP1649" t="inlineStr">
        <is>
          <t>No</t>
        </is>
      </c>
      <c r="AQ1649" t="inlineStr">
        <is>
          <t>Yes</t>
        </is>
      </c>
      <c r="AR1649">
        <f>HYPERLINK("http://catalog.hathitrust.org/Record/000485546","HathiTrust Record")</f>
        <v/>
      </c>
      <c r="AS1649">
        <f>HYPERLINK("https://creighton-primo.hosted.exlibrisgroup.com/primo-explore/search?tab=default_tab&amp;search_scope=EVERYTHING&amp;vid=01CRU&amp;lang=en_US&amp;offset=0&amp;query=any,contains,991000750499702656","Catalog Record")</f>
        <v/>
      </c>
      <c r="AT1649">
        <f>HYPERLINK("http://www.worldcat.org/oclc/12909806","WorldCat Record")</f>
        <v/>
      </c>
      <c r="AU1649" t="inlineStr">
        <is>
          <t>5451994:eng</t>
        </is>
      </c>
      <c r="AV1649" t="inlineStr">
        <is>
          <t>12909806</t>
        </is>
      </c>
      <c r="AW1649" t="inlineStr">
        <is>
          <t>991000750499702656</t>
        </is>
      </c>
      <c r="AX1649" t="inlineStr">
        <is>
          <t>991000750499702656</t>
        </is>
      </c>
      <c r="AY1649" t="inlineStr">
        <is>
          <t>2266538560002656</t>
        </is>
      </c>
      <c r="AZ1649" t="inlineStr">
        <is>
          <t>BOOK</t>
        </is>
      </c>
      <c r="BB1649" t="inlineStr">
        <is>
          <t>9780803927490</t>
        </is>
      </c>
      <c r="BC1649" t="inlineStr">
        <is>
          <t>32285000887280</t>
        </is>
      </c>
      <c r="BD1649" t="inlineStr">
        <is>
          <t>893871974</t>
        </is>
      </c>
    </row>
    <row r="1650">
      <c r="A1650" t="inlineStr">
        <is>
          <t>No</t>
        </is>
      </c>
      <c r="B1650" t="inlineStr">
        <is>
          <t>HQ71 .G66 1989</t>
        </is>
      </c>
      <c r="C1650" t="inlineStr">
        <is>
          <t>0                      HQ 0071000G  66          1989</t>
        </is>
      </c>
      <c r="D1650" t="inlineStr">
        <is>
          <t>Sexual abuse : incest victims and their families / Jean Goodwin with contributions.</t>
        </is>
      </c>
      <c r="F1650" t="inlineStr">
        <is>
          <t>No</t>
        </is>
      </c>
      <c r="G1650" t="inlineStr">
        <is>
          <t>1</t>
        </is>
      </c>
      <c r="H1650" t="inlineStr">
        <is>
          <t>No</t>
        </is>
      </c>
      <c r="I1650" t="inlineStr">
        <is>
          <t>No</t>
        </is>
      </c>
      <c r="J1650" t="inlineStr">
        <is>
          <t>0</t>
        </is>
      </c>
      <c r="K1650" t="inlineStr">
        <is>
          <t>Goodwin, Jean, 1946-</t>
        </is>
      </c>
      <c r="L1650" t="inlineStr">
        <is>
          <t>Chicago : Year Book Medical Publishers, c1989.</t>
        </is>
      </c>
      <c r="M1650" t="inlineStr">
        <is>
          <t>1989</t>
        </is>
      </c>
      <c r="N1650" t="inlineStr">
        <is>
          <t>2nd ed.</t>
        </is>
      </c>
      <c r="O1650" t="inlineStr">
        <is>
          <t>eng</t>
        </is>
      </c>
      <c r="P1650" t="inlineStr">
        <is>
          <t>ilu</t>
        </is>
      </c>
      <c r="R1650" t="inlineStr">
        <is>
          <t xml:space="preserve">HQ </t>
        </is>
      </c>
      <c r="S1650" t="n">
        <v>33</v>
      </c>
      <c r="T1650" t="n">
        <v>33</v>
      </c>
      <c r="U1650" t="inlineStr">
        <is>
          <t>2009-06-03</t>
        </is>
      </c>
      <c r="V1650" t="inlineStr">
        <is>
          <t>2009-06-03</t>
        </is>
      </c>
      <c r="W1650" t="inlineStr">
        <is>
          <t>1992-02-01</t>
        </is>
      </c>
      <c r="X1650" t="inlineStr">
        <is>
          <t>1992-02-01</t>
        </is>
      </c>
      <c r="Y1650" t="n">
        <v>301</v>
      </c>
      <c r="Z1650" t="n">
        <v>242</v>
      </c>
      <c r="AA1650" t="n">
        <v>485</v>
      </c>
      <c r="AB1650" t="n">
        <v>2</v>
      </c>
      <c r="AC1650" t="n">
        <v>4</v>
      </c>
      <c r="AD1650" t="n">
        <v>9</v>
      </c>
      <c r="AE1650" t="n">
        <v>23</v>
      </c>
      <c r="AF1650" t="n">
        <v>3</v>
      </c>
      <c r="AG1650" t="n">
        <v>8</v>
      </c>
      <c r="AH1650" t="n">
        <v>1</v>
      </c>
      <c r="AI1650" t="n">
        <v>5</v>
      </c>
      <c r="AJ1650" t="n">
        <v>7</v>
      </c>
      <c r="AK1650" t="n">
        <v>14</v>
      </c>
      <c r="AL1650" t="n">
        <v>1</v>
      </c>
      <c r="AM1650" t="n">
        <v>3</v>
      </c>
      <c r="AN1650" t="n">
        <v>0</v>
      </c>
      <c r="AO1650" t="n">
        <v>0</v>
      </c>
      <c r="AP1650" t="inlineStr">
        <is>
          <t>No</t>
        </is>
      </c>
      <c r="AQ1650" t="inlineStr">
        <is>
          <t>Yes</t>
        </is>
      </c>
      <c r="AR1650">
        <f>HYPERLINK("http://catalog.hathitrust.org/Record/001536617","HathiTrust Record")</f>
        <v/>
      </c>
      <c r="AS1650">
        <f>HYPERLINK("https://creighton-primo.hosted.exlibrisgroup.com/primo-explore/search?tab=default_tab&amp;search_scope=EVERYTHING&amp;vid=01CRU&amp;lang=en_US&amp;offset=0&amp;query=any,contains,991001450159702656","Catalog Record")</f>
        <v/>
      </c>
      <c r="AT1650">
        <f>HYPERLINK("http://www.worldcat.org/oclc/19324092","WorldCat Record")</f>
        <v/>
      </c>
      <c r="AU1650" t="inlineStr">
        <is>
          <t>13520796:eng</t>
        </is>
      </c>
      <c r="AV1650" t="inlineStr">
        <is>
          <t>19324092</t>
        </is>
      </c>
      <c r="AW1650" t="inlineStr">
        <is>
          <t>991001450159702656</t>
        </is>
      </c>
      <c r="AX1650" t="inlineStr">
        <is>
          <t>991001450159702656</t>
        </is>
      </c>
      <c r="AY1650" t="inlineStr">
        <is>
          <t>2268048630002656</t>
        </is>
      </c>
      <c r="AZ1650" t="inlineStr">
        <is>
          <t>BOOK</t>
        </is>
      </c>
      <c r="BB1650" t="inlineStr">
        <is>
          <t>9780815135371</t>
        </is>
      </c>
      <c r="BC1650" t="inlineStr">
        <is>
          <t>32285000933530</t>
        </is>
      </c>
      <c r="BD1650" t="inlineStr">
        <is>
          <t>893328140</t>
        </is>
      </c>
    </row>
    <row r="1651">
      <c r="A1651" t="inlineStr">
        <is>
          <t>No</t>
        </is>
      </c>
      <c r="B1651" t="inlineStr">
        <is>
          <t>HQ71 .H67 2008</t>
        </is>
      </c>
      <c r="C1651" t="inlineStr">
        <is>
          <t>0                      HQ 0071000H  67          2008</t>
        </is>
      </c>
      <c r="D1651" t="inlineStr">
        <is>
          <t>Sexual offenders : personal construct theory and deviant sexual behaviour / James Horley.</t>
        </is>
      </c>
      <c r="F1651" t="inlineStr">
        <is>
          <t>No</t>
        </is>
      </c>
      <c r="G1651" t="inlineStr">
        <is>
          <t>1</t>
        </is>
      </c>
      <c r="H1651" t="inlineStr">
        <is>
          <t>No</t>
        </is>
      </c>
      <c r="I1651" t="inlineStr">
        <is>
          <t>No</t>
        </is>
      </c>
      <c r="J1651" t="inlineStr">
        <is>
          <t>0</t>
        </is>
      </c>
      <c r="K1651" t="inlineStr">
        <is>
          <t>Horley, James, 1954-</t>
        </is>
      </c>
      <c r="L1651" t="inlineStr">
        <is>
          <t>London ; New York : Routledge, 2008.</t>
        </is>
      </c>
      <c r="M1651" t="inlineStr">
        <is>
          <t>2008</t>
        </is>
      </c>
      <c r="O1651" t="inlineStr">
        <is>
          <t>eng</t>
        </is>
      </c>
      <c r="P1651" t="inlineStr">
        <is>
          <t>enk</t>
        </is>
      </c>
      <c r="R1651" t="inlineStr">
        <is>
          <t xml:space="preserve">HQ </t>
        </is>
      </c>
      <c r="S1651" t="n">
        <v>1</v>
      </c>
      <c r="T1651" t="n">
        <v>1</v>
      </c>
      <c r="U1651" t="inlineStr">
        <is>
          <t>2009-08-05</t>
        </is>
      </c>
      <c r="V1651" t="inlineStr">
        <is>
          <t>2009-08-05</t>
        </is>
      </c>
      <c r="W1651" t="inlineStr">
        <is>
          <t>2009-08-05</t>
        </is>
      </c>
      <c r="X1651" t="inlineStr">
        <is>
          <t>2009-08-05</t>
        </is>
      </c>
      <c r="Y1651" t="n">
        <v>201</v>
      </c>
      <c r="Z1651" t="n">
        <v>146</v>
      </c>
      <c r="AA1651" t="n">
        <v>185</v>
      </c>
      <c r="AB1651" t="n">
        <v>1</v>
      </c>
      <c r="AC1651" t="n">
        <v>1</v>
      </c>
      <c r="AD1651" t="n">
        <v>9</v>
      </c>
      <c r="AE1651" t="n">
        <v>9</v>
      </c>
      <c r="AF1651" t="n">
        <v>1</v>
      </c>
      <c r="AG1651" t="n">
        <v>1</v>
      </c>
      <c r="AH1651" t="n">
        <v>3</v>
      </c>
      <c r="AI1651" t="n">
        <v>3</v>
      </c>
      <c r="AJ1651" t="n">
        <v>6</v>
      </c>
      <c r="AK1651" t="n">
        <v>6</v>
      </c>
      <c r="AL1651" t="n">
        <v>0</v>
      </c>
      <c r="AM1651" t="n">
        <v>0</v>
      </c>
      <c r="AN1651" t="n">
        <v>1</v>
      </c>
      <c r="AO1651" t="n">
        <v>1</v>
      </c>
      <c r="AP1651" t="inlineStr">
        <is>
          <t>No</t>
        </is>
      </c>
      <c r="AQ1651" t="inlineStr">
        <is>
          <t>No</t>
        </is>
      </c>
      <c r="AS1651">
        <f>HYPERLINK("https://creighton-primo.hosted.exlibrisgroup.com/primo-explore/search?tab=default_tab&amp;search_scope=EVERYTHING&amp;vid=01CRU&amp;lang=en_US&amp;offset=0&amp;query=any,contains,991005301449702656","Catalog Record")</f>
        <v/>
      </c>
      <c r="AT1651">
        <f>HYPERLINK("http://www.worldcat.org/oclc/176648827","WorldCat Record")</f>
        <v/>
      </c>
      <c r="AU1651" t="inlineStr">
        <is>
          <t>802484106:eng</t>
        </is>
      </c>
      <c r="AV1651" t="inlineStr">
        <is>
          <t>176648827</t>
        </is>
      </c>
      <c r="AW1651" t="inlineStr">
        <is>
          <t>991005301449702656</t>
        </is>
      </c>
      <c r="AX1651" t="inlineStr">
        <is>
          <t>991005301449702656</t>
        </is>
      </c>
      <c r="AY1651" t="inlineStr">
        <is>
          <t>2264271860002656</t>
        </is>
      </c>
      <c r="AZ1651" t="inlineStr">
        <is>
          <t>BOOK</t>
        </is>
      </c>
      <c r="BB1651" t="inlineStr">
        <is>
          <t>9781583917350</t>
        </is>
      </c>
      <c r="BC1651" t="inlineStr">
        <is>
          <t>32285005540876</t>
        </is>
      </c>
      <c r="BD1651" t="inlineStr">
        <is>
          <t>893713837</t>
        </is>
      </c>
    </row>
    <row r="1652">
      <c r="A1652" t="inlineStr">
        <is>
          <t>No</t>
        </is>
      </c>
      <c r="B1652" t="inlineStr">
        <is>
          <t>HQ71 .I15 1983</t>
        </is>
      </c>
      <c r="C1652" t="inlineStr">
        <is>
          <t>0                      HQ 0071000I  15          1983</t>
        </is>
      </c>
      <c r="D1652" t="inlineStr">
        <is>
          <t>I never told anyone : writings / by women survivors of child sexual abuse ; edited by Ellen Bass and Louise Thornton ; with Jude Brister ... [et al.].</t>
        </is>
      </c>
      <c r="F1652" t="inlineStr">
        <is>
          <t>No</t>
        </is>
      </c>
      <c r="G1652" t="inlineStr">
        <is>
          <t>1</t>
        </is>
      </c>
      <c r="H1652" t="inlineStr">
        <is>
          <t>No</t>
        </is>
      </c>
      <c r="I1652" t="inlineStr">
        <is>
          <t>Yes</t>
        </is>
      </c>
      <c r="J1652" t="inlineStr">
        <is>
          <t>0</t>
        </is>
      </c>
      <c r="L1652" t="inlineStr">
        <is>
          <t>New York : Harper &amp; Row, c1983.</t>
        </is>
      </c>
      <c r="M1652" t="inlineStr">
        <is>
          <t>1983</t>
        </is>
      </c>
      <c r="N1652" t="inlineStr">
        <is>
          <t>1st ed.</t>
        </is>
      </c>
      <c r="O1652" t="inlineStr">
        <is>
          <t>eng</t>
        </is>
      </c>
      <c r="P1652" t="inlineStr">
        <is>
          <t>nyu</t>
        </is>
      </c>
      <c r="R1652" t="inlineStr">
        <is>
          <t xml:space="preserve">HQ </t>
        </is>
      </c>
      <c r="S1652" t="n">
        <v>18</v>
      </c>
      <c r="T1652" t="n">
        <v>18</v>
      </c>
      <c r="U1652" t="inlineStr">
        <is>
          <t>2009-06-03</t>
        </is>
      </c>
      <c r="V1652" t="inlineStr">
        <is>
          <t>2009-06-03</t>
        </is>
      </c>
      <c r="W1652" t="inlineStr">
        <is>
          <t>1996-04-02</t>
        </is>
      </c>
      <c r="X1652" t="inlineStr">
        <is>
          <t>1996-04-02</t>
        </is>
      </c>
      <c r="Y1652" t="n">
        <v>855</v>
      </c>
      <c r="Z1652" t="n">
        <v>770</v>
      </c>
      <c r="AA1652" t="n">
        <v>1110</v>
      </c>
      <c r="AB1652" t="n">
        <v>6</v>
      </c>
      <c r="AC1652" t="n">
        <v>9</v>
      </c>
      <c r="AD1652" t="n">
        <v>19</v>
      </c>
      <c r="AE1652" t="n">
        <v>28</v>
      </c>
      <c r="AF1652" t="n">
        <v>7</v>
      </c>
      <c r="AG1652" t="n">
        <v>8</v>
      </c>
      <c r="AH1652" t="n">
        <v>4</v>
      </c>
      <c r="AI1652" t="n">
        <v>6</v>
      </c>
      <c r="AJ1652" t="n">
        <v>10</v>
      </c>
      <c r="AK1652" t="n">
        <v>14</v>
      </c>
      <c r="AL1652" t="n">
        <v>2</v>
      </c>
      <c r="AM1652" t="n">
        <v>5</v>
      </c>
      <c r="AN1652" t="n">
        <v>0</v>
      </c>
      <c r="AO1652" t="n">
        <v>0</v>
      </c>
      <c r="AP1652" t="inlineStr">
        <is>
          <t>No</t>
        </is>
      </c>
      <c r="AQ1652" t="inlineStr">
        <is>
          <t>Yes</t>
        </is>
      </c>
      <c r="AR1652">
        <f>HYPERLINK("http://catalog.hathitrust.org/Record/000118151","HathiTrust Record")</f>
        <v/>
      </c>
      <c r="AS1652">
        <f>HYPERLINK("https://creighton-primo.hosted.exlibrisgroup.com/primo-explore/search?tab=default_tab&amp;search_scope=EVERYTHING&amp;vid=01CRU&amp;lang=en_US&amp;offset=0&amp;query=any,contains,991000184779702656","Catalog Record")</f>
        <v/>
      </c>
      <c r="AT1652">
        <f>HYPERLINK("http://www.worldcat.org/oclc/9393298","WorldCat Record")</f>
        <v/>
      </c>
      <c r="AU1652" t="inlineStr">
        <is>
          <t>796295812:eng</t>
        </is>
      </c>
      <c r="AV1652" t="inlineStr">
        <is>
          <t>9393298</t>
        </is>
      </c>
      <c r="AW1652" t="inlineStr">
        <is>
          <t>991000184779702656</t>
        </is>
      </c>
      <c r="AX1652" t="inlineStr">
        <is>
          <t>991000184779702656</t>
        </is>
      </c>
      <c r="AY1652" t="inlineStr">
        <is>
          <t>2265940390002656</t>
        </is>
      </c>
      <c r="AZ1652" t="inlineStr">
        <is>
          <t>BOOK</t>
        </is>
      </c>
      <c r="BB1652" t="inlineStr">
        <is>
          <t>9780060910501</t>
        </is>
      </c>
      <c r="BC1652" t="inlineStr">
        <is>
          <t>32285002120904</t>
        </is>
      </c>
      <c r="BD1652" t="inlineStr">
        <is>
          <t>893314752</t>
        </is>
      </c>
    </row>
    <row r="1653">
      <c r="A1653" t="inlineStr">
        <is>
          <t>No</t>
        </is>
      </c>
      <c r="B1653" t="inlineStr">
        <is>
          <t>HQ71 .J66 1992</t>
        </is>
      </c>
      <c r="C1653" t="inlineStr">
        <is>
          <t>0                      HQ 0071000J  66          1992</t>
        </is>
      </c>
      <c r="D1653" t="inlineStr">
        <is>
          <t>Interviewing the sexually abused child : investigation of suspected abuse / David P.H. Jones.</t>
        </is>
      </c>
      <c r="F1653" t="inlineStr">
        <is>
          <t>No</t>
        </is>
      </c>
      <c r="G1653" t="inlineStr">
        <is>
          <t>1</t>
        </is>
      </c>
      <c r="H1653" t="inlineStr">
        <is>
          <t>No</t>
        </is>
      </c>
      <c r="I1653" t="inlineStr">
        <is>
          <t>No</t>
        </is>
      </c>
      <c r="J1653" t="inlineStr">
        <is>
          <t>0</t>
        </is>
      </c>
      <c r="K1653" t="inlineStr">
        <is>
          <t>Jones, David P. H.</t>
        </is>
      </c>
      <c r="L1653" t="inlineStr">
        <is>
          <t>London : Gaskell ; [Washington] : Distributed in North America by American Psychiatric Press, 1992.</t>
        </is>
      </c>
      <c r="M1653" t="inlineStr">
        <is>
          <t>1992</t>
        </is>
      </c>
      <c r="N1653" t="inlineStr">
        <is>
          <t>4th ed.</t>
        </is>
      </c>
      <c r="O1653" t="inlineStr">
        <is>
          <t>eng</t>
        </is>
      </c>
      <c r="P1653" t="inlineStr">
        <is>
          <t>enk</t>
        </is>
      </c>
      <c r="R1653" t="inlineStr">
        <is>
          <t xml:space="preserve">HQ </t>
        </is>
      </c>
      <c r="S1653" t="n">
        <v>24</v>
      </c>
      <c r="T1653" t="n">
        <v>24</v>
      </c>
      <c r="U1653" t="inlineStr">
        <is>
          <t>1998-01-31</t>
        </is>
      </c>
      <c r="V1653" t="inlineStr">
        <is>
          <t>1998-01-31</t>
        </is>
      </c>
      <c r="W1653" t="inlineStr">
        <is>
          <t>1994-10-21</t>
        </is>
      </c>
      <c r="X1653" t="inlineStr">
        <is>
          <t>1994-10-21</t>
        </is>
      </c>
      <c r="Y1653" t="n">
        <v>174</v>
      </c>
      <c r="Z1653" t="n">
        <v>97</v>
      </c>
      <c r="AA1653" t="n">
        <v>210</v>
      </c>
      <c r="AB1653" t="n">
        <v>2</v>
      </c>
      <c r="AC1653" t="n">
        <v>2</v>
      </c>
      <c r="AD1653" t="n">
        <v>4</v>
      </c>
      <c r="AE1653" t="n">
        <v>8</v>
      </c>
      <c r="AF1653" t="n">
        <v>2</v>
      </c>
      <c r="AG1653" t="n">
        <v>3</v>
      </c>
      <c r="AH1653" t="n">
        <v>0</v>
      </c>
      <c r="AI1653" t="n">
        <v>1</v>
      </c>
      <c r="AJ1653" t="n">
        <v>2</v>
      </c>
      <c r="AK1653" t="n">
        <v>4</v>
      </c>
      <c r="AL1653" t="n">
        <v>1</v>
      </c>
      <c r="AM1653" t="n">
        <v>1</v>
      </c>
      <c r="AN1653" t="n">
        <v>0</v>
      </c>
      <c r="AO1653" t="n">
        <v>0</v>
      </c>
      <c r="AP1653" t="inlineStr">
        <is>
          <t>No</t>
        </is>
      </c>
      <c r="AQ1653" t="inlineStr">
        <is>
          <t>Yes</t>
        </is>
      </c>
      <c r="AR1653">
        <f>HYPERLINK("http://catalog.hathitrust.org/Record/002791637","HathiTrust Record")</f>
        <v/>
      </c>
      <c r="AS1653">
        <f>HYPERLINK("https://creighton-primo.hosted.exlibrisgroup.com/primo-explore/search?tab=default_tab&amp;search_scope=EVERYTHING&amp;vid=01CRU&amp;lang=en_US&amp;offset=0&amp;query=any,contains,991002083199702656","Catalog Record")</f>
        <v/>
      </c>
      <c r="AT1653">
        <f>HYPERLINK("http://www.worldcat.org/oclc/26722443","WorldCat Record")</f>
        <v/>
      </c>
      <c r="AU1653" t="inlineStr">
        <is>
          <t>6898525:eng</t>
        </is>
      </c>
      <c r="AV1653" t="inlineStr">
        <is>
          <t>26722443</t>
        </is>
      </c>
      <c r="AW1653" t="inlineStr">
        <is>
          <t>991002083199702656</t>
        </is>
      </c>
      <c r="AX1653" t="inlineStr">
        <is>
          <t>991002083199702656</t>
        </is>
      </c>
      <c r="AY1653" t="inlineStr">
        <is>
          <t>2270227800002656</t>
        </is>
      </c>
      <c r="AZ1653" t="inlineStr">
        <is>
          <t>BOOK</t>
        </is>
      </c>
      <c r="BB1653" t="inlineStr">
        <is>
          <t>9780880486125</t>
        </is>
      </c>
      <c r="BC1653" t="inlineStr">
        <is>
          <t>32285001949832</t>
        </is>
      </c>
      <c r="BD1653" t="inlineStr">
        <is>
          <t>893626946</t>
        </is>
      </c>
    </row>
    <row r="1654">
      <c r="A1654" t="inlineStr">
        <is>
          <t>No</t>
        </is>
      </c>
      <c r="B1654" t="inlineStr">
        <is>
          <t>HQ71 .M23 1991</t>
        </is>
      </c>
      <c r="C1654" t="inlineStr">
        <is>
          <t>0                      HQ 0071000M  23          1991</t>
        </is>
      </c>
      <c r="D1654" t="inlineStr">
        <is>
          <t>Adopting or fostering a sexually abused child / by Catherine Macaskill.</t>
        </is>
      </c>
      <c r="F1654" t="inlineStr">
        <is>
          <t>No</t>
        </is>
      </c>
      <c r="G1654" t="inlineStr">
        <is>
          <t>1</t>
        </is>
      </c>
      <c r="H1654" t="inlineStr">
        <is>
          <t>No</t>
        </is>
      </c>
      <c r="I1654" t="inlineStr">
        <is>
          <t>No</t>
        </is>
      </c>
      <c r="J1654" t="inlineStr">
        <is>
          <t>0</t>
        </is>
      </c>
      <c r="K1654" t="inlineStr">
        <is>
          <t>MacAskill, Catherine.</t>
        </is>
      </c>
      <c r="L1654" t="inlineStr">
        <is>
          <t>London : B.T. Batsford in association with British Agencies for Adoption and Fostering, c1991.</t>
        </is>
      </c>
      <c r="M1654" t="inlineStr">
        <is>
          <t>1991</t>
        </is>
      </c>
      <c r="O1654" t="inlineStr">
        <is>
          <t>eng</t>
        </is>
      </c>
      <c r="P1654" t="inlineStr">
        <is>
          <t>enk</t>
        </is>
      </c>
      <c r="Q1654" t="inlineStr">
        <is>
          <t>Child care policy and practice series</t>
        </is>
      </c>
      <c r="R1654" t="inlineStr">
        <is>
          <t xml:space="preserve">HQ </t>
        </is>
      </c>
      <c r="S1654" t="n">
        <v>10</v>
      </c>
      <c r="T1654" t="n">
        <v>10</v>
      </c>
      <c r="U1654" t="inlineStr">
        <is>
          <t>2000-02-01</t>
        </is>
      </c>
      <c r="V1654" t="inlineStr">
        <is>
          <t>2000-02-01</t>
        </is>
      </c>
      <c r="W1654" t="inlineStr">
        <is>
          <t>1992-04-13</t>
        </is>
      </c>
      <c r="X1654" t="inlineStr">
        <is>
          <t>1992-04-13</t>
        </is>
      </c>
      <c r="Y1654" t="n">
        <v>126</v>
      </c>
      <c r="Z1654" t="n">
        <v>50</v>
      </c>
      <c r="AA1654" t="n">
        <v>52</v>
      </c>
      <c r="AB1654" t="n">
        <v>1</v>
      </c>
      <c r="AC1654" t="n">
        <v>1</v>
      </c>
      <c r="AD1654" t="n">
        <v>0</v>
      </c>
      <c r="AE1654" t="n">
        <v>0</v>
      </c>
      <c r="AF1654" t="n">
        <v>0</v>
      </c>
      <c r="AG1654" t="n">
        <v>0</v>
      </c>
      <c r="AH1654" t="n">
        <v>0</v>
      </c>
      <c r="AI1654" t="n">
        <v>0</v>
      </c>
      <c r="AJ1654" t="n">
        <v>0</v>
      </c>
      <c r="AK1654" t="n">
        <v>0</v>
      </c>
      <c r="AL1654" t="n">
        <v>0</v>
      </c>
      <c r="AM1654" t="n">
        <v>0</v>
      </c>
      <c r="AN1654" t="n">
        <v>0</v>
      </c>
      <c r="AO1654" t="n">
        <v>0</v>
      </c>
      <c r="AP1654" t="inlineStr">
        <is>
          <t>No</t>
        </is>
      </c>
      <c r="AQ1654" t="inlineStr">
        <is>
          <t>Yes</t>
        </is>
      </c>
      <c r="AR1654">
        <f>HYPERLINK("http://catalog.hathitrust.org/Record/002501419","HathiTrust Record")</f>
        <v/>
      </c>
      <c r="AS1654">
        <f>HYPERLINK("https://creighton-primo.hosted.exlibrisgroup.com/primo-explore/search?tab=default_tab&amp;search_scope=EVERYTHING&amp;vid=01CRU&amp;lang=en_US&amp;offset=0&amp;query=any,contains,991001924279702656","Catalog Record")</f>
        <v/>
      </c>
      <c r="AT1654">
        <f>HYPERLINK("http://www.worldcat.org/oclc/24908493","WorldCat Record")</f>
        <v/>
      </c>
      <c r="AU1654" t="inlineStr">
        <is>
          <t>26440495:eng</t>
        </is>
      </c>
      <c r="AV1654" t="inlineStr">
        <is>
          <t>24908493</t>
        </is>
      </c>
      <c r="AW1654" t="inlineStr">
        <is>
          <t>991001924279702656</t>
        </is>
      </c>
      <c r="AX1654" t="inlineStr">
        <is>
          <t>991001924279702656</t>
        </is>
      </c>
      <c r="AY1654" t="inlineStr">
        <is>
          <t>2268181020002656</t>
        </is>
      </c>
      <c r="AZ1654" t="inlineStr">
        <is>
          <t>BOOK</t>
        </is>
      </c>
      <c r="BB1654" t="inlineStr">
        <is>
          <t>9780713467604</t>
        </is>
      </c>
      <c r="BC1654" t="inlineStr">
        <is>
          <t>32285001009819</t>
        </is>
      </c>
      <c r="BD1654" t="inlineStr">
        <is>
          <t>893898185</t>
        </is>
      </c>
    </row>
    <row r="1655">
      <c r="A1655" t="inlineStr">
        <is>
          <t>No</t>
        </is>
      </c>
      <c r="B1655" t="inlineStr">
        <is>
          <t>HQ71 .O57 2000</t>
        </is>
      </c>
      <c r="C1655" t="inlineStr">
        <is>
          <t>0                      HQ 0071000O  57          2000</t>
        </is>
      </c>
      <c r="D1655" t="inlineStr">
        <is>
          <t>Stepchildren of nature : Krafft-Ebing, psychiatry, and the making of sexual identity / Harry Oosterhuis.</t>
        </is>
      </c>
      <c r="F1655" t="inlineStr">
        <is>
          <t>No</t>
        </is>
      </c>
      <c r="G1655" t="inlineStr">
        <is>
          <t>1</t>
        </is>
      </c>
      <c r="H1655" t="inlineStr">
        <is>
          <t>No</t>
        </is>
      </c>
      <c r="I1655" t="inlineStr">
        <is>
          <t>No</t>
        </is>
      </c>
      <c r="J1655" t="inlineStr">
        <is>
          <t>0</t>
        </is>
      </c>
      <c r="K1655" t="inlineStr">
        <is>
          <t>Oosterhuis, Harry.</t>
        </is>
      </c>
      <c r="L1655" t="inlineStr">
        <is>
          <t>Chicago : University of Chicago Press, 2000.</t>
        </is>
      </c>
      <c r="M1655" t="inlineStr">
        <is>
          <t>2000</t>
        </is>
      </c>
      <c r="O1655" t="inlineStr">
        <is>
          <t>eng</t>
        </is>
      </c>
      <c r="P1655" t="inlineStr">
        <is>
          <t>ilu</t>
        </is>
      </c>
      <c r="Q1655" t="inlineStr">
        <is>
          <t>The Chicago series on sexuality, history, and society</t>
        </is>
      </c>
      <c r="R1655" t="inlineStr">
        <is>
          <t xml:space="preserve">HQ </t>
        </is>
      </c>
      <c r="S1655" t="n">
        <v>1</v>
      </c>
      <c r="T1655" t="n">
        <v>1</v>
      </c>
      <c r="U1655" t="inlineStr">
        <is>
          <t>2006-11-09</t>
        </is>
      </c>
      <c r="V1655" t="inlineStr">
        <is>
          <t>2006-11-09</t>
        </is>
      </c>
      <c r="W1655" t="inlineStr">
        <is>
          <t>2002-07-15</t>
        </is>
      </c>
      <c r="X1655" t="inlineStr">
        <is>
          <t>2002-07-15</t>
        </is>
      </c>
      <c r="Y1655" t="n">
        <v>517</v>
      </c>
      <c r="Z1655" t="n">
        <v>416</v>
      </c>
      <c r="AA1655" t="n">
        <v>421</v>
      </c>
      <c r="AB1655" t="n">
        <v>4</v>
      </c>
      <c r="AC1655" t="n">
        <v>4</v>
      </c>
      <c r="AD1655" t="n">
        <v>24</v>
      </c>
      <c r="AE1655" t="n">
        <v>24</v>
      </c>
      <c r="AF1655" t="n">
        <v>9</v>
      </c>
      <c r="AG1655" t="n">
        <v>9</v>
      </c>
      <c r="AH1655" t="n">
        <v>6</v>
      </c>
      <c r="AI1655" t="n">
        <v>6</v>
      </c>
      <c r="AJ1655" t="n">
        <v>12</v>
      </c>
      <c r="AK1655" t="n">
        <v>12</v>
      </c>
      <c r="AL1655" t="n">
        <v>3</v>
      </c>
      <c r="AM1655" t="n">
        <v>3</v>
      </c>
      <c r="AN1655" t="n">
        <v>0</v>
      </c>
      <c r="AO1655" t="n">
        <v>0</v>
      </c>
      <c r="AP1655" t="inlineStr">
        <is>
          <t>No</t>
        </is>
      </c>
      <c r="AQ1655" t="inlineStr">
        <is>
          <t>No</t>
        </is>
      </c>
      <c r="AS1655">
        <f>HYPERLINK("https://creighton-primo.hosted.exlibrisgroup.com/primo-explore/search?tab=default_tab&amp;search_scope=EVERYTHING&amp;vid=01CRU&amp;lang=en_US&amp;offset=0&amp;query=any,contains,991003825479702656","Catalog Record")</f>
        <v/>
      </c>
      <c r="AT1655">
        <f>HYPERLINK("http://www.worldcat.org/oclc/43567615","WorldCat Record")</f>
        <v/>
      </c>
      <c r="AU1655" t="inlineStr">
        <is>
          <t>863019779:eng</t>
        </is>
      </c>
      <c r="AV1655" t="inlineStr">
        <is>
          <t>43567615</t>
        </is>
      </c>
      <c r="AW1655" t="inlineStr">
        <is>
          <t>991003825479702656</t>
        </is>
      </c>
      <c r="AX1655" t="inlineStr">
        <is>
          <t>991003825479702656</t>
        </is>
      </c>
      <c r="AY1655" t="inlineStr">
        <is>
          <t>2262043260002656</t>
        </is>
      </c>
      <c r="AZ1655" t="inlineStr">
        <is>
          <t>BOOK</t>
        </is>
      </c>
      <c r="BB1655" t="inlineStr">
        <is>
          <t>9780226630595</t>
        </is>
      </c>
      <c r="BC1655" t="inlineStr">
        <is>
          <t>32285004497755</t>
        </is>
      </c>
      <c r="BD1655" t="inlineStr">
        <is>
          <t>893599038</t>
        </is>
      </c>
    </row>
    <row r="1656">
      <c r="A1656" t="inlineStr">
        <is>
          <t>No</t>
        </is>
      </c>
      <c r="B1656" t="inlineStr">
        <is>
          <t>HQ71 .S397</t>
        </is>
      </c>
      <c r="C1656" t="inlineStr">
        <is>
          <t>0                      HQ 0071000S  397</t>
        </is>
      </c>
      <c r="D1656" t="inlineStr">
        <is>
          <t>Sexual assault of children and adolescents / Ann Wolbert Burgess ... [et al.].</t>
        </is>
      </c>
      <c r="F1656" t="inlineStr">
        <is>
          <t>No</t>
        </is>
      </c>
      <c r="G1656" t="inlineStr">
        <is>
          <t>1</t>
        </is>
      </c>
      <c r="H1656" t="inlineStr">
        <is>
          <t>Yes</t>
        </is>
      </c>
      <c r="I1656" t="inlineStr">
        <is>
          <t>No</t>
        </is>
      </c>
      <c r="J1656" t="inlineStr">
        <is>
          <t>0</t>
        </is>
      </c>
      <c r="L1656" t="inlineStr">
        <is>
          <t>Lexington, Mass. : Lexington Books, c1978.</t>
        </is>
      </c>
      <c r="M1656" t="inlineStr">
        <is>
          <t>1978</t>
        </is>
      </c>
      <c r="O1656" t="inlineStr">
        <is>
          <t>eng</t>
        </is>
      </c>
      <c r="P1656" t="inlineStr">
        <is>
          <t>mau</t>
        </is>
      </c>
      <c r="R1656" t="inlineStr">
        <is>
          <t xml:space="preserve">HQ </t>
        </is>
      </c>
      <c r="S1656" t="n">
        <v>25</v>
      </c>
      <c r="T1656" t="n">
        <v>29</v>
      </c>
      <c r="U1656" t="inlineStr">
        <is>
          <t>2006-04-17</t>
        </is>
      </c>
      <c r="V1656" t="inlineStr">
        <is>
          <t>2006-04-17</t>
        </is>
      </c>
      <c r="W1656" t="inlineStr">
        <is>
          <t>1994-08-30</t>
        </is>
      </c>
      <c r="X1656" t="inlineStr">
        <is>
          <t>1994-08-30</t>
        </is>
      </c>
      <c r="Y1656" t="n">
        <v>826</v>
      </c>
      <c r="Z1656" t="n">
        <v>691</v>
      </c>
      <c r="AA1656" t="n">
        <v>705</v>
      </c>
      <c r="AB1656" t="n">
        <v>7</v>
      </c>
      <c r="AC1656" t="n">
        <v>7</v>
      </c>
      <c r="AD1656" t="n">
        <v>31</v>
      </c>
      <c r="AE1656" t="n">
        <v>31</v>
      </c>
      <c r="AF1656" t="n">
        <v>13</v>
      </c>
      <c r="AG1656" t="n">
        <v>13</v>
      </c>
      <c r="AH1656" t="n">
        <v>6</v>
      </c>
      <c r="AI1656" t="n">
        <v>6</v>
      </c>
      <c r="AJ1656" t="n">
        <v>12</v>
      </c>
      <c r="AK1656" t="n">
        <v>12</v>
      </c>
      <c r="AL1656" t="n">
        <v>3</v>
      </c>
      <c r="AM1656" t="n">
        <v>3</v>
      </c>
      <c r="AN1656" t="n">
        <v>5</v>
      </c>
      <c r="AO1656" t="n">
        <v>5</v>
      </c>
      <c r="AP1656" t="inlineStr">
        <is>
          <t>No</t>
        </is>
      </c>
      <c r="AQ1656" t="inlineStr">
        <is>
          <t>No</t>
        </is>
      </c>
      <c r="AS1656">
        <f>HYPERLINK("https://creighton-primo.hosted.exlibrisgroup.com/primo-explore/search?tab=default_tab&amp;search_scope=EVERYTHING&amp;vid=01CRU&amp;lang=en_US&amp;offset=0&amp;query=any,contains,991001766159702656","Catalog Record")</f>
        <v/>
      </c>
      <c r="AT1656">
        <f>HYPERLINK("http://www.worldcat.org/oclc/3328198","WorldCat Record")</f>
        <v/>
      </c>
      <c r="AU1656" t="inlineStr">
        <is>
          <t>54182190:eng</t>
        </is>
      </c>
      <c r="AV1656" t="inlineStr">
        <is>
          <t>3328198</t>
        </is>
      </c>
      <c r="AW1656" t="inlineStr">
        <is>
          <t>991001766159702656</t>
        </is>
      </c>
      <c r="AX1656" t="inlineStr">
        <is>
          <t>991001766159702656</t>
        </is>
      </c>
      <c r="AY1656" t="inlineStr">
        <is>
          <t>2266500230002656</t>
        </is>
      </c>
      <c r="AZ1656" t="inlineStr">
        <is>
          <t>BOOK</t>
        </is>
      </c>
      <c r="BB1656" t="inlineStr">
        <is>
          <t>9780669018905</t>
        </is>
      </c>
      <c r="BC1656" t="inlineStr">
        <is>
          <t>32285001777829</t>
        </is>
      </c>
      <c r="BD1656" t="inlineStr">
        <is>
          <t>893256499</t>
        </is>
      </c>
    </row>
    <row r="1657">
      <c r="A1657" t="inlineStr">
        <is>
          <t>No</t>
        </is>
      </c>
      <c r="B1657" t="inlineStr">
        <is>
          <t>HQ71 .S67 1982</t>
        </is>
      </c>
      <c r="C1657" t="inlineStr">
        <is>
          <t>0                      HQ 0071000S  67          1982</t>
        </is>
      </c>
      <c r="D1657" t="inlineStr">
        <is>
          <t>Social work and child sexual abuse / Jon R. Conte, David A. Shore, co-editors.</t>
        </is>
      </c>
      <c r="F1657" t="inlineStr">
        <is>
          <t>No</t>
        </is>
      </c>
      <c r="G1657" t="inlineStr">
        <is>
          <t>1</t>
        </is>
      </c>
      <c r="H1657" t="inlineStr">
        <is>
          <t>No</t>
        </is>
      </c>
      <c r="I1657" t="inlineStr">
        <is>
          <t>No</t>
        </is>
      </c>
      <c r="J1657" t="inlineStr">
        <is>
          <t>0</t>
        </is>
      </c>
      <c r="L1657" t="inlineStr">
        <is>
          <t>New York : Haworth Press, c1982.</t>
        </is>
      </c>
      <c r="M1657" t="inlineStr">
        <is>
          <t>1982</t>
        </is>
      </c>
      <c r="O1657" t="inlineStr">
        <is>
          <t>eng</t>
        </is>
      </c>
      <c r="P1657" t="inlineStr">
        <is>
          <t>nyu</t>
        </is>
      </c>
      <c r="R1657" t="inlineStr">
        <is>
          <t xml:space="preserve">HQ </t>
        </is>
      </c>
      <c r="S1657" t="n">
        <v>15</v>
      </c>
      <c r="T1657" t="n">
        <v>15</v>
      </c>
      <c r="U1657" t="inlineStr">
        <is>
          <t>2002-04-01</t>
        </is>
      </c>
      <c r="V1657" t="inlineStr">
        <is>
          <t>2002-04-01</t>
        </is>
      </c>
      <c r="W1657" t="inlineStr">
        <is>
          <t>1990-03-19</t>
        </is>
      </c>
      <c r="X1657" t="inlineStr">
        <is>
          <t>1990-03-19</t>
        </is>
      </c>
      <c r="Y1657" t="n">
        <v>340</v>
      </c>
      <c r="Z1657" t="n">
        <v>275</v>
      </c>
      <c r="AA1657" t="n">
        <v>498</v>
      </c>
      <c r="AB1657" t="n">
        <v>2</v>
      </c>
      <c r="AC1657" t="n">
        <v>4</v>
      </c>
      <c r="AD1657" t="n">
        <v>15</v>
      </c>
      <c r="AE1657" t="n">
        <v>26</v>
      </c>
      <c r="AF1657" t="n">
        <v>5</v>
      </c>
      <c r="AG1657" t="n">
        <v>12</v>
      </c>
      <c r="AH1657" t="n">
        <v>5</v>
      </c>
      <c r="AI1657" t="n">
        <v>6</v>
      </c>
      <c r="AJ1657" t="n">
        <v>6</v>
      </c>
      <c r="AK1657" t="n">
        <v>8</v>
      </c>
      <c r="AL1657" t="n">
        <v>1</v>
      </c>
      <c r="AM1657" t="n">
        <v>3</v>
      </c>
      <c r="AN1657" t="n">
        <v>2</v>
      </c>
      <c r="AO1657" t="n">
        <v>2</v>
      </c>
      <c r="AP1657" t="inlineStr">
        <is>
          <t>No</t>
        </is>
      </c>
      <c r="AQ1657" t="inlineStr">
        <is>
          <t>No</t>
        </is>
      </c>
      <c r="AS1657">
        <f>HYPERLINK("https://creighton-primo.hosted.exlibrisgroup.com/primo-explore/search?tab=default_tab&amp;search_scope=EVERYTHING&amp;vid=01CRU&amp;lang=en_US&amp;offset=0&amp;query=any,contains,991000034949702656","Catalog Record")</f>
        <v/>
      </c>
      <c r="AT1657">
        <f>HYPERLINK("http://www.worldcat.org/oclc/8627284","WorldCat Record")</f>
        <v/>
      </c>
      <c r="AU1657" t="inlineStr">
        <is>
          <t>366402576:eng</t>
        </is>
      </c>
      <c r="AV1657" t="inlineStr">
        <is>
          <t>8627284</t>
        </is>
      </c>
      <c r="AW1657" t="inlineStr">
        <is>
          <t>991000034949702656</t>
        </is>
      </c>
      <c r="AX1657" t="inlineStr">
        <is>
          <t>991000034949702656</t>
        </is>
      </c>
      <c r="AY1657" t="inlineStr">
        <is>
          <t>2261697040002656</t>
        </is>
      </c>
      <c r="AZ1657" t="inlineStr">
        <is>
          <t>BOOK</t>
        </is>
      </c>
      <c r="BB1657" t="inlineStr">
        <is>
          <t>9780917724985</t>
        </is>
      </c>
      <c r="BC1657" t="inlineStr">
        <is>
          <t>32285000086099</t>
        </is>
      </c>
      <c r="BD1657" t="inlineStr">
        <is>
          <t>893406861</t>
        </is>
      </c>
    </row>
    <row r="1658">
      <c r="A1658" t="inlineStr">
        <is>
          <t>No</t>
        </is>
      </c>
      <c r="B1658" t="inlineStr">
        <is>
          <t>HQ72.C3 S354 1986</t>
        </is>
      </c>
      <c r="C1658" t="inlineStr">
        <is>
          <t>0                      HQ 0072000C  3                  S  354         1986</t>
        </is>
      </c>
      <c r="D1658" t="inlineStr">
        <is>
          <t>Sexual abuse of children in the 1980's : ten essays and an annotated bibliography / edited by Benjamin Schlesinger.</t>
        </is>
      </c>
      <c r="F1658" t="inlineStr">
        <is>
          <t>No</t>
        </is>
      </c>
      <c r="G1658" t="inlineStr">
        <is>
          <t>1</t>
        </is>
      </c>
      <c r="H1658" t="inlineStr">
        <is>
          <t>No</t>
        </is>
      </c>
      <c r="I1658" t="inlineStr">
        <is>
          <t>No</t>
        </is>
      </c>
      <c r="J1658" t="inlineStr">
        <is>
          <t>0</t>
        </is>
      </c>
      <c r="L1658" t="inlineStr">
        <is>
          <t>Toronto, Ont. ; Buffalo, N.Y. : University of Toronto Press, c1986.</t>
        </is>
      </c>
      <c r="M1658" t="inlineStr">
        <is>
          <t>1986</t>
        </is>
      </c>
      <c r="O1658" t="inlineStr">
        <is>
          <t>eng</t>
        </is>
      </c>
      <c r="P1658" t="inlineStr">
        <is>
          <t>onc</t>
        </is>
      </c>
      <c r="R1658" t="inlineStr">
        <is>
          <t xml:space="preserve">HQ </t>
        </is>
      </c>
      <c r="S1658" t="n">
        <v>14</v>
      </c>
      <c r="T1658" t="n">
        <v>14</v>
      </c>
      <c r="U1658" t="inlineStr">
        <is>
          <t>1996-01-23</t>
        </is>
      </c>
      <c r="V1658" t="inlineStr">
        <is>
          <t>1996-01-23</t>
        </is>
      </c>
      <c r="W1658" t="inlineStr">
        <is>
          <t>1991-12-10</t>
        </is>
      </c>
      <c r="X1658" t="inlineStr">
        <is>
          <t>1991-12-10</t>
        </is>
      </c>
      <c r="Y1658" t="n">
        <v>381</v>
      </c>
      <c r="Z1658" t="n">
        <v>281</v>
      </c>
      <c r="AA1658" t="n">
        <v>332</v>
      </c>
      <c r="AB1658" t="n">
        <v>2</v>
      </c>
      <c r="AC1658" t="n">
        <v>3</v>
      </c>
      <c r="AD1658" t="n">
        <v>10</v>
      </c>
      <c r="AE1658" t="n">
        <v>16</v>
      </c>
      <c r="AF1658" t="n">
        <v>3</v>
      </c>
      <c r="AG1658" t="n">
        <v>8</v>
      </c>
      <c r="AH1658" t="n">
        <v>1</v>
      </c>
      <c r="AI1658" t="n">
        <v>2</v>
      </c>
      <c r="AJ1658" t="n">
        <v>4</v>
      </c>
      <c r="AK1658" t="n">
        <v>4</v>
      </c>
      <c r="AL1658" t="n">
        <v>1</v>
      </c>
      <c r="AM1658" t="n">
        <v>2</v>
      </c>
      <c r="AN1658" t="n">
        <v>2</v>
      </c>
      <c r="AO1658" t="n">
        <v>2</v>
      </c>
      <c r="AP1658" t="inlineStr">
        <is>
          <t>No</t>
        </is>
      </c>
      <c r="AQ1658" t="inlineStr">
        <is>
          <t>Yes</t>
        </is>
      </c>
      <c r="AR1658">
        <f>HYPERLINK("http://catalog.hathitrust.org/Record/000589697","HathiTrust Record")</f>
        <v/>
      </c>
      <c r="AS1658">
        <f>HYPERLINK("https://creighton-primo.hosted.exlibrisgroup.com/primo-explore/search?tab=default_tab&amp;search_scope=EVERYTHING&amp;vid=01CRU&amp;lang=en_US&amp;offset=0&amp;query=any,contains,991000904389702656","Catalog Record")</f>
        <v/>
      </c>
      <c r="AT1658">
        <f>HYPERLINK("http://www.worldcat.org/oclc/14082607","WorldCat Record")</f>
        <v/>
      </c>
      <c r="AU1658" t="inlineStr">
        <is>
          <t>2908522172:eng</t>
        </is>
      </c>
      <c r="AV1658" t="inlineStr">
        <is>
          <t>14082607</t>
        </is>
      </c>
      <c r="AW1658" t="inlineStr">
        <is>
          <t>991000904389702656</t>
        </is>
      </c>
      <c r="AX1658" t="inlineStr">
        <is>
          <t>991000904389702656</t>
        </is>
      </c>
      <c r="AY1658" t="inlineStr">
        <is>
          <t>2265189920002656</t>
        </is>
      </c>
      <c r="AZ1658" t="inlineStr">
        <is>
          <t>BOOK</t>
        </is>
      </c>
      <c r="BB1658" t="inlineStr">
        <is>
          <t>9780802066220</t>
        </is>
      </c>
      <c r="BC1658" t="inlineStr">
        <is>
          <t>32285000890169</t>
        </is>
      </c>
      <c r="BD1658" t="inlineStr">
        <is>
          <t>893315339</t>
        </is>
      </c>
    </row>
    <row r="1659">
      <c r="A1659" t="inlineStr">
        <is>
          <t>No</t>
        </is>
      </c>
      <c r="B1659" t="inlineStr">
        <is>
          <t>HQ72.G7 W33 1992</t>
        </is>
      </c>
      <c r="C1659" t="inlineStr">
        <is>
          <t>0                      HQ 0072000G  7                  W  33          1992</t>
        </is>
      </c>
      <c r="D1659" t="inlineStr">
        <is>
          <t>City of dreadful delight : narratives of sexual danger in late-Victorian London / Judith R. Walkowitz.</t>
        </is>
      </c>
      <c r="F1659" t="inlineStr">
        <is>
          <t>No</t>
        </is>
      </c>
      <c r="G1659" t="inlineStr">
        <is>
          <t>1</t>
        </is>
      </c>
      <c r="H1659" t="inlineStr">
        <is>
          <t>No</t>
        </is>
      </c>
      <c r="I1659" t="inlineStr">
        <is>
          <t>No</t>
        </is>
      </c>
      <c r="J1659" t="inlineStr">
        <is>
          <t>0</t>
        </is>
      </c>
      <c r="K1659" t="inlineStr">
        <is>
          <t>Walkowitz, Judith R.</t>
        </is>
      </c>
      <c r="L1659" t="inlineStr">
        <is>
          <t>Chicago : University of Chicago Press, c1992.</t>
        </is>
      </c>
      <c r="M1659" t="inlineStr">
        <is>
          <t>1992</t>
        </is>
      </c>
      <c r="O1659" t="inlineStr">
        <is>
          <t>eng</t>
        </is>
      </c>
      <c r="P1659" t="inlineStr">
        <is>
          <t>ilu</t>
        </is>
      </c>
      <c r="Q1659" t="inlineStr">
        <is>
          <t>Women in culture and society</t>
        </is>
      </c>
      <c r="R1659" t="inlineStr">
        <is>
          <t xml:space="preserve">HQ </t>
        </is>
      </c>
      <c r="S1659" t="n">
        <v>1</v>
      </c>
      <c r="T1659" t="n">
        <v>1</v>
      </c>
      <c r="U1659" t="inlineStr">
        <is>
          <t>2009-04-27</t>
        </is>
      </c>
      <c r="V1659" t="inlineStr">
        <is>
          <t>2009-04-27</t>
        </is>
      </c>
      <c r="W1659" t="inlineStr">
        <is>
          <t>2006-12-04</t>
        </is>
      </c>
      <c r="X1659" t="inlineStr">
        <is>
          <t>2006-12-04</t>
        </is>
      </c>
      <c r="Y1659" t="n">
        <v>785</v>
      </c>
      <c r="Z1659" t="n">
        <v>608</v>
      </c>
      <c r="AA1659" t="n">
        <v>646</v>
      </c>
      <c r="AB1659" t="n">
        <v>3</v>
      </c>
      <c r="AC1659" t="n">
        <v>3</v>
      </c>
      <c r="AD1659" t="n">
        <v>33</v>
      </c>
      <c r="AE1659" t="n">
        <v>35</v>
      </c>
      <c r="AF1659" t="n">
        <v>15</v>
      </c>
      <c r="AG1659" t="n">
        <v>16</v>
      </c>
      <c r="AH1659" t="n">
        <v>8</v>
      </c>
      <c r="AI1659" t="n">
        <v>10</v>
      </c>
      <c r="AJ1659" t="n">
        <v>17</v>
      </c>
      <c r="AK1659" t="n">
        <v>18</v>
      </c>
      <c r="AL1659" t="n">
        <v>2</v>
      </c>
      <c r="AM1659" t="n">
        <v>2</v>
      </c>
      <c r="AN1659" t="n">
        <v>0</v>
      </c>
      <c r="AO1659" t="n">
        <v>0</v>
      </c>
      <c r="AP1659" t="inlineStr">
        <is>
          <t>No</t>
        </is>
      </c>
      <c r="AQ1659" t="inlineStr">
        <is>
          <t>No</t>
        </is>
      </c>
      <c r="AS1659">
        <f>HYPERLINK("https://creighton-primo.hosted.exlibrisgroup.com/primo-explore/search?tab=default_tab&amp;search_scope=EVERYTHING&amp;vid=01CRU&amp;lang=en_US&amp;offset=0&amp;query=any,contains,991004986669702656","Catalog Record")</f>
        <v/>
      </c>
      <c r="AT1659">
        <f>HYPERLINK("http://www.worldcat.org/oclc/25163919","WorldCat Record")</f>
        <v/>
      </c>
      <c r="AU1659" t="inlineStr">
        <is>
          <t>27978265:eng</t>
        </is>
      </c>
      <c r="AV1659" t="inlineStr">
        <is>
          <t>25163919</t>
        </is>
      </c>
      <c r="AW1659" t="inlineStr">
        <is>
          <t>991004986669702656</t>
        </is>
      </c>
      <c r="AX1659" t="inlineStr">
        <is>
          <t>991004986669702656</t>
        </is>
      </c>
      <c r="AY1659" t="inlineStr">
        <is>
          <t>2263597250002656</t>
        </is>
      </c>
      <c r="AZ1659" t="inlineStr">
        <is>
          <t>BOOK</t>
        </is>
      </c>
      <c r="BB1659" t="inlineStr">
        <is>
          <t>9780226871455</t>
        </is>
      </c>
      <c r="BC1659" t="inlineStr">
        <is>
          <t>32285005264154</t>
        </is>
      </c>
      <c r="BD1659" t="inlineStr">
        <is>
          <t>893594317</t>
        </is>
      </c>
    </row>
    <row r="1660">
      <c r="A1660" t="inlineStr">
        <is>
          <t>No</t>
        </is>
      </c>
      <c r="B1660" t="inlineStr">
        <is>
          <t>HQ72.S93 R93 2003</t>
        </is>
      </c>
      <c r="C1660" t="inlineStr">
        <is>
          <t>0                      HQ 0072000S  93                 R  93          2003</t>
        </is>
      </c>
      <c r="D1660" t="inlineStr">
        <is>
          <t>Sinners and citizens : bestiality and homosexuality in Sweden, 1880-1950 / Jens Rydström.</t>
        </is>
      </c>
      <c r="F1660" t="inlineStr">
        <is>
          <t>No</t>
        </is>
      </c>
      <c r="G1660" t="inlineStr">
        <is>
          <t>1</t>
        </is>
      </c>
      <c r="H1660" t="inlineStr">
        <is>
          <t>No</t>
        </is>
      </c>
      <c r="I1660" t="inlineStr">
        <is>
          <t>No</t>
        </is>
      </c>
      <c r="J1660" t="inlineStr">
        <is>
          <t>0</t>
        </is>
      </c>
      <c r="K1660" t="inlineStr">
        <is>
          <t>Rydström, Jens.</t>
        </is>
      </c>
      <c r="L1660" t="inlineStr">
        <is>
          <t>Chicago : The University of Chicago Press, c2003.</t>
        </is>
      </c>
      <c r="M1660" t="inlineStr">
        <is>
          <t>2003</t>
        </is>
      </c>
      <c r="O1660" t="inlineStr">
        <is>
          <t>eng</t>
        </is>
      </c>
      <c r="P1660" t="inlineStr">
        <is>
          <t>ilu</t>
        </is>
      </c>
      <c r="Q1660" t="inlineStr">
        <is>
          <t>The Chicago series on sexuality, history, and society</t>
        </is>
      </c>
      <c r="R1660" t="inlineStr">
        <is>
          <t xml:space="preserve">HQ </t>
        </is>
      </c>
      <c r="S1660" t="n">
        <v>1</v>
      </c>
      <c r="T1660" t="n">
        <v>1</v>
      </c>
      <c r="U1660" t="inlineStr">
        <is>
          <t>2007-09-05</t>
        </is>
      </c>
      <c r="V1660" t="inlineStr">
        <is>
          <t>2007-09-05</t>
        </is>
      </c>
      <c r="W1660" t="inlineStr">
        <is>
          <t>2007-09-05</t>
        </is>
      </c>
      <c r="X1660" t="inlineStr">
        <is>
          <t>2007-09-05</t>
        </is>
      </c>
      <c r="Y1660" t="n">
        <v>222</v>
      </c>
      <c r="Z1660" t="n">
        <v>175</v>
      </c>
      <c r="AA1660" t="n">
        <v>176</v>
      </c>
      <c r="AB1660" t="n">
        <v>1</v>
      </c>
      <c r="AC1660" t="n">
        <v>1</v>
      </c>
      <c r="AD1660" t="n">
        <v>6</v>
      </c>
      <c r="AE1660" t="n">
        <v>6</v>
      </c>
      <c r="AF1660" t="n">
        <v>3</v>
      </c>
      <c r="AG1660" t="n">
        <v>3</v>
      </c>
      <c r="AH1660" t="n">
        <v>2</v>
      </c>
      <c r="AI1660" t="n">
        <v>2</v>
      </c>
      <c r="AJ1660" t="n">
        <v>4</v>
      </c>
      <c r="AK1660" t="n">
        <v>4</v>
      </c>
      <c r="AL1660" t="n">
        <v>0</v>
      </c>
      <c r="AM1660" t="n">
        <v>0</v>
      </c>
      <c r="AN1660" t="n">
        <v>0</v>
      </c>
      <c r="AO1660" t="n">
        <v>0</v>
      </c>
      <c r="AP1660" t="inlineStr">
        <is>
          <t>No</t>
        </is>
      </c>
      <c r="AQ1660" t="inlineStr">
        <is>
          <t>No</t>
        </is>
      </c>
      <c r="AS1660">
        <f>HYPERLINK("https://creighton-primo.hosted.exlibrisgroup.com/primo-explore/search?tab=default_tab&amp;search_scope=EVERYTHING&amp;vid=01CRU&amp;lang=en_US&amp;offset=0&amp;query=any,contains,991005107069702656","Catalog Record")</f>
        <v/>
      </c>
      <c r="AT1660">
        <f>HYPERLINK("http://www.worldcat.org/oclc/51653302","WorldCat Record")</f>
        <v/>
      </c>
      <c r="AU1660" t="inlineStr">
        <is>
          <t>837335171:eng</t>
        </is>
      </c>
      <c r="AV1660" t="inlineStr">
        <is>
          <t>51653302</t>
        </is>
      </c>
      <c r="AW1660" t="inlineStr">
        <is>
          <t>991005107069702656</t>
        </is>
      </c>
      <c r="AX1660" t="inlineStr">
        <is>
          <t>991005107069702656</t>
        </is>
      </c>
      <c r="AY1660" t="inlineStr">
        <is>
          <t>2269459160002656</t>
        </is>
      </c>
      <c r="AZ1660" t="inlineStr">
        <is>
          <t>BOOK</t>
        </is>
      </c>
      <c r="BB1660" t="inlineStr">
        <is>
          <t>9780226732565</t>
        </is>
      </c>
      <c r="BC1660" t="inlineStr">
        <is>
          <t>32285005323638</t>
        </is>
      </c>
      <c r="BD1660" t="inlineStr">
        <is>
          <t>893248367</t>
        </is>
      </c>
    </row>
    <row r="1661">
      <c r="A1661" t="inlineStr">
        <is>
          <t>No</t>
        </is>
      </c>
      <c r="B1661" t="inlineStr">
        <is>
          <t>HQ72.U53 B37 1992</t>
        </is>
      </c>
      <c r="C1661" t="inlineStr">
        <is>
          <t>0                      HQ 0072000U  53                 B  37          1992</t>
        </is>
      </c>
      <c r="D1661" t="inlineStr">
        <is>
          <t>The courage to heal : a guide for women survivors of child sexual abuse / Ellen Bass and Laura Davis.</t>
        </is>
      </c>
      <c r="F1661" t="inlineStr">
        <is>
          <t>No</t>
        </is>
      </c>
      <c r="G1661" t="inlineStr">
        <is>
          <t>1</t>
        </is>
      </c>
      <c r="H1661" t="inlineStr">
        <is>
          <t>No</t>
        </is>
      </c>
      <c r="I1661" t="inlineStr">
        <is>
          <t>No</t>
        </is>
      </c>
      <c r="J1661" t="inlineStr">
        <is>
          <t>0</t>
        </is>
      </c>
      <c r="K1661" t="inlineStr">
        <is>
          <t>Bass, Ellen.</t>
        </is>
      </c>
      <c r="L1661" t="inlineStr">
        <is>
          <t>New York : HarperPerennial, c1992.</t>
        </is>
      </c>
      <c r="M1661" t="inlineStr">
        <is>
          <t>1992</t>
        </is>
      </c>
      <c r="N1661" t="inlineStr">
        <is>
          <t>1st ed.</t>
        </is>
      </c>
      <c r="O1661" t="inlineStr">
        <is>
          <t>eng</t>
        </is>
      </c>
      <c r="P1661" t="inlineStr">
        <is>
          <t>nyu</t>
        </is>
      </c>
      <c r="R1661" t="inlineStr">
        <is>
          <t xml:space="preserve">HQ </t>
        </is>
      </c>
      <c r="S1661" t="n">
        <v>22</v>
      </c>
      <c r="T1661" t="n">
        <v>22</v>
      </c>
      <c r="U1661" t="inlineStr">
        <is>
          <t>2008-09-19</t>
        </is>
      </c>
      <c r="V1661" t="inlineStr">
        <is>
          <t>2008-09-19</t>
        </is>
      </c>
      <c r="W1661" t="inlineStr">
        <is>
          <t>1992-10-27</t>
        </is>
      </c>
      <c r="X1661" t="inlineStr">
        <is>
          <t>1992-10-27</t>
        </is>
      </c>
      <c r="Y1661" t="n">
        <v>361</v>
      </c>
      <c r="Z1661" t="n">
        <v>334</v>
      </c>
      <c r="AA1661" t="n">
        <v>2618</v>
      </c>
      <c r="AB1661" t="n">
        <v>6</v>
      </c>
      <c r="AC1661" t="n">
        <v>26</v>
      </c>
      <c r="AD1661" t="n">
        <v>3</v>
      </c>
      <c r="AE1661" t="n">
        <v>42</v>
      </c>
      <c r="AF1661" t="n">
        <v>1</v>
      </c>
      <c r="AG1661" t="n">
        <v>15</v>
      </c>
      <c r="AH1661" t="n">
        <v>1</v>
      </c>
      <c r="AI1661" t="n">
        <v>6</v>
      </c>
      <c r="AJ1661" t="n">
        <v>1</v>
      </c>
      <c r="AK1661" t="n">
        <v>17</v>
      </c>
      <c r="AL1661" t="n">
        <v>1</v>
      </c>
      <c r="AM1661" t="n">
        <v>12</v>
      </c>
      <c r="AN1661" t="n">
        <v>0</v>
      </c>
      <c r="AO1661" t="n">
        <v>1</v>
      </c>
      <c r="AP1661" t="inlineStr">
        <is>
          <t>No</t>
        </is>
      </c>
      <c r="AQ1661" t="inlineStr">
        <is>
          <t>No</t>
        </is>
      </c>
      <c r="AS1661">
        <f>HYPERLINK("https://creighton-primo.hosted.exlibrisgroup.com/primo-explore/search?tab=default_tab&amp;search_scope=EVERYTHING&amp;vid=01CRU&amp;lang=en_US&amp;offset=0&amp;query=any,contains,991002028269702656","Catalog Record")</f>
        <v/>
      </c>
      <c r="AT1661">
        <f>HYPERLINK("http://www.worldcat.org/oclc/25813569","WorldCat Record")</f>
        <v/>
      </c>
      <c r="AU1661" t="inlineStr">
        <is>
          <t>387821:eng</t>
        </is>
      </c>
      <c r="AV1661" t="inlineStr">
        <is>
          <t>25813569</t>
        </is>
      </c>
      <c r="AW1661" t="inlineStr">
        <is>
          <t>991002028269702656</t>
        </is>
      </c>
      <c r="AX1661" t="inlineStr">
        <is>
          <t>991002028269702656</t>
        </is>
      </c>
      <c r="AY1661" t="inlineStr">
        <is>
          <t>2270146670002656</t>
        </is>
      </c>
      <c r="AZ1661" t="inlineStr">
        <is>
          <t>BOOK</t>
        </is>
      </c>
      <c r="BB1661" t="inlineStr">
        <is>
          <t>9780060969318</t>
        </is>
      </c>
      <c r="BC1661" t="inlineStr">
        <is>
          <t>32285001319333</t>
        </is>
      </c>
      <c r="BD1661" t="inlineStr">
        <is>
          <t>893621829</t>
        </is>
      </c>
    </row>
    <row r="1662">
      <c r="A1662" t="inlineStr">
        <is>
          <t>No</t>
        </is>
      </c>
      <c r="B1662" t="inlineStr">
        <is>
          <t>HQ72.U53 B47 1991</t>
        </is>
      </c>
      <c r="C1662" t="inlineStr">
        <is>
          <t>0                      HQ 0072000U  53                 B  47          1991</t>
        </is>
      </c>
      <c r="D1662" t="inlineStr">
        <is>
          <t>With the best of intentions : the child sexual abuse prevention movement / Jill Duerr Berrick, Neil Gilbert.</t>
        </is>
      </c>
      <c r="F1662" t="inlineStr">
        <is>
          <t>No</t>
        </is>
      </c>
      <c r="G1662" t="inlineStr">
        <is>
          <t>1</t>
        </is>
      </c>
      <c r="H1662" t="inlineStr">
        <is>
          <t>No</t>
        </is>
      </c>
      <c r="I1662" t="inlineStr">
        <is>
          <t>No</t>
        </is>
      </c>
      <c r="J1662" t="inlineStr">
        <is>
          <t>0</t>
        </is>
      </c>
      <c r="K1662" t="inlineStr">
        <is>
          <t>Berrick, Jill Duerr.</t>
        </is>
      </c>
      <c r="L1662" t="inlineStr">
        <is>
          <t>New York : Guilford Press, c1991.</t>
        </is>
      </c>
      <c r="M1662" t="inlineStr">
        <is>
          <t>1991</t>
        </is>
      </c>
      <c r="O1662" t="inlineStr">
        <is>
          <t>eng</t>
        </is>
      </c>
      <c r="P1662" t="inlineStr">
        <is>
          <t>nyu</t>
        </is>
      </c>
      <c r="R1662" t="inlineStr">
        <is>
          <t xml:space="preserve">HQ </t>
        </is>
      </c>
      <c r="S1662" t="n">
        <v>14</v>
      </c>
      <c r="T1662" t="n">
        <v>14</v>
      </c>
      <c r="U1662" t="inlineStr">
        <is>
          <t>1995-12-06</t>
        </is>
      </c>
      <c r="V1662" t="inlineStr">
        <is>
          <t>1995-12-06</t>
        </is>
      </c>
      <c r="W1662" t="inlineStr">
        <is>
          <t>1992-03-25</t>
        </is>
      </c>
      <c r="X1662" t="inlineStr">
        <is>
          <t>1992-03-25</t>
        </is>
      </c>
      <c r="Y1662" t="n">
        <v>784</v>
      </c>
      <c r="Z1662" t="n">
        <v>692</v>
      </c>
      <c r="AA1662" t="n">
        <v>693</v>
      </c>
      <c r="AB1662" t="n">
        <v>6</v>
      </c>
      <c r="AC1662" t="n">
        <v>6</v>
      </c>
      <c r="AD1662" t="n">
        <v>30</v>
      </c>
      <c r="AE1662" t="n">
        <v>30</v>
      </c>
      <c r="AF1662" t="n">
        <v>9</v>
      </c>
      <c r="AG1662" t="n">
        <v>9</v>
      </c>
      <c r="AH1662" t="n">
        <v>7</v>
      </c>
      <c r="AI1662" t="n">
        <v>7</v>
      </c>
      <c r="AJ1662" t="n">
        <v>14</v>
      </c>
      <c r="AK1662" t="n">
        <v>14</v>
      </c>
      <c r="AL1662" t="n">
        <v>5</v>
      </c>
      <c r="AM1662" t="n">
        <v>5</v>
      </c>
      <c r="AN1662" t="n">
        <v>0</v>
      </c>
      <c r="AO1662" t="n">
        <v>0</v>
      </c>
      <c r="AP1662" t="inlineStr">
        <is>
          <t>No</t>
        </is>
      </c>
      <c r="AQ1662" t="inlineStr">
        <is>
          <t>No</t>
        </is>
      </c>
      <c r="AS1662">
        <f>HYPERLINK("https://creighton-primo.hosted.exlibrisgroup.com/primo-explore/search?tab=default_tab&amp;search_scope=EVERYTHING&amp;vid=01CRU&amp;lang=en_US&amp;offset=0&amp;query=any,contains,991001904549702656","Catalog Record")</f>
        <v/>
      </c>
      <c r="AT1662">
        <f>HYPERLINK("http://www.worldcat.org/oclc/24066533","WorldCat Record")</f>
        <v/>
      </c>
      <c r="AU1662" t="inlineStr">
        <is>
          <t>289000128:eng</t>
        </is>
      </c>
      <c r="AV1662" t="inlineStr">
        <is>
          <t>24066533</t>
        </is>
      </c>
      <c r="AW1662" t="inlineStr">
        <is>
          <t>991001904549702656</t>
        </is>
      </c>
      <c r="AX1662" t="inlineStr">
        <is>
          <t>991001904549702656</t>
        </is>
      </c>
      <c r="AY1662" t="inlineStr">
        <is>
          <t>2261935650002656</t>
        </is>
      </c>
      <c r="AZ1662" t="inlineStr">
        <is>
          <t>BOOK</t>
        </is>
      </c>
      <c r="BB1662" t="inlineStr">
        <is>
          <t>9780898625301</t>
        </is>
      </c>
      <c r="BC1662" t="inlineStr">
        <is>
          <t>32285001006070</t>
        </is>
      </c>
      <c r="BD1662" t="inlineStr">
        <is>
          <t>893621702</t>
        </is>
      </c>
    </row>
    <row r="1663">
      <c r="A1663" t="inlineStr">
        <is>
          <t>No</t>
        </is>
      </c>
      <c r="B1663" t="inlineStr">
        <is>
          <t>HQ72.U53 B87 1985</t>
        </is>
      </c>
      <c r="C1663" t="inlineStr">
        <is>
          <t>0                      HQ 0072000U  53                 B  87          1985</t>
        </is>
      </c>
      <c r="D1663" t="inlineStr">
        <is>
          <t>Conspiracy of silence : the trauma of incest / by Sandra Butler.</t>
        </is>
      </c>
      <c r="F1663" t="inlineStr">
        <is>
          <t>No</t>
        </is>
      </c>
      <c r="G1663" t="inlineStr">
        <is>
          <t>1</t>
        </is>
      </c>
      <c r="H1663" t="inlineStr">
        <is>
          <t>No</t>
        </is>
      </c>
      <c r="I1663" t="inlineStr">
        <is>
          <t>No</t>
        </is>
      </c>
      <c r="J1663" t="inlineStr">
        <is>
          <t>0</t>
        </is>
      </c>
      <c r="K1663" t="inlineStr">
        <is>
          <t>Butler, Sandra, 1938-</t>
        </is>
      </c>
      <c r="L1663" t="inlineStr">
        <is>
          <t>San Francisco, Calif. : Volcano Press, c1985.</t>
        </is>
      </c>
      <c r="M1663" t="inlineStr">
        <is>
          <t>1985</t>
        </is>
      </c>
      <c r="N1663" t="inlineStr">
        <is>
          <t>Updated, with "The problem reconsidered" / by the author ; and a new foreword by Judith L. Herman.</t>
        </is>
      </c>
      <c r="O1663" t="inlineStr">
        <is>
          <t>eng</t>
        </is>
      </c>
      <c r="P1663" t="inlineStr">
        <is>
          <t>cau</t>
        </is>
      </c>
      <c r="R1663" t="inlineStr">
        <is>
          <t xml:space="preserve">HQ </t>
        </is>
      </c>
      <c r="S1663" t="n">
        <v>9</v>
      </c>
      <c r="T1663" t="n">
        <v>9</v>
      </c>
      <c r="U1663" t="inlineStr">
        <is>
          <t>1995-10-23</t>
        </is>
      </c>
      <c r="V1663" t="inlineStr">
        <is>
          <t>1995-10-23</t>
        </is>
      </c>
      <c r="W1663" t="inlineStr">
        <is>
          <t>1991-12-12</t>
        </is>
      </c>
      <c r="X1663" t="inlineStr">
        <is>
          <t>1991-12-12</t>
        </is>
      </c>
      <c r="Y1663" t="n">
        <v>295</v>
      </c>
      <c r="Z1663" t="n">
        <v>244</v>
      </c>
      <c r="AA1663" t="n">
        <v>853</v>
      </c>
      <c r="AB1663" t="n">
        <v>2</v>
      </c>
      <c r="AC1663" t="n">
        <v>9</v>
      </c>
      <c r="AD1663" t="n">
        <v>6</v>
      </c>
      <c r="AE1663" t="n">
        <v>14</v>
      </c>
      <c r="AF1663" t="n">
        <v>3</v>
      </c>
      <c r="AG1663" t="n">
        <v>5</v>
      </c>
      <c r="AH1663" t="n">
        <v>1</v>
      </c>
      <c r="AI1663" t="n">
        <v>3</v>
      </c>
      <c r="AJ1663" t="n">
        <v>3</v>
      </c>
      <c r="AK1663" t="n">
        <v>5</v>
      </c>
      <c r="AL1663" t="n">
        <v>1</v>
      </c>
      <c r="AM1663" t="n">
        <v>3</v>
      </c>
      <c r="AN1663" t="n">
        <v>0</v>
      </c>
      <c r="AO1663" t="n">
        <v>0</v>
      </c>
      <c r="AP1663" t="inlineStr">
        <is>
          <t>No</t>
        </is>
      </c>
      <c r="AQ1663" t="inlineStr">
        <is>
          <t>Yes</t>
        </is>
      </c>
      <c r="AR1663">
        <f>HYPERLINK("http://catalog.hathitrust.org/Record/000555307","HathiTrust Record")</f>
        <v/>
      </c>
      <c r="AS1663">
        <f>HYPERLINK("https://creighton-primo.hosted.exlibrisgroup.com/primo-explore/search?tab=default_tab&amp;search_scope=EVERYTHING&amp;vid=01CRU&amp;lang=en_US&amp;offset=0&amp;query=any,contains,991000789129702656","Catalog Record")</f>
        <v/>
      </c>
      <c r="AT1663">
        <f>HYPERLINK("http://www.worldcat.org/oclc/13132388","WorldCat Record")</f>
        <v/>
      </c>
      <c r="AU1663" t="inlineStr">
        <is>
          <t>510493:eng</t>
        </is>
      </c>
      <c r="AV1663" t="inlineStr">
        <is>
          <t>13132388</t>
        </is>
      </c>
      <c r="AW1663" t="inlineStr">
        <is>
          <t>991000789129702656</t>
        </is>
      </c>
      <c r="AX1663" t="inlineStr">
        <is>
          <t>991000789129702656</t>
        </is>
      </c>
      <c r="AY1663" t="inlineStr">
        <is>
          <t>2269490910002656</t>
        </is>
      </c>
      <c r="AZ1663" t="inlineStr">
        <is>
          <t>BOOK</t>
        </is>
      </c>
      <c r="BB1663" t="inlineStr">
        <is>
          <t>9780912078731</t>
        </is>
      </c>
      <c r="BC1663" t="inlineStr">
        <is>
          <t>32285000887298</t>
        </is>
      </c>
      <c r="BD1663" t="inlineStr">
        <is>
          <t>893897208</t>
        </is>
      </c>
    </row>
    <row r="1664">
      <c r="A1664" t="inlineStr">
        <is>
          <t>No</t>
        </is>
      </c>
      <c r="B1664" t="inlineStr">
        <is>
          <t>HQ72.U53 C53 1986</t>
        </is>
      </c>
      <c r="C1664" t="inlineStr">
        <is>
          <t>0                      HQ 0072000U  53                 C  53          1986</t>
        </is>
      </c>
      <c r="D1664" t="inlineStr">
        <is>
          <t>Sexual abuse prevention education : an annotated bibliography / compiled by Kay Clark.</t>
        </is>
      </c>
      <c r="F1664" t="inlineStr">
        <is>
          <t>No</t>
        </is>
      </c>
      <c r="G1664" t="inlineStr">
        <is>
          <t>1</t>
        </is>
      </c>
      <c r="H1664" t="inlineStr">
        <is>
          <t>No</t>
        </is>
      </c>
      <c r="I1664" t="inlineStr">
        <is>
          <t>No</t>
        </is>
      </c>
      <c r="J1664" t="inlineStr">
        <is>
          <t>0</t>
        </is>
      </c>
      <c r="K1664" t="inlineStr">
        <is>
          <t>Clark, Kay, 1942-</t>
        </is>
      </c>
      <c r="L1664" t="inlineStr">
        <is>
          <t>Santa Cruz, CA : Network Publications, 1986, c1985.</t>
        </is>
      </c>
      <c r="M1664" t="inlineStr">
        <is>
          <t>1985</t>
        </is>
      </c>
      <c r="N1664" t="inlineStr">
        <is>
          <t>[1986-1987 ed.]</t>
        </is>
      </c>
      <c r="O1664" t="inlineStr">
        <is>
          <t>eng</t>
        </is>
      </c>
      <c r="P1664" t="inlineStr">
        <is>
          <t>cau</t>
        </is>
      </c>
      <c r="R1664" t="inlineStr">
        <is>
          <t xml:space="preserve">HQ </t>
        </is>
      </c>
      <c r="S1664" t="n">
        <v>7</v>
      </c>
      <c r="T1664" t="n">
        <v>7</v>
      </c>
      <c r="U1664" t="inlineStr">
        <is>
          <t>1995-12-06</t>
        </is>
      </c>
      <c r="V1664" t="inlineStr">
        <is>
          <t>1995-12-06</t>
        </is>
      </c>
      <c r="W1664" t="inlineStr">
        <is>
          <t>1992-10-22</t>
        </is>
      </c>
      <c r="X1664" t="inlineStr">
        <is>
          <t>1992-10-22</t>
        </is>
      </c>
      <c r="Y1664" t="n">
        <v>22</v>
      </c>
      <c r="Z1664" t="n">
        <v>22</v>
      </c>
      <c r="AA1664" t="n">
        <v>39</v>
      </c>
      <c r="AB1664" t="n">
        <v>1</v>
      </c>
      <c r="AC1664" t="n">
        <v>1</v>
      </c>
      <c r="AD1664" t="n">
        <v>0</v>
      </c>
      <c r="AE1664" t="n">
        <v>0</v>
      </c>
      <c r="AF1664" t="n">
        <v>0</v>
      </c>
      <c r="AG1664" t="n">
        <v>0</v>
      </c>
      <c r="AH1664" t="n">
        <v>0</v>
      </c>
      <c r="AI1664" t="n">
        <v>0</v>
      </c>
      <c r="AJ1664" t="n">
        <v>0</v>
      </c>
      <c r="AK1664" t="n">
        <v>0</v>
      </c>
      <c r="AL1664" t="n">
        <v>0</v>
      </c>
      <c r="AM1664" t="n">
        <v>0</v>
      </c>
      <c r="AN1664" t="n">
        <v>0</v>
      </c>
      <c r="AO1664" t="n">
        <v>0</v>
      </c>
      <c r="AP1664" t="inlineStr">
        <is>
          <t>No</t>
        </is>
      </c>
      <c r="AQ1664" t="inlineStr">
        <is>
          <t>Yes</t>
        </is>
      </c>
      <c r="AR1664">
        <f>HYPERLINK("http://catalog.hathitrust.org/Record/009134271","HathiTrust Record")</f>
        <v/>
      </c>
      <c r="AS1664">
        <f>HYPERLINK("https://creighton-primo.hosted.exlibrisgroup.com/primo-explore/search?tab=default_tab&amp;search_scope=EVERYTHING&amp;vid=01CRU&amp;lang=en_US&amp;offset=0&amp;query=any,contains,991000801649702656","Catalog Record")</f>
        <v/>
      </c>
      <c r="AT1664">
        <f>HYPERLINK("http://www.worldcat.org/oclc/13246418","WorldCat Record")</f>
        <v/>
      </c>
      <c r="AU1664" t="inlineStr">
        <is>
          <t>7866947:eng</t>
        </is>
      </c>
      <c r="AV1664" t="inlineStr">
        <is>
          <t>13246418</t>
        </is>
      </c>
      <c r="AW1664" t="inlineStr">
        <is>
          <t>991000801649702656</t>
        </is>
      </c>
      <c r="AX1664" t="inlineStr">
        <is>
          <t>991000801649702656</t>
        </is>
      </c>
      <c r="AY1664" t="inlineStr">
        <is>
          <t>2269914910002656</t>
        </is>
      </c>
      <c r="AZ1664" t="inlineStr">
        <is>
          <t>BOOK</t>
        </is>
      </c>
      <c r="BB1664" t="inlineStr">
        <is>
          <t>9780941816212</t>
        </is>
      </c>
      <c r="BC1664" t="inlineStr">
        <is>
          <t>32285001358265</t>
        </is>
      </c>
      <c r="BD1664" t="inlineStr">
        <is>
          <t>893608297</t>
        </is>
      </c>
    </row>
    <row r="1665">
      <c r="A1665" t="inlineStr">
        <is>
          <t>No</t>
        </is>
      </c>
      <c r="B1665" t="inlineStr">
        <is>
          <t>HQ72.U53 C74 1988</t>
        </is>
      </c>
      <c r="C1665" t="inlineStr">
        <is>
          <t>0                      HQ 0072000U  53                 C  74          1988</t>
        </is>
      </c>
      <c r="D1665" t="inlineStr">
        <is>
          <t>By silence betrayed : sexual abuse of children in America / John Crewdson.</t>
        </is>
      </c>
      <c r="F1665" t="inlineStr">
        <is>
          <t>No</t>
        </is>
      </c>
      <c r="G1665" t="inlineStr">
        <is>
          <t>1</t>
        </is>
      </c>
      <c r="H1665" t="inlineStr">
        <is>
          <t>No</t>
        </is>
      </c>
      <c r="I1665" t="inlineStr">
        <is>
          <t>No</t>
        </is>
      </c>
      <c r="J1665" t="inlineStr">
        <is>
          <t>0</t>
        </is>
      </c>
      <c r="K1665" t="inlineStr">
        <is>
          <t>Crewdson, John, 1945-</t>
        </is>
      </c>
      <c r="L1665" t="inlineStr">
        <is>
          <t>Boston : Little, Brown, c1988.</t>
        </is>
      </c>
      <c r="M1665" t="inlineStr">
        <is>
          <t>1988</t>
        </is>
      </c>
      <c r="N1665" t="inlineStr">
        <is>
          <t>1st ed.</t>
        </is>
      </c>
      <c r="O1665" t="inlineStr">
        <is>
          <t>eng</t>
        </is>
      </c>
      <c r="P1665" t="inlineStr">
        <is>
          <t>mau</t>
        </is>
      </c>
      <c r="R1665" t="inlineStr">
        <is>
          <t xml:space="preserve">HQ </t>
        </is>
      </c>
      <c r="S1665" t="n">
        <v>15</v>
      </c>
      <c r="T1665" t="n">
        <v>15</v>
      </c>
      <c r="U1665" t="inlineStr">
        <is>
          <t>2006-09-25</t>
        </is>
      </c>
      <c r="V1665" t="inlineStr">
        <is>
          <t>2006-09-25</t>
        </is>
      </c>
      <c r="W1665" t="inlineStr">
        <is>
          <t>1991-12-09</t>
        </is>
      </c>
      <c r="X1665" t="inlineStr">
        <is>
          <t>1991-12-09</t>
        </is>
      </c>
      <c r="Y1665" t="n">
        <v>1553</v>
      </c>
      <c r="Z1665" t="n">
        <v>1469</v>
      </c>
      <c r="AA1665" t="n">
        <v>1561</v>
      </c>
      <c r="AB1665" t="n">
        <v>6</v>
      </c>
      <c r="AC1665" t="n">
        <v>7</v>
      </c>
      <c r="AD1665" t="n">
        <v>35</v>
      </c>
      <c r="AE1665" t="n">
        <v>37</v>
      </c>
      <c r="AF1665" t="n">
        <v>16</v>
      </c>
      <c r="AG1665" t="n">
        <v>16</v>
      </c>
      <c r="AH1665" t="n">
        <v>6</v>
      </c>
      <c r="AI1665" t="n">
        <v>6</v>
      </c>
      <c r="AJ1665" t="n">
        <v>16</v>
      </c>
      <c r="AK1665" t="n">
        <v>17</v>
      </c>
      <c r="AL1665" t="n">
        <v>3</v>
      </c>
      <c r="AM1665" t="n">
        <v>4</v>
      </c>
      <c r="AN1665" t="n">
        <v>3</v>
      </c>
      <c r="AO1665" t="n">
        <v>3</v>
      </c>
      <c r="AP1665" t="inlineStr">
        <is>
          <t>No</t>
        </is>
      </c>
      <c r="AQ1665" t="inlineStr">
        <is>
          <t>No</t>
        </is>
      </c>
      <c r="AS1665">
        <f>HYPERLINK("https://creighton-primo.hosted.exlibrisgroup.com/primo-explore/search?tab=default_tab&amp;search_scope=EVERYTHING&amp;vid=01CRU&amp;lang=en_US&amp;offset=0&amp;query=any,contains,991001113979702656","Catalog Record")</f>
        <v/>
      </c>
      <c r="AT1665">
        <f>HYPERLINK("http://www.worldcat.org/oclc/16523407","WorldCat Record")</f>
        <v/>
      </c>
      <c r="AU1665" t="inlineStr">
        <is>
          <t>12389889:eng</t>
        </is>
      </c>
      <c r="AV1665" t="inlineStr">
        <is>
          <t>16523407</t>
        </is>
      </c>
      <c r="AW1665" t="inlineStr">
        <is>
          <t>991001113979702656</t>
        </is>
      </c>
      <c r="AX1665" t="inlineStr">
        <is>
          <t>991001113979702656</t>
        </is>
      </c>
      <c r="AY1665" t="inlineStr">
        <is>
          <t>2272132710002656</t>
        </is>
      </c>
      <c r="AZ1665" t="inlineStr">
        <is>
          <t>BOOK</t>
        </is>
      </c>
      <c r="BB1665" t="inlineStr">
        <is>
          <t>9780316160940</t>
        </is>
      </c>
      <c r="BC1665" t="inlineStr">
        <is>
          <t>32285000838747</t>
        </is>
      </c>
      <c r="BD1665" t="inlineStr">
        <is>
          <t>893515909</t>
        </is>
      </c>
    </row>
    <row r="1666">
      <c r="A1666" t="inlineStr">
        <is>
          <t>No</t>
        </is>
      </c>
      <c r="B1666" t="inlineStr">
        <is>
          <t>HQ72.U53 E38 1986</t>
        </is>
      </c>
      <c r="C1666" t="inlineStr">
        <is>
          <t>0                      HQ 0072000U  53                 E  38          1986</t>
        </is>
      </c>
      <c r="D1666" t="inlineStr">
        <is>
          <t>The Educator's guide to preventing child sexual abuse / editors, Mary Nelson and Kay Clark.</t>
        </is>
      </c>
      <c r="F1666" t="inlineStr">
        <is>
          <t>No</t>
        </is>
      </c>
      <c r="G1666" t="inlineStr">
        <is>
          <t>1</t>
        </is>
      </c>
      <c r="H1666" t="inlineStr">
        <is>
          <t>No</t>
        </is>
      </c>
      <c r="I1666" t="inlineStr">
        <is>
          <t>No</t>
        </is>
      </c>
      <c r="J1666" t="inlineStr">
        <is>
          <t>0</t>
        </is>
      </c>
      <c r="L1666" t="inlineStr">
        <is>
          <t>Santa Cruz, Calif. : Network Publications, 1986.</t>
        </is>
      </c>
      <c r="M1666" t="inlineStr">
        <is>
          <t>1986</t>
        </is>
      </c>
      <c r="O1666" t="inlineStr">
        <is>
          <t>eng</t>
        </is>
      </c>
      <c r="P1666" t="inlineStr">
        <is>
          <t>cau</t>
        </is>
      </c>
      <c r="R1666" t="inlineStr">
        <is>
          <t xml:space="preserve">HQ </t>
        </is>
      </c>
      <c r="S1666" t="n">
        <v>21</v>
      </c>
      <c r="T1666" t="n">
        <v>21</v>
      </c>
      <c r="U1666" t="inlineStr">
        <is>
          <t>2001-04-09</t>
        </is>
      </c>
      <c r="V1666" t="inlineStr">
        <is>
          <t>2001-04-09</t>
        </is>
      </c>
      <c r="W1666" t="inlineStr">
        <is>
          <t>1990-03-19</t>
        </is>
      </c>
      <c r="X1666" t="inlineStr">
        <is>
          <t>1990-03-19</t>
        </is>
      </c>
      <c r="Y1666" t="n">
        <v>277</v>
      </c>
      <c r="Z1666" t="n">
        <v>247</v>
      </c>
      <c r="AA1666" t="n">
        <v>255</v>
      </c>
      <c r="AB1666" t="n">
        <v>5</v>
      </c>
      <c r="AC1666" t="n">
        <v>5</v>
      </c>
      <c r="AD1666" t="n">
        <v>11</v>
      </c>
      <c r="AE1666" t="n">
        <v>11</v>
      </c>
      <c r="AF1666" t="n">
        <v>3</v>
      </c>
      <c r="AG1666" t="n">
        <v>3</v>
      </c>
      <c r="AH1666" t="n">
        <v>1</v>
      </c>
      <c r="AI1666" t="n">
        <v>1</v>
      </c>
      <c r="AJ1666" t="n">
        <v>6</v>
      </c>
      <c r="AK1666" t="n">
        <v>6</v>
      </c>
      <c r="AL1666" t="n">
        <v>4</v>
      </c>
      <c r="AM1666" t="n">
        <v>4</v>
      </c>
      <c r="AN1666" t="n">
        <v>0</v>
      </c>
      <c r="AO1666" t="n">
        <v>0</v>
      </c>
      <c r="AP1666" t="inlineStr">
        <is>
          <t>No</t>
        </is>
      </c>
      <c r="AQ1666" t="inlineStr">
        <is>
          <t>Yes</t>
        </is>
      </c>
      <c r="AR1666">
        <f>HYPERLINK("http://catalog.hathitrust.org/Record/004934248","HathiTrust Record")</f>
        <v/>
      </c>
      <c r="AS1666">
        <f>HYPERLINK("https://creighton-primo.hosted.exlibrisgroup.com/primo-explore/search?tab=default_tab&amp;search_scope=EVERYTHING&amp;vid=01CRU&amp;lang=en_US&amp;offset=0&amp;query=any,contains,991000793729702656","Catalog Record")</f>
        <v/>
      </c>
      <c r="AT1666">
        <f>HYPERLINK("http://www.worldcat.org/oclc/13180586","WorldCat Record")</f>
        <v/>
      </c>
      <c r="AU1666" t="inlineStr">
        <is>
          <t>430517979:eng</t>
        </is>
      </c>
      <c r="AV1666" t="inlineStr">
        <is>
          <t>13180586</t>
        </is>
      </c>
      <c r="AW1666" t="inlineStr">
        <is>
          <t>991000793729702656</t>
        </is>
      </c>
      <c r="AX1666" t="inlineStr">
        <is>
          <t>991000793729702656</t>
        </is>
      </c>
      <c r="AY1666" t="inlineStr">
        <is>
          <t>2256375630002656</t>
        </is>
      </c>
      <c r="AZ1666" t="inlineStr">
        <is>
          <t>BOOK</t>
        </is>
      </c>
      <c r="BB1666" t="inlineStr">
        <is>
          <t>9780941816175</t>
        </is>
      </c>
      <c r="BC1666" t="inlineStr">
        <is>
          <t>32285000086107</t>
        </is>
      </c>
      <c r="BD1666" t="inlineStr">
        <is>
          <t>893884762</t>
        </is>
      </c>
    </row>
    <row r="1667">
      <c r="A1667" t="inlineStr">
        <is>
          <t>No</t>
        </is>
      </c>
      <c r="B1667" t="inlineStr">
        <is>
          <t>HQ72.U53 F56 1988</t>
        </is>
      </c>
      <c r="C1667" t="inlineStr">
        <is>
          <t>0                      HQ 0072000U  53                 F  56          1988</t>
        </is>
      </c>
      <c r="D1667" t="inlineStr">
        <is>
          <t>Nursery crimes : sexual abuse in day care / David Finkelhor, Linda Meyer Williams, with Nanci Burns.</t>
        </is>
      </c>
      <c r="F1667" t="inlineStr">
        <is>
          <t>No</t>
        </is>
      </c>
      <c r="G1667" t="inlineStr">
        <is>
          <t>1</t>
        </is>
      </c>
      <c r="H1667" t="inlineStr">
        <is>
          <t>No</t>
        </is>
      </c>
      <c r="I1667" t="inlineStr">
        <is>
          <t>No</t>
        </is>
      </c>
      <c r="J1667" t="inlineStr">
        <is>
          <t>0</t>
        </is>
      </c>
      <c r="K1667" t="inlineStr">
        <is>
          <t>Finkelhor, David.</t>
        </is>
      </c>
      <c r="L1667" t="inlineStr">
        <is>
          <t>Newbury Park : Sage Publications, c1988.</t>
        </is>
      </c>
      <c r="M1667" t="inlineStr">
        <is>
          <t>1988</t>
        </is>
      </c>
      <c r="O1667" t="inlineStr">
        <is>
          <t>eng</t>
        </is>
      </c>
      <c r="P1667" t="inlineStr">
        <is>
          <t>cau</t>
        </is>
      </c>
      <c r="R1667" t="inlineStr">
        <is>
          <t xml:space="preserve">HQ </t>
        </is>
      </c>
      <c r="S1667" t="n">
        <v>22</v>
      </c>
      <c r="T1667" t="n">
        <v>22</v>
      </c>
      <c r="U1667" t="inlineStr">
        <is>
          <t>1997-11-11</t>
        </is>
      </c>
      <c r="V1667" t="inlineStr">
        <is>
          <t>1997-11-11</t>
        </is>
      </c>
      <c r="W1667" t="inlineStr">
        <is>
          <t>1992-02-06</t>
        </is>
      </c>
      <c r="X1667" t="inlineStr">
        <is>
          <t>1992-02-06</t>
        </is>
      </c>
      <c r="Y1667" t="n">
        <v>690</v>
      </c>
      <c r="Z1667" t="n">
        <v>574</v>
      </c>
      <c r="AA1667" t="n">
        <v>583</v>
      </c>
      <c r="AB1667" t="n">
        <v>4</v>
      </c>
      <c r="AC1667" t="n">
        <v>4</v>
      </c>
      <c r="AD1667" t="n">
        <v>17</v>
      </c>
      <c r="AE1667" t="n">
        <v>17</v>
      </c>
      <c r="AF1667" t="n">
        <v>6</v>
      </c>
      <c r="AG1667" t="n">
        <v>6</v>
      </c>
      <c r="AH1667" t="n">
        <v>4</v>
      </c>
      <c r="AI1667" t="n">
        <v>4</v>
      </c>
      <c r="AJ1667" t="n">
        <v>10</v>
      </c>
      <c r="AK1667" t="n">
        <v>10</v>
      </c>
      <c r="AL1667" t="n">
        <v>3</v>
      </c>
      <c r="AM1667" t="n">
        <v>3</v>
      </c>
      <c r="AN1667" t="n">
        <v>0</v>
      </c>
      <c r="AO1667" t="n">
        <v>0</v>
      </c>
      <c r="AP1667" t="inlineStr">
        <is>
          <t>No</t>
        </is>
      </c>
      <c r="AQ1667" t="inlineStr">
        <is>
          <t>Yes</t>
        </is>
      </c>
      <c r="AR1667">
        <f>HYPERLINK("http://catalog.hathitrust.org/Record/001100179","HathiTrust Record")</f>
        <v/>
      </c>
      <c r="AS1667">
        <f>HYPERLINK("https://creighton-primo.hosted.exlibrisgroup.com/primo-explore/search?tab=default_tab&amp;search_scope=EVERYTHING&amp;vid=01CRU&amp;lang=en_US&amp;offset=0&amp;query=any,contains,991001308949702656","Catalog Record")</f>
        <v/>
      </c>
      <c r="AT1667">
        <f>HYPERLINK("http://www.worldcat.org/oclc/18135295","WorldCat Record")</f>
        <v/>
      </c>
      <c r="AU1667" t="inlineStr">
        <is>
          <t>16931411:eng</t>
        </is>
      </c>
      <c r="AV1667" t="inlineStr">
        <is>
          <t>18135295</t>
        </is>
      </c>
      <c r="AW1667" t="inlineStr">
        <is>
          <t>991001308949702656</t>
        </is>
      </c>
      <c r="AX1667" t="inlineStr">
        <is>
          <t>991001308949702656</t>
        </is>
      </c>
      <c r="AY1667" t="inlineStr">
        <is>
          <t>2260413250002656</t>
        </is>
      </c>
      <c r="AZ1667" t="inlineStr">
        <is>
          <t>BOOK</t>
        </is>
      </c>
      <c r="BB1667" t="inlineStr">
        <is>
          <t>9780803934009</t>
        </is>
      </c>
      <c r="BC1667" t="inlineStr">
        <is>
          <t>32285000943497</t>
        </is>
      </c>
      <c r="BD1667" t="inlineStr">
        <is>
          <t>893225782</t>
        </is>
      </c>
    </row>
    <row r="1668">
      <c r="A1668" t="inlineStr">
        <is>
          <t>No</t>
        </is>
      </c>
      <c r="B1668" t="inlineStr">
        <is>
          <t>HQ72.U53 G35 1985</t>
        </is>
      </c>
      <c r="C1668" t="inlineStr">
        <is>
          <t>0                      HQ 0072000U  53                 G  35          1985</t>
        </is>
      </c>
      <c r="D1668" t="inlineStr">
        <is>
          <t>Speaking out, fighting back : personal experiences of women who survived childhood sexual abuse in the home / Vera Gallagher with William F. Dodds.</t>
        </is>
      </c>
      <c r="F1668" t="inlineStr">
        <is>
          <t>No</t>
        </is>
      </c>
      <c r="G1668" t="inlineStr">
        <is>
          <t>1</t>
        </is>
      </c>
      <c r="H1668" t="inlineStr">
        <is>
          <t>No</t>
        </is>
      </c>
      <c r="I1668" t="inlineStr">
        <is>
          <t>No</t>
        </is>
      </c>
      <c r="J1668" t="inlineStr">
        <is>
          <t>0</t>
        </is>
      </c>
      <c r="K1668" t="inlineStr">
        <is>
          <t>Gallagher, Vera.</t>
        </is>
      </c>
      <c r="L1668" t="inlineStr">
        <is>
          <t>Seattle : Madrona Publishers, 1985.</t>
        </is>
      </c>
      <c r="M1668" t="inlineStr">
        <is>
          <t>1985</t>
        </is>
      </c>
      <c r="O1668" t="inlineStr">
        <is>
          <t>eng</t>
        </is>
      </c>
      <c r="P1668" t="inlineStr">
        <is>
          <t>wau</t>
        </is>
      </c>
      <c r="R1668" t="inlineStr">
        <is>
          <t xml:space="preserve">HQ </t>
        </is>
      </c>
      <c r="S1668" t="n">
        <v>7</v>
      </c>
      <c r="T1668" t="n">
        <v>7</v>
      </c>
      <c r="U1668" t="inlineStr">
        <is>
          <t>1995-10-23</t>
        </is>
      </c>
      <c r="V1668" t="inlineStr">
        <is>
          <t>1995-10-23</t>
        </is>
      </c>
      <c r="W1668" t="inlineStr">
        <is>
          <t>1990-11-02</t>
        </is>
      </c>
      <c r="X1668" t="inlineStr">
        <is>
          <t>1990-11-02</t>
        </is>
      </c>
      <c r="Y1668" t="n">
        <v>585</v>
      </c>
      <c r="Z1668" t="n">
        <v>553</v>
      </c>
      <c r="AA1668" t="n">
        <v>560</v>
      </c>
      <c r="AB1668" t="n">
        <v>7</v>
      </c>
      <c r="AC1668" t="n">
        <v>7</v>
      </c>
      <c r="AD1668" t="n">
        <v>13</v>
      </c>
      <c r="AE1668" t="n">
        <v>13</v>
      </c>
      <c r="AF1668" t="n">
        <v>3</v>
      </c>
      <c r="AG1668" t="n">
        <v>3</v>
      </c>
      <c r="AH1668" t="n">
        <v>1</v>
      </c>
      <c r="AI1668" t="n">
        <v>1</v>
      </c>
      <c r="AJ1668" t="n">
        <v>8</v>
      </c>
      <c r="AK1668" t="n">
        <v>8</v>
      </c>
      <c r="AL1668" t="n">
        <v>3</v>
      </c>
      <c r="AM1668" t="n">
        <v>3</v>
      </c>
      <c r="AN1668" t="n">
        <v>0</v>
      </c>
      <c r="AO1668" t="n">
        <v>0</v>
      </c>
      <c r="AP1668" t="inlineStr">
        <is>
          <t>No</t>
        </is>
      </c>
      <c r="AQ1668" t="inlineStr">
        <is>
          <t>Yes</t>
        </is>
      </c>
      <c r="AR1668">
        <f>HYPERLINK("http://catalog.hathitrust.org/Record/000381239","HathiTrust Record")</f>
        <v/>
      </c>
      <c r="AS1668">
        <f>HYPERLINK("https://creighton-primo.hosted.exlibrisgroup.com/primo-explore/search?tab=default_tab&amp;search_scope=EVERYTHING&amp;vid=01CRU&amp;lang=en_US&amp;offset=0&amp;query=any,contains,991000678689702656","Catalog Record")</f>
        <v/>
      </c>
      <c r="AT1668">
        <f>HYPERLINK("http://www.worldcat.org/oclc/12371295","WorldCat Record")</f>
        <v/>
      </c>
      <c r="AU1668" t="inlineStr">
        <is>
          <t>428787393:eng</t>
        </is>
      </c>
      <c r="AV1668" t="inlineStr">
        <is>
          <t>12371295</t>
        </is>
      </c>
      <c r="AW1668" t="inlineStr">
        <is>
          <t>991000678689702656</t>
        </is>
      </c>
      <c r="AX1668" t="inlineStr">
        <is>
          <t>991000678689702656</t>
        </is>
      </c>
      <c r="AY1668" t="inlineStr">
        <is>
          <t>2258193770002656</t>
        </is>
      </c>
      <c r="AZ1668" t="inlineStr">
        <is>
          <t>BOOK</t>
        </is>
      </c>
      <c r="BB1668" t="inlineStr">
        <is>
          <t>9780880890106</t>
        </is>
      </c>
      <c r="BC1668" t="inlineStr">
        <is>
          <t>32285000296599</t>
        </is>
      </c>
      <c r="BD1668" t="inlineStr">
        <is>
          <t>893802991</t>
        </is>
      </c>
    </row>
    <row r="1669">
      <c r="A1669" t="inlineStr">
        <is>
          <t>No</t>
        </is>
      </c>
      <c r="B1669" t="inlineStr">
        <is>
          <t>HQ72.U53 G43 1979</t>
        </is>
      </c>
      <c r="C1669" t="inlineStr">
        <is>
          <t>0                      HQ 0072000U  53                 G  43          1979</t>
        </is>
      </c>
      <c r="D1669" t="inlineStr">
        <is>
          <t>Hidden victims : the sexual abuse of children / Robert L. Geiser.</t>
        </is>
      </c>
      <c r="F1669" t="inlineStr">
        <is>
          <t>No</t>
        </is>
      </c>
      <c r="G1669" t="inlineStr">
        <is>
          <t>1</t>
        </is>
      </c>
      <c r="H1669" t="inlineStr">
        <is>
          <t>Yes</t>
        </is>
      </c>
      <c r="I1669" t="inlineStr">
        <is>
          <t>No</t>
        </is>
      </c>
      <c r="J1669" t="inlineStr">
        <is>
          <t>0</t>
        </is>
      </c>
      <c r="K1669" t="inlineStr">
        <is>
          <t>Geiser, Robert L.</t>
        </is>
      </c>
      <c r="L1669" t="inlineStr">
        <is>
          <t>Boston : Beacon Press, c1979.</t>
        </is>
      </c>
      <c r="M1669" t="inlineStr">
        <is>
          <t>1979</t>
        </is>
      </c>
      <c r="O1669" t="inlineStr">
        <is>
          <t>eng</t>
        </is>
      </c>
      <c r="P1669" t="inlineStr">
        <is>
          <t>mau</t>
        </is>
      </c>
      <c r="R1669" t="inlineStr">
        <is>
          <t xml:space="preserve">HQ </t>
        </is>
      </c>
      <c r="S1669" t="n">
        <v>20</v>
      </c>
      <c r="T1669" t="n">
        <v>20</v>
      </c>
      <c r="U1669" t="inlineStr">
        <is>
          <t>2007-04-04</t>
        </is>
      </c>
      <c r="V1669" t="inlineStr">
        <is>
          <t>2007-04-04</t>
        </is>
      </c>
      <c r="W1669" t="inlineStr">
        <is>
          <t>1990-04-26</t>
        </is>
      </c>
      <c r="X1669" t="inlineStr">
        <is>
          <t>1990-04-26</t>
        </is>
      </c>
      <c r="Y1669" t="n">
        <v>968</v>
      </c>
      <c r="Z1669" t="n">
        <v>880</v>
      </c>
      <c r="AA1669" t="n">
        <v>891</v>
      </c>
      <c r="AB1669" t="n">
        <v>12</v>
      </c>
      <c r="AC1669" t="n">
        <v>12</v>
      </c>
      <c r="AD1669" t="n">
        <v>29</v>
      </c>
      <c r="AE1669" t="n">
        <v>29</v>
      </c>
      <c r="AF1669" t="n">
        <v>8</v>
      </c>
      <c r="AG1669" t="n">
        <v>8</v>
      </c>
      <c r="AH1669" t="n">
        <v>5</v>
      </c>
      <c r="AI1669" t="n">
        <v>5</v>
      </c>
      <c r="AJ1669" t="n">
        <v>10</v>
      </c>
      <c r="AK1669" t="n">
        <v>10</v>
      </c>
      <c r="AL1669" t="n">
        <v>7</v>
      </c>
      <c r="AM1669" t="n">
        <v>7</v>
      </c>
      <c r="AN1669" t="n">
        <v>4</v>
      </c>
      <c r="AO1669" t="n">
        <v>4</v>
      </c>
      <c r="AP1669" t="inlineStr">
        <is>
          <t>No</t>
        </is>
      </c>
      <c r="AQ1669" t="inlineStr">
        <is>
          <t>Yes</t>
        </is>
      </c>
      <c r="AR1669">
        <f>HYPERLINK("http://catalog.hathitrust.org/Record/000029222","HathiTrust Record")</f>
        <v/>
      </c>
      <c r="AS1669">
        <f>HYPERLINK("https://creighton-primo.hosted.exlibrisgroup.com/primo-explore/search?tab=default_tab&amp;search_scope=EVERYTHING&amp;vid=01CRU&amp;lang=en_US&amp;offset=0&amp;query=any,contains,991004786559702656","Catalog Record")</f>
        <v/>
      </c>
      <c r="AT1669">
        <f>HYPERLINK("http://www.worldcat.org/oclc/5147388","WorldCat Record")</f>
        <v/>
      </c>
      <c r="AU1669" t="inlineStr">
        <is>
          <t>889644599:eng</t>
        </is>
      </c>
      <c r="AV1669" t="inlineStr">
        <is>
          <t>5147388</t>
        </is>
      </c>
      <c r="AW1669" t="inlineStr">
        <is>
          <t>991004786559702656</t>
        </is>
      </c>
      <c r="AX1669" t="inlineStr">
        <is>
          <t>991004786559702656</t>
        </is>
      </c>
      <c r="AY1669" t="inlineStr">
        <is>
          <t>2267399490002656</t>
        </is>
      </c>
      <c r="AZ1669" t="inlineStr">
        <is>
          <t>BOOK</t>
        </is>
      </c>
      <c r="BB1669" t="inlineStr">
        <is>
          <t>9780807029541</t>
        </is>
      </c>
      <c r="BC1669" t="inlineStr">
        <is>
          <t>32285000134527</t>
        </is>
      </c>
      <c r="BD1669" t="inlineStr">
        <is>
          <t>893411943</t>
        </is>
      </c>
    </row>
    <row r="1670">
      <c r="A1670" t="inlineStr">
        <is>
          <t>No</t>
        </is>
      </c>
      <c r="B1670" t="inlineStr">
        <is>
          <t>HQ72.U53 G63 1986</t>
        </is>
      </c>
      <c r="C1670" t="inlineStr">
        <is>
          <t>0                      HQ 0072000U  53                 G  63          1986</t>
        </is>
      </c>
      <c r="D1670" t="inlineStr">
        <is>
          <t>Silent shame : the sexual abuse of children and youth / Renitta L. Goldman, Virginia R. Wheeler.</t>
        </is>
      </c>
      <c r="F1670" t="inlineStr">
        <is>
          <t>No</t>
        </is>
      </c>
      <c r="G1670" t="inlineStr">
        <is>
          <t>1</t>
        </is>
      </c>
      <c r="H1670" t="inlineStr">
        <is>
          <t>No</t>
        </is>
      </c>
      <c r="I1670" t="inlineStr">
        <is>
          <t>No</t>
        </is>
      </c>
      <c r="J1670" t="inlineStr">
        <is>
          <t>0</t>
        </is>
      </c>
      <c r="K1670" t="inlineStr">
        <is>
          <t>Goldman, Renitta L.</t>
        </is>
      </c>
      <c r="L1670" t="inlineStr">
        <is>
          <t>Danville, Ill. : Interstate Printers &amp; Publishers, c1986.</t>
        </is>
      </c>
      <c r="M1670" t="inlineStr">
        <is>
          <t>1986</t>
        </is>
      </c>
      <c r="O1670" t="inlineStr">
        <is>
          <t>eng</t>
        </is>
      </c>
      <c r="P1670" t="inlineStr">
        <is>
          <t>ilu</t>
        </is>
      </c>
      <c r="R1670" t="inlineStr">
        <is>
          <t xml:space="preserve">HQ </t>
        </is>
      </c>
      <c r="S1670" t="n">
        <v>14</v>
      </c>
      <c r="T1670" t="n">
        <v>14</v>
      </c>
      <c r="U1670" t="inlineStr">
        <is>
          <t>2001-04-09</t>
        </is>
      </c>
      <c r="V1670" t="inlineStr">
        <is>
          <t>2001-04-09</t>
        </is>
      </c>
      <c r="W1670" t="inlineStr">
        <is>
          <t>1990-03-19</t>
        </is>
      </c>
      <c r="X1670" t="inlineStr">
        <is>
          <t>1990-03-19</t>
        </is>
      </c>
      <c r="Y1670" t="n">
        <v>123</v>
      </c>
      <c r="Z1670" t="n">
        <v>116</v>
      </c>
      <c r="AA1670" t="n">
        <v>118</v>
      </c>
      <c r="AB1670" t="n">
        <v>3</v>
      </c>
      <c r="AC1670" t="n">
        <v>3</v>
      </c>
      <c r="AD1670" t="n">
        <v>6</v>
      </c>
      <c r="AE1670" t="n">
        <v>6</v>
      </c>
      <c r="AF1670" t="n">
        <v>1</v>
      </c>
      <c r="AG1670" t="n">
        <v>1</v>
      </c>
      <c r="AH1670" t="n">
        <v>2</v>
      </c>
      <c r="AI1670" t="n">
        <v>2</v>
      </c>
      <c r="AJ1670" t="n">
        <v>2</v>
      </c>
      <c r="AK1670" t="n">
        <v>2</v>
      </c>
      <c r="AL1670" t="n">
        <v>2</v>
      </c>
      <c r="AM1670" t="n">
        <v>2</v>
      </c>
      <c r="AN1670" t="n">
        <v>0</v>
      </c>
      <c r="AO1670" t="n">
        <v>0</v>
      </c>
      <c r="AP1670" t="inlineStr">
        <is>
          <t>No</t>
        </is>
      </c>
      <c r="AQ1670" t="inlineStr">
        <is>
          <t>Yes</t>
        </is>
      </c>
      <c r="AR1670">
        <f>HYPERLINK("http://catalog.hathitrust.org/Record/009806446","HathiTrust Record")</f>
        <v/>
      </c>
      <c r="AS1670">
        <f>HYPERLINK("https://creighton-primo.hosted.exlibrisgroup.com/primo-explore/search?tab=default_tab&amp;search_scope=EVERYTHING&amp;vid=01CRU&amp;lang=en_US&amp;offset=0&amp;query=any,contains,991000970629702656","Catalog Record")</f>
        <v/>
      </c>
      <c r="AT1670">
        <f>HYPERLINK("http://www.worldcat.org/oclc/14944221","WorldCat Record")</f>
        <v/>
      </c>
      <c r="AU1670" t="inlineStr">
        <is>
          <t>9317471:eng</t>
        </is>
      </c>
      <c r="AV1670" t="inlineStr">
        <is>
          <t>14944221</t>
        </is>
      </c>
      <c r="AW1670" t="inlineStr">
        <is>
          <t>991000970629702656</t>
        </is>
      </c>
      <c r="AX1670" t="inlineStr">
        <is>
          <t>991000970629702656</t>
        </is>
      </c>
      <c r="AY1670" t="inlineStr">
        <is>
          <t>2260907430002656</t>
        </is>
      </c>
      <c r="AZ1670" t="inlineStr">
        <is>
          <t>BOOK</t>
        </is>
      </c>
      <c r="BB1670" t="inlineStr">
        <is>
          <t>9780813426099</t>
        </is>
      </c>
      <c r="BC1670" t="inlineStr">
        <is>
          <t>32285000086115</t>
        </is>
      </c>
      <c r="BD1670" t="inlineStr">
        <is>
          <t>893897385</t>
        </is>
      </c>
    </row>
    <row r="1671">
      <c r="A1671" t="inlineStr">
        <is>
          <t>No</t>
        </is>
      </c>
      <c r="B1671" t="inlineStr">
        <is>
          <t>HQ72.U53 G64 1999</t>
        </is>
      </c>
      <c r="C1671" t="inlineStr">
        <is>
          <t>0                      HQ 0072000U  53                 G  64          1999</t>
        </is>
      </c>
      <c r="D1671" t="inlineStr">
        <is>
          <t>The sexual exploitation of children : a practical guide to assessment, investigation, and intervention / Seth L. Goldstein.</t>
        </is>
      </c>
      <c r="F1671" t="inlineStr">
        <is>
          <t>No</t>
        </is>
      </c>
      <c r="G1671" t="inlineStr">
        <is>
          <t>1</t>
        </is>
      </c>
      <c r="H1671" t="inlineStr">
        <is>
          <t>No</t>
        </is>
      </c>
      <c r="I1671" t="inlineStr">
        <is>
          <t>No</t>
        </is>
      </c>
      <c r="J1671" t="inlineStr">
        <is>
          <t>0</t>
        </is>
      </c>
      <c r="K1671" t="inlineStr">
        <is>
          <t>Goldstein, Seth L.</t>
        </is>
      </c>
      <c r="L1671" t="inlineStr">
        <is>
          <t>Boca Raton, Fla. : CRC Press, c1999.</t>
        </is>
      </c>
      <c r="M1671" t="inlineStr">
        <is>
          <t>1999</t>
        </is>
      </c>
      <c r="N1671" t="inlineStr">
        <is>
          <t>2nd ed.</t>
        </is>
      </c>
      <c r="O1671" t="inlineStr">
        <is>
          <t>eng</t>
        </is>
      </c>
      <c r="P1671" t="inlineStr">
        <is>
          <t>flu</t>
        </is>
      </c>
      <c r="Q1671" t="inlineStr">
        <is>
          <t>CRC series in practical aspects of criminal and forensic investigations</t>
        </is>
      </c>
      <c r="R1671" t="inlineStr">
        <is>
          <t xml:space="preserve">HQ </t>
        </is>
      </c>
      <c r="S1671" t="n">
        <v>5</v>
      </c>
      <c r="T1671" t="n">
        <v>5</v>
      </c>
      <c r="U1671" t="inlineStr">
        <is>
          <t>2007-04-04</t>
        </is>
      </c>
      <c r="V1671" t="inlineStr">
        <is>
          <t>2007-04-04</t>
        </is>
      </c>
      <c r="W1671" t="inlineStr">
        <is>
          <t>2000-03-06</t>
        </is>
      </c>
      <c r="X1671" t="inlineStr">
        <is>
          <t>2000-03-06</t>
        </is>
      </c>
      <c r="Y1671" t="n">
        <v>314</v>
      </c>
      <c r="Z1671" t="n">
        <v>254</v>
      </c>
      <c r="AA1671" t="n">
        <v>517</v>
      </c>
      <c r="AB1671" t="n">
        <v>2</v>
      </c>
      <c r="AC1671" t="n">
        <v>6</v>
      </c>
      <c r="AD1671" t="n">
        <v>9</v>
      </c>
      <c r="AE1671" t="n">
        <v>18</v>
      </c>
      <c r="AF1671" t="n">
        <v>2</v>
      </c>
      <c r="AG1671" t="n">
        <v>2</v>
      </c>
      <c r="AH1671" t="n">
        <v>0</v>
      </c>
      <c r="AI1671" t="n">
        <v>1</v>
      </c>
      <c r="AJ1671" t="n">
        <v>4</v>
      </c>
      <c r="AK1671" t="n">
        <v>5</v>
      </c>
      <c r="AL1671" t="n">
        <v>1</v>
      </c>
      <c r="AM1671" t="n">
        <v>5</v>
      </c>
      <c r="AN1671" t="n">
        <v>3</v>
      </c>
      <c r="AO1671" t="n">
        <v>6</v>
      </c>
      <c r="AP1671" t="inlineStr">
        <is>
          <t>No</t>
        </is>
      </c>
      <c r="AQ1671" t="inlineStr">
        <is>
          <t>No</t>
        </is>
      </c>
      <c r="AS1671">
        <f>HYPERLINK("https://creighton-primo.hosted.exlibrisgroup.com/primo-explore/search?tab=default_tab&amp;search_scope=EVERYTHING&amp;vid=01CRU&amp;lang=en_US&amp;offset=0&amp;query=any,contains,991002985629702656","Catalog Record")</f>
        <v/>
      </c>
      <c r="AT1671">
        <f>HYPERLINK("http://www.worldcat.org/oclc/40217961","WorldCat Record")</f>
        <v/>
      </c>
      <c r="AU1671" t="inlineStr">
        <is>
          <t>836669693:eng</t>
        </is>
      </c>
      <c r="AV1671" t="inlineStr">
        <is>
          <t>40217961</t>
        </is>
      </c>
      <c r="AW1671" t="inlineStr">
        <is>
          <t>991002985629702656</t>
        </is>
      </c>
      <c r="AX1671" t="inlineStr">
        <is>
          <t>991002985629702656</t>
        </is>
      </c>
      <c r="AY1671" t="inlineStr">
        <is>
          <t>2271175100002656</t>
        </is>
      </c>
      <c r="AZ1671" t="inlineStr">
        <is>
          <t>BOOK</t>
        </is>
      </c>
      <c r="BB1671" t="inlineStr">
        <is>
          <t>9780849381546</t>
        </is>
      </c>
      <c r="BC1671" t="inlineStr">
        <is>
          <t>32285003666764</t>
        </is>
      </c>
      <c r="BD1671" t="inlineStr">
        <is>
          <t>893422037</t>
        </is>
      </c>
    </row>
    <row r="1672">
      <c r="A1672" t="inlineStr">
        <is>
          <t>No</t>
        </is>
      </c>
      <c r="B1672" t="inlineStr">
        <is>
          <t>HQ72.U53 H345 1988</t>
        </is>
      </c>
      <c r="C1672" t="inlineStr">
        <is>
          <t>0                      HQ 0072000U  53                 H  345         1988</t>
        </is>
      </c>
      <c r="D1672" t="inlineStr">
        <is>
          <t>Handbook on sexual abuse of children : assessment and treatment issues / Lenore E. Auerbach Walker, editor.</t>
        </is>
      </c>
      <c r="F1672" t="inlineStr">
        <is>
          <t>No</t>
        </is>
      </c>
      <c r="G1672" t="inlineStr">
        <is>
          <t>1</t>
        </is>
      </c>
      <c r="H1672" t="inlineStr">
        <is>
          <t>Yes</t>
        </is>
      </c>
      <c r="I1672" t="inlineStr">
        <is>
          <t>No</t>
        </is>
      </c>
      <c r="J1672" t="inlineStr">
        <is>
          <t>0</t>
        </is>
      </c>
      <c r="L1672" t="inlineStr">
        <is>
          <t>New York : Springer Pub. Co., c1988.</t>
        </is>
      </c>
      <c r="M1672" t="inlineStr">
        <is>
          <t>1988</t>
        </is>
      </c>
      <c r="O1672" t="inlineStr">
        <is>
          <t>eng</t>
        </is>
      </c>
      <c r="P1672" t="inlineStr">
        <is>
          <t>nyu</t>
        </is>
      </c>
      <c r="R1672" t="inlineStr">
        <is>
          <t xml:space="preserve">HQ </t>
        </is>
      </c>
      <c r="S1672" t="n">
        <v>30</v>
      </c>
      <c r="T1672" t="n">
        <v>30</v>
      </c>
      <c r="U1672" t="inlineStr">
        <is>
          <t>2001-07-10</t>
        </is>
      </c>
      <c r="V1672" t="inlineStr">
        <is>
          <t>2001-07-10</t>
        </is>
      </c>
      <c r="W1672" t="inlineStr">
        <is>
          <t>1990-04-12</t>
        </is>
      </c>
      <c r="X1672" t="inlineStr">
        <is>
          <t>1990-04-12</t>
        </is>
      </c>
      <c r="Y1672" t="n">
        <v>550</v>
      </c>
      <c r="Z1672" t="n">
        <v>466</v>
      </c>
      <c r="AA1672" t="n">
        <v>474</v>
      </c>
      <c r="AB1672" t="n">
        <v>7</v>
      </c>
      <c r="AC1672" t="n">
        <v>7</v>
      </c>
      <c r="AD1672" t="n">
        <v>20</v>
      </c>
      <c r="AE1672" t="n">
        <v>20</v>
      </c>
      <c r="AF1672" t="n">
        <v>4</v>
      </c>
      <c r="AG1672" t="n">
        <v>4</v>
      </c>
      <c r="AH1672" t="n">
        <v>4</v>
      </c>
      <c r="AI1672" t="n">
        <v>4</v>
      </c>
      <c r="AJ1672" t="n">
        <v>10</v>
      </c>
      <c r="AK1672" t="n">
        <v>10</v>
      </c>
      <c r="AL1672" t="n">
        <v>5</v>
      </c>
      <c r="AM1672" t="n">
        <v>5</v>
      </c>
      <c r="AN1672" t="n">
        <v>0</v>
      </c>
      <c r="AO1672" t="n">
        <v>0</v>
      </c>
      <c r="AP1672" t="inlineStr">
        <is>
          <t>No</t>
        </is>
      </c>
      <c r="AQ1672" t="inlineStr">
        <is>
          <t>Yes</t>
        </is>
      </c>
      <c r="AR1672">
        <f>HYPERLINK("http://catalog.hathitrust.org/Record/000928096","HathiTrust Record")</f>
        <v/>
      </c>
      <c r="AS1672">
        <f>HYPERLINK("https://creighton-primo.hosted.exlibrisgroup.com/primo-explore/search?tab=default_tab&amp;search_scope=EVERYTHING&amp;vid=01CRU&amp;lang=en_US&amp;offset=0&amp;query=any,contains,991001199429702656","Catalog Record")</f>
        <v/>
      </c>
      <c r="AT1672">
        <f>HYPERLINK("http://www.worldcat.org/oclc/17300245","WorldCat Record")</f>
        <v/>
      </c>
      <c r="AU1672" t="inlineStr">
        <is>
          <t>889626325:eng</t>
        </is>
      </c>
      <c r="AV1672" t="inlineStr">
        <is>
          <t>17300245</t>
        </is>
      </c>
      <c r="AW1672" t="inlineStr">
        <is>
          <t>991001199429702656</t>
        </is>
      </c>
      <c r="AX1672" t="inlineStr">
        <is>
          <t>991001199429702656</t>
        </is>
      </c>
      <c r="AY1672" t="inlineStr">
        <is>
          <t>2267659600002656</t>
        </is>
      </c>
      <c r="AZ1672" t="inlineStr">
        <is>
          <t>BOOK</t>
        </is>
      </c>
      <c r="BB1672" t="inlineStr">
        <is>
          <t>9780826153005</t>
        </is>
      </c>
      <c r="BC1672" t="inlineStr">
        <is>
          <t>32285000094945</t>
        </is>
      </c>
      <c r="BD1672" t="inlineStr">
        <is>
          <t>893420164</t>
        </is>
      </c>
    </row>
    <row r="1673">
      <c r="A1673" t="inlineStr">
        <is>
          <t>No</t>
        </is>
      </c>
      <c r="B1673" t="inlineStr">
        <is>
          <t>HQ72.U53 H36 1988</t>
        </is>
      </c>
      <c r="C1673" t="inlineStr">
        <is>
          <t>0                      HQ 0072000U  53                 H  36          1988</t>
        </is>
      </c>
      <c r="D1673" t="inlineStr">
        <is>
          <t>The sexual abuse of children : a comprehensive guide to current knowledge and intervention strategies / Jeffrey J. Haugaard, N. Dickon Reppucci.</t>
        </is>
      </c>
      <c r="F1673" t="inlineStr">
        <is>
          <t>No</t>
        </is>
      </c>
      <c r="G1673" t="inlineStr">
        <is>
          <t>1</t>
        </is>
      </c>
      <c r="H1673" t="inlineStr">
        <is>
          <t>No</t>
        </is>
      </c>
      <c r="I1673" t="inlineStr">
        <is>
          <t>No</t>
        </is>
      </c>
      <c r="J1673" t="inlineStr">
        <is>
          <t>0</t>
        </is>
      </c>
      <c r="K1673" t="inlineStr">
        <is>
          <t>Haugaard, Jeffrey J., 1951-</t>
        </is>
      </c>
      <c r="L1673" t="inlineStr">
        <is>
          <t>San Francisco : Jossey-Bass Publishers, 1988.</t>
        </is>
      </c>
      <c r="M1673" t="inlineStr">
        <is>
          <t>1988</t>
        </is>
      </c>
      <c r="N1673" t="inlineStr">
        <is>
          <t>1st ed.</t>
        </is>
      </c>
      <c r="O1673" t="inlineStr">
        <is>
          <t>eng</t>
        </is>
      </c>
      <c r="P1673" t="inlineStr">
        <is>
          <t>cau</t>
        </is>
      </c>
      <c r="Q1673" t="inlineStr">
        <is>
          <t>The Jossey-Bass social and behavioral science series</t>
        </is>
      </c>
      <c r="R1673" t="inlineStr">
        <is>
          <t xml:space="preserve">HQ </t>
        </is>
      </c>
      <c r="S1673" t="n">
        <v>25</v>
      </c>
      <c r="T1673" t="n">
        <v>25</v>
      </c>
      <c r="U1673" t="inlineStr">
        <is>
          <t>1998-11-11</t>
        </is>
      </c>
      <c r="V1673" t="inlineStr">
        <is>
          <t>1998-11-11</t>
        </is>
      </c>
      <c r="W1673" t="inlineStr">
        <is>
          <t>1990-03-13</t>
        </is>
      </c>
      <c r="X1673" t="inlineStr">
        <is>
          <t>1990-03-13</t>
        </is>
      </c>
      <c r="Y1673" t="n">
        <v>874</v>
      </c>
      <c r="Z1673" t="n">
        <v>733</v>
      </c>
      <c r="AA1673" t="n">
        <v>740</v>
      </c>
      <c r="AB1673" t="n">
        <v>5</v>
      </c>
      <c r="AC1673" t="n">
        <v>5</v>
      </c>
      <c r="AD1673" t="n">
        <v>29</v>
      </c>
      <c r="AE1673" t="n">
        <v>29</v>
      </c>
      <c r="AF1673" t="n">
        <v>11</v>
      </c>
      <c r="AG1673" t="n">
        <v>11</v>
      </c>
      <c r="AH1673" t="n">
        <v>5</v>
      </c>
      <c r="AI1673" t="n">
        <v>5</v>
      </c>
      <c r="AJ1673" t="n">
        <v>15</v>
      </c>
      <c r="AK1673" t="n">
        <v>15</v>
      </c>
      <c r="AL1673" t="n">
        <v>4</v>
      </c>
      <c r="AM1673" t="n">
        <v>4</v>
      </c>
      <c r="AN1673" t="n">
        <v>0</v>
      </c>
      <c r="AO1673" t="n">
        <v>0</v>
      </c>
      <c r="AP1673" t="inlineStr">
        <is>
          <t>No</t>
        </is>
      </c>
      <c r="AQ1673" t="inlineStr">
        <is>
          <t>Yes</t>
        </is>
      </c>
      <c r="AR1673">
        <f>HYPERLINK("http://catalog.hathitrust.org/Record/000912116","HathiTrust Record")</f>
        <v/>
      </c>
      <c r="AS1673">
        <f>HYPERLINK("https://creighton-primo.hosted.exlibrisgroup.com/primo-explore/search?tab=default_tab&amp;search_scope=EVERYTHING&amp;vid=01CRU&amp;lang=en_US&amp;offset=0&amp;query=any,contains,991001211749702656","Catalog Record")</f>
        <v/>
      </c>
      <c r="AT1673">
        <f>HYPERLINK("http://www.worldcat.org/oclc/17385625","WorldCat Record")</f>
        <v/>
      </c>
      <c r="AU1673" t="inlineStr">
        <is>
          <t>836755936:eng</t>
        </is>
      </c>
      <c r="AV1673" t="inlineStr">
        <is>
          <t>17385625</t>
        </is>
      </c>
      <c r="AW1673" t="inlineStr">
        <is>
          <t>991001211749702656</t>
        </is>
      </c>
      <c r="AX1673" t="inlineStr">
        <is>
          <t>991001211749702656</t>
        </is>
      </c>
      <c r="AY1673" t="inlineStr">
        <is>
          <t>2271972110002656</t>
        </is>
      </c>
      <c r="AZ1673" t="inlineStr">
        <is>
          <t>BOOK</t>
        </is>
      </c>
      <c r="BB1673" t="inlineStr">
        <is>
          <t>9781555420772</t>
        </is>
      </c>
      <c r="BC1673" t="inlineStr">
        <is>
          <t>32285000081801</t>
        </is>
      </c>
      <c r="BD1673" t="inlineStr">
        <is>
          <t>893315604</t>
        </is>
      </c>
    </row>
    <row r="1674">
      <c r="A1674" t="inlineStr">
        <is>
          <t>No</t>
        </is>
      </c>
      <c r="B1674" t="inlineStr">
        <is>
          <t>HQ72.U53 H56 1988</t>
        </is>
      </c>
      <c r="C1674" t="inlineStr">
        <is>
          <t>0                      HQ 0072000U  53                 H  56          1988</t>
        </is>
      </c>
      <c r="D1674" t="inlineStr">
        <is>
          <t>Spiders and flies : help for parents and teachers of sexually abused children / Donald Hillman, Janice Solek-Tefft.</t>
        </is>
      </c>
      <c r="F1674" t="inlineStr">
        <is>
          <t>No</t>
        </is>
      </c>
      <c r="G1674" t="inlineStr">
        <is>
          <t>1</t>
        </is>
      </c>
      <c r="H1674" t="inlineStr">
        <is>
          <t>No</t>
        </is>
      </c>
      <c r="I1674" t="inlineStr">
        <is>
          <t>No</t>
        </is>
      </c>
      <c r="J1674" t="inlineStr">
        <is>
          <t>0</t>
        </is>
      </c>
      <c r="K1674" t="inlineStr">
        <is>
          <t>Hillman, Donald.</t>
        </is>
      </c>
      <c r="L1674" t="inlineStr">
        <is>
          <t>Lexington, Mass. : Lexington Books, c1988.</t>
        </is>
      </c>
      <c r="M1674" t="inlineStr">
        <is>
          <t>1988</t>
        </is>
      </c>
      <c r="O1674" t="inlineStr">
        <is>
          <t>eng</t>
        </is>
      </c>
      <c r="P1674" t="inlineStr">
        <is>
          <t>mau</t>
        </is>
      </c>
      <c r="R1674" t="inlineStr">
        <is>
          <t xml:space="preserve">HQ </t>
        </is>
      </c>
      <c r="S1674" t="n">
        <v>15</v>
      </c>
      <c r="T1674" t="n">
        <v>15</v>
      </c>
      <c r="U1674" t="inlineStr">
        <is>
          <t>2001-04-09</t>
        </is>
      </c>
      <c r="V1674" t="inlineStr">
        <is>
          <t>2001-04-09</t>
        </is>
      </c>
      <c r="W1674" t="inlineStr">
        <is>
          <t>1990-11-27</t>
        </is>
      </c>
      <c r="X1674" t="inlineStr">
        <is>
          <t>1990-11-27</t>
        </is>
      </c>
      <c r="Y1674" t="n">
        <v>487</v>
      </c>
      <c r="Z1674" t="n">
        <v>425</v>
      </c>
      <c r="AA1674" t="n">
        <v>442</v>
      </c>
      <c r="AB1674" t="n">
        <v>4</v>
      </c>
      <c r="AC1674" t="n">
        <v>4</v>
      </c>
      <c r="AD1674" t="n">
        <v>16</v>
      </c>
      <c r="AE1674" t="n">
        <v>18</v>
      </c>
      <c r="AF1674" t="n">
        <v>3</v>
      </c>
      <c r="AG1674" t="n">
        <v>4</v>
      </c>
      <c r="AH1674" t="n">
        <v>4</v>
      </c>
      <c r="AI1674" t="n">
        <v>5</v>
      </c>
      <c r="AJ1674" t="n">
        <v>10</v>
      </c>
      <c r="AK1674" t="n">
        <v>10</v>
      </c>
      <c r="AL1674" t="n">
        <v>3</v>
      </c>
      <c r="AM1674" t="n">
        <v>3</v>
      </c>
      <c r="AN1674" t="n">
        <v>0</v>
      </c>
      <c r="AO1674" t="n">
        <v>0</v>
      </c>
      <c r="AP1674" t="inlineStr">
        <is>
          <t>No</t>
        </is>
      </c>
      <c r="AQ1674" t="inlineStr">
        <is>
          <t>Yes</t>
        </is>
      </c>
      <c r="AR1674">
        <f>HYPERLINK("http://catalog.hathitrust.org/Record/000920093","HathiTrust Record")</f>
        <v/>
      </c>
      <c r="AS1674">
        <f>HYPERLINK("https://creighton-primo.hosted.exlibrisgroup.com/primo-explore/search?tab=default_tab&amp;search_scope=EVERYTHING&amp;vid=01CRU&amp;lang=en_US&amp;offset=0&amp;query=any,contains,991001206549702656","Catalog Record")</f>
        <v/>
      </c>
      <c r="AT1674">
        <f>HYPERLINK("http://www.worldcat.org/oclc/17354049","WorldCat Record")</f>
        <v/>
      </c>
      <c r="AU1674" t="inlineStr">
        <is>
          <t>364178682:eng</t>
        </is>
      </c>
      <c r="AV1674" t="inlineStr">
        <is>
          <t>17354049</t>
        </is>
      </c>
      <c r="AW1674" t="inlineStr">
        <is>
          <t>991001206549702656</t>
        </is>
      </c>
      <c r="AX1674" t="inlineStr">
        <is>
          <t>991001206549702656</t>
        </is>
      </c>
      <c r="AY1674" t="inlineStr">
        <is>
          <t>2268265320002656</t>
        </is>
      </c>
      <c r="AZ1674" t="inlineStr">
        <is>
          <t>BOOK</t>
        </is>
      </c>
      <c r="BB1674" t="inlineStr">
        <is>
          <t>9780669179835</t>
        </is>
      </c>
      <c r="BC1674" t="inlineStr">
        <is>
          <t>32285000357227</t>
        </is>
      </c>
      <c r="BD1674" t="inlineStr">
        <is>
          <t>893503192</t>
        </is>
      </c>
    </row>
    <row r="1675">
      <c r="A1675" t="inlineStr">
        <is>
          <t>No</t>
        </is>
      </c>
      <c r="B1675" t="inlineStr">
        <is>
          <t>HQ72.U53 I53 1986</t>
        </is>
      </c>
      <c r="C1675" t="inlineStr">
        <is>
          <t>0                      HQ 0072000U  53                 I  53          1986</t>
        </is>
      </c>
      <c r="D1675" t="inlineStr">
        <is>
          <t>Incest as child abuse : research and applications / Brenda J. Vander Mey and Ronald L. Neff ; foreword by Norman K. Denzin.</t>
        </is>
      </c>
      <c r="F1675" t="inlineStr">
        <is>
          <t>No</t>
        </is>
      </c>
      <c r="G1675" t="inlineStr">
        <is>
          <t>1</t>
        </is>
      </c>
      <c r="H1675" t="inlineStr">
        <is>
          <t>No</t>
        </is>
      </c>
      <c r="I1675" t="inlineStr">
        <is>
          <t>No</t>
        </is>
      </c>
      <c r="J1675" t="inlineStr">
        <is>
          <t>0</t>
        </is>
      </c>
      <c r="L1675" t="inlineStr">
        <is>
          <t>New York : Praeger, 1986.</t>
        </is>
      </c>
      <c r="M1675" t="inlineStr">
        <is>
          <t>1986</t>
        </is>
      </c>
      <c r="O1675" t="inlineStr">
        <is>
          <t>eng</t>
        </is>
      </c>
      <c r="P1675" t="inlineStr">
        <is>
          <t>nyu</t>
        </is>
      </c>
      <c r="R1675" t="inlineStr">
        <is>
          <t xml:space="preserve">HQ </t>
        </is>
      </c>
      <c r="S1675" t="n">
        <v>17</v>
      </c>
      <c r="T1675" t="n">
        <v>17</v>
      </c>
      <c r="U1675" t="inlineStr">
        <is>
          <t>2003-04-08</t>
        </is>
      </c>
      <c r="V1675" t="inlineStr">
        <is>
          <t>2003-04-08</t>
        </is>
      </c>
      <c r="W1675" t="inlineStr">
        <is>
          <t>1992-03-31</t>
        </is>
      </c>
      <c r="X1675" t="inlineStr">
        <is>
          <t>1992-03-31</t>
        </is>
      </c>
      <c r="Y1675" t="n">
        <v>614</v>
      </c>
      <c r="Z1675" t="n">
        <v>527</v>
      </c>
      <c r="AA1675" t="n">
        <v>545</v>
      </c>
      <c r="AB1675" t="n">
        <v>4</v>
      </c>
      <c r="AC1675" t="n">
        <v>4</v>
      </c>
      <c r="AD1675" t="n">
        <v>22</v>
      </c>
      <c r="AE1675" t="n">
        <v>22</v>
      </c>
      <c r="AF1675" t="n">
        <v>8</v>
      </c>
      <c r="AG1675" t="n">
        <v>8</v>
      </c>
      <c r="AH1675" t="n">
        <v>6</v>
      </c>
      <c r="AI1675" t="n">
        <v>6</v>
      </c>
      <c r="AJ1675" t="n">
        <v>13</v>
      </c>
      <c r="AK1675" t="n">
        <v>13</v>
      </c>
      <c r="AL1675" t="n">
        <v>3</v>
      </c>
      <c r="AM1675" t="n">
        <v>3</v>
      </c>
      <c r="AN1675" t="n">
        <v>0</v>
      </c>
      <c r="AO1675" t="n">
        <v>0</v>
      </c>
      <c r="AP1675" t="inlineStr">
        <is>
          <t>No</t>
        </is>
      </c>
      <c r="AQ1675" t="inlineStr">
        <is>
          <t>Yes</t>
        </is>
      </c>
      <c r="AR1675">
        <f>HYPERLINK("http://catalog.hathitrust.org/Record/000536566","HathiTrust Record")</f>
        <v/>
      </c>
      <c r="AS1675">
        <f>HYPERLINK("https://creighton-primo.hosted.exlibrisgroup.com/primo-explore/search?tab=default_tab&amp;search_scope=EVERYTHING&amp;vid=01CRU&amp;lang=en_US&amp;offset=0&amp;query=any,contains,991000867439702656","Catalog Record")</f>
        <v/>
      </c>
      <c r="AT1675">
        <f>HYPERLINK("http://www.worldcat.org/oclc/13760735","WorldCat Record")</f>
        <v/>
      </c>
      <c r="AU1675" t="inlineStr">
        <is>
          <t>836654707:eng</t>
        </is>
      </c>
      <c r="AV1675" t="inlineStr">
        <is>
          <t>13760735</t>
        </is>
      </c>
      <c r="AW1675" t="inlineStr">
        <is>
          <t>991000867439702656</t>
        </is>
      </c>
      <c r="AX1675" t="inlineStr">
        <is>
          <t>991000867439702656</t>
        </is>
      </c>
      <c r="AY1675" t="inlineStr">
        <is>
          <t>2266191060002656</t>
        </is>
      </c>
      <c r="AZ1675" t="inlineStr">
        <is>
          <t>BOOK</t>
        </is>
      </c>
      <c r="BB1675" t="inlineStr">
        <is>
          <t>9780275921149</t>
        </is>
      </c>
      <c r="BC1675" t="inlineStr">
        <is>
          <t>32285001031367</t>
        </is>
      </c>
      <c r="BD1675" t="inlineStr">
        <is>
          <t>893708785</t>
        </is>
      </c>
    </row>
    <row r="1676">
      <c r="A1676" t="inlineStr">
        <is>
          <t>No</t>
        </is>
      </c>
      <c r="B1676" t="inlineStr">
        <is>
          <t>HQ72.U53 I54 1990</t>
        </is>
      </c>
      <c r="C1676" t="inlineStr">
        <is>
          <t>0                      HQ 0072000U  53                 I  54          1990</t>
        </is>
      </c>
      <c r="D1676" t="inlineStr">
        <is>
          <t>Treating perpetrators of sexual abuse / Sandra L. Ingersoll, Susan O. Patton.</t>
        </is>
      </c>
      <c r="F1676" t="inlineStr">
        <is>
          <t>No</t>
        </is>
      </c>
      <c r="G1676" t="inlineStr">
        <is>
          <t>1</t>
        </is>
      </c>
      <c r="H1676" t="inlineStr">
        <is>
          <t>No</t>
        </is>
      </c>
      <c r="I1676" t="inlineStr">
        <is>
          <t>No</t>
        </is>
      </c>
      <c r="J1676" t="inlineStr">
        <is>
          <t>0</t>
        </is>
      </c>
      <c r="K1676" t="inlineStr">
        <is>
          <t>Ingersoll, Sandra L.</t>
        </is>
      </c>
      <c r="L1676" t="inlineStr">
        <is>
          <t>Lexington, Mass. : Lexington Books, c1990.</t>
        </is>
      </c>
      <c r="M1676" t="inlineStr">
        <is>
          <t>1990</t>
        </is>
      </c>
      <c r="O1676" t="inlineStr">
        <is>
          <t>eng</t>
        </is>
      </c>
      <c r="P1676" t="inlineStr">
        <is>
          <t>mau</t>
        </is>
      </c>
      <c r="R1676" t="inlineStr">
        <is>
          <t xml:space="preserve">HQ </t>
        </is>
      </c>
      <c r="S1676" t="n">
        <v>31</v>
      </c>
      <c r="T1676" t="n">
        <v>31</v>
      </c>
      <c r="U1676" t="inlineStr">
        <is>
          <t>2008-11-11</t>
        </is>
      </c>
      <c r="V1676" t="inlineStr">
        <is>
          <t>2008-11-11</t>
        </is>
      </c>
      <c r="W1676" t="inlineStr">
        <is>
          <t>1991-07-25</t>
        </is>
      </c>
      <c r="X1676" t="inlineStr">
        <is>
          <t>1991-07-25</t>
        </is>
      </c>
      <c r="Y1676" t="n">
        <v>310</v>
      </c>
      <c r="Z1676" t="n">
        <v>265</v>
      </c>
      <c r="AA1676" t="n">
        <v>272</v>
      </c>
      <c r="AB1676" t="n">
        <v>3</v>
      </c>
      <c r="AC1676" t="n">
        <v>3</v>
      </c>
      <c r="AD1676" t="n">
        <v>13</v>
      </c>
      <c r="AE1676" t="n">
        <v>13</v>
      </c>
      <c r="AF1676" t="n">
        <v>2</v>
      </c>
      <c r="AG1676" t="n">
        <v>2</v>
      </c>
      <c r="AH1676" t="n">
        <v>4</v>
      </c>
      <c r="AI1676" t="n">
        <v>4</v>
      </c>
      <c r="AJ1676" t="n">
        <v>6</v>
      </c>
      <c r="AK1676" t="n">
        <v>6</v>
      </c>
      <c r="AL1676" t="n">
        <v>2</v>
      </c>
      <c r="AM1676" t="n">
        <v>2</v>
      </c>
      <c r="AN1676" t="n">
        <v>2</v>
      </c>
      <c r="AO1676" t="n">
        <v>2</v>
      </c>
      <c r="AP1676" t="inlineStr">
        <is>
          <t>No</t>
        </is>
      </c>
      <c r="AQ1676" t="inlineStr">
        <is>
          <t>Yes</t>
        </is>
      </c>
      <c r="AR1676">
        <f>HYPERLINK("http://catalog.hathitrust.org/Record/002169162","HathiTrust Record")</f>
        <v/>
      </c>
      <c r="AS1676">
        <f>HYPERLINK("https://creighton-primo.hosted.exlibrisgroup.com/primo-explore/search?tab=default_tab&amp;search_scope=EVERYTHING&amp;vid=01CRU&amp;lang=en_US&amp;offset=0&amp;query=any,contains,991001642459702656","Catalog Record")</f>
        <v/>
      </c>
      <c r="AT1676">
        <f>HYPERLINK("http://www.worldcat.org/oclc/21036750","WorldCat Record")</f>
        <v/>
      </c>
      <c r="AU1676" t="inlineStr">
        <is>
          <t>22630698:eng</t>
        </is>
      </c>
      <c r="AV1676" t="inlineStr">
        <is>
          <t>21036750</t>
        </is>
      </c>
      <c r="AW1676" t="inlineStr">
        <is>
          <t>991001642459702656</t>
        </is>
      </c>
      <c r="AX1676" t="inlineStr">
        <is>
          <t>991001642459702656</t>
        </is>
      </c>
      <c r="AY1676" t="inlineStr">
        <is>
          <t>2256143290002656</t>
        </is>
      </c>
      <c r="AZ1676" t="inlineStr">
        <is>
          <t>BOOK</t>
        </is>
      </c>
      <c r="BB1676" t="inlineStr">
        <is>
          <t>9780669217858</t>
        </is>
      </c>
      <c r="BC1676" t="inlineStr">
        <is>
          <t>32285000662873</t>
        </is>
      </c>
      <c r="BD1676" t="inlineStr">
        <is>
          <t>893238224</t>
        </is>
      </c>
    </row>
    <row r="1677">
      <c r="A1677" t="inlineStr">
        <is>
          <t>No</t>
        </is>
      </c>
      <c r="B1677" t="inlineStr">
        <is>
          <t>HQ72.U53 O95 1986</t>
        </is>
      </c>
      <c r="C1677" t="inlineStr">
        <is>
          <t>0                      HQ 0072000U  53                 O  95          1986</t>
        </is>
      </c>
      <c r="D1677" t="inlineStr">
        <is>
          <t>Out of harm's way : readings on child sexual abuse, its prevention, and treatment / edited by Dawn C. Haden.</t>
        </is>
      </c>
      <c r="F1677" t="inlineStr">
        <is>
          <t>No</t>
        </is>
      </c>
      <c r="G1677" t="inlineStr">
        <is>
          <t>1</t>
        </is>
      </c>
      <c r="H1677" t="inlineStr">
        <is>
          <t>No</t>
        </is>
      </c>
      <c r="I1677" t="inlineStr">
        <is>
          <t>No</t>
        </is>
      </c>
      <c r="J1677" t="inlineStr">
        <is>
          <t>0</t>
        </is>
      </c>
      <c r="L1677" t="inlineStr">
        <is>
          <t>Phoenix, AZ : Oryx Press, 1986.</t>
        </is>
      </c>
      <c r="M1677" t="inlineStr">
        <is>
          <t>1986</t>
        </is>
      </c>
      <c r="O1677" t="inlineStr">
        <is>
          <t>eng</t>
        </is>
      </c>
      <c r="P1677" t="inlineStr">
        <is>
          <t>azu</t>
        </is>
      </c>
      <c r="R1677" t="inlineStr">
        <is>
          <t xml:space="preserve">HQ </t>
        </is>
      </c>
      <c r="S1677" t="n">
        <v>19</v>
      </c>
      <c r="T1677" t="n">
        <v>19</v>
      </c>
      <c r="U1677" t="inlineStr">
        <is>
          <t>2001-04-09</t>
        </is>
      </c>
      <c r="V1677" t="inlineStr">
        <is>
          <t>2001-04-09</t>
        </is>
      </c>
      <c r="W1677" t="inlineStr">
        <is>
          <t>1990-03-19</t>
        </is>
      </c>
      <c r="X1677" t="inlineStr">
        <is>
          <t>1990-03-19</t>
        </is>
      </c>
      <c r="Y1677" t="n">
        <v>494</v>
      </c>
      <c r="Z1677" t="n">
        <v>436</v>
      </c>
      <c r="AA1677" t="n">
        <v>443</v>
      </c>
      <c r="AB1677" t="n">
        <v>3</v>
      </c>
      <c r="AC1677" t="n">
        <v>3</v>
      </c>
      <c r="AD1677" t="n">
        <v>13</v>
      </c>
      <c r="AE1677" t="n">
        <v>13</v>
      </c>
      <c r="AF1677" t="n">
        <v>6</v>
      </c>
      <c r="AG1677" t="n">
        <v>6</v>
      </c>
      <c r="AH1677" t="n">
        <v>3</v>
      </c>
      <c r="AI1677" t="n">
        <v>3</v>
      </c>
      <c r="AJ1677" t="n">
        <v>7</v>
      </c>
      <c r="AK1677" t="n">
        <v>7</v>
      </c>
      <c r="AL1677" t="n">
        <v>1</v>
      </c>
      <c r="AM1677" t="n">
        <v>1</v>
      </c>
      <c r="AN1677" t="n">
        <v>0</v>
      </c>
      <c r="AO1677" t="n">
        <v>0</v>
      </c>
      <c r="AP1677" t="inlineStr">
        <is>
          <t>No</t>
        </is>
      </c>
      <c r="AQ1677" t="inlineStr">
        <is>
          <t>Yes</t>
        </is>
      </c>
      <c r="AR1677">
        <f>HYPERLINK("http://catalog.hathitrust.org/Record/000804915","HathiTrust Record")</f>
        <v/>
      </c>
      <c r="AS1677">
        <f>HYPERLINK("https://creighton-primo.hosted.exlibrisgroup.com/primo-explore/search?tab=default_tab&amp;search_scope=EVERYTHING&amp;vid=01CRU&amp;lang=en_US&amp;offset=0&amp;query=any,contains,991000947529702656","Catalog Record")</f>
        <v/>
      </c>
      <c r="AT1677">
        <f>HYPERLINK("http://www.worldcat.org/oclc/14588281","WorldCat Record")</f>
        <v/>
      </c>
      <c r="AU1677" t="inlineStr">
        <is>
          <t>9068794:eng</t>
        </is>
      </c>
      <c r="AV1677" t="inlineStr">
        <is>
          <t>14588281</t>
        </is>
      </c>
      <c r="AW1677" t="inlineStr">
        <is>
          <t>991000947529702656</t>
        </is>
      </c>
      <c r="AX1677" t="inlineStr">
        <is>
          <t>991000947529702656</t>
        </is>
      </c>
      <c r="AY1677" t="inlineStr">
        <is>
          <t>2271615470002656</t>
        </is>
      </c>
      <c r="AZ1677" t="inlineStr">
        <is>
          <t>BOOK</t>
        </is>
      </c>
      <c r="BB1677" t="inlineStr">
        <is>
          <t>9780897743112</t>
        </is>
      </c>
      <c r="BC1677" t="inlineStr">
        <is>
          <t>32285000086123</t>
        </is>
      </c>
      <c r="BD1677" t="inlineStr">
        <is>
          <t>893608406</t>
        </is>
      </c>
    </row>
    <row r="1678">
      <c r="A1678" t="inlineStr">
        <is>
          <t>No</t>
        </is>
      </c>
      <c r="B1678" t="inlineStr">
        <is>
          <t>HQ72.U53 P65 1991</t>
        </is>
      </c>
      <c r="C1678" t="inlineStr">
        <is>
          <t>0                      HQ 0072000U  53                 P  65          1991</t>
        </is>
      </c>
      <c r="D1678" t="inlineStr">
        <is>
          <t>The abuse of power : a theological problem / James Newton Poling.</t>
        </is>
      </c>
      <c r="F1678" t="inlineStr">
        <is>
          <t>No</t>
        </is>
      </c>
      <c r="G1678" t="inlineStr">
        <is>
          <t>1</t>
        </is>
      </c>
      <c r="H1678" t="inlineStr">
        <is>
          <t>No</t>
        </is>
      </c>
      <c r="I1678" t="inlineStr">
        <is>
          <t>No</t>
        </is>
      </c>
      <c r="J1678" t="inlineStr">
        <is>
          <t>0</t>
        </is>
      </c>
      <c r="K1678" t="inlineStr">
        <is>
          <t>Poling, James N. (James Newton), 1942-</t>
        </is>
      </c>
      <c r="L1678" t="inlineStr">
        <is>
          <t>Nashville, TN : Abingdon Press, c1991.</t>
        </is>
      </c>
      <c r="M1678" t="inlineStr">
        <is>
          <t>1991</t>
        </is>
      </c>
      <c r="O1678" t="inlineStr">
        <is>
          <t>eng</t>
        </is>
      </c>
      <c r="P1678" t="inlineStr">
        <is>
          <t>tnu</t>
        </is>
      </c>
      <c r="R1678" t="inlineStr">
        <is>
          <t xml:space="preserve">HQ </t>
        </is>
      </c>
      <c r="S1678" t="n">
        <v>3</v>
      </c>
      <c r="T1678" t="n">
        <v>3</v>
      </c>
      <c r="U1678" t="inlineStr">
        <is>
          <t>1995-10-01</t>
        </is>
      </c>
      <c r="V1678" t="inlineStr">
        <is>
          <t>1995-10-01</t>
        </is>
      </c>
      <c r="W1678" t="inlineStr">
        <is>
          <t>1994-06-01</t>
        </is>
      </c>
      <c r="X1678" t="inlineStr">
        <is>
          <t>1994-06-01</t>
        </is>
      </c>
      <c r="Y1678" t="n">
        <v>417</v>
      </c>
      <c r="Z1678" t="n">
        <v>336</v>
      </c>
      <c r="AA1678" t="n">
        <v>352</v>
      </c>
      <c r="AB1678" t="n">
        <v>3</v>
      </c>
      <c r="AC1678" t="n">
        <v>4</v>
      </c>
      <c r="AD1678" t="n">
        <v>17</v>
      </c>
      <c r="AE1678" t="n">
        <v>18</v>
      </c>
      <c r="AF1678" t="n">
        <v>9</v>
      </c>
      <c r="AG1678" t="n">
        <v>9</v>
      </c>
      <c r="AH1678" t="n">
        <v>2</v>
      </c>
      <c r="AI1678" t="n">
        <v>2</v>
      </c>
      <c r="AJ1678" t="n">
        <v>12</v>
      </c>
      <c r="AK1678" t="n">
        <v>12</v>
      </c>
      <c r="AL1678" t="n">
        <v>1</v>
      </c>
      <c r="AM1678" t="n">
        <v>2</v>
      </c>
      <c r="AN1678" t="n">
        <v>0</v>
      </c>
      <c r="AO1678" t="n">
        <v>0</v>
      </c>
      <c r="AP1678" t="inlineStr">
        <is>
          <t>No</t>
        </is>
      </c>
      <c r="AQ1678" t="inlineStr">
        <is>
          <t>Yes</t>
        </is>
      </c>
      <c r="AR1678">
        <f>HYPERLINK("http://catalog.hathitrust.org/Record/002514473","HathiTrust Record")</f>
        <v/>
      </c>
      <c r="AS1678">
        <f>HYPERLINK("https://creighton-primo.hosted.exlibrisgroup.com/primo-explore/search?tab=default_tab&amp;search_scope=EVERYTHING&amp;vid=01CRU&amp;lang=en_US&amp;offset=0&amp;query=any,contains,991001887259702656","Catalog Record")</f>
        <v/>
      </c>
      <c r="AT1678">
        <f>HYPERLINK("http://www.worldcat.org/oclc/23768454","WorldCat Record")</f>
        <v/>
      </c>
      <c r="AU1678" t="inlineStr">
        <is>
          <t>25081520:eng</t>
        </is>
      </c>
      <c r="AV1678" t="inlineStr">
        <is>
          <t>23768454</t>
        </is>
      </c>
      <c r="AW1678" t="inlineStr">
        <is>
          <t>991001887259702656</t>
        </is>
      </c>
      <c r="AX1678" t="inlineStr">
        <is>
          <t>991001887259702656</t>
        </is>
      </c>
      <c r="AY1678" t="inlineStr">
        <is>
          <t>2269704160002656</t>
        </is>
      </c>
      <c r="AZ1678" t="inlineStr">
        <is>
          <t>BOOK</t>
        </is>
      </c>
      <c r="BB1678" t="inlineStr">
        <is>
          <t>9780687006847</t>
        </is>
      </c>
      <c r="BC1678" t="inlineStr">
        <is>
          <t>32285001920429</t>
        </is>
      </c>
      <c r="BD1678" t="inlineStr">
        <is>
          <t>893891908</t>
        </is>
      </c>
    </row>
    <row r="1679">
      <c r="A1679" t="inlineStr">
        <is>
          <t>No</t>
        </is>
      </c>
      <c r="B1679" t="inlineStr">
        <is>
          <t>HQ72.U53 P76 1988</t>
        </is>
      </c>
      <c r="C1679" t="inlineStr">
        <is>
          <t>0                      HQ 0072000U  53                 P  76          1988</t>
        </is>
      </c>
      <c r="D1679" t="inlineStr">
        <is>
          <t>Professional responsibilities in protecting children : a public health approach to child sexual abuse / edited by Ann Maney and Susan Wells.</t>
        </is>
      </c>
      <c r="F1679" t="inlineStr">
        <is>
          <t>No</t>
        </is>
      </c>
      <c r="G1679" t="inlineStr">
        <is>
          <t>1</t>
        </is>
      </c>
      <c r="H1679" t="inlineStr">
        <is>
          <t>No</t>
        </is>
      </c>
      <c r="I1679" t="inlineStr">
        <is>
          <t>No</t>
        </is>
      </c>
      <c r="J1679" t="inlineStr">
        <is>
          <t>0</t>
        </is>
      </c>
      <c r="L1679" t="inlineStr">
        <is>
          <t>New York : Praeger, 1988.</t>
        </is>
      </c>
      <c r="M1679" t="inlineStr">
        <is>
          <t>1988</t>
        </is>
      </c>
      <c r="O1679" t="inlineStr">
        <is>
          <t>eng</t>
        </is>
      </c>
      <c r="P1679" t="inlineStr">
        <is>
          <t>nyu</t>
        </is>
      </c>
      <c r="Q1679" t="inlineStr">
        <is>
          <t>Sexual medicine ; v. 9</t>
        </is>
      </c>
      <c r="R1679" t="inlineStr">
        <is>
          <t xml:space="preserve">HQ </t>
        </is>
      </c>
      <c r="S1679" t="n">
        <v>13</v>
      </c>
      <c r="T1679" t="n">
        <v>13</v>
      </c>
      <c r="U1679" t="inlineStr">
        <is>
          <t>2001-02-19</t>
        </is>
      </c>
      <c r="V1679" t="inlineStr">
        <is>
          <t>2001-02-19</t>
        </is>
      </c>
      <c r="W1679" t="inlineStr">
        <is>
          <t>1991-01-31</t>
        </is>
      </c>
      <c r="X1679" t="inlineStr">
        <is>
          <t>1991-01-31</t>
        </is>
      </c>
      <c r="Y1679" t="n">
        <v>263</v>
      </c>
      <c r="Z1679" t="n">
        <v>218</v>
      </c>
      <c r="AA1679" t="n">
        <v>225</v>
      </c>
      <c r="AB1679" t="n">
        <v>2</v>
      </c>
      <c r="AC1679" t="n">
        <v>2</v>
      </c>
      <c r="AD1679" t="n">
        <v>10</v>
      </c>
      <c r="AE1679" t="n">
        <v>10</v>
      </c>
      <c r="AF1679" t="n">
        <v>1</v>
      </c>
      <c r="AG1679" t="n">
        <v>1</v>
      </c>
      <c r="AH1679" t="n">
        <v>2</v>
      </c>
      <c r="AI1679" t="n">
        <v>2</v>
      </c>
      <c r="AJ1679" t="n">
        <v>7</v>
      </c>
      <c r="AK1679" t="n">
        <v>7</v>
      </c>
      <c r="AL1679" t="n">
        <v>1</v>
      </c>
      <c r="AM1679" t="n">
        <v>1</v>
      </c>
      <c r="AN1679" t="n">
        <v>1</v>
      </c>
      <c r="AO1679" t="n">
        <v>1</v>
      </c>
      <c r="AP1679" t="inlineStr">
        <is>
          <t>No</t>
        </is>
      </c>
      <c r="AQ1679" t="inlineStr">
        <is>
          <t>Yes</t>
        </is>
      </c>
      <c r="AR1679">
        <f>HYPERLINK("http://catalog.hathitrust.org/Record/000923111","HathiTrust Record")</f>
        <v/>
      </c>
      <c r="AS1679">
        <f>HYPERLINK("https://creighton-primo.hosted.exlibrisgroup.com/primo-explore/search?tab=default_tab&amp;search_scope=EVERYTHING&amp;vid=01CRU&amp;lang=en_US&amp;offset=0&amp;query=any,contains,991001183789702656","Catalog Record")</f>
        <v/>
      </c>
      <c r="AT1679">
        <f>HYPERLINK("http://www.worldcat.org/oclc/17199881","WorldCat Record")</f>
        <v/>
      </c>
      <c r="AU1679" t="inlineStr">
        <is>
          <t>836736264:eng</t>
        </is>
      </c>
      <c r="AV1679" t="inlineStr">
        <is>
          <t>17199881</t>
        </is>
      </c>
      <c r="AW1679" t="inlineStr">
        <is>
          <t>991001183789702656</t>
        </is>
      </c>
      <c r="AX1679" t="inlineStr">
        <is>
          <t>991001183789702656</t>
        </is>
      </c>
      <c r="AY1679" t="inlineStr">
        <is>
          <t>2262865810002656</t>
        </is>
      </c>
      <c r="AZ1679" t="inlineStr">
        <is>
          <t>BOOK</t>
        </is>
      </c>
      <c r="BB1679" t="inlineStr">
        <is>
          <t>9780275929664</t>
        </is>
      </c>
      <c r="BC1679" t="inlineStr">
        <is>
          <t>32285000462837</t>
        </is>
      </c>
      <c r="BD1679" t="inlineStr">
        <is>
          <t>893878698</t>
        </is>
      </c>
    </row>
    <row r="1680">
      <c r="A1680" t="inlineStr">
        <is>
          <t>No</t>
        </is>
      </c>
      <c r="B1680" t="inlineStr">
        <is>
          <t>HQ72.U53 R87 1986</t>
        </is>
      </c>
      <c r="C1680" t="inlineStr">
        <is>
          <t>0                      HQ 0072000U  53                 R  87          1986</t>
        </is>
      </c>
      <c r="D1680" t="inlineStr">
        <is>
          <t>The secret trauma : incest in the lives of girls and women / Diana E.H. Russell.</t>
        </is>
      </c>
      <c r="F1680" t="inlineStr">
        <is>
          <t>No</t>
        </is>
      </c>
      <c r="G1680" t="inlineStr">
        <is>
          <t>1</t>
        </is>
      </c>
      <c r="H1680" t="inlineStr">
        <is>
          <t>No</t>
        </is>
      </c>
      <c r="I1680" t="inlineStr">
        <is>
          <t>No</t>
        </is>
      </c>
      <c r="J1680" t="inlineStr">
        <is>
          <t>0</t>
        </is>
      </c>
      <c r="K1680" t="inlineStr">
        <is>
          <t>Russell, Diana E. H.</t>
        </is>
      </c>
      <c r="L1680" t="inlineStr">
        <is>
          <t>New York : Basic Books, c1986.</t>
        </is>
      </c>
      <c r="M1680" t="inlineStr">
        <is>
          <t>1986</t>
        </is>
      </c>
      <c r="O1680" t="inlineStr">
        <is>
          <t>eng</t>
        </is>
      </c>
      <c r="P1680" t="inlineStr">
        <is>
          <t>nyu</t>
        </is>
      </c>
      <c r="R1680" t="inlineStr">
        <is>
          <t xml:space="preserve">HQ </t>
        </is>
      </c>
      <c r="S1680" t="n">
        <v>10</v>
      </c>
      <c r="T1680" t="n">
        <v>10</v>
      </c>
      <c r="U1680" t="inlineStr">
        <is>
          <t>2003-04-08</t>
        </is>
      </c>
      <c r="V1680" t="inlineStr">
        <is>
          <t>2003-04-08</t>
        </is>
      </c>
      <c r="W1680" t="inlineStr">
        <is>
          <t>1991-12-10</t>
        </is>
      </c>
      <c r="X1680" t="inlineStr">
        <is>
          <t>1991-12-10</t>
        </is>
      </c>
      <c r="Y1680" t="n">
        <v>1435</v>
      </c>
      <c r="Z1680" t="n">
        <v>1293</v>
      </c>
      <c r="AA1680" t="n">
        <v>1323</v>
      </c>
      <c r="AB1680" t="n">
        <v>10</v>
      </c>
      <c r="AC1680" t="n">
        <v>10</v>
      </c>
      <c r="AD1680" t="n">
        <v>36</v>
      </c>
      <c r="AE1680" t="n">
        <v>37</v>
      </c>
      <c r="AF1680" t="n">
        <v>13</v>
      </c>
      <c r="AG1680" t="n">
        <v>14</v>
      </c>
      <c r="AH1680" t="n">
        <v>7</v>
      </c>
      <c r="AI1680" t="n">
        <v>7</v>
      </c>
      <c r="AJ1680" t="n">
        <v>17</v>
      </c>
      <c r="AK1680" t="n">
        <v>17</v>
      </c>
      <c r="AL1680" t="n">
        <v>7</v>
      </c>
      <c r="AM1680" t="n">
        <v>7</v>
      </c>
      <c r="AN1680" t="n">
        <v>0</v>
      </c>
      <c r="AO1680" t="n">
        <v>0</v>
      </c>
      <c r="AP1680" t="inlineStr">
        <is>
          <t>No</t>
        </is>
      </c>
      <c r="AQ1680" t="inlineStr">
        <is>
          <t>Yes</t>
        </is>
      </c>
      <c r="AR1680">
        <f>HYPERLINK("http://catalog.hathitrust.org/Record/004399003","HathiTrust Record")</f>
        <v/>
      </c>
      <c r="AS1680">
        <f>HYPERLINK("https://creighton-primo.hosted.exlibrisgroup.com/primo-explore/search?tab=default_tab&amp;search_scope=EVERYTHING&amp;vid=01CRU&amp;lang=en_US&amp;offset=0&amp;query=any,contains,991000761939702656","Catalog Record")</f>
        <v/>
      </c>
      <c r="AT1680">
        <f>HYPERLINK("http://www.worldcat.org/oclc/12974265","WorldCat Record")</f>
        <v/>
      </c>
      <c r="AU1680" t="inlineStr">
        <is>
          <t>5626323:eng</t>
        </is>
      </c>
      <c r="AV1680" t="inlineStr">
        <is>
          <t>12974265</t>
        </is>
      </c>
      <c r="AW1680" t="inlineStr">
        <is>
          <t>991000761939702656</t>
        </is>
      </c>
      <c r="AX1680" t="inlineStr">
        <is>
          <t>991000761939702656</t>
        </is>
      </c>
      <c r="AY1680" t="inlineStr">
        <is>
          <t>2260820890002656</t>
        </is>
      </c>
      <c r="AZ1680" t="inlineStr">
        <is>
          <t>BOOK</t>
        </is>
      </c>
      <c r="BB1680" t="inlineStr">
        <is>
          <t>9780465075959</t>
        </is>
      </c>
      <c r="BC1680" t="inlineStr">
        <is>
          <t>32285000890177</t>
        </is>
      </c>
      <c r="BD1680" t="inlineStr">
        <is>
          <t>893702407</t>
        </is>
      </c>
    </row>
    <row r="1681">
      <c r="A1681" t="inlineStr">
        <is>
          <t>No</t>
        </is>
      </c>
      <c r="B1681" t="inlineStr">
        <is>
          <t>HQ72.U53 S47</t>
        </is>
      </c>
      <c r="C1681" t="inlineStr">
        <is>
          <t>0                      HQ 0072000U  53                 S  47</t>
        </is>
      </c>
      <c r="D1681" t="inlineStr">
        <is>
          <t>Sexual deviancy in social context / edited by Clifton D. Bryant.</t>
        </is>
      </c>
      <c r="F1681" t="inlineStr">
        <is>
          <t>No</t>
        </is>
      </c>
      <c r="G1681" t="inlineStr">
        <is>
          <t>1</t>
        </is>
      </c>
      <c r="H1681" t="inlineStr">
        <is>
          <t>No</t>
        </is>
      </c>
      <c r="I1681" t="inlineStr">
        <is>
          <t>No</t>
        </is>
      </c>
      <c r="J1681" t="inlineStr">
        <is>
          <t>0</t>
        </is>
      </c>
      <c r="L1681" t="inlineStr">
        <is>
          <t>New York : New Viewpoints, 1977.</t>
        </is>
      </c>
      <c r="M1681" t="inlineStr">
        <is>
          <t>1977</t>
        </is>
      </c>
      <c r="O1681" t="inlineStr">
        <is>
          <t>eng</t>
        </is>
      </c>
      <c r="P1681" t="inlineStr">
        <is>
          <t>nyu</t>
        </is>
      </c>
      <c r="R1681" t="inlineStr">
        <is>
          <t xml:space="preserve">HQ </t>
        </is>
      </c>
      <c r="S1681" t="n">
        <v>29</v>
      </c>
      <c r="T1681" t="n">
        <v>29</v>
      </c>
      <c r="U1681" t="inlineStr">
        <is>
          <t>2008-12-03</t>
        </is>
      </c>
      <c r="V1681" t="inlineStr">
        <is>
          <t>2008-12-03</t>
        </is>
      </c>
      <c r="W1681" t="inlineStr">
        <is>
          <t>1992-11-10</t>
        </is>
      </c>
      <c r="X1681" t="inlineStr">
        <is>
          <t>1992-11-10</t>
        </is>
      </c>
      <c r="Y1681" t="n">
        <v>270</v>
      </c>
      <c r="Z1681" t="n">
        <v>227</v>
      </c>
      <c r="AA1681" t="n">
        <v>234</v>
      </c>
      <c r="AB1681" t="n">
        <v>3</v>
      </c>
      <c r="AC1681" t="n">
        <v>3</v>
      </c>
      <c r="AD1681" t="n">
        <v>13</v>
      </c>
      <c r="AE1681" t="n">
        <v>13</v>
      </c>
      <c r="AF1681" t="n">
        <v>5</v>
      </c>
      <c r="AG1681" t="n">
        <v>5</v>
      </c>
      <c r="AH1681" t="n">
        <v>3</v>
      </c>
      <c r="AI1681" t="n">
        <v>3</v>
      </c>
      <c r="AJ1681" t="n">
        <v>4</v>
      </c>
      <c r="AK1681" t="n">
        <v>4</v>
      </c>
      <c r="AL1681" t="n">
        <v>2</v>
      </c>
      <c r="AM1681" t="n">
        <v>2</v>
      </c>
      <c r="AN1681" t="n">
        <v>2</v>
      </c>
      <c r="AO1681" t="n">
        <v>2</v>
      </c>
      <c r="AP1681" t="inlineStr">
        <is>
          <t>No</t>
        </is>
      </c>
      <c r="AQ1681" t="inlineStr">
        <is>
          <t>Yes</t>
        </is>
      </c>
      <c r="AR1681">
        <f>HYPERLINK("http://catalog.hathitrust.org/Record/101997746","HathiTrust Record")</f>
        <v/>
      </c>
      <c r="AS1681">
        <f>HYPERLINK("https://creighton-primo.hosted.exlibrisgroup.com/primo-explore/search?tab=default_tab&amp;search_scope=EVERYTHING&amp;vid=01CRU&amp;lang=en_US&amp;offset=0&amp;query=any,contains,991004319989702656","Catalog Record")</f>
        <v/>
      </c>
      <c r="AT1681">
        <f>HYPERLINK("http://www.worldcat.org/oclc/3017074","WorldCat Record")</f>
        <v/>
      </c>
      <c r="AU1681" t="inlineStr">
        <is>
          <t>7129663:eng</t>
        </is>
      </c>
      <c r="AV1681" t="inlineStr">
        <is>
          <t>3017074</t>
        </is>
      </c>
      <c r="AW1681" t="inlineStr">
        <is>
          <t>991004319989702656</t>
        </is>
      </c>
      <c r="AX1681" t="inlineStr">
        <is>
          <t>991004319989702656</t>
        </is>
      </c>
      <c r="AY1681" t="inlineStr">
        <is>
          <t>2269818180002656</t>
        </is>
      </c>
      <c r="AZ1681" t="inlineStr">
        <is>
          <t>BOOK</t>
        </is>
      </c>
      <c r="BB1681" t="inlineStr">
        <is>
          <t>9780531053942</t>
        </is>
      </c>
      <c r="BC1681" t="inlineStr">
        <is>
          <t>32285001363059</t>
        </is>
      </c>
      <c r="BD1681" t="inlineStr">
        <is>
          <t>893525942</t>
        </is>
      </c>
    </row>
    <row r="1682">
      <c r="A1682" t="inlineStr">
        <is>
          <t>No</t>
        </is>
      </c>
      <c r="B1682" t="inlineStr">
        <is>
          <t>HQ72.U53 W47 1992</t>
        </is>
      </c>
      <c r="C1682" t="inlineStr">
        <is>
          <t>0                      HQ 0072000U  53                 W  47          1992</t>
        </is>
      </c>
      <c r="D1682" t="inlineStr">
        <is>
          <t>Women's sexuality after childhood incest / Elaine Westerlund.</t>
        </is>
      </c>
      <c r="F1682" t="inlineStr">
        <is>
          <t>No</t>
        </is>
      </c>
      <c r="G1682" t="inlineStr">
        <is>
          <t>1</t>
        </is>
      </c>
      <c r="H1682" t="inlineStr">
        <is>
          <t>No</t>
        </is>
      </c>
      <c r="I1682" t="inlineStr">
        <is>
          <t>No</t>
        </is>
      </c>
      <c r="J1682" t="inlineStr">
        <is>
          <t>0</t>
        </is>
      </c>
      <c r="K1682" t="inlineStr">
        <is>
          <t>Westerlund, Elaine.</t>
        </is>
      </c>
      <c r="L1682" t="inlineStr">
        <is>
          <t>New York : Norton, c1992.</t>
        </is>
      </c>
      <c r="M1682" t="inlineStr">
        <is>
          <t>1992</t>
        </is>
      </c>
      <c r="N1682" t="inlineStr">
        <is>
          <t>1st ed.</t>
        </is>
      </c>
      <c r="O1682" t="inlineStr">
        <is>
          <t>eng</t>
        </is>
      </c>
      <c r="P1682" t="inlineStr">
        <is>
          <t>nyu</t>
        </is>
      </c>
      <c r="R1682" t="inlineStr">
        <is>
          <t xml:space="preserve">HQ </t>
        </is>
      </c>
      <c r="S1682" t="n">
        <v>9</v>
      </c>
      <c r="T1682" t="n">
        <v>9</v>
      </c>
      <c r="U1682" t="inlineStr">
        <is>
          <t>2008-11-11</t>
        </is>
      </c>
      <c r="V1682" t="inlineStr">
        <is>
          <t>2008-11-11</t>
        </is>
      </c>
      <c r="W1682" t="inlineStr">
        <is>
          <t>1995-01-10</t>
        </is>
      </c>
      <c r="X1682" t="inlineStr">
        <is>
          <t>1995-01-10</t>
        </is>
      </c>
      <c r="Y1682" t="n">
        <v>450</v>
      </c>
      <c r="Z1682" t="n">
        <v>381</v>
      </c>
      <c r="AA1682" t="n">
        <v>386</v>
      </c>
      <c r="AB1682" t="n">
        <v>5</v>
      </c>
      <c r="AC1682" t="n">
        <v>5</v>
      </c>
      <c r="AD1682" t="n">
        <v>20</v>
      </c>
      <c r="AE1682" t="n">
        <v>20</v>
      </c>
      <c r="AF1682" t="n">
        <v>4</v>
      </c>
      <c r="AG1682" t="n">
        <v>4</v>
      </c>
      <c r="AH1682" t="n">
        <v>6</v>
      </c>
      <c r="AI1682" t="n">
        <v>6</v>
      </c>
      <c r="AJ1682" t="n">
        <v>10</v>
      </c>
      <c r="AK1682" t="n">
        <v>10</v>
      </c>
      <c r="AL1682" t="n">
        <v>4</v>
      </c>
      <c r="AM1682" t="n">
        <v>4</v>
      </c>
      <c r="AN1682" t="n">
        <v>0</v>
      </c>
      <c r="AO1682" t="n">
        <v>0</v>
      </c>
      <c r="AP1682" t="inlineStr">
        <is>
          <t>No</t>
        </is>
      </c>
      <c r="AQ1682" t="inlineStr">
        <is>
          <t>No</t>
        </is>
      </c>
      <c r="AS1682">
        <f>HYPERLINK("https://creighton-primo.hosted.exlibrisgroup.com/primo-explore/search?tab=default_tab&amp;search_scope=EVERYTHING&amp;vid=01CRU&amp;lang=en_US&amp;offset=0&amp;query=any,contains,991002005909702656","Catalog Record")</f>
        <v/>
      </c>
      <c r="AT1682">
        <f>HYPERLINK("http://www.worldcat.org/oclc/25508936","WorldCat Record")</f>
        <v/>
      </c>
      <c r="AU1682" t="inlineStr">
        <is>
          <t>27816606:eng</t>
        </is>
      </c>
      <c r="AV1682" t="inlineStr">
        <is>
          <t>25508936</t>
        </is>
      </c>
      <c r="AW1682" t="inlineStr">
        <is>
          <t>991002005909702656</t>
        </is>
      </c>
      <c r="AX1682" t="inlineStr">
        <is>
          <t>991002005909702656</t>
        </is>
      </c>
      <c r="AY1682" t="inlineStr">
        <is>
          <t>2272372620002656</t>
        </is>
      </c>
      <c r="AZ1682" t="inlineStr">
        <is>
          <t>BOOK</t>
        </is>
      </c>
      <c r="BB1682" t="inlineStr">
        <is>
          <t>9780393701418</t>
        </is>
      </c>
      <c r="BC1682" t="inlineStr">
        <is>
          <t>32285001992014</t>
        </is>
      </c>
      <c r="BD1682" t="inlineStr">
        <is>
          <t>893250706</t>
        </is>
      </c>
    </row>
    <row r="1683">
      <c r="A1683" t="inlineStr">
        <is>
          <t>No</t>
        </is>
      </c>
      <c r="B1683" t="inlineStr">
        <is>
          <t>HQ728 .A74</t>
        </is>
      </c>
      <c r="C1683" t="inlineStr">
        <is>
          <t>0                      HQ 0728000A  74</t>
        </is>
      </c>
      <c r="D1683" t="inlineStr">
        <is>
          <t>The family: its function and destiny.</t>
        </is>
      </c>
      <c r="F1683" t="inlineStr">
        <is>
          <t>No</t>
        </is>
      </c>
      <c r="G1683" t="inlineStr">
        <is>
          <t>1</t>
        </is>
      </c>
      <c r="H1683" t="inlineStr">
        <is>
          <t>No</t>
        </is>
      </c>
      <c r="I1683" t="inlineStr">
        <is>
          <t>No</t>
        </is>
      </c>
      <c r="J1683" t="inlineStr">
        <is>
          <t>0</t>
        </is>
      </c>
      <c r="K1683" t="inlineStr">
        <is>
          <t>Anshen, Ruth Nanda editor.</t>
        </is>
      </c>
      <c r="L1683" t="inlineStr">
        <is>
          <t>New York, Harper [1949]</t>
        </is>
      </c>
      <c r="M1683" t="inlineStr">
        <is>
          <t>1949</t>
        </is>
      </c>
      <c r="O1683" t="inlineStr">
        <is>
          <t>eng</t>
        </is>
      </c>
      <c r="P1683" t="inlineStr">
        <is>
          <t>nyu</t>
        </is>
      </c>
      <c r="Q1683" t="inlineStr">
        <is>
          <t>Science of culture series ; v. 5</t>
        </is>
      </c>
      <c r="R1683" t="inlineStr">
        <is>
          <t xml:space="preserve">HQ </t>
        </is>
      </c>
      <c r="S1683" t="n">
        <v>14</v>
      </c>
      <c r="T1683" t="n">
        <v>14</v>
      </c>
      <c r="U1683" t="inlineStr">
        <is>
          <t>2003-11-01</t>
        </is>
      </c>
      <c r="V1683" t="inlineStr">
        <is>
          <t>2003-11-01</t>
        </is>
      </c>
      <c r="W1683" t="inlineStr">
        <is>
          <t>1997-08-11</t>
        </is>
      </c>
      <c r="X1683" t="inlineStr">
        <is>
          <t>1997-08-11</t>
        </is>
      </c>
      <c r="Y1683" t="n">
        <v>377</v>
      </c>
      <c r="Z1683" t="n">
        <v>313</v>
      </c>
      <c r="AA1683" t="n">
        <v>741</v>
      </c>
      <c r="AB1683" t="n">
        <v>3</v>
      </c>
      <c r="AC1683" t="n">
        <v>5</v>
      </c>
      <c r="AD1683" t="n">
        <v>14</v>
      </c>
      <c r="AE1683" t="n">
        <v>34</v>
      </c>
      <c r="AF1683" t="n">
        <v>5</v>
      </c>
      <c r="AG1683" t="n">
        <v>12</v>
      </c>
      <c r="AH1683" t="n">
        <v>1</v>
      </c>
      <c r="AI1683" t="n">
        <v>8</v>
      </c>
      <c r="AJ1683" t="n">
        <v>8</v>
      </c>
      <c r="AK1683" t="n">
        <v>19</v>
      </c>
      <c r="AL1683" t="n">
        <v>2</v>
      </c>
      <c r="AM1683" t="n">
        <v>4</v>
      </c>
      <c r="AN1683" t="n">
        <v>1</v>
      </c>
      <c r="AO1683" t="n">
        <v>1</v>
      </c>
      <c r="AP1683" t="inlineStr">
        <is>
          <t>No</t>
        </is>
      </c>
      <c r="AQ1683" t="inlineStr">
        <is>
          <t>No</t>
        </is>
      </c>
      <c r="AR1683">
        <f>HYPERLINK("http://catalog.hathitrust.org/Record/001109947","HathiTrust Record")</f>
        <v/>
      </c>
      <c r="AS1683">
        <f>HYPERLINK("https://creighton-primo.hosted.exlibrisgroup.com/primo-explore/search?tab=default_tab&amp;search_scope=EVERYTHING&amp;vid=01CRU&amp;lang=en_US&amp;offset=0&amp;query=any,contains,991002941389702656","Catalog Record")</f>
        <v/>
      </c>
      <c r="AT1683">
        <f>HYPERLINK("http://www.worldcat.org/oclc/535204","WorldCat Record")</f>
        <v/>
      </c>
      <c r="AU1683" t="inlineStr">
        <is>
          <t>1368458:eng</t>
        </is>
      </c>
      <c r="AV1683" t="inlineStr">
        <is>
          <t>535204</t>
        </is>
      </c>
      <c r="AW1683" t="inlineStr">
        <is>
          <t>991002941389702656</t>
        </is>
      </c>
      <c r="AX1683" t="inlineStr">
        <is>
          <t>991002941389702656</t>
        </is>
      </c>
      <c r="AY1683" t="inlineStr">
        <is>
          <t>2263399820002656</t>
        </is>
      </c>
      <c r="AZ1683" t="inlineStr">
        <is>
          <t>BOOK</t>
        </is>
      </c>
      <c r="BC1683" t="inlineStr">
        <is>
          <t>32285003089207</t>
        </is>
      </c>
      <c r="BD1683" t="inlineStr">
        <is>
          <t>893616788</t>
        </is>
      </c>
    </row>
    <row r="1684">
      <c r="A1684" t="inlineStr">
        <is>
          <t>No</t>
        </is>
      </c>
      <c r="B1684" t="inlineStr">
        <is>
          <t>HQ728 .B33</t>
        </is>
      </c>
      <c r="C1684" t="inlineStr">
        <is>
          <t>0                      HQ 0728000B  33</t>
        </is>
      </c>
      <c r="D1684" t="inlineStr">
        <is>
          <t>The intimate enemy : how to fight fair in love and marriage / by George R. Bach and Peter Wyden.</t>
        </is>
      </c>
      <c r="F1684" t="inlineStr">
        <is>
          <t>No</t>
        </is>
      </c>
      <c r="G1684" t="inlineStr">
        <is>
          <t>1</t>
        </is>
      </c>
      <c r="H1684" t="inlineStr">
        <is>
          <t>No</t>
        </is>
      </c>
      <c r="I1684" t="inlineStr">
        <is>
          <t>No</t>
        </is>
      </c>
      <c r="J1684" t="inlineStr">
        <is>
          <t>0</t>
        </is>
      </c>
      <c r="K1684" t="inlineStr">
        <is>
          <t>Bach, George R. (George Robert), 1914-1986.</t>
        </is>
      </c>
      <c r="L1684" t="inlineStr">
        <is>
          <t>New York : Morrow, 1969.</t>
        </is>
      </c>
      <c r="M1684" t="inlineStr">
        <is>
          <t>1969</t>
        </is>
      </c>
      <c r="O1684" t="inlineStr">
        <is>
          <t>eng</t>
        </is>
      </c>
      <c r="P1684" t="inlineStr">
        <is>
          <t>nyu</t>
        </is>
      </c>
      <c r="R1684" t="inlineStr">
        <is>
          <t xml:space="preserve">HQ </t>
        </is>
      </c>
      <c r="S1684" t="n">
        <v>16</v>
      </c>
      <c r="T1684" t="n">
        <v>16</v>
      </c>
      <c r="U1684" t="inlineStr">
        <is>
          <t>2000-06-27</t>
        </is>
      </c>
      <c r="V1684" t="inlineStr">
        <is>
          <t>2000-06-27</t>
        </is>
      </c>
      <c r="W1684" t="inlineStr">
        <is>
          <t>1990-02-23</t>
        </is>
      </c>
      <c r="X1684" t="inlineStr">
        <is>
          <t>1990-02-23</t>
        </is>
      </c>
      <c r="Y1684" t="n">
        <v>905</v>
      </c>
      <c r="Z1684" t="n">
        <v>827</v>
      </c>
      <c r="AA1684" t="n">
        <v>1013</v>
      </c>
      <c r="AB1684" t="n">
        <v>5</v>
      </c>
      <c r="AC1684" t="n">
        <v>6</v>
      </c>
      <c r="AD1684" t="n">
        <v>24</v>
      </c>
      <c r="AE1684" t="n">
        <v>27</v>
      </c>
      <c r="AF1684" t="n">
        <v>6</v>
      </c>
      <c r="AG1684" t="n">
        <v>7</v>
      </c>
      <c r="AH1684" t="n">
        <v>4</v>
      </c>
      <c r="AI1684" t="n">
        <v>4</v>
      </c>
      <c r="AJ1684" t="n">
        <v>16</v>
      </c>
      <c r="AK1684" t="n">
        <v>17</v>
      </c>
      <c r="AL1684" t="n">
        <v>2</v>
      </c>
      <c r="AM1684" t="n">
        <v>3</v>
      </c>
      <c r="AN1684" t="n">
        <v>1</v>
      </c>
      <c r="AO1684" t="n">
        <v>1</v>
      </c>
      <c r="AP1684" t="inlineStr">
        <is>
          <t>No</t>
        </is>
      </c>
      <c r="AQ1684" t="inlineStr">
        <is>
          <t>Yes</t>
        </is>
      </c>
      <c r="AR1684">
        <f>HYPERLINK("http://catalog.hathitrust.org/Record/001354727","HathiTrust Record")</f>
        <v/>
      </c>
      <c r="AS1684">
        <f>HYPERLINK("https://creighton-primo.hosted.exlibrisgroup.com/primo-explore/search?tab=default_tab&amp;search_scope=EVERYTHING&amp;vid=01CRU&amp;lang=en_US&amp;offset=0&amp;query=any,contains,991005352659702656","Catalog Record")</f>
        <v/>
      </c>
      <c r="AT1684">
        <f>HYPERLINK("http://www.worldcat.org/oclc/4991","WorldCat Record")</f>
        <v/>
      </c>
      <c r="AU1684" t="inlineStr">
        <is>
          <t>3893633151:eng</t>
        </is>
      </c>
      <c r="AV1684" t="inlineStr">
        <is>
          <t>4991</t>
        </is>
      </c>
      <c r="AW1684" t="inlineStr">
        <is>
          <t>991005352659702656</t>
        </is>
      </c>
      <c r="AX1684" t="inlineStr">
        <is>
          <t>991005352659702656</t>
        </is>
      </c>
      <c r="AY1684" t="inlineStr">
        <is>
          <t>2266342080002656</t>
        </is>
      </c>
      <c r="AZ1684" t="inlineStr">
        <is>
          <t>BOOK</t>
        </is>
      </c>
      <c r="BC1684" t="inlineStr">
        <is>
          <t>32285000061126</t>
        </is>
      </c>
      <c r="BD1684" t="inlineStr">
        <is>
          <t>893707694</t>
        </is>
      </c>
    </row>
    <row r="1685">
      <c r="A1685" t="inlineStr">
        <is>
          <t>No</t>
        </is>
      </c>
      <c r="B1685" t="inlineStr">
        <is>
          <t>HQ728 .B35 1999</t>
        </is>
      </c>
      <c r="C1685" t="inlineStr">
        <is>
          <t>0                      HQ 0728000B  35          1999</t>
        </is>
      </c>
      <c r="D1685" t="inlineStr">
        <is>
          <t>Baby wars : the dynamics of family conflict / Robin Baker and Elizabeth Oram.</t>
        </is>
      </c>
      <c r="F1685" t="inlineStr">
        <is>
          <t>No</t>
        </is>
      </c>
      <c r="G1685" t="inlineStr">
        <is>
          <t>1</t>
        </is>
      </c>
      <c r="H1685" t="inlineStr">
        <is>
          <t>No</t>
        </is>
      </c>
      <c r="I1685" t="inlineStr">
        <is>
          <t>No</t>
        </is>
      </c>
      <c r="J1685" t="inlineStr">
        <is>
          <t>0</t>
        </is>
      </c>
      <c r="K1685" t="inlineStr">
        <is>
          <t>Baker, Robin, 1944-</t>
        </is>
      </c>
      <c r="L1685" t="inlineStr">
        <is>
          <t>Hopewell, N.J.: Ecco Press, 1999.</t>
        </is>
      </c>
      <c r="M1685" t="inlineStr">
        <is>
          <t>1999</t>
        </is>
      </c>
      <c r="N1685" t="inlineStr">
        <is>
          <t>1st ed.</t>
        </is>
      </c>
      <c r="O1685" t="inlineStr">
        <is>
          <t>eng</t>
        </is>
      </c>
      <c r="P1685" t="inlineStr">
        <is>
          <t>nju</t>
        </is>
      </c>
      <c r="R1685" t="inlineStr">
        <is>
          <t xml:space="preserve">HQ </t>
        </is>
      </c>
      <c r="S1685" t="n">
        <v>1</v>
      </c>
      <c r="T1685" t="n">
        <v>1</v>
      </c>
      <c r="U1685" t="inlineStr">
        <is>
          <t>2006-06-19</t>
        </is>
      </c>
      <c r="V1685" t="inlineStr">
        <is>
          <t>2006-06-19</t>
        </is>
      </c>
      <c r="W1685" t="inlineStr">
        <is>
          <t>1999-05-10</t>
        </is>
      </c>
      <c r="X1685" t="inlineStr">
        <is>
          <t>1999-05-10</t>
        </is>
      </c>
      <c r="Y1685" t="n">
        <v>407</v>
      </c>
      <c r="Z1685" t="n">
        <v>386</v>
      </c>
      <c r="AA1685" t="n">
        <v>403</v>
      </c>
      <c r="AB1685" t="n">
        <v>4</v>
      </c>
      <c r="AC1685" t="n">
        <v>4</v>
      </c>
      <c r="AD1685" t="n">
        <v>13</v>
      </c>
      <c r="AE1685" t="n">
        <v>13</v>
      </c>
      <c r="AF1685" t="n">
        <v>3</v>
      </c>
      <c r="AG1685" t="n">
        <v>3</v>
      </c>
      <c r="AH1685" t="n">
        <v>5</v>
      </c>
      <c r="AI1685" t="n">
        <v>5</v>
      </c>
      <c r="AJ1685" t="n">
        <v>5</v>
      </c>
      <c r="AK1685" t="n">
        <v>5</v>
      </c>
      <c r="AL1685" t="n">
        <v>2</v>
      </c>
      <c r="AM1685" t="n">
        <v>2</v>
      </c>
      <c r="AN1685" t="n">
        <v>0</v>
      </c>
      <c r="AO1685" t="n">
        <v>0</v>
      </c>
      <c r="AP1685" t="inlineStr">
        <is>
          <t>No</t>
        </is>
      </c>
      <c r="AQ1685" t="inlineStr">
        <is>
          <t>Yes</t>
        </is>
      </c>
      <c r="AR1685">
        <f>HYPERLINK("http://catalog.hathitrust.org/Record/004032503","HathiTrust Record")</f>
        <v/>
      </c>
      <c r="AS1685">
        <f>HYPERLINK("https://creighton-primo.hosted.exlibrisgroup.com/primo-explore/search?tab=default_tab&amp;search_scope=EVERYTHING&amp;vid=01CRU&amp;lang=en_US&amp;offset=0&amp;query=any,contains,991002955859702656","Catalog Record")</f>
        <v/>
      </c>
      <c r="AT1685">
        <f>HYPERLINK("http://www.worldcat.org/oclc/39456015","WorldCat Record")</f>
        <v/>
      </c>
      <c r="AU1685" t="inlineStr">
        <is>
          <t>2909492139:eng</t>
        </is>
      </c>
      <c r="AV1685" t="inlineStr">
        <is>
          <t>39456015</t>
        </is>
      </c>
      <c r="AW1685" t="inlineStr">
        <is>
          <t>991002955859702656</t>
        </is>
      </c>
      <c r="AX1685" t="inlineStr">
        <is>
          <t>991002955859702656</t>
        </is>
      </c>
      <c r="AY1685" t="inlineStr">
        <is>
          <t>2272540560002656</t>
        </is>
      </c>
      <c r="AZ1685" t="inlineStr">
        <is>
          <t>BOOK</t>
        </is>
      </c>
      <c r="BB1685" t="inlineStr">
        <is>
          <t>9780880016582</t>
        </is>
      </c>
      <c r="BC1685" t="inlineStr">
        <is>
          <t>32285003559589</t>
        </is>
      </c>
      <c r="BD1685" t="inlineStr">
        <is>
          <t>893498764</t>
        </is>
      </c>
    </row>
    <row r="1686">
      <c r="A1686" t="inlineStr">
        <is>
          <t>No</t>
        </is>
      </c>
      <c r="B1686" t="inlineStr">
        <is>
          <t>HQ728 .B358 2001</t>
        </is>
      </c>
      <c r="C1686" t="inlineStr">
        <is>
          <t>0                      HQ 0728000B  358         2001</t>
        </is>
      </c>
      <c r="D1686" t="inlineStr">
        <is>
          <t>The myth of monogamy : fidelity and infidelity in animals and people / David P. Barash, Judith Eve Lipton.</t>
        </is>
      </c>
      <c r="F1686" t="inlineStr">
        <is>
          <t>No</t>
        </is>
      </c>
      <c r="G1686" t="inlineStr">
        <is>
          <t>1</t>
        </is>
      </c>
      <c r="H1686" t="inlineStr">
        <is>
          <t>No</t>
        </is>
      </c>
      <c r="I1686" t="inlineStr">
        <is>
          <t>No</t>
        </is>
      </c>
      <c r="J1686" t="inlineStr">
        <is>
          <t>0</t>
        </is>
      </c>
      <c r="K1686" t="inlineStr">
        <is>
          <t>Barash, David P.</t>
        </is>
      </c>
      <c r="L1686" t="inlineStr">
        <is>
          <t>New York : W.H. Freeman, c2001.</t>
        </is>
      </c>
      <c r="M1686" t="inlineStr">
        <is>
          <t>2001</t>
        </is>
      </c>
      <c r="O1686" t="inlineStr">
        <is>
          <t>eng</t>
        </is>
      </c>
      <c r="P1686" t="inlineStr">
        <is>
          <t>nyu</t>
        </is>
      </c>
      <c r="R1686" t="inlineStr">
        <is>
          <t xml:space="preserve">HQ </t>
        </is>
      </c>
      <c r="S1686" t="n">
        <v>6</v>
      </c>
      <c r="T1686" t="n">
        <v>6</v>
      </c>
      <c r="U1686" t="inlineStr">
        <is>
          <t>2007-02-09</t>
        </is>
      </c>
      <c r="V1686" t="inlineStr">
        <is>
          <t>2007-02-09</t>
        </is>
      </c>
      <c r="W1686" t="inlineStr">
        <is>
          <t>2001-12-20</t>
        </is>
      </c>
      <c r="X1686" t="inlineStr">
        <is>
          <t>2001-12-20</t>
        </is>
      </c>
      <c r="Y1686" t="n">
        <v>1053</v>
      </c>
      <c r="Z1686" t="n">
        <v>953</v>
      </c>
      <c r="AA1686" t="n">
        <v>1077</v>
      </c>
      <c r="AB1686" t="n">
        <v>5</v>
      </c>
      <c r="AC1686" t="n">
        <v>6</v>
      </c>
      <c r="AD1686" t="n">
        <v>30</v>
      </c>
      <c r="AE1686" t="n">
        <v>32</v>
      </c>
      <c r="AF1686" t="n">
        <v>14</v>
      </c>
      <c r="AG1686" t="n">
        <v>14</v>
      </c>
      <c r="AH1686" t="n">
        <v>8</v>
      </c>
      <c r="AI1686" t="n">
        <v>8</v>
      </c>
      <c r="AJ1686" t="n">
        <v>12</v>
      </c>
      <c r="AK1686" t="n">
        <v>13</v>
      </c>
      <c r="AL1686" t="n">
        <v>4</v>
      </c>
      <c r="AM1686" t="n">
        <v>5</v>
      </c>
      <c r="AN1686" t="n">
        <v>0</v>
      </c>
      <c r="AO1686" t="n">
        <v>0</v>
      </c>
      <c r="AP1686" t="inlineStr">
        <is>
          <t>No</t>
        </is>
      </c>
      <c r="AQ1686" t="inlineStr">
        <is>
          <t>No</t>
        </is>
      </c>
      <c r="AS1686">
        <f>HYPERLINK("https://creighton-primo.hosted.exlibrisgroup.com/primo-explore/search?tab=default_tab&amp;search_scope=EVERYTHING&amp;vid=01CRU&amp;lang=en_US&amp;offset=0&amp;query=any,contains,991003671399702656","Catalog Record")</f>
        <v/>
      </c>
      <c r="AT1686">
        <f>HYPERLINK("http://www.worldcat.org/oclc/46886798","WorldCat Record")</f>
        <v/>
      </c>
      <c r="AU1686" t="inlineStr">
        <is>
          <t>54258357:eng</t>
        </is>
      </c>
      <c r="AV1686" t="inlineStr">
        <is>
          <t>46886798</t>
        </is>
      </c>
      <c r="AW1686" t="inlineStr">
        <is>
          <t>991003671399702656</t>
        </is>
      </c>
      <c r="AX1686" t="inlineStr">
        <is>
          <t>991003671399702656</t>
        </is>
      </c>
      <c r="AY1686" t="inlineStr">
        <is>
          <t>2271227480002656</t>
        </is>
      </c>
      <c r="AZ1686" t="inlineStr">
        <is>
          <t>BOOK</t>
        </is>
      </c>
      <c r="BB1686" t="inlineStr">
        <is>
          <t>9780716740049</t>
        </is>
      </c>
      <c r="BC1686" t="inlineStr">
        <is>
          <t>32285004429766</t>
        </is>
      </c>
      <c r="BD1686" t="inlineStr">
        <is>
          <t>893228304</t>
        </is>
      </c>
    </row>
    <row r="1687">
      <c r="A1687" t="inlineStr">
        <is>
          <t>No</t>
        </is>
      </c>
      <c r="B1687" t="inlineStr">
        <is>
          <t>HQ728 .B36</t>
        </is>
      </c>
      <c r="C1687" t="inlineStr">
        <is>
          <t>0                      HQ 0728000B  36</t>
        </is>
      </c>
      <c r="D1687" t="inlineStr">
        <is>
          <t>Marriage and the family : a comparative analysis of contemporary problems / edited by Meyer Barash [and] Alice Scourby.</t>
        </is>
      </c>
      <c r="F1687" t="inlineStr">
        <is>
          <t>No</t>
        </is>
      </c>
      <c r="G1687" t="inlineStr">
        <is>
          <t>1</t>
        </is>
      </c>
      <c r="H1687" t="inlineStr">
        <is>
          <t>No</t>
        </is>
      </c>
      <c r="I1687" t="inlineStr">
        <is>
          <t>No</t>
        </is>
      </c>
      <c r="J1687" t="inlineStr">
        <is>
          <t>0</t>
        </is>
      </c>
      <c r="K1687" t="inlineStr">
        <is>
          <t>Barash, Meyer, 1916-2005, compiler.</t>
        </is>
      </c>
      <c r="L1687" t="inlineStr">
        <is>
          <t>New York : Random House, [1970]</t>
        </is>
      </c>
      <c r="M1687" t="inlineStr">
        <is>
          <t>1970</t>
        </is>
      </c>
      <c r="O1687" t="inlineStr">
        <is>
          <t>eng</t>
        </is>
      </c>
      <c r="P1687" t="inlineStr">
        <is>
          <t>nyu</t>
        </is>
      </c>
      <c r="R1687" t="inlineStr">
        <is>
          <t xml:space="preserve">HQ </t>
        </is>
      </c>
      <c r="S1687" t="n">
        <v>5</v>
      </c>
      <c r="T1687" t="n">
        <v>5</v>
      </c>
      <c r="U1687" t="inlineStr">
        <is>
          <t>2001-02-25</t>
        </is>
      </c>
      <c r="V1687" t="inlineStr">
        <is>
          <t>2001-02-25</t>
        </is>
      </c>
      <c r="W1687" t="inlineStr">
        <is>
          <t>1995-05-02</t>
        </is>
      </c>
      <c r="X1687" t="inlineStr">
        <is>
          <t>1995-05-02</t>
        </is>
      </c>
      <c r="Y1687" t="n">
        <v>346</v>
      </c>
      <c r="Z1687" t="n">
        <v>272</v>
      </c>
      <c r="AA1687" t="n">
        <v>273</v>
      </c>
      <c r="AB1687" t="n">
        <v>4</v>
      </c>
      <c r="AC1687" t="n">
        <v>4</v>
      </c>
      <c r="AD1687" t="n">
        <v>15</v>
      </c>
      <c r="AE1687" t="n">
        <v>15</v>
      </c>
      <c r="AF1687" t="n">
        <v>4</v>
      </c>
      <c r="AG1687" t="n">
        <v>4</v>
      </c>
      <c r="AH1687" t="n">
        <v>4</v>
      </c>
      <c r="AI1687" t="n">
        <v>4</v>
      </c>
      <c r="AJ1687" t="n">
        <v>7</v>
      </c>
      <c r="AK1687" t="n">
        <v>7</v>
      </c>
      <c r="AL1687" t="n">
        <v>3</v>
      </c>
      <c r="AM1687" t="n">
        <v>3</v>
      </c>
      <c r="AN1687" t="n">
        <v>0</v>
      </c>
      <c r="AO1687" t="n">
        <v>0</v>
      </c>
      <c r="AP1687" t="inlineStr">
        <is>
          <t>No</t>
        </is>
      </c>
      <c r="AQ1687" t="inlineStr">
        <is>
          <t>Yes</t>
        </is>
      </c>
      <c r="AR1687">
        <f>HYPERLINK("http://catalog.hathitrust.org/Record/005706923","HathiTrust Record")</f>
        <v/>
      </c>
      <c r="AS1687">
        <f>HYPERLINK("https://creighton-primo.hosted.exlibrisgroup.com/primo-explore/search?tab=default_tab&amp;search_scope=EVERYTHING&amp;vid=01CRU&amp;lang=en_US&amp;offset=0&amp;query=any,contains,991000550919702656","Catalog Record")</f>
        <v/>
      </c>
      <c r="AT1687">
        <f>HYPERLINK("http://www.worldcat.org/oclc/92714","WorldCat Record")</f>
        <v/>
      </c>
      <c r="AU1687" t="inlineStr">
        <is>
          <t>1306998:eng</t>
        </is>
      </c>
      <c r="AV1687" t="inlineStr">
        <is>
          <t>92714</t>
        </is>
      </c>
      <c r="AW1687" t="inlineStr">
        <is>
          <t>991000550919702656</t>
        </is>
      </c>
      <c r="AX1687" t="inlineStr">
        <is>
          <t>991000550919702656</t>
        </is>
      </c>
      <c r="AY1687" t="inlineStr">
        <is>
          <t>2262485240002656</t>
        </is>
      </c>
      <c r="AZ1687" t="inlineStr">
        <is>
          <t>BOOK</t>
        </is>
      </c>
      <c r="BC1687" t="inlineStr">
        <is>
          <t>32285002031309</t>
        </is>
      </c>
      <c r="BD1687" t="inlineStr">
        <is>
          <t>893689799</t>
        </is>
      </c>
    </row>
    <row r="1688">
      <c r="A1688" t="inlineStr">
        <is>
          <t>No</t>
        </is>
      </c>
      <c r="B1688" t="inlineStr">
        <is>
          <t>HQ728 .B37 1976</t>
        </is>
      </c>
      <c r="C1688" t="inlineStr">
        <is>
          <t>0                      HQ 0728000B  37          1976</t>
        </is>
      </c>
      <c r="D1688" t="inlineStr">
        <is>
          <t>Marriage and the family under challenge : an outline of issues, trends, and alternatives / Dorothy Fahs Beck ; annotated bibliography, Emily Bradshaw.</t>
        </is>
      </c>
      <c r="F1688" t="inlineStr">
        <is>
          <t>No</t>
        </is>
      </c>
      <c r="G1688" t="inlineStr">
        <is>
          <t>1</t>
        </is>
      </c>
      <c r="H1688" t="inlineStr">
        <is>
          <t>No</t>
        </is>
      </c>
      <c r="I1688" t="inlineStr">
        <is>
          <t>No</t>
        </is>
      </c>
      <c r="J1688" t="inlineStr">
        <is>
          <t>0</t>
        </is>
      </c>
      <c r="K1688" t="inlineStr">
        <is>
          <t>Beck, Dorothy Fahs, 1905-2000.</t>
        </is>
      </c>
      <c r="L1688" t="inlineStr">
        <is>
          <t>New York : Family Service Association of America, c1976.</t>
        </is>
      </c>
      <c r="M1688" t="inlineStr">
        <is>
          <t>1976</t>
        </is>
      </c>
      <c r="N1688" t="inlineStr">
        <is>
          <t>2d ed.</t>
        </is>
      </c>
      <c r="O1688" t="inlineStr">
        <is>
          <t>eng</t>
        </is>
      </c>
      <c r="P1688" t="inlineStr">
        <is>
          <t>nyu</t>
        </is>
      </c>
      <c r="R1688" t="inlineStr">
        <is>
          <t xml:space="preserve">HQ </t>
        </is>
      </c>
      <c r="S1688" t="n">
        <v>2</v>
      </c>
      <c r="T1688" t="n">
        <v>2</v>
      </c>
      <c r="U1688" t="inlineStr">
        <is>
          <t>1994-02-24</t>
        </is>
      </c>
      <c r="V1688" t="inlineStr">
        <is>
          <t>1994-02-24</t>
        </is>
      </c>
      <c r="W1688" t="inlineStr">
        <is>
          <t>1992-12-16</t>
        </is>
      </c>
      <c r="X1688" t="inlineStr">
        <is>
          <t>1992-12-16</t>
        </is>
      </c>
      <c r="Y1688" t="n">
        <v>314</v>
      </c>
      <c r="Z1688" t="n">
        <v>259</v>
      </c>
      <c r="AA1688" t="n">
        <v>266</v>
      </c>
      <c r="AB1688" t="n">
        <v>3</v>
      </c>
      <c r="AC1688" t="n">
        <v>3</v>
      </c>
      <c r="AD1688" t="n">
        <v>10</v>
      </c>
      <c r="AE1688" t="n">
        <v>10</v>
      </c>
      <c r="AF1688" t="n">
        <v>2</v>
      </c>
      <c r="AG1688" t="n">
        <v>2</v>
      </c>
      <c r="AH1688" t="n">
        <v>2</v>
      </c>
      <c r="AI1688" t="n">
        <v>2</v>
      </c>
      <c r="AJ1688" t="n">
        <v>5</v>
      </c>
      <c r="AK1688" t="n">
        <v>5</v>
      </c>
      <c r="AL1688" t="n">
        <v>2</v>
      </c>
      <c r="AM1688" t="n">
        <v>2</v>
      </c>
      <c r="AN1688" t="n">
        <v>0</v>
      </c>
      <c r="AO1688" t="n">
        <v>0</v>
      </c>
      <c r="AP1688" t="inlineStr">
        <is>
          <t>No</t>
        </is>
      </c>
      <c r="AQ1688" t="inlineStr">
        <is>
          <t>Yes</t>
        </is>
      </c>
      <c r="AR1688">
        <f>HYPERLINK("http://catalog.hathitrust.org/Record/000171268","HathiTrust Record")</f>
        <v/>
      </c>
      <c r="AS1688">
        <f>HYPERLINK("https://creighton-primo.hosted.exlibrisgroup.com/primo-explore/search?tab=default_tab&amp;search_scope=EVERYTHING&amp;vid=01CRU&amp;lang=en_US&amp;offset=0&amp;query=any,contains,991004220599702656","Catalog Record")</f>
        <v/>
      </c>
      <c r="AT1688">
        <f>HYPERLINK("http://www.worldcat.org/oclc/2711298","WorldCat Record")</f>
        <v/>
      </c>
      <c r="AU1688" t="inlineStr">
        <is>
          <t>309221117:eng</t>
        </is>
      </c>
      <c r="AV1688" t="inlineStr">
        <is>
          <t>2711298</t>
        </is>
      </c>
      <c r="AW1688" t="inlineStr">
        <is>
          <t>991004220599702656</t>
        </is>
      </c>
      <c r="AX1688" t="inlineStr">
        <is>
          <t>991004220599702656</t>
        </is>
      </c>
      <c r="AY1688" t="inlineStr">
        <is>
          <t>2270387420002656</t>
        </is>
      </c>
      <c r="AZ1688" t="inlineStr">
        <is>
          <t>BOOK</t>
        </is>
      </c>
      <c r="BB1688" t="inlineStr">
        <is>
          <t>9780873041454</t>
        </is>
      </c>
      <c r="BC1688" t="inlineStr">
        <is>
          <t>32285001442994</t>
        </is>
      </c>
      <c r="BD1688" t="inlineStr">
        <is>
          <t>893506572</t>
        </is>
      </c>
    </row>
    <row r="1689">
      <c r="A1689" t="inlineStr">
        <is>
          <t>No</t>
        </is>
      </c>
      <c r="B1689" t="inlineStr">
        <is>
          <t>HQ728 .B738</t>
        </is>
      </c>
      <c r="C1689" t="inlineStr">
        <is>
          <t>0                      HQ 0728000B  738</t>
        </is>
      </c>
      <c r="D1689" t="inlineStr">
        <is>
          <t>Marriage, past and present : a debate between Robert Briffault and Bronislaw Malinowski / edited with an introduction by M.F. Ashley Montagu.</t>
        </is>
      </c>
      <c r="F1689" t="inlineStr">
        <is>
          <t>No</t>
        </is>
      </c>
      <c r="G1689" t="inlineStr">
        <is>
          <t>1</t>
        </is>
      </c>
      <c r="H1689" t="inlineStr">
        <is>
          <t>No</t>
        </is>
      </c>
      <c r="I1689" t="inlineStr">
        <is>
          <t>No</t>
        </is>
      </c>
      <c r="J1689" t="inlineStr">
        <is>
          <t>0</t>
        </is>
      </c>
      <c r="K1689" t="inlineStr">
        <is>
          <t>Briffault, Robert, 1876-1948.</t>
        </is>
      </c>
      <c r="L1689" t="inlineStr">
        <is>
          <t>Boston : P. Sargent, c1956.</t>
        </is>
      </c>
      <c r="M1689" t="inlineStr">
        <is>
          <t>1956</t>
        </is>
      </c>
      <c r="O1689" t="inlineStr">
        <is>
          <t>eng</t>
        </is>
      </c>
      <c r="P1689" t="inlineStr">
        <is>
          <t>mau</t>
        </is>
      </c>
      <c r="Q1689" t="inlineStr">
        <is>
          <t>Extending horizons books</t>
        </is>
      </c>
      <c r="R1689" t="inlineStr">
        <is>
          <t xml:space="preserve">HQ </t>
        </is>
      </c>
      <c r="S1689" t="n">
        <v>6</v>
      </c>
      <c r="T1689" t="n">
        <v>6</v>
      </c>
      <c r="U1689" t="inlineStr">
        <is>
          <t>2009-04-15</t>
        </is>
      </c>
      <c r="V1689" t="inlineStr">
        <is>
          <t>2009-04-15</t>
        </is>
      </c>
      <c r="W1689" t="inlineStr">
        <is>
          <t>1997-08-11</t>
        </is>
      </c>
      <c r="X1689" t="inlineStr">
        <is>
          <t>1997-08-11</t>
        </is>
      </c>
      <c r="Y1689" t="n">
        <v>651</v>
      </c>
      <c r="Z1689" t="n">
        <v>604</v>
      </c>
      <c r="AA1689" t="n">
        <v>611</v>
      </c>
      <c r="AB1689" t="n">
        <v>4</v>
      </c>
      <c r="AC1689" t="n">
        <v>4</v>
      </c>
      <c r="AD1689" t="n">
        <v>33</v>
      </c>
      <c r="AE1689" t="n">
        <v>33</v>
      </c>
      <c r="AF1689" t="n">
        <v>15</v>
      </c>
      <c r="AG1689" t="n">
        <v>15</v>
      </c>
      <c r="AH1689" t="n">
        <v>6</v>
      </c>
      <c r="AI1689" t="n">
        <v>6</v>
      </c>
      <c r="AJ1689" t="n">
        <v>18</v>
      </c>
      <c r="AK1689" t="n">
        <v>18</v>
      </c>
      <c r="AL1689" t="n">
        <v>3</v>
      </c>
      <c r="AM1689" t="n">
        <v>3</v>
      </c>
      <c r="AN1689" t="n">
        <v>0</v>
      </c>
      <c r="AO1689" t="n">
        <v>0</v>
      </c>
      <c r="AP1689" t="inlineStr">
        <is>
          <t>No</t>
        </is>
      </c>
      <c r="AQ1689" t="inlineStr">
        <is>
          <t>No</t>
        </is>
      </c>
      <c r="AR1689">
        <f>HYPERLINK("http://catalog.hathitrust.org/Record/001108293","HathiTrust Record")</f>
        <v/>
      </c>
      <c r="AS1689">
        <f>HYPERLINK("https://creighton-primo.hosted.exlibrisgroup.com/primo-explore/search?tab=default_tab&amp;search_scope=EVERYTHING&amp;vid=01CRU&amp;lang=en_US&amp;offset=0&amp;query=any,contains,991002036939702656","Catalog Record")</f>
        <v/>
      </c>
      <c r="AT1689">
        <f>HYPERLINK("http://www.worldcat.org/oclc/260661","WorldCat Record")</f>
        <v/>
      </c>
      <c r="AU1689" t="inlineStr">
        <is>
          <t>1368468:eng</t>
        </is>
      </c>
      <c r="AV1689" t="inlineStr">
        <is>
          <t>260661</t>
        </is>
      </c>
      <c r="AW1689" t="inlineStr">
        <is>
          <t>991002036939702656</t>
        </is>
      </c>
      <c r="AX1689" t="inlineStr">
        <is>
          <t>991002036939702656</t>
        </is>
      </c>
      <c r="AY1689" t="inlineStr">
        <is>
          <t>2262520440002656</t>
        </is>
      </c>
      <c r="AZ1689" t="inlineStr">
        <is>
          <t>BOOK</t>
        </is>
      </c>
      <c r="BC1689" t="inlineStr">
        <is>
          <t>32285003089231</t>
        </is>
      </c>
      <c r="BD1689" t="inlineStr">
        <is>
          <t>893603131</t>
        </is>
      </c>
    </row>
    <row r="1690">
      <c r="A1690" t="inlineStr">
        <is>
          <t>No</t>
        </is>
      </c>
      <c r="B1690" t="inlineStr">
        <is>
          <t>HQ728 .C29</t>
        </is>
      </c>
      <c r="C1690" t="inlineStr">
        <is>
          <t>0                      HQ 0728000C  29</t>
        </is>
      </c>
      <c r="D1690" t="inlineStr">
        <is>
          <t>Marriage and family in a decade of change / edited by Gwen B. Carr.</t>
        </is>
      </c>
      <c r="F1690" t="inlineStr">
        <is>
          <t>No</t>
        </is>
      </c>
      <c r="G1690" t="inlineStr">
        <is>
          <t>1</t>
        </is>
      </c>
      <c r="H1690" t="inlineStr">
        <is>
          <t>No</t>
        </is>
      </c>
      <c r="I1690" t="inlineStr">
        <is>
          <t>No</t>
        </is>
      </c>
      <c r="J1690" t="inlineStr">
        <is>
          <t>0</t>
        </is>
      </c>
      <c r="K1690" t="inlineStr">
        <is>
          <t>Carr, Gwen B., 1924-, compiler.</t>
        </is>
      </c>
      <c r="L1690" t="inlineStr">
        <is>
          <t>Reading, Mass. : Addison-Wesley Pub. Co., [1972]</t>
        </is>
      </c>
      <c r="M1690" t="inlineStr">
        <is>
          <t>1972</t>
        </is>
      </c>
      <c r="O1690" t="inlineStr">
        <is>
          <t>eng</t>
        </is>
      </c>
      <c r="P1690" t="inlineStr">
        <is>
          <t>mau</t>
        </is>
      </c>
      <c r="R1690" t="inlineStr">
        <is>
          <t xml:space="preserve">HQ </t>
        </is>
      </c>
      <c r="S1690" t="n">
        <v>2</v>
      </c>
      <c r="T1690" t="n">
        <v>2</v>
      </c>
      <c r="U1690" t="inlineStr">
        <is>
          <t>1994-02-24</t>
        </is>
      </c>
      <c r="V1690" t="inlineStr">
        <is>
          <t>1994-02-24</t>
        </is>
      </c>
      <c r="W1690" t="inlineStr">
        <is>
          <t>1992-02-26</t>
        </is>
      </c>
      <c r="X1690" t="inlineStr">
        <is>
          <t>1992-02-26</t>
        </is>
      </c>
      <c r="Y1690" t="n">
        <v>356</v>
      </c>
      <c r="Z1690" t="n">
        <v>257</v>
      </c>
      <c r="AA1690" t="n">
        <v>260</v>
      </c>
      <c r="AB1690" t="n">
        <v>1</v>
      </c>
      <c r="AC1690" t="n">
        <v>1</v>
      </c>
      <c r="AD1690" t="n">
        <v>10</v>
      </c>
      <c r="AE1690" t="n">
        <v>10</v>
      </c>
      <c r="AF1690" t="n">
        <v>7</v>
      </c>
      <c r="AG1690" t="n">
        <v>7</v>
      </c>
      <c r="AH1690" t="n">
        <v>1</v>
      </c>
      <c r="AI1690" t="n">
        <v>1</v>
      </c>
      <c r="AJ1690" t="n">
        <v>6</v>
      </c>
      <c r="AK1690" t="n">
        <v>6</v>
      </c>
      <c r="AL1690" t="n">
        <v>0</v>
      </c>
      <c r="AM1690" t="n">
        <v>0</v>
      </c>
      <c r="AN1690" t="n">
        <v>0</v>
      </c>
      <c r="AO1690" t="n">
        <v>0</v>
      </c>
      <c r="AP1690" t="inlineStr">
        <is>
          <t>No</t>
        </is>
      </c>
      <c r="AQ1690" t="inlineStr">
        <is>
          <t>Yes</t>
        </is>
      </c>
      <c r="AR1690">
        <f>HYPERLINK("http://catalog.hathitrust.org/Record/001109957","HathiTrust Record")</f>
        <v/>
      </c>
      <c r="AS1690">
        <f>HYPERLINK("https://creighton-primo.hosted.exlibrisgroup.com/primo-explore/search?tab=default_tab&amp;search_scope=EVERYTHING&amp;vid=01CRU&amp;lang=en_US&amp;offset=0&amp;query=any,contains,991001905309702656","Catalog Record")</f>
        <v/>
      </c>
      <c r="AT1690">
        <f>HYPERLINK("http://www.worldcat.org/oclc/240237","WorldCat Record")</f>
        <v/>
      </c>
      <c r="AU1690" t="inlineStr">
        <is>
          <t>1382224:eng</t>
        </is>
      </c>
      <c r="AV1690" t="inlineStr">
        <is>
          <t>240237</t>
        </is>
      </c>
      <c r="AW1690" t="inlineStr">
        <is>
          <t>991001905309702656</t>
        </is>
      </c>
      <c r="AX1690" t="inlineStr">
        <is>
          <t>991001905309702656</t>
        </is>
      </c>
      <c r="AY1690" t="inlineStr">
        <is>
          <t>2272275310002656</t>
        </is>
      </c>
      <c r="AZ1690" t="inlineStr">
        <is>
          <t>BOOK</t>
        </is>
      </c>
      <c r="BC1690" t="inlineStr">
        <is>
          <t>32285000976513</t>
        </is>
      </c>
      <c r="BD1690" t="inlineStr">
        <is>
          <t>893697127</t>
        </is>
      </c>
    </row>
    <row r="1691">
      <c r="A1691" t="inlineStr">
        <is>
          <t>No</t>
        </is>
      </c>
      <c r="B1691" t="inlineStr">
        <is>
          <t>HQ728 .C315</t>
        </is>
      </c>
      <c r="C1691" t="inlineStr">
        <is>
          <t>0                      HQ 0728000C  315</t>
        </is>
      </c>
      <c r="D1691" t="inlineStr">
        <is>
          <t>Is marriage necessary?</t>
        </is>
      </c>
      <c r="F1691" t="inlineStr">
        <is>
          <t>No</t>
        </is>
      </c>
      <c r="G1691" t="inlineStr">
        <is>
          <t>1</t>
        </is>
      </c>
      <c r="H1691" t="inlineStr">
        <is>
          <t>No</t>
        </is>
      </c>
      <c r="I1691" t="inlineStr">
        <is>
          <t>No</t>
        </is>
      </c>
      <c r="J1691" t="inlineStr">
        <is>
          <t>0</t>
        </is>
      </c>
      <c r="K1691" t="inlineStr">
        <is>
          <t>Casler, Lawrence.</t>
        </is>
      </c>
      <c r="L1691" t="inlineStr">
        <is>
          <t>New York : Human Sciences Press, [1974]</t>
        </is>
      </c>
      <c r="M1691" t="inlineStr">
        <is>
          <t>1974</t>
        </is>
      </c>
      <c r="O1691" t="inlineStr">
        <is>
          <t>eng</t>
        </is>
      </c>
      <c r="P1691" t="inlineStr">
        <is>
          <t>nyu</t>
        </is>
      </c>
      <c r="R1691" t="inlineStr">
        <is>
          <t xml:space="preserve">HQ </t>
        </is>
      </c>
      <c r="S1691" t="n">
        <v>5</v>
      </c>
      <c r="T1691" t="n">
        <v>5</v>
      </c>
      <c r="U1691" t="inlineStr">
        <is>
          <t>2005-03-29</t>
        </is>
      </c>
      <c r="V1691" t="inlineStr">
        <is>
          <t>2005-03-29</t>
        </is>
      </c>
      <c r="W1691" t="inlineStr">
        <is>
          <t>1990-04-25</t>
        </is>
      </c>
      <c r="X1691" t="inlineStr">
        <is>
          <t>1990-04-25</t>
        </is>
      </c>
      <c r="Y1691" t="n">
        <v>606</v>
      </c>
      <c r="Z1691" t="n">
        <v>546</v>
      </c>
      <c r="AA1691" t="n">
        <v>561</v>
      </c>
      <c r="AB1691" t="n">
        <v>7</v>
      </c>
      <c r="AC1691" t="n">
        <v>7</v>
      </c>
      <c r="AD1691" t="n">
        <v>22</v>
      </c>
      <c r="AE1691" t="n">
        <v>23</v>
      </c>
      <c r="AF1691" t="n">
        <v>8</v>
      </c>
      <c r="AG1691" t="n">
        <v>8</v>
      </c>
      <c r="AH1691" t="n">
        <v>3</v>
      </c>
      <c r="AI1691" t="n">
        <v>4</v>
      </c>
      <c r="AJ1691" t="n">
        <v>7</v>
      </c>
      <c r="AK1691" t="n">
        <v>8</v>
      </c>
      <c r="AL1691" t="n">
        <v>6</v>
      </c>
      <c r="AM1691" t="n">
        <v>6</v>
      </c>
      <c r="AN1691" t="n">
        <v>0</v>
      </c>
      <c r="AO1691" t="n">
        <v>0</v>
      </c>
      <c r="AP1691" t="inlineStr">
        <is>
          <t>No</t>
        </is>
      </c>
      <c r="AQ1691" t="inlineStr">
        <is>
          <t>Yes</t>
        </is>
      </c>
      <c r="AR1691">
        <f>HYPERLINK("http://catalog.hathitrust.org/Record/001108294","HathiTrust Record")</f>
        <v/>
      </c>
      <c r="AS1691">
        <f>HYPERLINK("https://creighton-primo.hosted.exlibrisgroup.com/primo-explore/search?tab=default_tab&amp;search_scope=EVERYTHING&amp;vid=01CRU&amp;lang=en_US&amp;offset=0&amp;query=any,contains,991003214699702656","Catalog Record")</f>
        <v/>
      </c>
      <c r="AT1691">
        <f>HYPERLINK("http://www.worldcat.org/oclc/740949","WorldCat Record")</f>
        <v/>
      </c>
      <c r="AU1691" t="inlineStr">
        <is>
          <t>535204:eng</t>
        </is>
      </c>
      <c r="AV1691" t="inlineStr">
        <is>
          <t>740949</t>
        </is>
      </c>
      <c r="AW1691" t="inlineStr">
        <is>
          <t>991003214699702656</t>
        </is>
      </c>
      <c r="AX1691" t="inlineStr">
        <is>
          <t>991003214699702656</t>
        </is>
      </c>
      <c r="AY1691" t="inlineStr">
        <is>
          <t>2272581200002656</t>
        </is>
      </c>
      <c r="AZ1691" t="inlineStr">
        <is>
          <t>BOOK</t>
        </is>
      </c>
      <c r="BB1691" t="inlineStr">
        <is>
          <t>9780877051329</t>
        </is>
      </c>
      <c r="BC1691" t="inlineStr">
        <is>
          <t>32285000119023</t>
        </is>
      </c>
      <c r="BD1691" t="inlineStr">
        <is>
          <t>893780726</t>
        </is>
      </c>
    </row>
    <row r="1692">
      <c r="A1692" t="inlineStr">
        <is>
          <t>No</t>
        </is>
      </c>
      <c r="B1692" t="inlineStr">
        <is>
          <t>HQ728 .C42</t>
        </is>
      </c>
      <c r="C1692" t="inlineStr">
        <is>
          <t>0                      HQ 0728000C  42</t>
        </is>
      </c>
      <c r="D1692" t="inlineStr">
        <is>
          <t>Changing images of the family / edited by Virginia Tufte and Barbara Myerhoff.</t>
        </is>
      </c>
      <c r="F1692" t="inlineStr">
        <is>
          <t>No</t>
        </is>
      </c>
      <c r="G1692" t="inlineStr">
        <is>
          <t>1</t>
        </is>
      </c>
      <c r="H1692" t="inlineStr">
        <is>
          <t>No</t>
        </is>
      </c>
      <c r="I1692" t="inlineStr">
        <is>
          <t>No</t>
        </is>
      </c>
      <c r="J1692" t="inlineStr">
        <is>
          <t>0</t>
        </is>
      </c>
      <c r="L1692" t="inlineStr">
        <is>
          <t>New Haven : Yale University Press, 1979.</t>
        </is>
      </c>
      <c r="M1692" t="inlineStr">
        <is>
          <t>1979</t>
        </is>
      </c>
      <c r="O1692" t="inlineStr">
        <is>
          <t>eng</t>
        </is>
      </c>
      <c r="P1692" t="inlineStr">
        <is>
          <t>ctu</t>
        </is>
      </c>
      <c r="R1692" t="inlineStr">
        <is>
          <t xml:space="preserve">HQ </t>
        </is>
      </c>
      <c r="S1692" t="n">
        <v>6</v>
      </c>
      <c r="T1692" t="n">
        <v>6</v>
      </c>
      <c r="U1692" t="inlineStr">
        <is>
          <t>2002-04-30</t>
        </is>
      </c>
      <c r="V1692" t="inlineStr">
        <is>
          <t>2002-04-30</t>
        </is>
      </c>
      <c r="W1692" t="inlineStr">
        <is>
          <t>1992-11-03</t>
        </is>
      </c>
      <c r="X1692" t="inlineStr">
        <is>
          <t>1992-11-03</t>
        </is>
      </c>
      <c r="Y1692" t="n">
        <v>1104</v>
      </c>
      <c r="Z1692" t="n">
        <v>938</v>
      </c>
      <c r="AA1692" t="n">
        <v>941</v>
      </c>
      <c r="AB1692" t="n">
        <v>10</v>
      </c>
      <c r="AC1692" t="n">
        <v>10</v>
      </c>
      <c r="AD1692" t="n">
        <v>37</v>
      </c>
      <c r="AE1692" t="n">
        <v>37</v>
      </c>
      <c r="AF1692" t="n">
        <v>12</v>
      </c>
      <c r="AG1692" t="n">
        <v>12</v>
      </c>
      <c r="AH1692" t="n">
        <v>8</v>
      </c>
      <c r="AI1692" t="n">
        <v>8</v>
      </c>
      <c r="AJ1692" t="n">
        <v>17</v>
      </c>
      <c r="AK1692" t="n">
        <v>17</v>
      </c>
      <c r="AL1692" t="n">
        <v>8</v>
      </c>
      <c r="AM1692" t="n">
        <v>8</v>
      </c>
      <c r="AN1692" t="n">
        <v>1</v>
      </c>
      <c r="AO1692" t="n">
        <v>1</v>
      </c>
      <c r="AP1692" t="inlineStr">
        <is>
          <t>No</t>
        </is>
      </c>
      <c r="AQ1692" t="inlineStr">
        <is>
          <t>No</t>
        </is>
      </c>
      <c r="AS1692">
        <f>HYPERLINK("https://creighton-primo.hosted.exlibrisgroup.com/primo-explore/search?tab=default_tab&amp;search_scope=EVERYTHING&amp;vid=01CRU&amp;lang=en_US&amp;offset=0&amp;query=any,contains,991004695299702656","Catalog Record")</f>
        <v/>
      </c>
      <c r="AT1692">
        <f>HYPERLINK("http://www.worldcat.org/oclc/4638889","WorldCat Record")</f>
        <v/>
      </c>
      <c r="AU1692" t="inlineStr">
        <is>
          <t>350160610:eng</t>
        </is>
      </c>
      <c r="AV1692" t="inlineStr">
        <is>
          <t>4638889</t>
        </is>
      </c>
      <c r="AW1692" t="inlineStr">
        <is>
          <t>991004695299702656</t>
        </is>
      </c>
      <c r="AX1692" t="inlineStr">
        <is>
          <t>991004695299702656</t>
        </is>
      </c>
      <c r="AY1692" t="inlineStr">
        <is>
          <t>2255901760002656</t>
        </is>
      </c>
      <c r="AZ1692" t="inlineStr">
        <is>
          <t>BOOK</t>
        </is>
      </c>
      <c r="BB1692" t="inlineStr">
        <is>
          <t>9780300023619</t>
        </is>
      </c>
      <c r="BC1692" t="inlineStr">
        <is>
          <t>32285001380608</t>
        </is>
      </c>
      <c r="BD1692" t="inlineStr">
        <is>
          <t>893344141</t>
        </is>
      </c>
    </row>
    <row r="1693">
      <c r="A1693" t="inlineStr">
        <is>
          <t>No</t>
        </is>
      </c>
      <c r="B1693" t="inlineStr">
        <is>
          <t>HQ728 .C44</t>
        </is>
      </c>
      <c r="C1693" t="inlineStr">
        <is>
          <t>0                      HQ 0728000C  44</t>
        </is>
      </c>
      <c r="D1693" t="inlineStr">
        <is>
          <t>Marital love and hate : the need for a revised marriage contract and a more honest offer by the marriage counselor to teach couples to love and hate, honor and dishonor, obey and disobey / [by] Israel W. Charny.</t>
        </is>
      </c>
      <c r="F1693" t="inlineStr">
        <is>
          <t>No</t>
        </is>
      </c>
      <c r="G1693" t="inlineStr">
        <is>
          <t>1</t>
        </is>
      </c>
      <c r="H1693" t="inlineStr">
        <is>
          <t>No</t>
        </is>
      </c>
      <c r="I1693" t="inlineStr">
        <is>
          <t>No</t>
        </is>
      </c>
      <c r="J1693" t="inlineStr">
        <is>
          <t>0</t>
        </is>
      </c>
      <c r="K1693" t="inlineStr">
        <is>
          <t>Charny, Israel W.</t>
        </is>
      </c>
      <c r="L1693" t="inlineStr">
        <is>
          <t>New York : Macmillan, [1972]</t>
        </is>
      </c>
      <c r="M1693" t="inlineStr">
        <is>
          <t>1972</t>
        </is>
      </c>
      <c r="O1693" t="inlineStr">
        <is>
          <t>eng</t>
        </is>
      </c>
      <c r="P1693" t="inlineStr">
        <is>
          <t>nyu</t>
        </is>
      </c>
      <c r="R1693" t="inlineStr">
        <is>
          <t xml:space="preserve">HQ </t>
        </is>
      </c>
      <c r="S1693" t="n">
        <v>5</v>
      </c>
      <c r="T1693" t="n">
        <v>5</v>
      </c>
      <c r="U1693" t="inlineStr">
        <is>
          <t>1999-02-07</t>
        </is>
      </c>
      <c r="V1693" t="inlineStr">
        <is>
          <t>1999-02-07</t>
        </is>
      </c>
      <c r="W1693" t="inlineStr">
        <is>
          <t>1990-02-16</t>
        </is>
      </c>
      <c r="X1693" t="inlineStr">
        <is>
          <t>1990-02-16</t>
        </is>
      </c>
      <c r="Y1693" t="n">
        <v>376</v>
      </c>
      <c r="Z1693" t="n">
        <v>330</v>
      </c>
      <c r="AA1693" t="n">
        <v>335</v>
      </c>
      <c r="AB1693" t="n">
        <v>5</v>
      </c>
      <c r="AC1693" t="n">
        <v>5</v>
      </c>
      <c r="AD1693" t="n">
        <v>10</v>
      </c>
      <c r="AE1693" t="n">
        <v>10</v>
      </c>
      <c r="AF1693" t="n">
        <v>2</v>
      </c>
      <c r="AG1693" t="n">
        <v>2</v>
      </c>
      <c r="AH1693" t="n">
        <v>2</v>
      </c>
      <c r="AI1693" t="n">
        <v>2</v>
      </c>
      <c r="AJ1693" t="n">
        <v>4</v>
      </c>
      <c r="AK1693" t="n">
        <v>4</v>
      </c>
      <c r="AL1693" t="n">
        <v>4</v>
      </c>
      <c r="AM1693" t="n">
        <v>4</v>
      </c>
      <c r="AN1693" t="n">
        <v>0</v>
      </c>
      <c r="AO1693" t="n">
        <v>0</v>
      </c>
      <c r="AP1693" t="inlineStr">
        <is>
          <t>No</t>
        </is>
      </c>
      <c r="AQ1693" t="inlineStr">
        <is>
          <t>No</t>
        </is>
      </c>
      <c r="AS1693">
        <f>HYPERLINK("https://creighton-primo.hosted.exlibrisgroup.com/primo-explore/search?tab=default_tab&amp;search_scope=EVERYTHING&amp;vid=01CRU&amp;lang=en_US&amp;offset=0&amp;query=any,contains,991002273299702656","Catalog Record")</f>
        <v/>
      </c>
      <c r="AT1693">
        <f>HYPERLINK("http://www.worldcat.org/oclc/309259","WorldCat Record")</f>
        <v/>
      </c>
      <c r="AU1693" t="inlineStr">
        <is>
          <t>375562488:eng</t>
        </is>
      </c>
      <c r="AV1693" t="inlineStr">
        <is>
          <t>309259</t>
        </is>
      </c>
      <c r="AW1693" t="inlineStr">
        <is>
          <t>991002273299702656</t>
        </is>
      </c>
      <c r="AX1693" t="inlineStr">
        <is>
          <t>991002273299702656</t>
        </is>
      </c>
      <c r="AY1693" t="inlineStr">
        <is>
          <t>2264740930002656</t>
        </is>
      </c>
      <c r="AZ1693" t="inlineStr">
        <is>
          <t>BOOK</t>
        </is>
      </c>
      <c r="BC1693" t="inlineStr">
        <is>
          <t>32285000042332</t>
        </is>
      </c>
      <c r="BD1693" t="inlineStr">
        <is>
          <t>893879706</t>
        </is>
      </c>
    </row>
    <row r="1694">
      <c r="A1694" t="inlineStr">
        <is>
          <t>No</t>
        </is>
      </c>
      <c r="B1694" t="inlineStr">
        <is>
          <t>HQ728 .C473</t>
        </is>
      </c>
      <c r="C1694" t="inlineStr">
        <is>
          <t>0                      HQ 0728000C  473</t>
        </is>
      </c>
      <c r="D1694" t="inlineStr">
        <is>
          <t>Child influences on marital and family interaction : a life-span perspective / edited by Richard M. Lerner, Graham B. Spanier ; contributors, William Aquilino ... [et al.].</t>
        </is>
      </c>
      <c r="F1694" t="inlineStr">
        <is>
          <t>No</t>
        </is>
      </c>
      <c r="G1694" t="inlineStr">
        <is>
          <t>1</t>
        </is>
      </c>
      <c r="H1694" t="inlineStr">
        <is>
          <t>No</t>
        </is>
      </c>
      <c r="I1694" t="inlineStr">
        <is>
          <t>No</t>
        </is>
      </c>
      <c r="J1694" t="inlineStr">
        <is>
          <t>0</t>
        </is>
      </c>
      <c r="L1694" t="inlineStr">
        <is>
          <t>New York : Academic Press, 1978.</t>
        </is>
      </c>
      <c r="M1694" t="inlineStr">
        <is>
          <t>1978</t>
        </is>
      </c>
      <c r="O1694" t="inlineStr">
        <is>
          <t>eng</t>
        </is>
      </c>
      <c r="P1694" t="inlineStr">
        <is>
          <t>nyu</t>
        </is>
      </c>
      <c r="R1694" t="inlineStr">
        <is>
          <t xml:space="preserve">HQ </t>
        </is>
      </c>
      <c r="S1694" t="n">
        <v>3</v>
      </c>
      <c r="T1694" t="n">
        <v>3</v>
      </c>
      <c r="U1694" t="inlineStr">
        <is>
          <t>1993-04-26</t>
        </is>
      </c>
      <c r="V1694" t="inlineStr">
        <is>
          <t>1993-04-26</t>
        </is>
      </c>
      <c r="W1694" t="inlineStr">
        <is>
          <t>1991-11-19</t>
        </is>
      </c>
      <c r="X1694" t="inlineStr">
        <is>
          <t>1991-11-19</t>
        </is>
      </c>
      <c r="Y1694" t="n">
        <v>554</v>
      </c>
      <c r="Z1694" t="n">
        <v>408</v>
      </c>
      <c r="AA1694" t="n">
        <v>451</v>
      </c>
      <c r="AB1694" t="n">
        <v>4</v>
      </c>
      <c r="AC1694" t="n">
        <v>4</v>
      </c>
      <c r="AD1694" t="n">
        <v>18</v>
      </c>
      <c r="AE1694" t="n">
        <v>21</v>
      </c>
      <c r="AF1694" t="n">
        <v>3</v>
      </c>
      <c r="AG1694" t="n">
        <v>5</v>
      </c>
      <c r="AH1694" t="n">
        <v>6</v>
      </c>
      <c r="AI1694" t="n">
        <v>8</v>
      </c>
      <c r="AJ1694" t="n">
        <v>11</v>
      </c>
      <c r="AK1694" t="n">
        <v>11</v>
      </c>
      <c r="AL1694" t="n">
        <v>2</v>
      </c>
      <c r="AM1694" t="n">
        <v>2</v>
      </c>
      <c r="AN1694" t="n">
        <v>0</v>
      </c>
      <c r="AO1694" t="n">
        <v>0</v>
      </c>
      <c r="AP1694" t="inlineStr">
        <is>
          <t>No</t>
        </is>
      </c>
      <c r="AQ1694" t="inlineStr">
        <is>
          <t>Yes</t>
        </is>
      </c>
      <c r="AR1694">
        <f>HYPERLINK("http://catalog.hathitrust.org/Record/000694326","HathiTrust Record")</f>
        <v/>
      </c>
      <c r="AS1694">
        <f>HYPERLINK("https://creighton-primo.hosted.exlibrisgroup.com/primo-explore/search?tab=default_tab&amp;search_scope=EVERYTHING&amp;vid=01CRU&amp;lang=en_US&amp;offset=0&amp;query=any,contains,991004605809702656","Catalog Record")</f>
        <v/>
      </c>
      <c r="AT1694">
        <f>HYPERLINK("http://www.worldcat.org/oclc/4194448","WorldCat Record")</f>
        <v/>
      </c>
      <c r="AU1694" t="inlineStr">
        <is>
          <t>889612416:eng</t>
        </is>
      </c>
      <c r="AV1694" t="inlineStr">
        <is>
          <t>4194448</t>
        </is>
      </c>
      <c r="AW1694" t="inlineStr">
        <is>
          <t>991004605809702656</t>
        </is>
      </c>
      <c r="AX1694" t="inlineStr">
        <is>
          <t>991004605809702656</t>
        </is>
      </c>
      <c r="AY1694" t="inlineStr">
        <is>
          <t>2262480900002656</t>
        </is>
      </c>
      <c r="AZ1694" t="inlineStr">
        <is>
          <t>BOOK</t>
        </is>
      </c>
      <c r="BB1694" t="inlineStr">
        <is>
          <t>9780124444508</t>
        </is>
      </c>
      <c r="BC1694" t="inlineStr">
        <is>
          <t>32285000841097</t>
        </is>
      </c>
      <c r="BD1694" t="inlineStr">
        <is>
          <t>893895201</t>
        </is>
      </c>
    </row>
    <row r="1695">
      <c r="A1695" t="inlineStr">
        <is>
          <t>No</t>
        </is>
      </c>
      <c r="B1695" t="inlineStr">
        <is>
          <t>HQ728 .C49</t>
        </is>
      </c>
      <c r="C1695" t="inlineStr">
        <is>
          <t>0                      HQ 0728000C  49</t>
        </is>
      </c>
      <c r="D1695" t="inlineStr">
        <is>
          <t>The intimate marriage / [by] Howard J. Clinebell, Jr. and Charlotte H. Clinebell.</t>
        </is>
      </c>
      <c r="F1695" t="inlineStr">
        <is>
          <t>No</t>
        </is>
      </c>
      <c r="G1695" t="inlineStr">
        <is>
          <t>1</t>
        </is>
      </c>
      <c r="H1695" t="inlineStr">
        <is>
          <t>No</t>
        </is>
      </c>
      <c r="I1695" t="inlineStr">
        <is>
          <t>No</t>
        </is>
      </c>
      <c r="J1695" t="inlineStr">
        <is>
          <t>0</t>
        </is>
      </c>
      <c r="K1695" t="inlineStr">
        <is>
          <t>Clinebell, Howard, 1922-2005.</t>
        </is>
      </c>
      <c r="L1695" t="inlineStr">
        <is>
          <t>New York : Harper &amp; Row, [1970]</t>
        </is>
      </c>
      <c r="M1695" t="inlineStr">
        <is>
          <t>1970</t>
        </is>
      </c>
      <c r="N1695" t="inlineStr">
        <is>
          <t>[1st ed.]</t>
        </is>
      </c>
      <c r="O1695" t="inlineStr">
        <is>
          <t>eng</t>
        </is>
      </c>
      <c r="P1695" t="inlineStr">
        <is>
          <t>nyu</t>
        </is>
      </c>
      <c r="R1695" t="inlineStr">
        <is>
          <t xml:space="preserve">HQ </t>
        </is>
      </c>
      <c r="S1695" t="n">
        <v>2</v>
      </c>
      <c r="T1695" t="n">
        <v>2</v>
      </c>
      <c r="U1695" t="inlineStr">
        <is>
          <t>1994-02-17</t>
        </is>
      </c>
      <c r="V1695" t="inlineStr">
        <is>
          <t>1994-02-17</t>
        </is>
      </c>
      <c r="W1695" t="inlineStr">
        <is>
          <t>1993-04-22</t>
        </is>
      </c>
      <c r="X1695" t="inlineStr">
        <is>
          <t>1993-04-22</t>
        </is>
      </c>
      <c r="Y1695" t="n">
        <v>795</v>
      </c>
      <c r="Z1695" t="n">
        <v>701</v>
      </c>
      <c r="AA1695" t="n">
        <v>715</v>
      </c>
      <c r="AB1695" t="n">
        <v>9</v>
      </c>
      <c r="AC1695" t="n">
        <v>9</v>
      </c>
      <c r="AD1695" t="n">
        <v>24</v>
      </c>
      <c r="AE1695" t="n">
        <v>24</v>
      </c>
      <c r="AF1695" t="n">
        <v>8</v>
      </c>
      <c r="AG1695" t="n">
        <v>8</v>
      </c>
      <c r="AH1695" t="n">
        <v>4</v>
      </c>
      <c r="AI1695" t="n">
        <v>4</v>
      </c>
      <c r="AJ1695" t="n">
        <v>12</v>
      </c>
      <c r="AK1695" t="n">
        <v>12</v>
      </c>
      <c r="AL1695" t="n">
        <v>6</v>
      </c>
      <c r="AM1695" t="n">
        <v>6</v>
      </c>
      <c r="AN1695" t="n">
        <v>0</v>
      </c>
      <c r="AO1695" t="n">
        <v>0</v>
      </c>
      <c r="AP1695" t="inlineStr">
        <is>
          <t>No</t>
        </is>
      </c>
      <c r="AQ1695" t="inlineStr">
        <is>
          <t>Yes</t>
        </is>
      </c>
      <c r="AR1695">
        <f>HYPERLINK("http://catalog.hathitrust.org/Record/001354756","HathiTrust Record")</f>
        <v/>
      </c>
      <c r="AS1695">
        <f>HYPERLINK("https://creighton-primo.hosted.exlibrisgroup.com/primo-explore/search?tab=default_tab&amp;search_scope=EVERYTHING&amp;vid=01CRU&amp;lang=en_US&amp;offset=0&amp;query=any,contains,991000238839702656","Catalog Record")</f>
        <v/>
      </c>
      <c r="AT1695">
        <f>HYPERLINK("http://www.worldcat.org/oclc/67910","WorldCat Record")</f>
        <v/>
      </c>
      <c r="AU1695" t="inlineStr">
        <is>
          <t>403702:eng</t>
        </is>
      </c>
      <c r="AV1695" t="inlineStr">
        <is>
          <t>67910</t>
        </is>
      </c>
      <c r="AW1695" t="inlineStr">
        <is>
          <t>991000238839702656</t>
        </is>
      </c>
      <c r="AX1695" t="inlineStr">
        <is>
          <t>991000238839702656</t>
        </is>
      </c>
      <c r="AY1695" t="inlineStr">
        <is>
          <t>2258171600002656</t>
        </is>
      </c>
      <c r="AZ1695" t="inlineStr">
        <is>
          <t>BOOK</t>
        </is>
      </c>
      <c r="BC1695" t="inlineStr">
        <is>
          <t>32285001622595</t>
        </is>
      </c>
      <c r="BD1695" t="inlineStr">
        <is>
          <t>893496077</t>
        </is>
      </c>
    </row>
    <row r="1696">
      <c r="A1696" t="inlineStr">
        <is>
          <t>No</t>
        </is>
      </c>
      <c r="B1696" t="inlineStr">
        <is>
          <t>HQ728 .C618</t>
        </is>
      </c>
      <c r="C1696" t="inlineStr">
        <is>
          <t>0                      HQ 0728000C  618</t>
        </is>
      </c>
      <c r="D1696" t="inlineStr">
        <is>
          <t>Contemporary theories about the family / edited by Wesley R. Burr ... [et al.].</t>
        </is>
      </c>
      <c r="E1696" t="inlineStr">
        <is>
          <t>V.1</t>
        </is>
      </c>
      <c r="F1696" t="inlineStr">
        <is>
          <t>Yes</t>
        </is>
      </c>
      <c r="G1696" t="inlineStr">
        <is>
          <t>1</t>
        </is>
      </c>
      <c r="H1696" t="inlineStr">
        <is>
          <t>No</t>
        </is>
      </c>
      <c r="I1696" t="inlineStr">
        <is>
          <t>No</t>
        </is>
      </c>
      <c r="J1696" t="inlineStr">
        <is>
          <t>0</t>
        </is>
      </c>
      <c r="L1696" t="inlineStr">
        <is>
          <t>New York : Free Press, c1979-</t>
        </is>
      </c>
      <c r="M1696" t="inlineStr">
        <is>
          <t>1978</t>
        </is>
      </c>
      <c r="O1696" t="inlineStr">
        <is>
          <t>eng</t>
        </is>
      </c>
      <c r="P1696" t="inlineStr">
        <is>
          <t>nyu</t>
        </is>
      </c>
      <c r="R1696" t="inlineStr">
        <is>
          <t xml:space="preserve">HQ </t>
        </is>
      </c>
      <c r="S1696" t="n">
        <v>7</v>
      </c>
      <c r="T1696" t="n">
        <v>16</v>
      </c>
      <c r="U1696" t="inlineStr">
        <is>
          <t>1994-01-19</t>
        </is>
      </c>
      <c r="V1696" t="inlineStr">
        <is>
          <t>1997-04-25</t>
        </is>
      </c>
      <c r="W1696" t="inlineStr">
        <is>
          <t>1992-10-30</t>
        </is>
      </c>
      <c r="X1696" t="inlineStr">
        <is>
          <t>1992-10-30</t>
        </is>
      </c>
      <c r="Y1696" t="n">
        <v>903</v>
      </c>
      <c r="Z1696" t="n">
        <v>747</v>
      </c>
      <c r="AA1696" t="n">
        <v>785</v>
      </c>
      <c r="AB1696" t="n">
        <v>8</v>
      </c>
      <c r="AC1696" t="n">
        <v>8</v>
      </c>
      <c r="AD1696" t="n">
        <v>38</v>
      </c>
      <c r="AE1696" t="n">
        <v>39</v>
      </c>
      <c r="AF1696" t="n">
        <v>15</v>
      </c>
      <c r="AG1696" t="n">
        <v>16</v>
      </c>
      <c r="AH1696" t="n">
        <v>8</v>
      </c>
      <c r="AI1696" t="n">
        <v>8</v>
      </c>
      <c r="AJ1696" t="n">
        <v>18</v>
      </c>
      <c r="AK1696" t="n">
        <v>19</v>
      </c>
      <c r="AL1696" t="n">
        <v>6</v>
      </c>
      <c r="AM1696" t="n">
        <v>6</v>
      </c>
      <c r="AN1696" t="n">
        <v>0</v>
      </c>
      <c r="AO1696" t="n">
        <v>0</v>
      </c>
      <c r="AP1696" t="inlineStr">
        <is>
          <t>No</t>
        </is>
      </c>
      <c r="AQ1696" t="inlineStr">
        <is>
          <t>Yes</t>
        </is>
      </c>
      <c r="AR1696">
        <f>HYPERLINK("http://catalog.hathitrust.org/Record/000036476","HathiTrust Record")</f>
        <v/>
      </c>
      <c r="AS1696">
        <f>HYPERLINK("https://creighton-primo.hosted.exlibrisgroup.com/primo-explore/search?tab=default_tab&amp;search_scope=EVERYTHING&amp;vid=01CRU&amp;lang=en_US&amp;offset=0&amp;query=any,contains,991004575519702656","Catalog Record")</f>
        <v/>
      </c>
      <c r="AT1696">
        <f>HYPERLINK("http://www.worldcat.org/oclc/4037360","WorldCat Record")</f>
        <v/>
      </c>
      <c r="AU1696" t="inlineStr">
        <is>
          <t>54232417:eng</t>
        </is>
      </c>
      <c r="AV1696" t="inlineStr">
        <is>
          <t>4037360</t>
        </is>
      </c>
      <c r="AW1696" t="inlineStr">
        <is>
          <t>991004575519702656</t>
        </is>
      </c>
      <c r="AX1696" t="inlineStr">
        <is>
          <t>991004575519702656</t>
        </is>
      </c>
      <c r="AY1696" t="inlineStr">
        <is>
          <t>2269060820002656</t>
        </is>
      </c>
      <c r="AZ1696" t="inlineStr">
        <is>
          <t>BOOK</t>
        </is>
      </c>
      <c r="BB1696" t="inlineStr">
        <is>
          <t>9780029049402</t>
        </is>
      </c>
      <c r="BC1696" t="inlineStr">
        <is>
          <t>32285001359156</t>
        </is>
      </c>
      <c r="BD1696" t="inlineStr">
        <is>
          <t>893869873</t>
        </is>
      </c>
    </row>
    <row r="1697">
      <c r="A1697" t="inlineStr">
        <is>
          <t>No</t>
        </is>
      </c>
      <c r="B1697" t="inlineStr">
        <is>
          <t>HQ728 .C618</t>
        </is>
      </c>
      <c r="C1697" t="inlineStr">
        <is>
          <t>0                      HQ 0728000C  618</t>
        </is>
      </c>
      <c r="D1697" t="inlineStr">
        <is>
          <t>Contemporary theories about the family / edited by Wesley R. Burr ... [et al.].</t>
        </is>
      </c>
      <c r="E1697" t="inlineStr">
        <is>
          <t>V.2</t>
        </is>
      </c>
      <c r="F1697" t="inlineStr">
        <is>
          <t>Yes</t>
        </is>
      </c>
      <c r="G1697" t="inlineStr">
        <is>
          <t>1</t>
        </is>
      </c>
      <c r="H1697" t="inlineStr">
        <is>
          <t>No</t>
        </is>
      </c>
      <c r="I1697" t="inlineStr">
        <is>
          <t>No</t>
        </is>
      </c>
      <c r="J1697" t="inlineStr">
        <is>
          <t>0</t>
        </is>
      </c>
      <c r="L1697" t="inlineStr">
        <is>
          <t>New York : Free Press, c1979-</t>
        </is>
      </c>
      <c r="M1697" t="inlineStr">
        <is>
          <t>1978</t>
        </is>
      </c>
      <c r="O1697" t="inlineStr">
        <is>
          <t>eng</t>
        </is>
      </c>
      <c r="P1697" t="inlineStr">
        <is>
          <t>nyu</t>
        </is>
      </c>
      <c r="R1697" t="inlineStr">
        <is>
          <t xml:space="preserve">HQ </t>
        </is>
      </c>
      <c r="S1697" t="n">
        <v>9</v>
      </c>
      <c r="T1697" t="n">
        <v>16</v>
      </c>
      <c r="U1697" t="inlineStr">
        <is>
          <t>1997-04-25</t>
        </is>
      </c>
      <c r="V1697" t="inlineStr">
        <is>
          <t>1997-04-25</t>
        </is>
      </c>
      <c r="W1697" t="inlineStr">
        <is>
          <t>1992-10-30</t>
        </is>
      </c>
      <c r="X1697" t="inlineStr">
        <is>
          <t>1992-10-30</t>
        </is>
      </c>
      <c r="Y1697" t="n">
        <v>903</v>
      </c>
      <c r="Z1697" t="n">
        <v>747</v>
      </c>
      <c r="AA1697" t="n">
        <v>785</v>
      </c>
      <c r="AB1697" t="n">
        <v>8</v>
      </c>
      <c r="AC1697" t="n">
        <v>8</v>
      </c>
      <c r="AD1697" t="n">
        <v>38</v>
      </c>
      <c r="AE1697" t="n">
        <v>39</v>
      </c>
      <c r="AF1697" t="n">
        <v>15</v>
      </c>
      <c r="AG1697" t="n">
        <v>16</v>
      </c>
      <c r="AH1697" t="n">
        <v>8</v>
      </c>
      <c r="AI1697" t="n">
        <v>8</v>
      </c>
      <c r="AJ1697" t="n">
        <v>18</v>
      </c>
      <c r="AK1697" t="n">
        <v>19</v>
      </c>
      <c r="AL1697" t="n">
        <v>6</v>
      </c>
      <c r="AM1697" t="n">
        <v>6</v>
      </c>
      <c r="AN1697" t="n">
        <v>0</v>
      </c>
      <c r="AO1697" t="n">
        <v>0</v>
      </c>
      <c r="AP1697" t="inlineStr">
        <is>
          <t>No</t>
        </is>
      </c>
      <c r="AQ1697" t="inlineStr">
        <is>
          <t>Yes</t>
        </is>
      </c>
      <c r="AR1697">
        <f>HYPERLINK("http://catalog.hathitrust.org/Record/000036476","HathiTrust Record")</f>
        <v/>
      </c>
      <c r="AS1697">
        <f>HYPERLINK("https://creighton-primo.hosted.exlibrisgroup.com/primo-explore/search?tab=default_tab&amp;search_scope=EVERYTHING&amp;vid=01CRU&amp;lang=en_US&amp;offset=0&amp;query=any,contains,991004575519702656","Catalog Record")</f>
        <v/>
      </c>
      <c r="AT1697">
        <f>HYPERLINK("http://www.worldcat.org/oclc/4037360","WorldCat Record")</f>
        <v/>
      </c>
      <c r="AU1697" t="inlineStr">
        <is>
          <t>54232417:eng</t>
        </is>
      </c>
      <c r="AV1697" t="inlineStr">
        <is>
          <t>4037360</t>
        </is>
      </c>
      <c r="AW1697" t="inlineStr">
        <is>
          <t>991004575519702656</t>
        </is>
      </c>
      <c r="AX1697" t="inlineStr">
        <is>
          <t>991004575519702656</t>
        </is>
      </c>
      <c r="AY1697" t="inlineStr">
        <is>
          <t>2269060820002656</t>
        </is>
      </c>
      <c r="AZ1697" t="inlineStr">
        <is>
          <t>BOOK</t>
        </is>
      </c>
      <c r="BB1697" t="inlineStr">
        <is>
          <t>9780029049402</t>
        </is>
      </c>
      <c r="BC1697" t="inlineStr">
        <is>
          <t>32285001359164</t>
        </is>
      </c>
      <c r="BD1697" t="inlineStr">
        <is>
          <t>893901383</t>
        </is>
      </c>
    </row>
    <row r="1698">
      <c r="A1698" t="inlineStr">
        <is>
          <t>No</t>
        </is>
      </c>
      <c r="B1698" t="inlineStr">
        <is>
          <t>HQ728 .D63 1968b</t>
        </is>
      </c>
      <c r="C1698" t="inlineStr">
        <is>
          <t>0                      HQ 0728000D  63          1968b</t>
        </is>
      </c>
      <c r="D1698" t="inlineStr">
        <is>
          <t>Marital breakdown [by] Jack Dominian.</t>
        </is>
      </c>
      <c r="F1698" t="inlineStr">
        <is>
          <t>No</t>
        </is>
      </c>
      <c r="G1698" t="inlineStr">
        <is>
          <t>1</t>
        </is>
      </c>
      <c r="H1698" t="inlineStr">
        <is>
          <t>No</t>
        </is>
      </c>
      <c r="I1698" t="inlineStr">
        <is>
          <t>No</t>
        </is>
      </c>
      <c r="J1698" t="inlineStr">
        <is>
          <t>0</t>
        </is>
      </c>
      <c r="K1698" t="inlineStr">
        <is>
          <t>Dominian, Jack, 1929-2014.</t>
        </is>
      </c>
      <c r="L1698" t="inlineStr">
        <is>
          <t>Baltimore, Penguin Books [1968]</t>
        </is>
      </c>
      <c r="M1698" t="inlineStr">
        <is>
          <t>1968</t>
        </is>
      </c>
      <c r="O1698" t="inlineStr">
        <is>
          <t>eng</t>
        </is>
      </c>
      <c r="P1698" t="inlineStr">
        <is>
          <t>mdu</t>
        </is>
      </c>
      <c r="R1698" t="inlineStr">
        <is>
          <t xml:space="preserve">HQ </t>
        </is>
      </c>
      <c r="S1698" t="n">
        <v>3</v>
      </c>
      <c r="T1698" t="n">
        <v>3</v>
      </c>
      <c r="U1698" t="inlineStr">
        <is>
          <t>1998-03-06</t>
        </is>
      </c>
      <c r="V1698" t="inlineStr">
        <is>
          <t>1998-03-06</t>
        </is>
      </c>
      <c r="W1698" t="inlineStr">
        <is>
          <t>1997-08-11</t>
        </is>
      </c>
      <c r="X1698" t="inlineStr">
        <is>
          <t>1997-08-11</t>
        </is>
      </c>
      <c r="Y1698" t="n">
        <v>195</v>
      </c>
      <c r="Z1698" t="n">
        <v>109</v>
      </c>
      <c r="AA1698" t="n">
        <v>237</v>
      </c>
      <c r="AB1698" t="n">
        <v>2</v>
      </c>
      <c r="AC1698" t="n">
        <v>3</v>
      </c>
      <c r="AD1698" t="n">
        <v>4</v>
      </c>
      <c r="AE1698" t="n">
        <v>16</v>
      </c>
      <c r="AF1698" t="n">
        <v>1</v>
      </c>
      <c r="AG1698" t="n">
        <v>4</v>
      </c>
      <c r="AH1698" t="n">
        <v>1</v>
      </c>
      <c r="AI1698" t="n">
        <v>3</v>
      </c>
      <c r="AJ1698" t="n">
        <v>2</v>
      </c>
      <c r="AK1698" t="n">
        <v>9</v>
      </c>
      <c r="AL1698" t="n">
        <v>1</v>
      </c>
      <c r="AM1698" t="n">
        <v>2</v>
      </c>
      <c r="AN1698" t="n">
        <v>0</v>
      </c>
      <c r="AO1698" t="n">
        <v>0</v>
      </c>
      <c r="AP1698" t="inlineStr">
        <is>
          <t>No</t>
        </is>
      </c>
      <c r="AQ1698" t="inlineStr">
        <is>
          <t>Yes</t>
        </is>
      </c>
      <c r="AR1698">
        <f>HYPERLINK("http://catalog.hathitrust.org/Record/009910904","HathiTrust Record")</f>
        <v/>
      </c>
      <c r="AS1698">
        <f>HYPERLINK("https://creighton-primo.hosted.exlibrisgroup.com/primo-explore/search?tab=default_tab&amp;search_scope=EVERYTHING&amp;vid=01CRU&amp;lang=en_US&amp;offset=0&amp;query=any,contains,991000094499702656","Catalog Record")</f>
        <v/>
      </c>
      <c r="AT1698">
        <f>HYPERLINK("http://www.worldcat.org/oclc/40675","WorldCat Record")</f>
        <v/>
      </c>
      <c r="AU1698" t="inlineStr">
        <is>
          <t>484497:eng</t>
        </is>
      </c>
      <c r="AV1698" t="inlineStr">
        <is>
          <t>40675</t>
        </is>
      </c>
      <c r="AW1698" t="inlineStr">
        <is>
          <t>991000094499702656</t>
        </is>
      </c>
      <c r="AX1698" t="inlineStr">
        <is>
          <t>991000094499702656</t>
        </is>
      </c>
      <c r="AY1698" t="inlineStr">
        <is>
          <t>2259448230002656</t>
        </is>
      </c>
      <c r="AZ1698" t="inlineStr">
        <is>
          <t>BOOK</t>
        </is>
      </c>
      <c r="BC1698" t="inlineStr">
        <is>
          <t>32285003089264</t>
        </is>
      </c>
      <c r="BD1698" t="inlineStr">
        <is>
          <t>893613888</t>
        </is>
      </c>
    </row>
    <row r="1699">
      <c r="A1699" t="inlineStr">
        <is>
          <t>No</t>
        </is>
      </c>
      <c r="B1699" t="inlineStr">
        <is>
          <t>HQ728 .D95 1999</t>
        </is>
      </c>
      <c r="C1699" t="inlineStr">
        <is>
          <t>0                      HQ 0728000D  95          1999</t>
        </is>
      </c>
      <c r="D1699" t="inlineStr">
        <is>
          <t>The dynamics of resilient families / editors, Hamilton I. McCubbin ... [et al.].</t>
        </is>
      </c>
      <c r="F1699" t="inlineStr">
        <is>
          <t>No</t>
        </is>
      </c>
      <c r="G1699" t="inlineStr">
        <is>
          <t>1</t>
        </is>
      </c>
      <c r="H1699" t="inlineStr">
        <is>
          <t>No</t>
        </is>
      </c>
      <c r="I1699" t="inlineStr">
        <is>
          <t>No</t>
        </is>
      </c>
      <c r="J1699" t="inlineStr">
        <is>
          <t>0</t>
        </is>
      </c>
      <c r="L1699" t="inlineStr">
        <is>
          <t>Thousand Oaks [Calif.] : Sage Publications, [c1999]</t>
        </is>
      </c>
      <c r="M1699" t="inlineStr">
        <is>
          <t>1999</t>
        </is>
      </c>
      <c r="O1699" t="inlineStr">
        <is>
          <t>eng</t>
        </is>
      </c>
      <c r="P1699" t="inlineStr">
        <is>
          <t>cau</t>
        </is>
      </c>
      <c r="Q1699" t="inlineStr">
        <is>
          <t>Resiliency in families series ; v. 4</t>
        </is>
      </c>
      <c r="R1699" t="inlineStr">
        <is>
          <t xml:space="preserve">HQ </t>
        </is>
      </c>
      <c r="S1699" t="n">
        <v>1</v>
      </c>
      <c r="T1699" t="n">
        <v>1</v>
      </c>
      <c r="U1699" t="inlineStr">
        <is>
          <t>2001-10-04</t>
        </is>
      </c>
      <c r="V1699" t="inlineStr">
        <is>
          <t>2001-10-04</t>
        </is>
      </c>
      <c r="W1699" t="inlineStr">
        <is>
          <t>2001-10-04</t>
        </is>
      </c>
      <c r="X1699" t="inlineStr">
        <is>
          <t>2001-10-04</t>
        </is>
      </c>
      <c r="Y1699" t="n">
        <v>298</v>
      </c>
      <c r="Z1699" t="n">
        <v>220</v>
      </c>
      <c r="AA1699" t="n">
        <v>222</v>
      </c>
      <c r="AB1699" t="n">
        <v>4</v>
      </c>
      <c r="AC1699" t="n">
        <v>4</v>
      </c>
      <c r="AD1699" t="n">
        <v>14</v>
      </c>
      <c r="AE1699" t="n">
        <v>14</v>
      </c>
      <c r="AF1699" t="n">
        <v>4</v>
      </c>
      <c r="AG1699" t="n">
        <v>4</v>
      </c>
      <c r="AH1699" t="n">
        <v>3</v>
      </c>
      <c r="AI1699" t="n">
        <v>3</v>
      </c>
      <c r="AJ1699" t="n">
        <v>9</v>
      </c>
      <c r="AK1699" t="n">
        <v>9</v>
      </c>
      <c r="AL1699" t="n">
        <v>3</v>
      </c>
      <c r="AM1699" t="n">
        <v>3</v>
      </c>
      <c r="AN1699" t="n">
        <v>0</v>
      </c>
      <c r="AO1699" t="n">
        <v>0</v>
      </c>
      <c r="AP1699" t="inlineStr">
        <is>
          <t>No</t>
        </is>
      </c>
      <c r="AQ1699" t="inlineStr">
        <is>
          <t>Yes</t>
        </is>
      </c>
      <c r="AR1699">
        <f>HYPERLINK("http://catalog.hathitrust.org/Record/004122254","HathiTrust Record")</f>
        <v/>
      </c>
      <c r="AS1699">
        <f>HYPERLINK("https://creighton-primo.hosted.exlibrisgroup.com/primo-explore/search?tab=default_tab&amp;search_scope=EVERYTHING&amp;vid=01CRU&amp;lang=en_US&amp;offset=0&amp;query=any,contains,991003623009702656","Catalog Record")</f>
        <v/>
      </c>
      <c r="AT1699">
        <f>HYPERLINK("http://www.worldcat.org/oclc/40907553","WorldCat Record")</f>
        <v/>
      </c>
      <c r="AU1699" t="inlineStr">
        <is>
          <t>23607539:eng</t>
        </is>
      </c>
      <c r="AV1699" t="inlineStr">
        <is>
          <t>40907553</t>
        </is>
      </c>
      <c r="AW1699" t="inlineStr">
        <is>
          <t>991003623009702656</t>
        </is>
      </c>
      <c r="AX1699" t="inlineStr">
        <is>
          <t>991003623009702656</t>
        </is>
      </c>
      <c r="AY1699" t="inlineStr">
        <is>
          <t>2256828790002656</t>
        </is>
      </c>
      <c r="AZ1699" t="inlineStr">
        <is>
          <t>BOOK</t>
        </is>
      </c>
      <c r="BB1699" t="inlineStr">
        <is>
          <t>9780761913900</t>
        </is>
      </c>
      <c r="BC1699" t="inlineStr">
        <is>
          <t>32285004395561</t>
        </is>
      </c>
      <c r="BD1699" t="inlineStr">
        <is>
          <t>893699207</t>
        </is>
      </c>
    </row>
    <row r="1700">
      <c r="A1700" t="inlineStr">
        <is>
          <t>No</t>
        </is>
      </c>
      <c r="B1700" t="inlineStr">
        <is>
          <t>HQ728 .F2 1988</t>
        </is>
      </c>
      <c r="C1700" t="inlineStr">
        <is>
          <t>0                      HQ 0728000F  2           1988</t>
        </is>
      </c>
      <c r="D1700" t="inlineStr">
        <is>
          <t>A family perspective in church and society : a manual for all pastoral leaders.</t>
        </is>
      </c>
      <c r="F1700" t="inlineStr">
        <is>
          <t>No</t>
        </is>
      </c>
      <c r="G1700" t="inlineStr">
        <is>
          <t>1</t>
        </is>
      </c>
      <c r="H1700" t="inlineStr">
        <is>
          <t>No</t>
        </is>
      </c>
      <c r="I1700" t="inlineStr">
        <is>
          <t>No</t>
        </is>
      </c>
      <c r="J1700" t="inlineStr">
        <is>
          <t>0</t>
        </is>
      </c>
      <c r="L1700" t="inlineStr">
        <is>
          <t>Washington, D.C. : United States Catholic Conference, c1988.</t>
        </is>
      </c>
      <c r="M1700" t="inlineStr">
        <is>
          <t>1988</t>
        </is>
      </c>
      <c r="O1700" t="inlineStr">
        <is>
          <t>eng</t>
        </is>
      </c>
      <c r="P1700" t="inlineStr">
        <is>
          <t>dcu</t>
        </is>
      </c>
      <c r="Q1700" t="inlineStr">
        <is>
          <t>Publication / Office of Publishing Services, United States Catholic Conference ; no. 191-1.</t>
        </is>
      </c>
      <c r="R1700" t="inlineStr">
        <is>
          <t xml:space="preserve">HQ </t>
        </is>
      </c>
      <c r="S1700" t="n">
        <v>18</v>
      </c>
      <c r="T1700" t="n">
        <v>18</v>
      </c>
      <c r="U1700" t="inlineStr">
        <is>
          <t>1996-04-29</t>
        </is>
      </c>
      <c r="V1700" t="inlineStr">
        <is>
          <t>1996-04-29</t>
        </is>
      </c>
      <c r="W1700" t="inlineStr">
        <is>
          <t>1992-10-30</t>
        </is>
      </c>
      <c r="X1700" t="inlineStr">
        <is>
          <t>1992-10-30</t>
        </is>
      </c>
      <c r="Y1700" t="n">
        <v>96</v>
      </c>
      <c r="Z1700" t="n">
        <v>87</v>
      </c>
      <c r="AA1700" t="n">
        <v>88</v>
      </c>
      <c r="AB1700" t="n">
        <v>1</v>
      </c>
      <c r="AC1700" t="n">
        <v>1</v>
      </c>
      <c r="AD1700" t="n">
        <v>16</v>
      </c>
      <c r="AE1700" t="n">
        <v>16</v>
      </c>
      <c r="AF1700" t="n">
        <v>6</v>
      </c>
      <c r="AG1700" t="n">
        <v>6</v>
      </c>
      <c r="AH1700" t="n">
        <v>2</v>
      </c>
      <c r="AI1700" t="n">
        <v>2</v>
      </c>
      <c r="AJ1700" t="n">
        <v>13</v>
      </c>
      <c r="AK1700" t="n">
        <v>13</v>
      </c>
      <c r="AL1700" t="n">
        <v>0</v>
      </c>
      <c r="AM1700" t="n">
        <v>0</v>
      </c>
      <c r="AN1700" t="n">
        <v>0</v>
      </c>
      <c r="AO1700" t="n">
        <v>0</v>
      </c>
      <c r="AP1700" t="inlineStr">
        <is>
          <t>No</t>
        </is>
      </c>
      <c r="AQ1700" t="inlineStr">
        <is>
          <t>No</t>
        </is>
      </c>
      <c r="AS1700">
        <f>HYPERLINK("https://creighton-primo.hosted.exlibrisgroup.com/primo-explore/search?tab=default_tab&amp;search_scope=EVERYTHING&amp;vid=01CRU&amp;lang=en_US&amp;offset=0&amp;query=any,contains,991001296359702656","Catalog Record")</f>
        <v/>
      </c>
      <c r="AT1700">
        <f>HYPERLINK("http://www.worldcat.org/oclc/18716063","WorldCat Record")</f>
        <v/>
      </c>
      <c r="AU1700" t="inlineStr">
        <is>
          <t>18363659:eng</t>
        </is>
      </c>
      <c r="AV1700" t="inlineStr">
        <is>
          <t>18716063</t>
        </is>
      </c>
      <c r="AW1700" t="inlineStr">
        <is>
          <t>991001296359702656</t>
        </is>
      </c>
      <c r="AX1700" t="inlineStr">
        <is>
          <t>991001296359702656</t>
        </is>
      </c>
      <c r="AY1700" t="inlineStr">
        <is>
          <t>2260036050002656</t>
        </is>
      </c>
      <c r="AZ1700" t="inlineStr">
        <is>
          <t>BOOK</t>
        </is>
      </c>
      <c r="BC1700" t="inlineStr">
        <is>
          <t>32285001359172</t>
        </is>
      </c>
      <c r="BD1700" t="inlineStr">
        <is>
          <t>893785014</t>
        </is>
      </c>
    </row>
    <row r="1701">
      <c r="A1701" t="inlineStr">
        <is>
          <t>No</t>
        </is>
      </c>
      <c r="B1701" t="inlineStr">
        <is>
          <t>HQ728 .F2 1998</t>
        </is>
      </c>
      <c r="C1701" t="inlineStr">
        <is>
          <t>0                      HQ 0728000F  2           1998</t>
        </is>
      </c>
      <c r="D1701" t="inlineStr">
        <is>
          <t>A family perspective in church and society / Committee on Marriage and Family, National Conference of Catholic Bishops.</t>
        </is>
      </c>
      <c r="F1701" t="inlineStr">
        <is>
          <t>No</t>
        </is>
      </c>
      <c r="G1701" t="inlineStr">
        <is>
          <t>1</t>
        </is>
      </c>
      <c r="H1701" t="inlineStr">
        <is>
          <t>No</t>
        </is>
      </c>
      <c r="I1701" t="inlineStr">
        <is>
          <t>No</t>
        </is>
      </c>
      <c r="J1701" t="inlineStr">
        <is>
          <t>0</t>
        </is>
      </c>
      <c r="L1701" t="inlineStr">
        <is>
          <t>Washington, D.C. : United States Catholic Conference, c1998.</t>
        </is>
      </c>
      <c r="M1701" t="inlineStr">
        <is>
          <t>1998</t>
        </is>
      </c>
      <c r="N1701" t="inlineStr">
        <is>
          <t>10th anniversary ed.</t>
        </is>
      </c>
      <c r="O1701" t="inlineStr">
        <is>
          <t>eng</t>
        </is>
      </c>
      <c r="P1701" t="inlineStr">
        <is>
          <t>dcu</t>
        </is>
      </c>
      <c r="Q1701" t="inlineStr">
        <is>
          <t>Publication (United States Catholic Conference) ; no. 5-273</t>
        </is>
      </c>
      <c r="R1701" t="inlineStr">
        <is>
          <t xml:space="preserve">HQ </t>
        </is>
      </c>
      <c r="S1701" t="n">
        <v>2</v>
      </c>
      <c r="T1701" t="n">
        <v>2</v>
      </c>
      <c r="U1701" t="inlineStr">
        <is>
          <t>2006-04-13</t>
        </is>
      </c>
      <c r="V1701" t="inlineStr">
        <is>
          <t>2006-04-13</t>
        </is>
      </c>
      <c r="W1701" t="inlineStr">
        <is>
          <t>1998-11-30</t>
        </is>
      </c>
      <c r="X1701" t="inlineStr">
        <is>
          <t>1998-11-30</t>
        </is>
      </c>
      <c r="Y1701" t="n">
        <v>97</v>
      </c>
      <c r="Z1701" t="n">
        <v>93</v>
      </c>
      <c r="AA1701" t="n">
        <v>93</v>
      </c>
      <c r="AB1701" t="n">
        <v>1</v>
      </c>
      <c r="AC1701" t="n">
        <v>1</v>
      </c>
      <c r="AD1701" t="n">
        <v>14</v>
      </c>
      <c r="AE1701" t="n">
        <v>14</v>
      </c>
      <c r="AF1701" t="n">
        <v>3</v>
      </c>
      <c r="AG1701" t="n">
        <v>3</v>
      </c>
      <c r="AH1701" t="n">
        <v>4</v>
      </c>
      <c r="AI1701" t="n">
        <v>4</v>
      </c>
      <c r="AJ1701" t="n">
        <v>11</v>
      </c>
      <c r="AK1701" t="n">
        <v>11</v>
      </c>
      <c r="AL1701" t="n">
        <v>0</v>
      </c>
      <c r="AM1701" t="n">
        <v>0</v>
      </c>
      <c r="AN1701" t="n">
        <v>0</v>
      </c>
      <c r="AO1701" t="n">
        <v>0</v>
      </c>
      <c r="AP1701" t="inlineStr">
        <is>
          <t>No</t>
        </is>
      </c>
      <c r="AQ1701" t="inlineStr">
        <is>
          <t>No</t>
        </is>
      </c>
      <c r="AS1701">
        <f>HYPERLINK("https://creighton-primo.hosted.exlibrisgroup.com/primo-explore/search?tab=default_tab&amp;search_scope=EVERYTHING&amp;vid=01CRU&amp;lang=en_US&amp;offset=0&amp;query=any,contains,991002975319702656","Catalog Record")</f>
        <v/>
      </c>
      <c r="AT1701">
        <f>HYPERLINK("http://www.worldcat.org/oclc/39891555","WorldCat Record")</f>
        <v/>
      </c>
      <c r="AU1701" t="inlineStr">
        <is>
          <t>42540029:eng</t>
        </is>
      </c>
      <c r="AV1701" t="inlineStr">
        <is>
          <t>39891555</t>
        </is>
      </c>
      <c r="AW1701" t="inlineStr">
        <is>
          <t>991002975319702656</t>
        </is>
      </c>
      <c r="AX1701" t="inlineStr">
        <is>
          <t>991002975319702656</t>
        </is>
      </c>
      <c r="AY1701" t="inlineStr">
        <is>
          <t>2261675980002656</t>
        </is>
      </c>
      <c r="AZ1701" t="inlineStr">
        <is>
          <t>BOOK</t>
        </is>
      </c>
      <c r="BB1701" t="inlineStr">
        <is>
          <t>9781574552737</t>
        </is>
      </c>
      <c r="BC1701" t="inlineStr">
        <is>
          <t>32285003491890</t>
        </is>
      </c>
      <c r="BD1701" t="inlineStr">
        <is>
          <t>893786823</t>
        </is>
      </c>
    </row>
    <row r="1702">
      <c r="A1702" t="inlineStr">
        <is>
          <t>No</t>
        </is>
      </c>
      <c r="B1702" t="inlineStr">
        <is>
          <t>HQ728 .F3117 1984</t>
        </is>
      </c>
      <c r="C1702" t="inlineStr">
        <is>
          <t>0                      HQ 0728000F  3117        1984</t>
        </is>
      </c>
      <c r="D1702" t="inlineStr">
        <is>
          <t>Family and work : comparative convergences / edited by Merlin B. Brinkerhoff.</t>
        </is>
      </c>
      <c r="F1702" t="inlineStr">
        <is>
          <t>No</t>
        </is>
      </c>
      <c r="G1702" t="inlineStr">
        <is>
          <t>1</t>
        </is>
      </c>
      <c r="H1702" t="inlineStr">
        <is>
          <t>No</t>
        </is>
      </c>
      <c r="I1702" t="inlineStr">
        <is>
          <t>No</t>
        </is>
      </c>
      <c r="J1702" t="inlineStr">
        <is>
          <t>0</t>
        </is>
      </c>
      <c r="L1702" t="inlineStr">
        <is>
          <t>Westport, Conn. : Greenwood Press, 1984.</t>
        </is>
      </c>
      <c r="M1702" t="inlineStr">
        <is>
          <t>1984</t>
        </is>
      </c>
      <c r="O1702" t="inlineStr">
        <is>
          <t>eng</t>
        </is>
      </c>
      <c r="P1702" t="inlineStr">
        <is>
          <t>ctu</t>
        </is>
      </c>
      <c r="Q1702" t="inlineStr">
        <is>
          <t>Contributions in family studies, 0147-1023 ; no. 8</t>
        </is>
      </c>
      <c r="R1702" t="inlineStr">
        <is>
          <t xml:space="preserve">HQ </t>
        </is>
      </c>
      <c r="S1702" t="n">
        <v>6</v>
      </c>
      <c r="T1702" t="n">
        <v>6</v>
      </c>
      <c r="U1702" t="inlineStr">
        <is>
          <t>1999-04-27</t>
        </is>
      </c>
      <c r="V1702" t="inlineStr">
        <is>
          <t>1999-04-27</t>
        </is>
      </c>
      <c r="W1702" t="inlineStr">
        <is>
          <t>1992-05-08</t>
        </is>
      </c>
      <c r="X1702" t="inlineStr">
        <is>
          <t>1992-05-08</t>
        </is>
      </c>
      <c r="Y1702" t="n">
        <v>393</v>
      </c>
      <c r="Z1702" t="n">
        <v>303</v>
      </c>
      <c r="AA1702" t="n">
        <v>317</v>
      </c>
      <c r="AB1702" t="n">
        <v>3</v>
      </c>
      <c r="AC1702" t="n">
        <v>3</v>
      </c>
      <c r="AD1702" t="n">
        <v>17</v>
      </c>
      <c r="AE1702" t="n">
        <v>17</v>
      </c>
      <c r="AF1702" t="n">
        <v>5</v>
      </c>
      <c r="AG1702" t="n">
        <v>5</v>
      </c>
      <c r="AH1702" t="n">
        <v>6</v>
      </c>
      <c r="AI1702" t="n">
        <v>6</v>
      </c>
      <c r="AJ1702" t="n">
        <v>9</v>
      </c>
      <c r="AK1702" t="n">
        <v>9</v>
      </c>
      <c r="AL1702" t="n">
        <v>2</v>
      </c>
      <c r="AM1702" t="n">
        <v>2</v>
      </c>
      <c r="AN1702" t="n">
        <v>0</v>
      </c>
      <c r="AO1702" t="n">
        <v>0</v>
      </c>
      <c r="AP1702" t="inlineStr">
        <is>
          <t>No</t>
        </is>
      </c>
      <c r="AQ1702" t="inlineStr">
        <is>
          <t>Yes</t>
        </is>
      </c>
      <c r="AR1702">
        <f>HYPERLINK("http://catalog.hathitrust.org/Record/000783554","HathiTrust Record")</f>
        <v/>
      </c>
      <c r="AS1702">
        <f>HYPERLINK("https://creighton-primo.hosted.exlibrisgroup.com/primo-explore/search?tab=default_tab&amp;search_scope=EVERYTHING&amp;vid=01CRU&amp;lang=en_US&amp;offset=0&amp;query=any,contains,991000218529702656","Catalog Record")</f>
        <v/>
      </c>
      <c r="AT1702">
        <f>HYPERLINK("http://www.worldcat.org/oclc/9575343","WorldCat Record")</f>
        <v/>
      </c>
      <c r="AU1702" t="inlineStr">
        <is>
          <t>836620019:eng</t>
        </is>
      </c>
      <c r="AV1702" t="inlineStr">
        <is>
          <t>9575343</t>
        </is>
      </c>
      <c r="AW1702" t="inlineStr">
        <is>
          <t>991000218529702656</t>
        </is>
      </c>
      <c r="AX1702" t="inlineStr">
        <is>
          <t>991000218529702656</t>
        </is>
      </c>
      <c r="AY1702" t="inlineStr">
        <is>
          <t>2270559940002656</t>
        </is>
      </c>
      <c r="AZ1702" t="inlineStr">
        <is>
          <t>BOOK</t>
        </is>
      </c>
      <c r="BB1702" t="inlineStr">
        <is>
          <t>9780313237034</t>
        </is>
      </c>
      <c r="BC1702" t="inlineStr">
        <is>
          <t>32285001106417</t>
        </is>
      </c>
      <c r="BD1702" t="inlineStr">
        <is>
          <t>893595412</t>
        </is>
      </c>
    </row>
    <row r="1703">
      <c r="A1703" t="inlineStr">
        <is>
          <t>No</t>
        </is>
      </c>
      <c r="B1703" t="inlineStr">
        <is>
          <t>HQ728 .F454 1992</t>
        </is>
      </c>
      <c r="C1703" t="inlineStr">
        <is>
          <t>0                      HQ 0728000F  454         1992</t>
        </is>
      </c>
      <c r="D1703" t="inlineStr">
        <is>
          <t>Anatomy of love : the natural history of monogamy, adultery, and divorce / Helen E. Fisher.</t>
        </is>
      </c>
      <c r="F1703" t="inlineStr">
        <is>
          <t>No</t>
        </is>
      </c>
      <c r="G1703" t="inlineStr">
        <is>
          <t>1</t>
        </is>
      </c>
      <c r="H1703" t="inlineStr">
        <is>
          <t>No</t>
        </is>
      </c>
      <c r="I1703" t="inlineStr">
        <is>
          <t>No</t>
        </is>
      </c>
      <c r="J1703" t="inlineStr">
        <is>
          <t>0</t>
        </is>
      </c>
      <c r="K1703" t="inlineStr">
        <is>
          <t>Fisher, Helen E.</t>
        </is>
      </c>
      <c r="L1703" t="inlineStr">
        <is>
          <t>New York : Norton, c1992.</t>
        </is>
      </c>
      <c r="M1703" t="inlineStr">
        <is>
          <t>1992</t>
        </is>
      </c>
      <c r="N1703" t="inlineStr">
        <is>
          <t>1st ed.</t>
        </is>
      </c>
      <c r="O1703" t="inlineStr">
        <is>
          <t>eng</t>
        </is>
      </c>
      <c r="P1703" t="inlineStr">
        <is>
          <t>nyu</t>
        </is>
      </c>
      <c r="R1703" t="inlineStr">
        <is>
          <t xml:space="preserve">HQ </t>
        </is>
      </c>
      <c r="S1703" t="n">
        <v>24</v>
      </c>
      <c r="T1703" t="n">
        <v>24</v>
      </c>
      <c r="U1703" t="inlineStr">
        <is>
          <t>2007-09-22</t>
        </is>
      </c>
      <c r="V1703" t="inlineStr">
        <is>
          <t>2007-09-22</t>
        </is>
      </c>
      <c r="W1703" t="inlineStr">
        <is>
          <t>1995-06-05</t>
        </is>
      </c>
      <c r="X1703" t="inlineStr">
        <is>
          <t>1995-06-05</t>
        </is>
      </c>
      <c r="Y1703" t="n">
        <v>1224</v>
      </c>
      <c r="Z1703" t="n">
        <v>1095</v>
      </c>
      <c r="AA1703" t="n">
        <v>1112</v>
      </c>
      <c r="AB1703" t="n">
        <v>7</v>
      </c>
      <c r="AC1703" t="n">
        <v>7</v>
      </c>
      <c r="AD1703" t="n">
        <v>35</v>
      </c>
      <c r="AE1703" t="n">
        <v>35</v>
      </c>
      <c r="AF1703" t="n">
        <v>15</v>
      </c>
      <c r="AG1703" t="n">
        <v>15</v>
      </c>
      <c r="AH1703" t="n">
        <v>7</v>
      </c>
      <c r="AI1703" t="n">
        <v>7</v>
      </c>
      <c r="AJ1703" t="n">
        <v>16</v>
      </c>
      <c r="AK1703" t="n">
        <v>16</v>
      </c>
      <c r="AL1703" t="n">
        <v>6</v>
      </c>
      <c r="AM1703" t="n">
        <v>6</v>
      </c>
      <c r="AN1703" t="n">
        <v>0</v>
      </c>
      <c r="AO1703" t="n">
        <v>0</v>
      </c>
      <c r="AP1703" t="inlineStr">
        <is>
          <t>No</t>
        </is>
      </c>
      <c r="AQ1703" t="inlineStr">
        <is>
          <t>No</t>
        </is>
      </c>
      <c r="AS1703">
        <f>HYPERLINK("https://creighton-primo.hosted.exlibrisgroup.com/primo-explore/search?tab=default_tab&amp;search_scope=EVERYTHING&amp;vid=01CRU&amp;lang=en_US&amp;offset=0&amp;query=any,contains,991001999029702656","Catalog Record")</f>
        <v/>
      </c>
      <c r="AT1703">
        <f>HYPERLINK("http://www.worldcat.org/oclc/25409746","WorldCat Record")</f>
        <v/>
      </c>
      <c r="AU1703" t="inlineStr">
        <is>
          <t>195698167:eng</t>
        </is>
      </c>
      <c r="AV1703" t="inlineStr">
        <is>
          <t>25409746</t>
        </is>
      </c>
      <c r="AW1703" t="inlineStr">
        <is>
          <t>991001999029702656</t>
        </is>
      </c>
      <c r="AX1703" t="inlineStr">
        <is>
          <t>991001999029702656</t>
        </is>
      </c>
      <c r="AY1703" t="inlineStr">
        <is>
          <t>2266867530002656</t>
        </is>
      </c>
      <c r="AZ1703" t="inlineStr">
        <is>
          <t>BOOK</t>
        </is>
      </c>
      <c r="BB1703" t="inlineStr">
        <is>
          <t>9780393034233</t>
        </is>
      </c>
      <c r="BC1703" t="inlineStr">
        <is>
          <t>32285002056959</t>
        </is>
      </c>
      <c r="BD1703" t="inlineStr">
        <is>
          <t>893510168</t>
        </is>
      </c>
    </row>
    <row r="1704">
      <c r="A1704" t="inlineStr">
        <is>
          <t>No</t>
        </is>
      </c>
      <c r="B1704" t="inlineStr">
        <is>
          <t>HQ728 .F46 1988</t>
        </is>
      </c>
      <c r="C1704" t="inlineStr">
        <is>
          <t>0                      HQ 0728000F  46          1988</t>
        </is>
      </c>
      <c r="D1704" t="inlineStr">
        <is>
          <t>Between husbands &amp; wives : communication in marriage / Mary Anne Fitzpatrick.</t>
        </is>
      </c>
      <c r="F1704" t="inlineStr">
        <is>
          <t>No</t>
        </is>
      </c>
      <c r="G1704" t="inlineStr">
        <is>
          <t>1</t>
        </is>
      </c>
      <c r="H1704" t="inlineStr">
        <is>
          <t>Yes</t>
        </is>
      </c>
      <c r="I1704" t="inlineStr">
        <is>
          <t>No</t>
        </is>
      </c>
      <c r="J1704" t="inlineStr">
        <is>
          <t>0</t>
        </is>
      </c>
      <c r="K1704" t="inlineStr">
        <is>
          <t>Fitzpatrick, Mary Anne, 1949-</t>
        </is>
      </c>
      <c r="L1704" t="inlineStr">
        <is>
          <t>Newbury Park : Sage Publications, c1988.</t>
        </is>
      </c>
      <c r="M1704" t="inlineStr">
        <is>
          <t>1988</t>
        </is>
      </c>
      <c r="O1704" t="inlineStr">
        <is>
          <t>eng</t>
        </is>
      </c>
      <c r="P1704" t="inlineStr">
        <is>
          <t>cau</t>
        </is>
      </c>
      <c r="Q1704" t="inlineStr">
        <is>
          <t>Sage series in interpersonal communication ; 7</t>
        </is>
      </c>
      <c r="R1704" t="inlineStr">
        <is>
          <t xml:space="preserve">HQ </t>
        </is>
      </c>
      <c r="S1704" t="n">
        <v>34</v>
      </c>
      <c r="T1704" t="n">
        <v>34</v>
      </c>
      <c r="U1704" t="inlineStr">
        <is>
          <t>2010-04-26</t>
        </is>
      </c>
      <c r="V1704" t="inlineStr">
        <is>
          <t>2010-04-26</t>
        </is>
      </c>
      <c r="W1704" t="inlineStr">
        <is>
          <t>1991-12-05</t>
        </is>
      </c>
      <c r="X1704" t="inlineStr">
        <is>
          <t>1995-08-21</t>
        </is>
      </c>
      <c r="Y1704" t="n">
        <v>803</v>
      </c>
      <c r="Z1704" t="n">
        <v>673</v>
      </c>
      <c r="AA1704" t="n">
        <v>679</v>
      </c>
      <c r="AB1704" t="n">
        <v>9</v>
      </c>
      <c r="AC1704" t="n">
        <v>9</v>
      </c>
      <c r="AD1704" t="n">
        <v>41</v>
      </c>
      <c r="AE1704" t="n">
        <v>41</v>
      </c>
      <c r="AF1704" t="n">
        <v>17</v>
      </c>
      <c r="AG1704" t="n">
        <v>17</v>
      </c>
      <c r="AH1704" t="n">
        <v>9</v>
      </c>
      <c r="AI1704" t="n">
        <v>9</v>
      </c>
      <c r="AJ1704" t="n">
        <v>18</v>
      </c>
      <c r="AK1704" t="n">
        <v>18</v>
      </c>
      <c r="AL1704" t="n">
        <v>7</v>
      </c>
      <c r="AM1704" t="n">
        <v>7</v>
      </c>
      <c r="AN1704" t="n">
        <v>0</v>
      </c>
      <c r="AO1704" t="n">
        <v>0</v>
      </c>
      <c r="AP1704" t="inlineStr">
        <is>
          <t>No</t>
        </is>
      </c>
      <c r="AQ1704" t="inlineStr">
        <is>
          <t>Yes</t>
        </is>
      </c>
      <c r="AR1704">
        <f>HYPERLINK("http://catalog.hathitrust.org/Record/000924185","HathiTrust Record")</f>
        <v/>
      </c>
      <c r="AS1704">
        <f>HYPERLINK("https://creighton-primo.hosted.exlibrisgroup.com/primo-explore/search?tab=default_tab&amp;search_scope=EVERYTHING&amp;vid=01CRU&amp;lang=en_US&amp;offset=0&amp;query=any,contains,991001637699702656","Catalog Record")</f>
        <v/>
      </c>
      <c r="AT1704">
        <f>HYPERLINK("http://www.worldcat.org/oclc/16901003","WorldCat Record")</f>
        <v/>
      </c>
      <c r="AU1704" t="inlineStr">
        <is>
          <t>836731079:eng</t>
        </is>
      </c>
      <c r="AV1704" t="inlineStr">
        <is>
          <t>16901003</t>
        </is>
      </c>
      <c r="AW1704" t="inlineStr">
        <is>
          <t>991001637699702656</t>
        </is>
      </c>
      <c r="AX1704" t="inlineStr">
        <is>
          <t>991001637699702656</t>
        </is>
      </c>
      <c r="AY1704" t="inlineStr">
        <is>
          <t>2268326970002656</t>
        </is>
      </c>
      <c r="AZ1704" t="inlineStr">
        <is>
          <t>BOOK</t>
        </is>
      </c>
      <c r="BB1704" t="inlineStr">
        <is>
          <t>9780803926189</t>
        </is>
      </c>
      <c r="BC1704" t="inlineStr">
        <is>
          <t>32285000654672</t>
        </is>
      </c>
      <c r="BD1704" t="inlineStr">
        <is>
          <t>893256366</t>
        </is>
      </c>
    </row>
    <row r="1705">
      <c r="A1705" t="inlineStr">
        <is>
          <t>No</t>
        </is>
      </c>
      <c r="B1705" t="inlineStr">
        <is>
          <t>HQ728 .G34 1983</t>
        </is>
      </c>
      <c r="C1705" t="inlineStr">
        <is>
          <t>0                      HQ 0728000G  34          1983</t>
        </is>
      </c>
      <c r="D1705" t="inlineStr">
        <is>
          <t>At home and at work : the family's allocation of labor / Michael Geerken and Walter R. Gove.</t>
        </is>
      </c>
      <c r="F1705" t="inlineStr">
        <is>
          <t>No</t>
        </is>
      </c>
      <c r="G1705" t="inlineStr">
        <is>
          <t>1</t>
        </is>
      </c>
      <c r="H1705" t="inlineStr">
        <is>
          <t>No</t>
        </is>
      </c>
      <c r="I1705" t="inlineStr">
        <is>
          <t>No</t>
        </is>
      </c>
      <c r="J1705" t="inlineStr">
        <is>
          <t>0</t>
        </is>
      </c>
      <c r="K1705" t="inlineStr">
        <is>
          <t>Geerken, Michael.</t>
        </is>
      </c>
      <c r="L1705" t="inlineStr">
        <is>
          <t>Beverly Hills, Calif. : Sage Publications ; Published in cooperation with the National Council on Family Relations, c1983.</t>
        </is>
      </c>
      <c r="M1705" t="inlineStr">
        <is>
          <t>1983</t>
        </is>
      </c>
      <c r="O1705" t="inlineStr">
        <is>
          <t>eng</t>
        </is>
      </c>
      <c r="P1705" t="inlineStr">
        <is>
          <t>cau</t>
        </is>
      </c>
      <c r="Q1705" t="inlineStr">
        <is>
          <t>New perspectives on family</t>
        </is>
      </c>
      <c r="R1705" t="inlineStr">
        <is>
          <t xml:space="preserve">HQ </t>
        </is>
      </c>
      <c r="S1705" t="n">
        <v>9</v>
      </c>
      <c r="T1705" t="n">
        <v>9</v>
      </c>
      <c r="U1705" t="inlineStr">
        <is>
          <t>2000-02-12</t>
        </is>
      </c>
      <c r="V1705" t="inlineStr">
        <is>
          <t>2000-02-12</t>
        </is>
      </c>
      <c r="W1705" t="inlineStr">
        <is>
          <t>1992-10-30</t>
        </is>
      </c>
      <c r="X1705" t="inlineStr">
        <is>
          <t>1992-10-30</t>
        </is>
      </c>
      <c r="Y1705" t="n">
        <v>538</v>
      </c>
      <c r="Z1705" t="n">
        <v>441</v>
      </c>
      <c r="AA1705" t="n">
        <v>450</v>
      </c>
      <c r="AB1705" t="n">
        <v>5</v>
      </c>
      <c r="AC1705" t="n">
        <v>5</v>
      </c>
      <c r="AD1705" t="n">
        <v>19</v>
      </c>
      <c r="AE1705" t="n">
        <v>19</v>
      </c>
      <c r="AF1705" t="n">
        <v>7</v>
      </c>
      <c r="AG1705" t="n">
        <v>7</v>
      </c>
      <c r="AH1705" t="n">
        <v>4</v>
      </c>
      <c r="AI1705" t="n">
        <v>4</v>
      </c>
      <c r="AJ1705" t="n">
        <v>10</v>
      </c>
      <c r="AK1705" t="n">
        <v>10</v>
      </c>
      <c r="AL1705" t="n">
        <v>4</v>
      </c>
      <c r="AM1705" t="n">
        <v>4</v>
      </c>
      <c r="AN1705" t="n">
        <v>0</v>
      </c>
      <c r="AO1705" t="n">
        <v>0</v>
      </c>
      <c r="AP1705" t="inlineStr">
        <is>
          <t>No</t>
        </is>
      </c>
      <c r="AQ1705" t="inlineStr">
        <is>
          <t>Yes</t>
        </is>
      </c>
      <c r="AR1705">
        <f>HYPERLINK("http://catalog.hathitrust.org/Record/000199471","HathiTrust Record")</f>
        <v/>
      </c>
      <c r="AS1705">
        <f>HYPERLINK("https://creighton-primo.hosted.exlibrisgroup.com/primo-explore/search?tab=default_tab&amp;search_scope=EVERYTHING&amp;vid=01CRU&amp;lang=en_US&amp;offset=0&amp;query=any,contains,991000102819702656","Catalog Record")</f>
        <v/>
      </c>
      <c r="AT1705">
        <f>HYPERLINK("http://www.worldcat.org/oclc/8954828","WorldCat Record")</f>
        <v/>
      </c>
      <c r="AU1705" t="inlineStr">
        <is>
          <t>26984516:eng</t>
        </is>
      </c>
      <c r="AV1705" t="inlineStr">
        <is>
          <t>8954828</t>
        </is>
      </c>
      <c r="AW1705" t="inlineStr">
        <is>
          <t>991000102819702656</t>
        </is>
      </c>
      <c r="AX1705" t="inlineStr">
        <is>
          <t>991000102819702656</t>
        </is>
      </c>
      <c r="AY1705" t="inlineStr">
        <is>
          <t>2271111530002656</t>
        </is>
      </c>
      <c r="AZ1705" t="inlineStr">
        <is>
          <t>BOOK</t>
        </is>
      </c>
      <c r="BB1705" t="inlineStr">
        <is>
          <t>9780803919419</t>
        </is>
      </c>
      <c r="BC1705" t="inlineStr">
        <is>
          <t>32285001359206</t>
        </is>
      </c>
      <c r="BD1705" t="inlineStr">
        <is>
          <t>893515000</t>
        </is>
      </c>
    </row>
    <row r="1706">
      <c r="A1706" t="inlineStr">
        <is>
          <t>No</t>
        </is>
      </c>
      <c r="B1706" t="inlineStr">
        <is>
          <t>HQ728 .G43 1986</t>
        </is>
      </c>
      <c r="C1706" t="inlineStr">
        <is>
          <t>0                      HQ 0728000G  43          1986</t>
        </is>
      </c>
      <c r="D1706" t="inlineStr">
        <is>
          <t>The family in question : changing households and familiar ideologies / Diana Gittins.</t>
        </is>
      </c>
      <c r="F1706" t="inlineStr">
        <is>
          <t>No</t>
        </is>
      </c>
      <c r="G1706" t="inlineStr">
        <is>
          <t>1</t>
        </is>
      </c>
      <c r="H1706" t="inlineStr">
        <is>
          <t>No</t>
        </is>
      </c>
      <c r="I1706" t="inlineStr">
        <is>
          <t>No</t>
        </is>
      </c>
      <c r="J1706" t="inlineStr">
        <is>
          <t>0</t>
        </is>
      </c>
      <c r="K1706" t="inlineStr">
        <is>
          <t>Gittins, Diana.</t>
        </is>
      </c>
      <c r="L1706" t="inlineStr">
        <is>
          <t>Atlantic Highlands, N.J. : Humanities Press, 1986, c1985.</t>
        </is>
      </c>
      <c r="M1706" t="inlineStr">
        <is>
          <t>1985</t>
        </is>
      </c>
      <c r="O1706" t="inlineStr">
        <is>
          <t>eng</t>
        </is>
      </c>
      <c r="P1706" t="inlineStr">
        <is>
          <t>nju</t>
        </is>
      </c>
      <c r="R1706" t="inlineStr">
        <is>
          <t xml:space="preserve">HQ </t>
        </is>
      </c>
      <c r="S1706" t="n">
        <v>8</v>
      </c>
      <c r="T1706" t="n">
        <v>8</v>
      </c>
      <c r="U1706" t="inlineStr">
        <is>
          <t>1997-09-15</t>
        </is>
      </c>
      <c r="V1706" t="inlineStr">
        <is>
          <t>1997-09-15</t>
        </is>
      </c>
      <c r="W1706" t="inlineStr">
        <is>
          <t>1992-11-03</t>
        </is>
      </c>
      <c r="X1706" t="inlineStr">
        <is>
          <t>1992-11-03</t>
        </is>
      </c>
      <c r="Y1706" t="n">
        <v>141</v>
      </c>
      <c r="Z1706" t="n">
        <v>125</v>
      </c>
      <c r="AA1706" t="n">
        <v>234</v>
      </c>
      <c r="AB1706" t="n">
        <v>1</v>
      </c>
      <c r="AC1706" t="n">
        <v>3</v>
      </c>
      <c r="AD1706" t="n">
        <v>2</v>
      </c>
      <c r="AE1706" t="n">
        <v>11</v>
      </c>
      <c r="AF1706" t="n">
        <v>0</v>
      </c>
      <c r="AG1706" t="n">
        <v>1</v>
      </c>
      <c r="AH1706" t="n">
        <v>1</v>
      </c>
      <c r="AI1706" t="n">
        <v>4</v>
      </c>
      <c r="AJ1706" t="n">
        <v>2</v>
      </c>
      <c r="AK1706" t="n">
        <v>6</v>
      </c>
      <c r="AL1706" t="n">
        <v>0</v>
      </c>
      <c r="AM1706" t="n">
        <v>2</v>
      </c>
      <c r="AN1706" t="n">
        <v>0</v>
      </c>
      <c r="AO1706" t="n">
        <v>0</v>
      </c>
      <c r="AP1706" t="inlineStr">
        <is>
          <t>No</t>
        </is>
      </c>
      <c r="AQ1706" t="inlineStr">
        <is>
          <t>Yes</t>
        </is>
      </c>
      <c r="AR1706">
        <f>HYPERLINK("http://catalog.hathitrust.org/Record/000662357","HathiTrust Record")</f>
        <v/>
      </c>
      <c r="AS1706">
        <f>HYPERLINK("https://creighton-primo.hosted.exlibrisgroup.com/primo-explore/search?tab=default_tab&amp;search_scope=EVERYTHING&amp;vid=01CRU&amp;lang=en_US&amp;offset=0&amp;query=any,contains,991000730299702656","Catalog Record")</f>
        <v/>
      </c>
      <c r="AT1706">
        <f>HYPERLINK("http://www.worldcat.org/oclc/12722951","WorldCat Record")</f>
        <v/>
      </c>
      <c r="AU1706" t="inlineStr">
        <is>
          <t>5530939:eng</t>
        </is>
      </c>
      <c r="AV1706" t="inlineStr">
        <is>
          <t>12722951</t>
        </is>
      </c>
      <c r="AW1706" t="inlineStr">
        <is>
          <t>991000730299702656</t>
        </is>
      </c>
      <c r="AX1706" t="inlineStr">
        <is>
          <t>991000730299702656</t>
        </is>
      </c>
      <c r="AY1706" t="inlineStr">
        <is>
          <t>2268253440002656</t>
        </is>
      </c>
      <c r="AZ1706" t="inlineStr">
        <is>
          <t>BOOK</t>
        </is>
      </c>
      <c r="BB1706" t="inlineStr">
        <is>
          <t>9780391033610</t>
        </is>
      </c>
      <c r="BC1706" t="inlineStr">
        <is>
          <t>32285001380590</t>
        </is>
      </c>
      <c r="BD1706" t="inlineStr">
        <is>
          <t>893345927</t>
        </is>
      </c>
    </row>
    <row r="1707">
      <c r="A1707" t="inlineStr">
        <is>
          <t>No</t>
        </is>
      </c>
      <c r="B1707" t="inlineStr">
        <is>
          <t>HQ728 .G45</t>
        </is>
      </c>
      <c r="C1707" t="inlineStr">
        <is>
          <t>0                      HQ 0728000G  45</t>
        </is>
      </c>
      <c r="D1707" t="inlineStr">
        <is>
          <t>Families in crisis / edited by Paul H. Glasser and Lois N. Glasser.</t>
        </is>
      </c>
      <c r="F1707" t="inlineStr">
        <is>
          <t>No</t>
        </is>
      </c>
      <c r="G1707" t="inlineStr">
        <is>
          <t>1</t>
        </is>
      </c>
      <c r="H1707" t="inlineStr">
        <is>
          <t>No</t>
        </is>
      </c>
      <c r="I1707" t="inlineStr">
        <is>
          <t>No</t>
        </is>
      </c>
      <c r="J1707" t="inlineStr">
        <is>
          <t>0</t>
        </is>
      </c>
      <c r="K1707" t="inlineStr">
        <is>
          <t>Glasser, Paul H. compiler.</t>
        </is>
      </c>
      <c r="L1707" t="inlineStr">
        <is>
          <t>New York : Harper &amp; Row, [1970]</t>
        </is>
      </c>
      <c r="M1707" t="inlineStr">
        <is>
          <t>1970</t>
        </is>
      </c>
      <c r="O1707" t="inlineStr">
        <is>
          <t>eng</t>
        </is>
      </c>
      <c r="P1707" t="inlineStr">
        <is>
          <t>nyu</t>
        </is>
      </c>
      <c r="Q1707" t="inlineStr">
        <is>
          <t>Readers in social problems</t>
        </is>
      </c>
      <c r="R1707" t="inlineStr">
        <is>
          <t xml:space="preserve">HQ </t>
        </is>
      </c>
      <c r="S1707" t="n">
        <v>8</v>
      </c>
      <c r="T1707" t="n">
        <v>8</v>
      </c>
      <c r="U1707" t="inlineStr">
        <is>
          <t>1993-12-06</t>
        </is>
      </c>
      <c r="V1707" t="inlineStr">
        <is>
          <t>1993-12-06</t>
        </is>
      </c>
      <c r="W1707" t="inlineStr">
        <is>
          <t>1992-05-12</t>
        </is>
      </c>
      <c r="X1707" t="inlineStr">
        <is>
          <t>1992-05-12</t>
        </is>
      </c>
      <c r="Y1707" t="n">
        <v>772</v>
      </c>
      <c r="Z1707" t="n">
        <v>635</v>
      </c>
      <c r="AA1707" t="n">
        <v>637</v>
      </c>
      <c r="AB1707" t="n">
        <v>5</v>
      </c>
      <c r="AC1707" t="n">
        <v>5</v>
      </c>
      <c r="AD1707" t="n">
        <v>22</v>
      </c>
      <c r="AE1707" t="n">
        <v>22</v>
      </c>
      <c r="AF1707" t="n">
        <v>9</v>
      </c>
      <c r="AG1707" t="n">
        <v>9</v>
      </c>
      <c r="AH1707" t="n">
        <v>3</v>
      </c>
      <c r="AI1707" t="n">
        <v>3</v>
      </c>
      <c r="AJ1707" t="n">
        <v>10</v>
      </c>
      <c r="AK1707" t="n">
        <v>10</v>
      </c>
      <c r="AL1707" t="n">
        <v>4</v>
      </c>
      <c r="AM1707" t="n">
        <v>4</v>
      </c>
      <c r="AN1707" t="n">
        <v>0</v>
      </c>
      <c r="AO1707" t="n">
        <v>0</v>
      </c>
      <c r="AP1707" t="inlineStr">
        <is>
          <t>No</t>
        </is>
      </c>
      <c r="AQ1707" t="inlineStr">
        <is>
          <t>Yes</t>
        </is>
      </c>
      <c r="AR1707">
        <f>HYPERLINK("http://catalog.hathitrust.org/Record/000000741","HathiTrust Record")</f>
        <v/>
      </c>
      <c r="AS1707">
        <f>HYPERLINK("https://creighton-primo.hosted.exlibrisgroup.com/primo-explore/search?tab=default_tab&amp;search_scope=EVERYTHING&amp;vid=01CRU&amp;lang=en_US&amp;offset=0&amp;query=any,contains,991000202449702656","Catalog Record")</f>
        <v/>
      </c>
      <c r="AT1707">
        <f>HYPERLINK("http://www.worldcat.org/oclc/64428","WorldCat Record")</f>
        <v/>
      </c>
      <c r="AU1707" t="inlineStr">
        <is>
          <t>1228562:eng</t>
        </is>
      </c>
      <c r="AV1707" t="inlineStr">
        <is>
          <t>64428</t>
        </is>
      </c>
      <c r="AW1707" t="inlineStr">
        <is>
          <t>991000202449702656</t>
        </is>
      </c>
      <c r="AX1707" t="inlineStr">
        <is>
          <t>991000202449702656</t>
        </is>
      </c>
      <c r="AY1707" t="inlineStr">
        <is>
          <t>2255495170002656</t>
        </is>
      </c>
      <c r="AZ1707" t="inlineStr">
        <is>
          <t>BOOK</t>
        </is>
      </c>
      <c r="BC1707" t="inlineStr">
        <is>
          <t>32285001106409</t>
        </is>
      </c>
      <c r="BD1707" t="inlineStr">
        <is>
          <t>893689519</t>
        </is>
      </c>
    </row>
    <row r="1708">
      <c r="A1708" t="inlineStr">
        <is>
          <t>No</t>
        </is>
      </c>
      <c r="B1708" t="inlineStr">
        <is>
          <t>HQ728 .G56 1982</t>
        </is>
      </c>
      <c r="C1708" t="inlineStr">
        <is>
          <t>0                      HQ 0728000G  56          1982</t>
        </is>
      </c>
      <c r="D1708" t="inlineStr">
        <is>
          <t>The family / William J. Goode.</t>
        </is>
      </c>
      <c r="F1708" t="inlineStr">
        <is>
          <t>No</t>
        </is>
      </c>
      <c r="G1708" t="inlineStr">
        <is>
          <t>1</t>
        </is>
      </c>
      <c r="H1708" t="inlineStr">
        <is>
          <t>No</t>
        </is>
      </c>
      <c r="I1708" t="inlineStr">
        <is>
          <t>No</t>
        </is>
      </c>
      <c r="J1708" t="inlineStr">
        <is>
          <t>0</t>
        </is>
      </c>
      <c r="K1708" t="inlineStr">
        <is>
          <t>Goode, William Josiah.</t>
        </is>
      </c>
      <c r="L1708" t="inlineStr">
        <is>
          <t>Englewood Cliffs, N.J. : Prentice-Hall, c1982.</t>
        </is>
      </c>
      <c r="M1708" t="inlineStr">
        <is>
          <t>1982</t>
        </is>
      </c>
      <c r="N1708" t="inlineStr">
        <is>
          <t>2nd ed.</t>
        </is>
      </c>
      <c r="O1708" t="inlineStr">
        <is>
          <t>eng</t>
        </is>
      </c>
      <c r="P1708" t="inlineStr">
        <is>
          <t>nju</t>
        </is>
      </c>
      <c r="Q1708" t="inlineStr">
        <is>
          <t>Prentice-Hall foundations of modern sociology series</t>
        </is>
      </c>
      <c r="R1708" t="inlineStr">
        <is>
          <t xml:space="preserve">HQ </t>
        </is>
      </c>
      <c r="S1708" t="n">
        <v>16</v>
      </c>
      <c r="T1708" t="n">
        <v>16</v>
      </c>
      <c r="U1708" t="inlineStr">
        <is>
          <t>1999-05-05</t>
        </is>
      </c>
      <c r="V1708" t="inlineStr">
        <is>
          <t>1999-05-05</t>
        </is>
      </c>
      <c r="W1708" t="inlineStr">
        <is>
          <t>1990-02-28</t>
        </is>
      </c>
      <c r="X1708" t="inlineStr">
        <is>
          <t>1990-02-28</t>
        </is>
      </c>
      <c r="Y1708" t="n">
        <v>368</v>
      </c>
      <c r="Z1708" t="n">
        <v>218</v>
      </c>
      <c r="AA1708" t="n">
        <v>908</v>
      </c>
      <c r="AB1708" t="n">
        <v>2</v>
      </c>
      <c r="AC1708" t="n">
        <v>7</v>
      </c>
      <c r="AD1708" t="n">
        <v>9</v>
      </c>
      <c r="AE1708" t="n">
        <v>40</v>
      </c>
      <c r="AF1708" t="n">
        <v>4</v>
      </c>
      <c r="AG1708" t="n">
        <v>16</v>
      </c>
      <c r="AH1708" t="n">
        <v>1</v>
      </c>
      <c r="AI1708" t="n">
        <v>8</v>
      </c>
      <c r="AJ1708" t="n">
        <v>5</v>
      </c>
      <c r="AK1708" t="n">
        <v>22</v>
      </c>
      <c r="AL1708" t="n">
        <v>1</v>
      </c>
      <c r="AM1708" t="n">
        <v>6</v>
      </c>
      <c r="AN1708" t="n">
        <v>0</v>
      </c>
      <c r="AO1708" t="n">
        <v>0</v>
      </c>
      <c r="AP1708" t="inlineStr">
        <is>
          <t>No</t>
        </is>
      </c>
      <c r="AQ1708" t="inlineStr">
        <is>
          <t>Yes</t>
        </is>
      </c>
      <c r="AR1708">
        <f>HYPERLINK("http://catalog.hathitrust.org/Record/000249431","HathiTrust Record")</f>
        <v/>
      </c>
      <c r="AS1708">
        <f>HYPERLINK("https://creighton-primo.hosted.exlibrisgroup.com/primo-explore/search?tab=default_tab&amp;search_scope=EVERYTHING&amp;vid=01CRU&amp;lang=en_US&amp;offset=0&amp;query=any,contains,991005186509702656","Catalog Record")</f>
        <v/>
      </c>
      <c r="AT1708">
        <f>HYPERLINK("http://www.worldcat.org/oclc/7976592","WorldCat Record")</f>
        <v/>
      </c>
      <c r="AU1708" t="inlineStr">
        <is>
          <t>2944326204:eng</t>
        </is>
      </c>
      <c r="AV1708" t="inlineStr">
        <is>
          <t>7976592</t>
        </is>
      </c>
      <c r="AW1708" t="inlineStr">
        <is>
          <t>991005186509702656</t>
        </is>
      </c>
      <c r="AX1708" t="inlineStr">
        <is>
          <t>991005186509702656</t>
        </is>
      </c>
      <c r="AY1708" t="inlineStr">
        <is>
          <t>2262198670002656</t>
        </is>
      </c>
      <c r="AZ1708" t="inlineStr">
        <is>
          <t>BOOK</t>
        </is>
      </c>
      <c r="BB1708" t="inlineStr">
        <is>
          <t>9780133017540</t>
        </is>
      </c>
      <c r="BC1708" t="inlineStr">
        <is>
          <t>32285000073030</t>
        </is>
      </c>
      <c r="BD1708" t="inlineStr">
        <is>
          <t>893625582</t>
        </is>
      </c>
    </row>
    <row r="1709">
      <c r="A1709" t="inlineStr">
        <is>
          <t>No</t>
        </is>
      </c>
      <c r="B1709" t="inlineStr">
        <is>
          <t>HQ728 .G62</t>
        </is>
      </c>
      <c r="C1709" t="inlineStr">
        <is>
          <t>0                      HQ 0728000G  62</t>
        </is>
      </c>
      <c r="D1709" t="inlineStr">
        <is>
          <t>The nuclear family in crisis: the search for an alternative. Edited and with an introd. by Michael Gordon.</t>
        </is>
      </c>
      <c r="F1709" t="inlineStr">
        <is>
          <t>No</t>
        </is>
      </c>
      <c r="G1709" t="inlineStr">
        <is>
          <t>1</t>
        </is>
      </c>
      <c r="H1709" t="inlineStr">
        <is>
          <t>No</t>
        </is>
      </c>
      <c r="I1709" t="inlineStr">
        <is>
          <t>No</t>
        </is>
      </c>
      <c r="J1709" t="inlineStr">
        <is>
          <t>0</t>
        </is>
      </c>
      <c r="K1709" t="inlineStr">
        <is>
          <t>Gordon, Michael, 1940- compiler.</t>
        </is>
      </c>
      <c r="L1709" t="inlineStr">
        <is>
          <t>New York, Harper &amp; Row [1972]</t>
        </is>
      </c>
      <c r="M1709" t="inlineStr">
        <is>
          <t>1972</t>
        </is>
      </c>
      <c r="O1709" t="inlineStr">
        <is>
          <t>eng</t>
        </is>
      </c>
      <c r="P1709" t="inlineStr">
        <is>
          <t>nyu</t>
        </is>
      </c>
      <c r="R1709" t="inlineStr">
        <is>
          <t xml:space="preserve">HQ </t>
        </is>
      </c>
      <c r="S1709" t="n">
        <v>4</v>
      </c>
      <c r="T1709" t="n">
        <v>4</v>
      </c>
      <c r="U1709" t="inlineStr">
        <is>
          <t>1999-02-22</t>
        </is>
      </c>
      <c r="V1709" t="inlineStr">
        <is>
          <t>1999-02-22</t>
        </is>
      </c>
      <c r="W1709" t="inlineStr">
        <is>
          <t>1997-08-11</t>
        </is>
      </c>
      <c r="X1709" t="inlineStr">
        <is>
          <t>1997-08-11</t>
        </is>
      </c>
      <c r="Y1709" t="n">
        <v>657</v>
      </c>
      <c r="Z1709" t="n">
        <v>501</v>
      </c>
      <c r="AA1709" t="n">
        <v>508</v>
      </c>
      <c r="AB1709" t="n">
        <v>5</v>
      </c>
      <c r="AC1709" t="n">
        <v>5</v>
      </c>
      <c r="AD1709" t="n">
        <v>26</v>
      </c>
      <c r="AE1709" t="n">
        <v>26</v>
      </c>
      <c r="AF1709" t="n">
        <v>8</v>
      </c>
      <c r="AG1709" t="n">
        <v>8</v>
      </c>
      <c r="AH1709" t="n">
        <v>5</v>
      </c>
      <c r="AI1709" t="n">
        <v>5</v>
      </c>
      <c r="AJ1709" t="n">
        <v>15</v>
      </c>
      <c r="AK1709" t="n">
        <v>15</v>
      </c>
      <c r="AL1709" t="n">
        <v>4</v>
      </c>
      <c r="AM1709" t="n">
        <v>4</v>
      </c>
      <c r="AN1709" t="n">
        <v>0</v>
      </c>
      <c r="AO1709" t="n">
        <v>0</v>
      </c>
      <c r="AP1709" t="inlineStr">
        <is>
          <t>No</t>
        </is>
      </c>
      <c r="AQ1709" t="inlineStr">
        <is>
          <t>No</t>
        </is>
      </c>
      <c r="AS1709">
        <f>HYPERLINK("https://creighton-primo.hosted.exlibrisgroup.com/primo-explore/search?tab=default_tab&amp;search_scope=EVERYTHING&amp;vid=01CRU&amp;lang=en_US&amp;offset=0&amp;query=any,contains,991002294899702656","Catalog Record")</f>
        <v/>
      </c>
      <c r="AT1709">
        <f>HYPERLINK("http://www.worldcat.org/oclc/314877","WorldCat Record")</f>
        <v/>
      </c>
      <c r="AU1709" t="inlineStr">
        <is>
          <t>1382629:eng</t>
        </is>
      </c>
      <c r="AV1709" t="inlineStr">
        <is>
          <t>314877</t>
        </is>
      </c>
      <c r="AW1709" t="inlineStr">
        <is>
          <t>991002294899702656</t>
        </is>
      </c>
      <c r="AX1709" t="inlineStr">
        <is>
          <t>991002294899702656</t>
        </is>
      </c>
      <c r="AY1709" t="inlineStr">
        <is>
          <t>2271891760002656</t>
        </is>
      </c>
      <c r="AZ1709" t="inlineStr">
        <is>
          <t>BOOK</t>
        </is>
      </c>
      <c r="BB1709" t="inlineStr">
        <is>
          <t>9780060424053</t>
        </is>
      </c>
      <c r="BC1709" t="inlineStr">
        <is>
          <t>32285003089330</t>
        </is>
      </c>
      <c r="BD1709" t="inlineStr">
        <is>
          <t>893685200</t>
        </is>
      </c>
    </row>
    <row r="1710">
      <c r="A1710" t="inlineStr">
        <is>
          <t>No</t>
        </is>
      </c>
      <c r="B1710" t="inlineStr">
        <is>
          <t>HQ728 .G64 1991</t>
        </is>
      </c>
      <c r="C1710" t="inlineStr">
        <is>
          <t>0                      HQ 0728000G  64          1991</t>
        </is>
      </c>
      <c r="D1710" t="inlineStr">
        <is>
          <t>Faithful attraction : discovering intimacy, love, and fidelity in American marriage / Andrew M. Greeley.</t>
        </is>
      </c>
      <c r="F1710" t="inlineStr">
        <is>
          <t>No</t>
        </is>
      </c>
      <c r="G1710" t="inlineStr">
        <is>
          <t>1</t>
        </is>
      </c>
      <c r="H1710" t="inlineStr">
        <is>
          <t>No</t>
        </is>
      </c>
      <c r="I1710" t="inlineStr">
        <is>
          <t>No</t>
        </is>
      </c>
      <c r="J1710" t="inlineStr">
        <is>
          <t>0</t>
        </is>
      </c>
      <c r="K1710" t="inlineStr">
        <is>
          <t>Greeley, Andrew M., 1928-2013.</t>
        </is>
      </c>
      <c r="L1710" t="inlineStr">
        <is>
          <t>New York : Tor : [Distributed by St. Martin's Press], 1991.</t>
        </is>
      </c>
      <c r="M1710" t="inlineStr">
        <is>
          <t>1991</t>
        </is>
      </c>
      <c r="N1710" t="inlineStr">
        <is>
          <t>1st ed.</t>
        </is>
      </c>
      <c r="O1710" t="inlineStr">
        <is>
          <t>eng</t>
        </is>
      </c>
      <c r="P1710" t="inlineStr">
        <is>
          <t>nyu</t>
        </is>
      </c>
      <c r="R1710" t="inlineStr">
        <is>
          <t xml:space="preserve">HQ </t>
        </is>
      </c>
      <c r="S1710" t="n">
        <v>17</v>
      </c>
      <c r="T1710" t="n">
        <v>17</v>
      </c>
      <c r="U1710" t="inlineStr">
        <is>
          <t>2007-08-20</t>
        </is>
      </c>
      <c r="V1710" t="inlineStr">
        <is>
          <t>2007-08-20</t>
        </is>
      </c>
      <c r="W1710" t="inlineStr">
        <is>
          <t>1991-12-13</t>
        </is>
      </c>
      <c r="X1710" t="inlineStr">
        <is>
          <t>1991-12-13</t>
        </is>
      </c>
      <c r="Y1710" t="n">
        <v>618</v>
      </c>
      <c r="Z1710" t="n">
        <v>583</v>
      </c>
      <c r="AA1710" t="n">
        <v>633</v>
      </c>
      <c r="AB1710" t="n">
        <v>4</v>
      </c>
      <c r="AC1710" t="n">
        <v>4</v>
      </c>
      <c r="AD1710" t="n">
        <v>7</v>
      </c>
      <c r="AE1710" t="n">
        <v>9</v>
      </c>
      <c r="AF1710" t="n">
        <v>3</v>
      </c>
      <c r="AG1710" t="n">
        <v>3</v>
      </c>
      <c r="AH1710" t="n">
        <v>1</v>
      </c>
      <c r="AI1710" t="n">
        <v>1</v>
      </c>
      <c r="AJ1710" t="n">
        <v>4</v>
      </c>
      <c r="AK1710" t="n">
        <v>6</v>
      </c>
      <c r="AL1710" t="n">
        <v>0</v>
      </c>
      <c r="AM1710" t="n">
        <v>0</v>
      </c>
      <c r="AN1710" t="n">
        <v>0</v>
      </c>
      <c r="AO1710" t="n">
        <v>0</v>
      </c>
      <c r="AP1710" t="inlineStr">
        <is>
          <t>No</t>
        </is>
      </c>
      <c r="AQ1710" t="inlineStr">
        <is>
          <t>No</t>
        </is>
      </c>
      <c r="AS1710">
        <f>HYPERLINK("https://creighton-primo.hosted.exlibrisgroup.com/primo-explore/search?tab=default_tab&amp;search_scope=EVERYTHING&amp;vid=01CRU&amp;lang=en_US&amp;offset=0&amp;query=any,contains,991001783949702656","Catalog Record")</f>
        <v/>
      </c>
      <c r="AT1710">
        <f>HYPERLINK("http://www.worldcat.org/oclc/22490822","WorldCat Record")</f>
        <v/>
      </c>
      <c r="AU1710" t="inlineStr">
        <is>
          <t>28182302:eng</t>
        </is>
      </c>
      <c r="AV1710" t="inlineStr">
        <is>
          <t>22490822</t>
        </is>
      </c>
      <c r="AW1710" t="inlineStr">
        <is>
          <t>991001783949702656</t>
        </is>
      </c>
      <c r="AX1710" t="inlineStr">
        <is>
          <t>991001783949702656</t>
        </is>
      </c>
      <c r="AY1710" t="inlineStr">
        <is>
          <t>2255052390002656</t>
        </is>
      </c>
      <c r="AZ1710" t="inlineStr">
        <is>
          <t>BOOK</t>
        </is>
      </c>
      <c r="BB1710" t="inlineStr">
        <is>
          <t>9780312851095</t>
        </is>
      </c>
      <c r="BC1710" t="inlineStr">
        <is>
          <t>32285000819739</t>
        </is>
      </c>
      <c r="BD1710" t="inlineStr">
        <is>
          <t>893322253</t>
        </is>
      </c>
    </row>
    <row r="1711">
      <c r="A1711" t="inlineStr">
        <is>
          <t>No</t>
        </is>
      </c>
      <c r="B1711" t="inlineStr">
        <is>
          <t>HQ728 .G65</t>
        </is>
      </c>
      <c r="C1711" t="inlineStr">
        <is>
          <t>0                      HQ 0728000G  65</t>
        </is>
      </c>
      <c r="D1711" t="inlineStr">
        <is>
          <t>A clinical approach to marital problems : evaluation and management / by Bernard L. Greene.</t>
        </is>
      </c>
      <c r="F1711" t="inlineStr">
        <is>
          <t>No</t>
        </is>
      </c>
      <c r="G1711" t="inlineStr">
        <is>
          <t>1</t>
        </is>
      </c>
      <c r="H1711" t="inlineStr">
        <is>
          <t>No</t>
        </is>
      </c>
      <c r="I1711" t="inlineStr">
        <is>
          <t>No</t>
        </is>
      </c>
      <c r="J1711" t="inlineStr">
        <is>
          <t>0</t>
        </is>
      </c>
      <c r="K1711" t="inlineStr">
        <is>
          <t>Greene, Bernard L.</t>
        </is>
      </c>
      <c r="L1711" t="inlineStr">
        <is>
          <t>Springfield, Ill. : Thomas, [1970]</t>
        </is>
      </c>
      <c r="M1711" t="inlineStr">
        <is>
          <t>1970</t>
        </is>
      </c>
      <c r="O1711" t="inlineStr">
        <is>
          <t>eng</t>
        </is>
      </c>
      <c r="P1711" t="inlineStr">
        <is>
          <t>ilu</t>
        </is>
      </c>
      <c r="R1711" t="inlineStr">
        <is>
          <t xml:space="preserve">HQ </t>
        </is>
      </c>
      <c r="S1711" t="n">
        <v>4</v>
      </c>
      <c r="T1711" t="n">
        <v>4</v>
      </c>
      <c r="U1711" t="inlineStr">
        <is>
          <t>1996-10-19</t>
        </is>
      </c>
      <c r="V1711" t="inlineStr">
        <is>
          <t>1996-10-19</t>
        </is>
      </c>
      <c r="W1711" t="inlineStr">
        <is>
          <t>1992-04-23</t>
        </is>
      </c>
      <c r="X1711" t="inlineStr">
        <is>
          <t>1992-04-23</t>
        </is>
      </c>
      <c r="Y1711" t="n">
        <v>258</v>
      </c>
      <c r="Z1711" t="n">
        <v>224</v>
      </c>
      <c r="AA1711" t="n">
        <v>226</v>
      </c>
      <c r="AB1711" t="n">
        <v>2</v>
      </c>
      <c r="AC1711" t="n">
        <v>2</v>
      </c>
      <c r="AD1711" t="n">
        <v>6</v>
      </c>
      <c r="AE1711" t="n">
        <v>6</v>
      </c>
      <c r="AF1711" t="n">
        <v>0</v>
      </c>
      <c r="AG1711" t="n">
        <v>0</v>
      </c>
      <c r="AH1711" t="n">
        <v>2</v>
      </c>
      <c r="AI1711" t="n">
        <v>2</v>
      </c>
      <c r="AJ1711" t="n">
        <v>4</v>
      </c>
      <c r="AK1711" t="n">
        <v>4</v>
      </c>
      <c r="AL1711" t="n">
        <v>1</v>
      </c>
      <c r="AM1711" t="n">
        <v>1</v>
      </c>
      <c r="AN1711" t="n">
        <v>0</v>
      </c>
      <c r="AO1711" t="n">
        <v>0</v>
      </c>
      <c r="AP1711" t="inlineStr">
        <is>
          <t>No</t>
        </is>
      </c>
      <c r="AQ1711" t="inlineStr">
        <is>
          <t>Yes</t>
        </is>
      </c>
      <c r="AR1711">
        <f>HYPERLINK("http://catalog.hathitrust.org/Record/001354849","HathiTrust Record")</f>
        <v/>
      </c>
      <c r="AS1711">
        <f>HYPERLINK("https://creighton-primo.hosted.exlibrisgroup.com/primo-explore/search?tab=default_tab&amp;search_scope=EVERYTHING&amp;vid=01CRU&amp;lang=en_US&amp;offset=0&amp;query=any,contains,991000675389702656","Catalog Record")</f>
        <v/>
      </c>
      <c r="AT1711">
        <f>HYPERLINK("http://www.worldcat.org/oclc/120159","WorldCat Record")</f>
        <v/>
      </c>
      <c r="AU1711" t="inlineStr">
        <is>
          <t>353666807:eng</t>
        </is>
      </c>
      <c r="AV1711" t="inlineStr">
        <is>
          <t>120159</t>
        </is>
      </c>
      <c r="AW1711" t="inlineStr">
        <is>
          <t>991000675389702656</t>
        </is>
      </c>
      <c r="AX1711" t="inlineStr">
        <is>
          <t>991000675389702656</t>
        </is>
      </c>
      <c r="AY1711" t="inlineStr">
        <is>
          <t>2264184660002656</t>
        </is>
      </c>
      <c r="AZ1711" t="inlineStr">
        <is>
          <t>BOOK</t>
        </is>
      </c>
      <c r="BC1711" t="inlineStr">
        <is>
          <t>32285001085520</t>
        </is>
      </c>
      <c r="BD1711" t="inlineStr">
        <is>
          <t>893315139</t>
        </is>
      </c>
    </row>
    <row r="1712">
      <c r="A1712" t="inlineStr">
        <is>
          <t>No</t>
        </is>
      </c>
      <c r="B1712" t="inlineStr">
        <is>
          <t>HQ728 .H48 1971</t>
        </is>
      </c>
      <c r="C1712" t="inlineStr">
        <is>
          <t>0                      HQ 0728000H  48          1971</t>
        </is>
      </c>
      <c r="D1712" t="inlineStr">
        <is>
          <t>Families under stress ; adjustment to the crises of war separation and reunion / with chapters in collaboration with Elise Boulding, assisted by Lowell Dunigan and Rachel Ann Elder.</t>
        </is>
      </c>
      <c r="F1712" t="inlineStr">
        <is>
          <t>No</t>
        </is>
      </c>
      <c r="G1712" t="inlineStr">
        <is>
          <t>1</t>
        </is>
      </c>
      <c r="H1712" t="inlineStr">
        <is>
          <t>No</t>
        </is>
      </c>
      <c r="I1712" t="inlineStr">
        <is>
          <t>No</t>
        </is>
      </c>
      <c r="J1712" t="inlineStr">
        <is>
          <t>0</t>
        </is>
      </c>
      <c r="K1712" t="inlineStr">
        <is>
          <t>Hill, Reuben, 1912-1985.</t>
        </is>
      </c>
      <c r="L1712" t="inlineStr">
        <is>
          <t>Westport, Conn. : Greenwood Press [1971, c1949]</t>
        </is>
      </c>
      <c r="M1712" t="inlineStr">
        <is>
          <t>1971</t>
        </is>
      </c>
      <c r="O1712" t="inlineStr">
        <is>
          <t>eng</t>
        </is>
      </c>
      <c r="P1712" t="inlineStr">
        <is>
          <t>ctu</t>
        </is>
      </c>
      <c r="R1712" t="inlineStr">
        <is>
          <t xml:space="preserve">HQ </t>
        </is>
      </c>
      <c r="S1712" t="n">
        <v>3</v>
      </c>
      <c r="T1712" t="n">
        <v>3</v>
      </c>
      <c r="U1712" t="inlineStr">
        <is>
          <t>1993-04-03</t>
        </is>
      </c>
      <c r="V1712" t="inlineStr">
        <is>
          <t>1993-04-03</t>
        </is>
      </c>
      <c r="W1712" t="inlineStr">
        <is>
          <t>1992-10-30</t>
        </is>
      </c>
      <c r="X1712" t="inlineStr">
        <is>
          <t>1992-10-30</t>
        </is>
      </c>
      <c r="Y1712" t="n">
        <v>250</v>
      </c>
      <c r="Z1712" t="n">
        <v>215</v>
      </c>
      <c r="AA1712" t="n">
        <v>538</v>
      </c>
      <c r="AB1712" t="n">
        <v>1</v>
      </c>
      <c r="AC1712" t="n">
        <v>2</v>
      </c>
      <c r="AD1712" t="n">
        <v>10</v>
      </c>
      <c r="AE1712" t="n">
        <v>22</v>
      </c>
      <c r="AF1712" t="n">
        <v>5</v>
      </c>
      <c r="AG1712" t="n">
        <v>11</v>
      </c>
      <c r="AH1712" t="n">
        <v>3</v>
      </c>
      <c r="AI1712" t="n">
        <v>6</v>
      </c>
      <c r="AJ1712" t="n">
        <v>7</v>
      </c>
      <c r="AK1712" t="n">
        <v>13</v>
      </c>
      <c r="AL1712" t="n">
        <v>0</v>
      </c>
      <c r="AM1712" t="n">
        <v>1</v>
      </c>
      <c r="AN1712" t="n">
        <v>0</v>
      </c>
      <c r="AO1712" t="n">
        <v>0</v>
      </c>
      <c r="AP1712" t="inlineStr">
        <is>
          <t>No</t>
        </is>
      </c>
      <c r="AQ1712" t="inlineStr">
        <is>
          <t>No</t>
        </is>
      </c>
      <c r="AS1712">
        <f>HYPERLINK("https://creighton-primo.hosted.exlibrisgroup.com/primo-explore/search?tab=default_tab&amp;search_scope=EVERYTHING&amp;vid=01CRU&amp;lang=en_US&amp;offset=0&amp;query=any,contains,991001234789702656","Catalog Record")</f>
        <v/>
      </c>
      <c r="AT1712">
        <f>HYPERLINK("http://www.worldcat.org/oclc/205219","WorldCat Record")</f>
        <v/>
      </c>
      <c r="AU1712" t="inlineStr">
        <is>
          <t>422635578:eng</t>
        </is>
      </c>
      <c r="AV1712" t="inlineStr">
        <is>
          <t>205219</t>
        </is>
      </c>
      <c r="AW1712" t="inlineStr">
        <is>
          <t>991001234789702656</t>
        </is>
      </c>
      <c r="AX1712" t="inlineStr">
        <is>
          <t>991001234789702656</t>
        </is>
      </c>
      <c r="AY1712" t="inlineStr">
        <is>
          <t>2255378110002656</t>
        </is>
      </c>
      <c r="AZ1712" t="inlineStr">
        <is>
          <t>BOOK</t>
        </is>
      </c>
      <c r="BB1712" t="inlineStr">
        <is>
          <t>9780837131085</t>
        </is>
      </c>
      <c r="BC1712" t="inlineStr">
        <is>
          <t>32285001359222</t>
        </is>
      </c>
      <c r="BD1712" t="inlineStr">
        <is>
          <t>893496935</t>
        </is>
      </c>
    </row>
    <row r="1713">
      <c r="A1713" t="inlineStr">
        <is>
          <t>No</t>
        </is>
      </c>
      <c r="B1713" t="inlineStr">
        <is>
          <t>HQ728 .H8</t>
        </is>
      </c>
      <c r="C1713" t="inlineStr">
        <is>
          <t>0                      HQ 0728000H  8</t>
        </is>
      </c>
      <c r="D1713" t="inlineStr">
        <is>
          <t>Life in families.</t>
        </is>
      </c>
      <c r="F1713" t="inlineStr">
        <is>
          <t>No</t>
        </is>
      </c>
      <c r="G1713" t="inlineStr">
        <is>
          <t>1</t>
        </is>
      </c>
      <c r="H1713" t="inlineStr">
        <is>
          <t>No</t>
        </is>
      </c>
      <c r="I1713" t="inlineStr">
        <is>
          <t>No</t>
        </is>
      </c>
      <c r="J1713" t="inlineStr">
        <is>
          <t>0</t>
        </is>
      </c>
      <c r="K1713" t="inlineStr">
        <is>
          <t>Hughes, Helen MacGill, 1903-1992, compiler.</t>
        </is>
      </c>
      <c r="L1713" t="inlineStr">
        <is>
          <t>Boston : Allyn and Bacon, [1970]</t>
        </is>
      </c>
      <c r="M1713" t="inlineStr">
        <is>
          <t>1970</t>
        </is>
      </c>
      <c r="O1713" t="inlineStr">
        <is>
          <t>eng</t>
        </is>
      </c>
      <c r="P1713" t="inlineStr">
        <is>
          <t>mau</t>
        </is>
      </c>
      <c r="Q1713" t="inlineStr">
        <is>
          <t>Readings in sociology series</t>
        </is>
      </c>
      <c r="R1713" t="inlineStr">
        <is>
          <t xml:space="preserve">HQ </t>
        </is>
      </c>
      <c r="S1713" t="n">
        <v>3</v>
      </c>
      <c r="T1713" t="n">
        <v>3</v>
      </c>
      <c r="U1713" t="inlineStr">
        <is>
          <t>1994-09-09</t>
        </is>
      </c>
      <c r="V1713" t="inlineStr">
        <is>
          <t>1994-09-09</t>
        </is>
      </c>
      <c r="W1713" t="inlineStr">
        <is>
          <t>1993-11-18</t>
        </is>
      </c>
      <c r="X1713" t="inlineStr">
        <is>
          <t>1993-11-18</t>
        </is>
      </c>
      <c r="Y1713" t="n">
        <v>201</v>
      </c>
      <c r="Z1713" t="n">
        <v>166</v>
      </c>
      <c r="AA1713" t="n">
        <v>240</v>
      </c>
      <c r="AB1713" t="n">
        <v>1</v>
      </c>
      <c r="AC1713" t="n">
        <v>2</v>
      </c>
      <c r="AD1713" t="n">
        <v>1</v>
      </c>
      <c r="AE1713" t="n">
        <v>5</v>
      </c>
      <c r="AF1713" t="n">
        <v>1</v>
      </c>
      <c r="AG1713" t="n">
        <v>1</v>
      </c>
      <c r="AH1713" t="n">
        <v>0</v>
      </c>
      <c r="AI1713" t="n">
        <v>0</v>
      </c>
      <c r="AJ1713" t="n">
        <v>1</v>
      </c>
      <c r="AK1713" t="n">
        <v>4</v>
      </c>
      <c r="AL1713" t="n">
        <v>0</v>
      </c>
      <c r="AM1713" t="n">
        <v>1</v>
      </c>
      <c r="AN1713" t="n">
        <v>0</v>
      </c>
      <c r="AO1713" t="n">
        <v>0</v>
      </c>
      <c r="AP1713" t="inlineStr">
        <is>
          <t>No</t>
        </is>
      </c>
      <c r="AQ1713" t="inlineStr">
        <is>
          <t>No</t>
        </is>
      </c>
      <c r="AS1713">
        <f>HYPERLINK("https://creighton-primo.hosted.exlibrisgroup.com/primo-explore/search?tab=default_tab&amp;search_scope=EVERYTHING&amp;vid=01CRU&amp;lang=en_US&amp;offset=0&amp;query=any,contains,991000650039702656","Catalog Record")</f>
        <v/>
      </c>
      <c r="AT1713">
        <f>HYPERLINK("http://www.worldcat.org/oclc/112746","WorldCat Record")</f>
        <v/>
      </c>
      <c r="AU1713" t="inlineStr">
        <is>
          <t>1227569:eng</t>
        </is>
      </c>
      <c r="AV1713" t="inlineStr">
        <is>
          <t>112746</t>
        </is>
      </c>
      <c r="AW1713" t="inlineStr">
        <is>
          <t>991000650039702656</t>
        </is>
      </c>
      <c r="AX1713" t="inlineStr">
        <is>
          <t>991000650039702656</t>
        </is>
      </c>
      <c r="AY1713" t="inlineStr">
        <is>
          <t>2268164450002656</t>
        </is>
      </c>
      <c r="AZ1713" t="inlineStr">
        <is>
          <t>BOOK</t>
        </is>
      </c>
      <c r="BC1713" t="inlineStr">
        <is>
          <t>32285001813046</t>
        </is>
      </c>
      <c r="BD1713" t="inlineStr">
        <is>
          <t>893339754</t>
        </is>
      </c>
    </row>
    <row r="1714">
      <c r="A1714" t="inlineStr">
        <is>
          <t>No</t>
        </is>
      </c>
      <c r="B1714" t="inlineStr">
        <is>
          <t>HQ728 .I55 1963</t>
        </is>
      </c>
      <c r="C1714" t="inlineStr">
        <is>
          <t>0                      HQ 0728000I  55          1963</t>
        </is>
      </c>
      <c r="D1714" t="inlineStr">
        <is>
          <t>Marriage : a psychological and moral approach / edited by William C. Bier.</t>
        </is>
      </c>
      <c r="F1714" t="inlineStr">
        <is>
          <t>No</t>
        </is>
      </c>
      <c r="G1714" t="inlineStr">
        <is>
          <t>1</t>
        </is>
      </c>
      <c r="H1714" t="inlineStr">
        <is>
          <t>No</t>
        </is>
      </c>
      <c r="I1714" t="inlineStr">
        <is>
          <t>No</t>
        </is>
      </c>
      <c r="J1714" t="inlineStr">
        <is>
          <t>0</t>
        </is>
      </c>
      <c r="K1714" t="inlineStr">
        <is>
          <t>Institute of Pastoral Psychology (5th : 1963 : Fordham University)</t>
        </is>
      </c>
      <c r="L1714" t="inlineStr">
        <is>
          <t>New York : Fordham University Press, [1965]</t>
        </is>
      </c>
      <c r="M1714" t="inlineStr">
        <is>
          <t>1965</t>
        </is>
      </c>
      <c r="O1714" t="inlineStr">
        <is>
          <t>eng</t>
        </is>
      </c>
      <c r="P1714" t="inlineStr">
        <is>
          <t>nyu</t>
        </is>
      </c>
      <c r="Q1714" t="inlineStr">
        <is>
          <t>Pastoral psychology series, no. 4</t>
        </is>
      </c>
      <c r="R1714" t="inlineStr">
        <is>
          <t xml:space="preserve">HQ </t>
        </is>
      </c>
      <c r="S1714" t="n">
        <v>6</v>
      </c>
      <c r="T1714" t="n">
        <v>6</v>
      </c>
      <c r="U1714" t="inlineStr">
        <is>
          <t>2010-04-26</t>
        </is>
      </c>
      <c r="V1714" t="inlineStr">
        <is>
          <t>2010-04-26</t>
        </is>
      </c>
      <c r="W1714" t="inlineStr">
        <is>
          <t>1993-03-25</t>
        </is>
      </c>
      <c r="X1714" t="inlineStr">
        <is>
          <t>1993-03-25</t>
        </is>
      </c>
      <c r="Y1714" t="n">
        <v>366</v>
      </c>
      <c r="Z1714" t="n">
        <v>325</v>
      </c>
      <c r="AA1714" t="n">
        <v>327</v>
      </c>
      <c r="AB1714" t="n">
        <v>2</v>
      </c>
      <c r="AC1714" t="n">
        <v>2</v>
      </c>
      <c r="AD1714" t="n">
        <v>28</v>
      </c>
      <c r="AE1714" t="n">
        <v>28</v>
      </c>
      <c r="AF1714" t="n">
        <v>10</v>
      </c>
      <c r="AG1714" t="n">
        <v>10</v>
      </c>
      <c r="AH1714" t="n">
        <v>6</v>
      </c>
      <c r="AI1714" t="n">
        <v>6</v>
      </c>
      <c r="AJ1714" t="n">
        <v>21</v>
      </c>
      <c r="AK1714" t="n">
        <v>21</v>
      </c>
      <c r="AL1714" t="n">
        <v>0</v>
      </c>
      <c r="AM1714" t="n">
        <v>0</v>
      </c>
      <c r="AN1714" t="n">
        <v>0</v>
      </c>
      <c r="AO1714" t="n">
        <v>0</v>
      </c>
      <c r="AP1714" t="inlineStr">
        <is>
          <t>No</t>
        </is>
      </c>
      <c r="AQ1714" t="inlineStr">
        <is>
          <t>Yes</t>
        </is>
      </c>
      <c r="AR1714">
        <f>HYPERLINK("http://catalog.hathitrust.org/Record/001352935","HathiTrust Record")</f>
        <v/>
      </c>
      <c r="AS1714">
        <f>HYPERLINK("https://creighton-primo.hosted.exlibrisgroup.com/primo-explore/search?tab=default_tab&amp;search_scope=EVERYTHING&amp;vid=01CRU&amp;lang=en_US&amp;offset=0&amp;query=any,contains,991003064799702656","Catalog Record")</f>
        <v/>
      </c>
      <c r="AT1714">
        <f>HYPERLINK("http://www.worldcat.org/oclc/150688420","WorldCat Record")</f>
        <v/>
      </c>
      <c r="AU1714" t="inlineStr">
        <is>
          <t>309114803:eng</t>
        </is>
      </c>
      <c r="AV1714" t="inlineStr">
        <is>
          <t>150688420</t>
        </is>
      </c>
      <c r="AW1714" t="inlineStr">
        <is>
          <t>991003064799702656</t>
        </is>
      </c>
      <c r="AX1714" t="inlineStr">
        <is>
          <t>991003064799702656</t>
        </is>
      </c>
      <c r="AY1714" t="inlineStr">
        <is>
          <t>2256533020002656</t>
        </is>
      </c>
      <c r="AZ1714" t="inlineStr">
        <is>
          <t>BOOK</t>
        </is>
      </c>
      <c r="BC1714" t="inlineStr">
        <is>
          <t>32285001590776</t>
        </is>
      </c>
      <c r="BD1714" t="inlineStr">
        <is>
          <t>893627441</t>
        </is>
      </c>
    </row>
    <row r="1715">
      <c r="A1715" t="inlineStr">
        <is>
          <t>No</t>
        </is>
      </c>
      <c r="B1715" t="inlineStr">
        <is>
          <t>HQ728 .I64 1987</t>
        </is>
      </c>
      <c r="C1715" t="inlineStr">
        <is>
          <t>0                      HQ 0728000I  64          1987</t>
        </is>
      </c>
      <c r="D1715" t="inlineStr">
        <is>
          <t>Intimate relationships : development, dynamics, and deterioration / edited by Daniel Perlman, Steve Duck.</t>
        </is>
      </c>
      <c r="F1715" t="inlineStr">
        <is>
          <t>No</t>
        </is>
      </c>
      <c r="G1715" t="inlineStr">
        <is>
          <t>1</t>
        </is>
      </c>
      <c r="H1715" t="inlineStr">
        <is>
          <t>No</t>
        </is>
      </c>
      <c r="I1715" t="inlineStr">
        <is>
          <t>No</t>
        </is>
      </c>
      <c r="J1715" t="inlineStr">
        <is>
          <t>0</t>
        </is>
      </c>
      <c r="L1715" t="inlineStr">
        <is>
          <t>Beverly Hills : Sage Publications, c1987.</t>
        </is>
      </c>
      <c r="M1715" t="inlineStr">
        <is>
          <t>1986</t>
        </is>
      </c>
      <c r="O1715" t="inlineStr">
        <is>
          <t>eng</t>
        </is>
      </c>
      <c r="P1715" t="inlineStr">
        <is>
          <t>cau</t>
        </is>
      </c>
      <c r="Q1715" t="inlineStr">
        <is>
          <t>Sage focus editions ; 80</t>
        </is>
      </c>
      <c r="R1715" t="inlineStr">
        <is>
          <t xml:space="preserve">HQ </t>
        </is>
      </c>
      <c r="S1715" t="n">
        <v>32</v>
      </c>
      <c r="T1715" t="n">
        <v>32</v>
      </c>
      <c r="U1715" t="inlineStr">
        <is>
          <t>2004-04-03</t>
        </is>
      </c>
      <c r="V1715" t="inlineStr">
        <is>
          <t>2004-04-03</t>
        </is>
      </c>
      <c r="W1715" t="inlineStr">
        <is>
          <t>1990-02-01</t>
        </is>
      </c>
      <c r="X1715" t="inlineStr">
        <is>
          <t>1990-02-01</t>
        </is>
      </c>
      <c r="Y1715" t="n">
        <v>637</v>
      </c>
      <c r="Z1715" t="n">
        <v>515</v>
      </c>
      <c r="AA1715" t="n">
        <v>522</v>
      </c>
      <c r="AB1715" t="n">
        <v>4</v>
      </c>
      <c r="AC1715" t="n">
        <v>4</v>
      </c>
      <c r="AD1715" t="n">
        <v>26</v>
      </c>
      <c r="AE1715" t="n">
        <v>26</v>
      </c>
      <c r="AF1715" t="n">
        <v>11</v>
      </c>
      <c r="AG1715" t="n">
        <v>11</v>
      </c>
      <c r="AH1715" t="n">
        <v>6</v>
      </c>
      <c r="AI1715" t="n">
        <v>6</v>
      </c>
      <c r="AJ1715" t="n">
        <v>15</v>
      </c>
      <c r="AK1715" t="n">
        <v>15</v>
      </c>
      <c r="AL1715" t="n">
        <v>3</v>
      </c>
      <c r="AM1715" t="n">
        <v>3</v>
      </c>
      <c r="AN1715" t="n">
        <v>0</v>
      </c>
      <c r="AO1715" t="n">
        <v>0</v>
      </c>
      <c r="AP1715" t="inlineStr">
        <is>
          <t>No</t>
        </is>
      </c>
      <c r="AQ1715" t="inlineStr">
        <is>
          <t>No</t>
        </is>
      </c>
      <c r="AS1715">
        <f>HYPERLINK("https://creighton-primo.hosted.exlibrisgroup.com/primo-explore/search?tab=default_tab&amp;search_scope=EVERYTHING&amp;vid=01CRU&amp;lang=en_US&amp;offset=0&amp;query=any,contains,991000739309702656","Catalog Record")</f>
        <v/>
      </c>
      <c r="AT1715">
        <f>HYPERLINK("http://www.worldcat.org/oclc/12805095","WorldCat Record")</f>
        <v/>
      </c>
      <c r="AU1715" t="inlineStr">
        <is>
          <t>836678169:eng</t>
        </is>
      </c>
      <c r="AV1715" t="inlineStr">
        <is>
          <t>12805095</t>
        </is>
      </c>
      <c r="AW1715" t="inlineStr">
        <is>
          <t>991000739309702656</t>
        </is>
      </c>
      <c r="AX1715" t="inlineStr">
        <is>
          <t>991000739309702656</t>
        </is>
      </c>
      <c r="AY1715" t="inlineStr">
        <is>
          <t>2255745740002656</t>
        </is>
      </c>
      <c r="AZ1715" t="inlineStr">
        <is>
          <t>BOOK</t>
        </is>
      </c>
      <c r="BB1715" t="inlineStr">
        <is>
          <t>9780803926103</t>
        </is>
      </c>
      <c r="BC1715" t="inlineStr">
        <is>
          <t>32285000031780</t>
        </is>
      </c>
      <c r="BD1715" t="inlineStr">
        <is>
          <t>893614463</t>
        </is>
      </c>
    </row>
    <row r="1716">
      <c r="A1716" t="inlineStr">
        <is>
          <t>No</t>
        </is>
      </c>
      <c r="B1716" t="inlineStr">
        <is>
          <t>HQ728 .K37 1966</t>
        </is>
      </c>
      <c r="C1716" t="inlineStr">
        <is>
          <t>0                      HQ 0728000K  37          1966</t>
        </is>
      </c>
      <c r="D1716" t="inlineStr">
        <is>
          <t>The family in perspective [by] William F. Kenkel.</t>
        </is>
      </c>
      <c r="F1716" t="inlineStr">
        <is>
          <t>No</t>
        </is>
      </c>
      <c r="G1716" t="inlineStr">
        <is>
          <t>1</t>
        </is>
      </c>
      <c r="H1716" t="inlineStr">
        <is>
          <t>No</t>
        </is>
      </c>
      <c r="I1716" t="inlineStr">
        <is>
          <t>No</t>
        </is>
      </c>
      <c r="J1716" t="inlineStr">
        <is>
          <t>0</t>
        </is>
      </c>
      <c r="K1716" t="inlineStr">
        <is>
          <t>Kenkel, William F.</t>
        </is>
      </c>
      <c r="L1716" t="inlineStr">
        <is>
          <t>New York, Appleton-Century-Crofts [1966]</t>
        </is>
      </c>
      <c r="M1716" t="inlineStr">
        <is>
          <t>1966</t>
        </is>
      </c>
      <c r="N1716" t="inlineStr">
        <is>
          <t>2d ed.</t>
        </is>
      </c>
      <c r="O1716" t="inlineStr">
        <is>
          <t>eng</t>
        </is>
      </c>
      <c r="P1716" t="inlineStr">
        <is>
          <t>nyu</t>
        </is>
      </c>
      <c r="Q1716" t="inlineStr">
        <is>
          <t>ACC sociology series</t>
        </is>
      </c>
      <c r="R1716" t="inlineStr">
        <is>
          <t xml:space="preserve">HQ </t>
        </is>
      </c>
      <c r="S1716" t="n">
        <v>5</v>
      </c>
      <c r="T1716" t="n">
        <v>5</v>
      </c>
      <c r="U1716" t="inlineStr">
        <is>
          <t>2005-06-16</t>
        </is>
      </c>
      <c r="V1716" t="inlineStr">
        <is>
          <t>2005-06-16</t>
        </is>
      </c>
      <c r="W1716" t="inlineStr">
        <is>
          <t>1997-08-11</t>
        </is>
      </c>
      <c r="X1716" t="inlineStr">
        <is>
          <t>1997-08-11</t>
        </is>
      </c>
      <c r="Y1716" t="n">
        <v>346</v>
      </c>
      <c r="Z1716" t="n">
        <v>285</v>
      </c>
      <c r="AA1716" t="n">
        <v>537</v>
      </c>
      <c r="AB1716" t="n">
        <v>2</v>
      </c>
      <c r="AC1716" t="n">
        <v>3</v>
      </c>
      <c r="AD1716" t="n">
        <v>11</v>
      </c>
      <c r="AE1716" t="n">
        <v>23</v>
      </c>
      <c r="AF1716" t="n">
        <v>4</v>
      </c>
      <c r="AG1716" t="n">
        <v>10</v>
      </c>
      <c r="AH1716" t="n">
        <v>3</v>
      </c>
      <c r="AI1716" t="n">
        <v>6</v>
      </c>
      <c r="AJ1716" t="n">
        <v>5</v>
      </c>
      <c r="AK1716" t="n">
        <v>12</v>
      </c>
      <c r="AL1716" t="n">
        <v>1</v>
      </c>
      <c r="AM1716" t="n">
        <v>1</v>
      </c>
      <c r="AN1716" t="n">
        <v>0</v>
      </c>
      <c r="AO1716" t="n">
        <v>1</v>
      </c>
      <c r="AP1716" t="inlineStr">
        <is>
          <t>No</t>
        </is>
      </c>
      <c r="AQ1716" t="inlineStr">
        <is>
          <t>Yes</t>
        </is>
      </c>
      <c r="AR1716">
        <f>HYPERLINK("http://catalog.hathitrust.org/Record/001109973","HathiTrust Record")</f>
        <v/>
      </c>
      <c r="AS1716">
        <f>HYPERLINK("https://creighton-primo.hosted.exlibrisgroup.com/primo-explore/search?tab=default_tab&amp;search_scope=EVERYTHING&amp;vid=01CRU&amp;lang=en_US&amp;offset=0&amp;query=any,contains,991002036979702656","Catalog Record")</f>
        <v/>
      </c>
      <c r="AT1716">
        <f>HYPERLINK("http://www.worldcat.org/oclc/260678","WorldCat Record")</f>
        <v/>
      </c>
      <c r="AU1716" t="inlineStr">
        <is>
          <t>1368501:eng</t>
        </is>
      </c>
      <c r="AV1716" t="inlineStr">
        <is>
          <t>260678</t>
        </is>
      </c>
      <c r="AW1716" t="inlineStr">
        <is>
          <t>991002036979702656</t>
        </is>
      </c>
      <c r="AX1716" t="inlineStr">
        <is>
          <t>991002036979702656</t>
        </is>
      </c>
      <c r="AY1716" t="inlineStr">
        <is>
          <t>2262529350002656</t>
        </is>
      </c>
      <c r="AZ1716" t="inlineStr">
        <is>
          <t>BOOK</t>
        </is>
      </c>
      <c r="BC1716" t="inlineStr">
        <is>
          <t>32285003089355</t>
        </is>
      </c>
      <c r="BD1716" t="inlineStr">
        <is>
          <t>893497650</t>
        </is>
      </c>
    </row>
    <row r="1717">
      <c r="A1717" t="inlineStr">
        <is>
          <t>No</t>
        </is>
      </c>
      <c r="B1717" t="inlineStr">
        <is>
          <t>HQ728 .K477 1985</t>
        </is>
      </c>
      <c r="C1717" t="inlineStr">
        <is>
          <t>0                      HQ 0728000K  477         1985</t>
        </is>
      </c>
      <c r="D1717" t="inlineStr">
        <is>
          <t>Adoptive kinship : a modern institution in need of reform / H. David Kirk ; with a preface by Robin M. Williams, Jr.</t>
        </is>
      </c>
      <c r="F1717" t="inlineStr">
        <is>
          <t>No</t>
        </is>
      </c>
      <c r="G1717" t="inlineStr">
        <is>
          <t>1</t>
        </is>
      </c>
      <c r="H1717" t="inlineStr">
        <is>
          <t>No</t>
        </is>
      </c>
      <c r="I1717" t="inlineStr">
        <is>
          <t>No</t>
        </is>
      </c>
      <c r="J1717" t="inlineStr">
        <is>
          <t>0</t>
        </is>
      </c>
      <c r="K1717" t="inlineStr">
        <is>
          <t>Kirk, H. David.</t>
        </is>
      </c>
      <c r="L1717" t="inlineStr">
        <is>
          <t>Port Angeles, Wash. ; Brentwood Bay, B.C. : Ben-Simon Publications, c1985.</t>
        </is>
      </c>
      <c r="M1717" t="inlineStr">
        <is>
          <t>1985</t>
        </is>
      </c>
      <c r="N1717" t="inlineStr">
        <is>
          <t>Rev. ed.</t>
        </is>
      </c>
      <c r="O1717" t="inlineStr">
        <is>
          <t>eng</t>
        </is>
      </c>
      <c r="P1717" t="inlineStr">
        <is>
          <t>wau</t>
        </is>
      </c>
      <c r="R1717" t="inlineStr">
        <is>
          <t xml:space="preserve">HQ </t>
        </is>
      </c>
      <c r="S1717" t="n">
        <v>17</v>
      </c>
      <c r="T1717" t="n">
        <v>17</v>
      </c>
      <c r="U1717" t="inlineStr">
        <is>
          <t>1999-03-15</t>
        </is>
      </c>
      <c r="V1717" t="inlineStr">
        <is>
          <t>1999-03-15</t>
        </is>
      </c>
      <c r="W1717" t="inlineStr">
        <is>
          <t>1992-10-30</t>
        </is>
      </c>
      <c r="X1717" t="inlineStr">
        <is>
          <t>1992-10-30</t>
        </is>
      </c>
      <c r="Y1717" t="n">
        <v>100</v>
      </c>
      <c r="Z1717" t="n">
        <v>86</v>
      </c>
      <c r="AA1717" t="n">
        <v>307</v>
      </c>
      <c r="AB1717" t="n">
        <v>2</v>
      </c>
      <c r="AC1717" t="n">
        <v>3</v>
      </c>
      <c r="AD1717" t="n">
        <v>1</v>
      </c>
      <c r="AE1717" t="n">
        <v>13</v>
      </c>
      <c r="AF1717" t="n">
        <v>0</v>
      </c>
      <c r="AG1717" t="n">
        <v>5</v>
      </c>
      <c r="AH1717" t="n">
        <v>0</v>
      </c>
      <c r="AI1717" t="n">
        <v>3</v>
      </c>
      <c r="AJ1717" t="n">
        <v>0</v>
      </c>
      <c r="AK1717" t="n">
        <v>4</v>
      </c>
      <c r="AL1717" t="n">
        <v>1</v>
      </c>
      <c r="AM1717" t="n">
        <v>2</v>
      </c>
      <c r="AN1717" t="n">
        <v>0</v>
      </c>
      <c r="AO1717" t="n">
        <v>2</v>
      </c>
      <c r="AP1717" t="inlineStr">
        <is>
          <t>No</t>
        </is>
      </c>
      <c r="AQ1717" t="inlineStr">
        <is>
          <t>Yes</t>
        </is>
      </c>
      <c r="AR1717">
        <f>HYPERLINK("http://catalog.hathitrust.org/Record/004033138","HathiTrust Record")</f>
        <v/>
      </c>
      <c r="AS1717">
        <f>HYPERLINK("https://creighton-primo.hosted.exlibrisgroup.com/primo-explore/search?tab=default_tab&amp;search_scope=EVERYTHING&amp;vid=01CRU&amp;lang=en_US&amp;offset=0&amp;query=any,contains,991000789699702656","Catalog Record")</f>
        <v/>
      </c>
      <c r="AT1717">
        <f>HYPERLINK("http://www.worldcat.org/oclc/13145467","WorldCat Record")</f>
        <v/>
      </c>
      <c r="AU1717" t="inlineStr">
        <is>
          <t>5886758:eng</t>
        </is>
      </c>
      <c r="AV1717" t="inlineStr">
        <is>
          <t>13145467</t>
        </is>
      </c>
      <c r="AW1717" t="inlineStr">
        <is>
          <t>991000789699702656</t>
        </is>
      </c>
      <c r="AX1717" t="inlineStr">
        <is>
          <t>991000789699702656</t>
        </is>
      </c>
      <c r="AY1717" t="inlineStr">
        <is>
          <t>2269002210002656</t>
        </is>
      </c>
      <c r="AZ1717" t="inlineStr">
        <is>
          <t>BOOK</t>
        </is>
      </c>
      <c r="BB1717" t="inlineStr">
        <is>
          <t>9780914539018</t>
        </is>
      </c>
      <c r="BC1717" t="inlineStr">
        <is>
          <t>32285001359230</t>
        </is>
      </c>
      <c r="BD1717" t="inlineStr">
        <is>
          <t>893496560</t>
        </is>
      </c>
    </row>
    <row r="1718">
      <c r="A1718" t="inlineStr">
        <is>
          <t>No</t>
        </is>
      </c>
      <c r="B1718" t="inlineStr">
        <is>
          <t>HQ728 .K48 1963</t>
        </is>
      </c>
      <c r="C1718" t="inlineStr">
        <is>
          <t>0                      HQ 0728000K  48          1963</t>
        </is>
      </c>
      <c r="D1718" t="inlineStr">
        <is>
          <t>The family as process and institution.</t>
        </is>
      </c>
      <c r="F1718" t="inlineStr">
        <is>
          <t>No</t>
        </is>
      </c>
      <c r="G1718" t="inlineStr">
        <is>
          <t>1</t>
        </is>
      </c>
      <c r="H1718" t="inlineStr">
        <is>
          <t>No</t>
        </is>
      </c>
      <c r="I1718" t="inlineStr">
        <is>
          <t>No</t>
        </is>
      </c>
      <c r="J1718" t="inlineStr">
        <is>
          <t>0</t>
        </is>
      </c>
      <c r="K1718" t="inlineStr">
        <is>
          <t>Kirkpatrick, Clifford, 1898-1971.</t>
        </is>
      </c>
      <c r="L1718" t="inlineStr">
        <is>
          <t>New York : Ronald Press Co., [1963]</t>
        </is>
      </c>
      <c r="M1718" t="inlineStr">
        <is>
          <t>1963</t>
        </is>
      </c>
      <c r="N1718" t="inlineStr">
        <is>
          <t>2d ed.</t>
        </is>
      </c>
      <c r="O1718" t="inlineStr">
        <is>
          <t>eng</t>
        </is>
      </c>
      <c r="P1718" t="inlineStr">
        <is>
          <t>nyu</t>
        </is>
      </c>
      <c r="R1718" t="inlineStr">
        <is>
          <t xml:space="preserve">HQ </t>
        </is>
      </c>
      <c r="S1718" t="n">
        <v>1</v>
      </c>
      <c r="T1718" t="n">
        <v>1</v>
      </c>
      <c r="U1718" t="inlineStr">
        <is>
          <t>2002-04-08</t>
        </is>
      </c>
      <c r="V1718" t="inlineStr">
        <is>
          <t>2002-04-08</t>
        </is>
      </c>
      <c r="W1718" t="inlineStr">
        <is>
          <t>1994-03-29</t>
        </is>
      </c>
      <c r="X1718" t="inlineStr">
        <is>
          <t>1994-03-29</t>
        </is>
      </c>
      <c r="Y1718" t="n">
        <v>508</v>
      </c>
      <c r="Z1718" t="n">
        <v>405</v>
      </c>
      <c r="AA1718" t="n">
        <v>563</v>
      </c>
      <c r="AB1718" t="n">
        <v>4</v>
      </c>
      <c r="AC1718" t="n">
        <v>4</v>
      </c>
      <c r="AD1718" t="n">
        <v>16</v>
      </c>
      <c r="AE1718" t="n">
        <v>26</v>
      </c>
      <c r="AF1718" t="n">
        <v>6</v>
      </c>
      <c r="AG1718" t="n">
        <v>10</v>
      </c>
      <c r="AH1718" t="n">
        <v>1</v>
      </c>
      <c r="AI1718" t="n">
        <v>3</v>
      </c>
      <c r="AJ1718" t="n">
        <v>10</v>
      </c>
      <c r="AK1718" t="n">
        <v>16</v>
      </c>
      <c r="AL1718" t="n">
        <v>3</v>
      </c>
      <c r="AM1718" t="n">
        <v>3</v>
      </c>
      <c r="AN1718" t="n">
        <v>0</v>
      </c>
      <c r="AO1718" t="n">
        <v>2</v>
      </c>
      <c r="AP1718" t="inlineStr">
        <is>
          <t>No</t>
        </is>
      </c>
      <c r="AQ1718" t="inlineStr">
        <is>
          <t>Yes</t>
        </is>
      </c>
      <c r="AR1718">
        <f>HYPERLINK("http://catalog.hathitrust.org/Record/001109974","HathiTrust Record")</f>
        <v/>
      </c>
      <c r="AS1718">
        <f>HYPERLINK("https://creighton-primo.hosted.exlibrisgroup.com/primo-explore/search?tab=default_tab&amp;search_scope=EVERYTHING&amp;vid=01CRU&amp;lang=en_US&amp;offset=0&amp;query=any,contains,991002025299702656","Catalog Record")</f>
        <v/>
      </c>
      <c r="AT1718">
        <f>HYPERLINK("http://www.worldcat.org/oclc/259744","WorldCat Record")</f>
        <v/>
      </c>
      <c r="AU1718" t="inlineStr">
        <is>
          <t>1366283:eng</t>
        </is>
      </c>
      <c r="AV1718" t="inlineStr">
        <is>
          <t>259744</t>
        </is>
      </c>
      <c r="AW1718" t="inlineStr">
        <is>
          <t>991002025299702656</t>
        </is>
      </c>
      <c r="AX1718" t="inlineStr">
        <is>
          <t>991002025299702656</t>
        </is>
      </c>
      <c r="AY1718" t="inlineStr">
        <is>
          <t>2272684070002656</t>
        </is>
      </c>
      <c r="AZ1718" t="inlineStr">
        <is>
          <t>BOOK</t>
        </is>
      </c>
      <c r="BC1718" t="inlineStr">
        <is>
          <t>32285001872679</t>
        </is>
      </c>
      <c r="BD1718" t="inlineStr">
        <is>
          <t>893590840</t>
        </is>
      </c>
    </row>
    <row r="1719">
      <c r="A1719" t="inlineStr">
        <is>
          <t>No</t>
        </is>
      </c>
      <c r="B1719" t="inlineStr">
        <is>
          <t>HQ728 .L39 1969</t>
        </is>
      </c>
      <c r="C1719" t="inlineStr">
        <is>
          <t>0                      HQ 0728000L  39          1969</t>
        </is>
      </c>
      <c r="D1719" t="inlineStr">
        <is>
          <t>Marriage : an examination of the man-woman relationship / [by] Herman R. Lantz and Eloise C. Snyder.</t>
        </is>
      </c>
      <c r="F1719" t="inlineStr">
        <is>
          <t>No</t>
        </is>
      </c>
      <c r="G1719" t="inlineStr">
        <is>
          <t>1</t>
        </is>
      </c>
      <c r="H1719" t="inlineStr">
        <is>
          <t>No</t>
        </is>
      </c>
      <c r="I1719" t="inlineStr">
        <is>
          <t>No</t>
        </is>
      </c>
      <c r="J1719" t="inlineStr">
        <is>
          <t>0</t>
        </is>
      </c>
      <c r="K1719" t="inlineStr">
        <is>
          <t>Lantz, Herman R.</t>
        </is>
      </c>
      <c r="L1719" t="inlineStr">
        <is>
          <t>New York : Wiley, [1969]</t>
        </is>
      </c>
      <c r="M1719" t="inlineStr">
        <is>
          <t>1969</t>
        </is>
      </c>
      <c r="N1719" t="inlineStr">
        <is>
          <t>2d ed.</t>
        </is>
      </c>
      <c r="O1719" t="inlineStr">
        <is>
          <t>eng</t>
        </is>
      </c>
      <c r="P1719" t="inlineStr">
        <is>
          <t>nyu</t>
        </is>
      </c>
      <c r="R1719" t="inlineStr">
        <is>
          <t xml:space="preserve">HQ </t>
        </is>
      </c>
      <c r="S1719" t="n">
        <v>2</v>
      </c>
      <c r="T1719" t="n">
        <v>2</v>
      </c>
      <c r="U1719" t="inlineStr">
        <is>
          <t>1997-11-03</t>
        </is>
      </c>
      <c r="V1719" t="inlineStr">
        <is>
          <t>1997-11-03</t>
        </is>
      </c>
      <c r="W1719" t="inlineStr">
        <is>
          <t>1994-03-29</t>
        </is>
      </c>
      <c r="X1719" t="inlineStr">
        <is>
          <t>1994-03-29</t>
        </is>
      </c>
      <c r="Y1719" t="n">
        <v>538</v>
      </c>
      <c r="Z1719" t="n">
        <v>435</v>
      </c>
      <c r="AA1719" t="n">
        <v>611</v>
      </c>
      <c r="AB1719" t="n">
        <v>6</v>
      </c>
      <c r="AC1719" t="n">
        <v>9</v>
      </c>
      <c r="AD1719" t="n">
        <v>26</v>
      </c>
      <c r="AE1719" t="n">
        <v>31</v>
      </c>
      <c r="AF1719" t="n">
        <v>8</v>
      </c>
      <c r="AG1719" t="n">
        <v>10</v>
      </c>
      <c r="AH1719" t="n">
        <v>3</v>
      </c>
      <c r="AI1719" t="n">
        <v>4</v>
      </c>
      <c r="AJ1719" t="n">
        <v>13</v>
      </c>
      <c r="AK1719" t="n">
        <v>14</v>
      </c>
      <c r="AL1719" t="n">
        <v>5</v>
      </c>
      <c r="AM1719" t="n">
        <v>7</v>
      </c>
      <c r="AN1719" t="n">
        <v>0</v>
      </c>
      <c r="AO1719" t="n">
        <v>0</v>
      </c>
      <c r="AP1719" t="inlineStr">
        <is>
          <t>No</t>
        </is>
      </c>
      <c r="AQ1719" t="inlineStr">
        <is>
          <t>No</t>
        </is>
      </c>
      <c r="AR1719">
        <f>HYPERLINK("http://catalog.hathitrust.org/Record/001109979","HathiTrust Record")</f>
        <v/>
      </c>
      <c r="AS1719">
        <f>HYPERLINK("https://creighton-primo.hosted.exlibrisgroup.com/primo-explore/search?tab=default_tab&amp;search_scope=EVERYTHING&amp;vid=01CRU&amp;lang=en_US&amp;offset=0&amp;query=any,contains,991005437699702656","Catalog Record")</f>
        <v/>
      </c>
      <c r="AT1719">
        <f>HYPERLINK("http://www.worldcat.org/oclc/5474","WorldCat Record")</f>
        <v/>
      </c>
      <c r="AU1719" t="inlineStr">
        <is>
          <t>1128837:eng</t>
        </is>
      </c>
      <c r="AV1719" t="inlineStr">
        <is>
          <t>5474</t>
        </is>
      </c>
      <c r="AW1719" t="inlineStr">
        <is>
          <t>991005437699702656</t>
        </is>
      </c>
      <c r="AX1719" t="inlineStr">
        <is>
          <t>991005437699702656</t>
        </is>
      </c>
      <c r="AY1719" t="inlineStr">
        <is>
          <t>2264608720002656</t>
        </is>
      </c>
      <c r="AZ1719" t="inlineStr">
        <is>
          <t>BOOK</t>
        </is>
      </c>
      <c r="BB1719" t="inlineStr">
        <is>
          <t>9780471517306</t>
        </is>
      </c>
      <c r="BC1719" t="inlineStr">
        <is>
          <t>32285001872661</t>
        </is>
      </c>
      <c r="BD1719" t="inlineStr">
        <is>
          <t>893345197</t>
        </is>
      </c>
    </row>
    <row r="1720">
      <c r="A1720" t="inlineStr">
        <is>
          <t>No</t>
        </is>
      </c>
      <c r="B1720" t="inlineStr">
        <is>
          <t>HQ728 .L398</t>
        </is>
      </c>
      <c r="C1720" t="inlineStr">
        <is>
          <t>0                      HQ 0728000L  398</t>
        </is>
      </c>
      <c r="D1720" t="inlineStr">
        <is>
          <t>Love, marriage, family : a developmental approach / [compiled by] Marcia E. Lasswell [and] Thomas E. Lasswell.</t>
        </is>
      </c>
      <c r="F1720" t="inlineStr">
        <is>
          <t>No</t>
        </is>
      </c>
      <c r="G1720" t="inlineStr">
        <is>
          <t>1</t>
        </is>
      </c>
      <c r="H1720" t="inlineStr">
        <is>
          <t>No</t>
        </is>
      </c>
      <c r="I1720" t="inlineStr">
        <is>
          <t>No</t>
        </is>
      </c>
      <c r="J1720" t="inlineStr">
        <is>
          <t>0</t>
        </is>
      </c>
      <c r="K1720" t="inlineStr">
        <is>
          <t>Lasswell, Marcia E. compiler.</t>
        </is>
      </c>
      <c r="L1720" t="inlineStr">
        <is>
          <t>Glenview, Ill. : Scott, Foresman, [1973]</t>
        </is>
      </c>
      <c r="M1720" t="inlineStr">
        <is>
          <t>1973</t>
        </is>
      </c>
      <c r="O1720" t="inlineStr">
        <is>
          <t>eng</t>
        </is>
      </c>
      <c r="P1720" t="inlineStr">
        <is>
          <t>ilu</t>
        </is>
      </c>
      <c r="R1720" t="inlineStr">
        <is>
          <t xml:space="preserve">HQ </t>
        </is>
      </c>
      <c r="S1720" t="n">
        <v>8</v>
      </c>
      <c r="T1720" t="n">
        <v>8</v>
      </c>
      <c r="U1720" t="inlineStr">
        <is>
          <t>1996-01-21</t>
        </is>
      </c>
      <c r="V1720" t="inlineStr">
        <is>
          <t>1996-01-21</t>
        </is>
      </c>
      <c r="W1720" t="inlineStr">
        <is>
          <t>1994-03-29</t>
        </is>
      </c>
      <c r="X1720" t="inlineStr">
        <is>
          <t>1994-03-29</t>
        </is>
      </c>
      <c r="Y1720" t="n">
        <v>335</v>
      </c>
      <c r="Z1720" t="n">
        <v>258</v>
      </c>
      <c r="AA1720" t="n">
        <v>265</v>
      </c>
      <c r="AB1720" t="n">
        <v>3</v>
      </c>
      <c r="AC1720" t="n">
        <v>3</v>
      </c>
      <c r="AD1720" t="n">
        <v>14</v>
      </c>
      <c r="AE1720" t="n">
        <v>14</v>
      </c>
      <c r="AF1720" t="n">
        <v>5</v>
      </c>
      <c r="AG1720" t="n">
        <v>5</v>
      </c>
      <c r="AH1720" t="n">
        <v>3</v>
      </c>
      <c r="AI1720" t="n">
        <v>3</v>
      </c>
      <c r="AJ1720" t="n">
        <v>7</v>
      </c>
      <c r="AK1720" t="n">
        <v>7</v>
      </c>
      <c r="AL1720" t="n">
        <v>2</v>
      </c>
      <c r="AM1720" t="n">
        <v>2</v>
      </c>
      <c r="AN1720" t="n">
        <v>0</v>
      </c>
      <c r="AO1720" t="n">
        <v>0</v>
      </c>
      <c r="AP1720" t="inlineStr">
        <is>
          <t>No</t>
        </is>
      </c>
      <c r="AQ1720" t="inlineStr">
        <is>
          <t>Yes</t>
        </is>
      </c>
      <c r="AR1720">
        <f>HYPERLINK("http://catalog.hathitrust.org/Record/000009033","HathiTrust Record")</f>
        <v/>
      </c>
      <c r="AS1720">
        <f>HYPERLINK("https://creighton-primo.hosted.exlibrisgroup.com/primo-explore/search?tab=default_tab&amp;search_scope=EVERYTHING&amp;vid=01CRU&amp;lang=en_US&amp;offset=0&amp;query=any,contains,991003101459702656","Catalog Record")</f>
        <v/>
      </c>
      <c r="AT1720">
        <f>HYPERLINK("http://www.worldcat.org/oclc/650044","WorldCat Record")</f>
        <v/>
      </c>
      <c r="AU1720" t="inlineStr">
        <is>
          <t>889806216:eng</t>
        </is>
      </c>
      <c r="AV1720" t="inlineStr">
        <is>
          <t>650044</t>
        </is>
      </c>
      <c r="AW1720" t="inlineStr">
        <is>
          <t>991003101459702656</t>
        </is>
      </c>
      <c r="AX1720" t="inlineStr">
        <is>
          <t>991003101459702656</t>
        </is>
      </c>
      <c r="AY1720" t="inlineStr">
        <is>
          <t>2266369350002656</t>
        </is>
      </c>
      <c r="AZ1720" t="inlineStr">
        <is>
          <t>BOOK</t>
        </is>
      </c>
      <c r="BB1720" t="inlineStr">
        <is>
          <t>9780673075239</t>
        </is>
      </c>
      <c r="BC1720" t="inlineStr">
        <is>
          <t>32285001872653</t>
        </is>
      </c>
      <c r="BD1720" t="inlineStr">
        <is>
          <t>893227691</t>
        </is>
      </c>
    </row>
    <row r="1721">
      <c r="A1721" t="inlineStr">
        <is>
          <t>No</t>
        </is>
      </c>
      <c r="B1721" t="inlineStr">
        <is>
          <t>HQ728 .M29</t>
        </is>
      </c>
      <c r="C1721" t="inlineStr">
        <is>
          <t>0                      HQ 0728000M  29</t>
        </is>
      </c>
      <c r="D1721" t="inlineStr">
        <is>
          <t>Marriage: for &amp; against / Introd. by Harold H. Hart.</t>
        </is>
      </c>
      <c r="F1721" t="inlineStr">
        <is>
          <t>No</t>
        </is>
      </c>
      <c r="G1721" t="inlineStr">
        <is>
          <t>1</t>
        </is>
      </c>
      <c r="H1721" t="inlineStr">
        <is>
          <t>No</t>
        </is>
      </c>
      <c r="I1721" t="inlineStr">
        <is>
          <t>No</t>
        </is>
      </c>
      <c r="J1721" t="inlineStr">
        <is>
          <t>0</t>
        </is>
      </c>
      <c r="L1721" t="inlineStr">
        <is>
          <t>New York : Hart Pub. Co. ; 1972.</t>
        </is>
      </c>
      <c r="M1721" t="inlineStr">
        <is>
          <t>1972</t>
        </is>
      </c>
      <c r="O1721" t="inlineStr">
        <is>
          <t>eng</t>
        </is>
      </c>
      <c r="P1721" t="inlineStr">
        <is>
          <t>nyu</t>
        </is>
      </c>
      <c r="R1721" t="inlineStr">
        <is>
          <t xml:space="preserve">HQ </t>
        </is>
      </c>
      <c r="S1721" t="n">
        <v>8</v>
      </c>
      <c r="T1721" t="n">
        <v>8</v>
      </c>
      <c r="U1721" t="inlineStr">
        <is>
          <t>1996-04-26</t>
        </is>
      </c>
      <c r="V1721" t="inlineStr">
        <is>
          <t>1996-04-26</t>
        </is>
      </c>
      <c r="W1721" t="inlineStr">
        <is>
          <t>1992-10-30</t>
        </is>
      </c>
      <c r="X1721" t="inlineStr">
        <is>
          <t>1992-10-30</t>
        </is>
      </c>
      <c r="Y1721" t="n">
        <v>477</v>
      </c>
      <c r="Z1721" t="n">
        <v>437</v>
      </c>
      <c r="AA1721" t="n">
        <v>445</v>
      </c>
      <c r="AB1721" t="n">
        <v>6</v>
      </c>
      <c r="AC1721" t="n">
        <v>6</v>
      </c>
      <c r="AD1721" t="n">
        <v>15</v>
      </c>
      <c r="AE1721" t="n">
        <v>15</v>
      </c>
      <c r="AF1721" t="n">
        <v>6</v>
      </c>
      <c r="AG1721" t="n">
        <v>6</v>
      </c>
      <c r="AH1721" t="n">
        <v>2</v>
      </c>
      <c r="AI1721" t="n">
        <v>2</v>
      </c>
      <c r="AJ1721" t="n">
        <v>4</v>
      </c>
      <c r="AK1721" t="n">
        <v>4</v>
      </c>
      <c r="AL1721" t="n">
        <v>5</v>
      </c>
      <c r="AM1721" t="n">
        <v>5</v>
      </c>
      <c r="AN1721" t="n">
        <v>0</v>
      </c>
      <c r="AO1721" t="n">
        <v>0</v>
      </c>
      <c r="AP1721" t="inlineStr">
        <is>
          <t>No</t>
        </is>
      </c>
      <c r="AQ1721" t="inlineStr">
        <is>
          <t>Yes</t>
        </is>
      </c>
      <c r="AR1721">
        <f>HYPERLINK("http://catalog.hathitrust.org/Record/004398095","HathiTrust Record")</f>
        <v/>
      </c>
      <c r="AS1721">
        <f>HYPERLINK("https://creighton-primo.hosted.exlibrisgroup.com/primo-explore/search?tab=default_tab&amp;search_scope=EVERYTHING&amp;vid=01CRU&amp;lang=en_US&amp;offset=0&amp;query=any,contains,991002295989702656","Catalog Record")</f>
        <v/>
      </c>
      <c r="AT1721">
        <f>HYPERLINK("http://www.worldcat.org/oclc/315458","WorldCat Record")</f>
        <v/>
      </c>
      <c r="AU1721" t="inlineStr">
        <is>
          <t>1384845:eng</t>
        </is>
      </c>
      <c r="AV1721" t="inlineStr">
        <is>
          <t>315458</t>
        </is>
      </c>
      <c r="AW1721" t="inlineStr">
        <is>
          <t>991002295989702656</t>
        </is>
      </c>
      <c r="AX1721" t="inlineStr">
        <is>
          <t>991002295989702656</t>
        </is>
      </c>
      <c r="AY1721" t="inlineStr">
        <is>
          <t>2268877640002656</t>
        </is>
      </c>
      <c r="AZ1721" t="inlineStr">
        <is>
          <t>BOOK</t>
        </is>
      </c>
      <c r="BB1721" t="inlineStr">
        <is>
          <t>9780805501223</t>
        </is>
      </c>
      <c r="BC1721" t="inlineStr">
        <is>
          <t>32285001359248</t>
        </is>
      </c>
      <c r="BD1721" t="inlineStr">
        <is>
          <t>893703921</t>
        </is>
      </c>
    </row>
    <row r="1722">
      <c r="A1722" t="inlineStr">
        <is>
          <t>No</t>
        </is>
      </c>
      <c r="B1722" t="inlineStr">
        <is>
          <t>HQ728 .M37 1984</t>
        </is>
      </c>
      <c r="C1722" t="inlineStr">
        <is>
          <t>0                      HQ 0728000M  37          1984</t>
        </is>
      </c>
      <c r="D1722" t="inlineStr">
        <is>
          <t>Marriage and the family in the year 2020 / edited by Lester A. Kirkendall, Arthur E. Gravatt.</t>
        </is>
      </c>
      <c r="F1722" t="inlineStr">
        <is>
          <t>No</t>
        </is>
      </c>
      <c r="G1722" t="inlineStr">
        <is>
          <t>1</t>
        </is>
      </c>
      <c r="H1722" t="inlineStr">
        <is>
          <t>No</t>
        </is>
      </c>
      <c r="I1722" t="inlineStr">
        <is>
          <t>No</t>
        </is>
      </c>
      <c r="J1722" t="inlineStr">
        <is>
          <t>0</t>
        </is>
      </c>
      <c r="L1722" t="inlineStr">
        <is>
          <t>Buffalo, N.Y. : Prometheus Books, 1984.</t>
        </is>
      </c>
      <c r="M1722" t="inlineStr">
        <is>
          <t>1984</t>
        </is>
      </c>
      <c r="O1722" t="inlineStr">
        <is>
          <t>eng</t>
        </is>
      </c>
      <c r="P1722" t="inlineStr">
        <is>
          <t>nyu</t>
        </is>
      </c>
      <c r="R1722" t="inlineStr">
        <is>
          <t xml:space="preserve">HQ </t>
        </is>
      </c>
      <c r="S1722" t="n">
        <v>19</v>
      </c>
      <c r="T1722" t="n">
        <v>19</v>
      </c>
      <c r="U1722" t="inlineStr">
        <is>
          <t>2001-12-03</t>
        </is>
      </c>
      <c r="V1722" t="inlineStr">
        <is>
          <t>2001-12-03</t>
        </is>
      </c>
      <c r="W1722" t="inlineStr">
        <is>
          <t>1990-04-10</t>
        </is>
      </c>
      <c r="X1722" t="inlineStr">
        <is>
          <t>1990-04-10</t>
        </is>
      </c>
      <c r="Y1722" t="n">
        <v>451</v>
      </c>
      <c r="Z1722" t="n">
        <v>389</v>
      </c>
      <c r="AA1722" t="n">
        <v>395</v>
      </c>
      <c r="AB1722" t="n">
        <v>3</v>
      </c>
      <c r="AC1722" t="n">
        <v>3</v>
      </c>
      <c r="AD1722" t="n">
        <v>9</v>
      </c>
      <c r="AE1722" t="n">
        <v>9</v>
      </c>
      <c r="AF1722" t="n">
        <v>2</v>
      </c>
      <c r="AG1722" t="n">
        <v>2</v>
      </c>
      <c r="AH1722" t="n">
        <v>2</v>
      </c>
      <c r="AI1722" t="n">
        <v>2</v>
      </c>
      <c r="AJ1722" t="n">
        <v>5</v>
      </c>
      <c r="AK1722" t="n">
        <v>5</v>
      </c>
      <c r="AL1722" t="n">
        <v>2</v>
      </c>
      <c r="AM1722" t="n">
        <v>2</v>
      </c>
      <c r="AN1722" t="n">
        <v>0</v>
      </c>
      <c r="AO1722" t="n">
        <v>0</v>
      </c>
      <c r="AP1722" t="inlineStr">
        <is>
          <t>No</t>
        </is>
      </c>
      <c r="AQ1722" t="inlineStr">
        <is>
          <t>Yes</t>
        </is>
      </c>
      <c r="AR1722">
        <f>HYPERLINK("http://catalog.hathitrust.org/Record/000166842","HathiTrust Record")</f>
        <v/>
      </c>
      <c r="AS1722">
        <f>HYPERLINK("https://creighton-primo.hosted.exlibrisgroup.com/primo-explore/search?tab=default_tab&amp;search_scope=EVERYTHING&amp;vid=01CRU&amp;lang=en_US&amp;offset=0&amp;query=any,contains,991000503979702656","Catalog Record")</f>
        <v/>
      </c>
      <c r="AT1722">
        <f>HYPERLINK("http://www.worldcat.org/oclc/11167919","WorldCat Record")</f>
        <v/>
      </c>
      <c r="AU1722" t="inlineStr">
        <is>
          <t>355704021:eng</t>
        </is>
      </c>
      <c r="AV1722" t="inlineStr">
        <is>
          <t>11167919</t>
        </is>
      </c>
      <c r="AW1722" t="inlineStr">
        <is>
          <t>991000503979702656</t>
        </is>
      </c>
      <c r="AX1722" t="inlineStr">
        <is>
          <t>991000503979702656</t>
        </is>
      </c>
      <c r="AY1722" t="inlineStr">
        <is>
          <t>2266927100002656</t>
        </is>
      </c>
      <c r="AZ1722" t="inlineStr">
        <is>
          <t>BOOK</t>
        </is>
      </c>
      <c r="BB1722" t="inlineStr">
        <is>
          <t>9780879752439</t>
        </is>
      </c>
      <c r="BC1722" t="inlineStr">
        <is>
          <t>32285000113273</t>
        </is>
      </c>
      <c r="BD1722" t="inlineStr">
        <is>
          <t>893432015</t>
        </is>
      </c>
    </row>
    <row r="1723">
      <c r="A1723" t="inlineStr">
        <is>
          <t>No</t>
        </is>
      </c>
      <c r="B1723" t="inlineStr">
        <is>
          <t>HQ728 .M55 2004</t>
        </is>
      </c>
      <c r="C1723" t="inlineStr">
        <is>
          <t>0                      HQ 0728000M  55          2004</t>
        </is>
      </c>
      <c r="D1723" t="inlineStr">
        <is>
          <t>More than kin and less than kind : the evolution of family conflict / Douglas W. Mock.</t>
        </is>
      </c>
      <c r="F1723" t="inlineStr">
        <is>
          <t>No</t>
        </is>
      </c>
      <c r="G1723" t="inlineStr">
        <is>
          <t>1</t>
        </is>
      </c>
      <c r="H1723" t="inlineStr">
        <is>
          <t>No</t>
        </is>
      </c>
      <c r="I1723" t="inlineStr">
        <is>
          <t>No</t>
        </is>
      </c>
      <c r="J1723" t="inlineStr">
        <is>
          <t>0</t>
        </is>
      </c>
      <c r="K1723" t="inlineStr">
        <is>
          <t>Mock, Douglas W.</t>
        </is>
      </c>
      <c r="L1723" t="inlineStr">
        <is>
          <t>Cambridge, Mass. : Belknap Press of Harvard University Press, c2004.</t>
        </is>
      </c>
      <c r="M1723" t="inlineStr">
        <is>
          <t>2004</t>
        </is>
      </c>
      <c r="O1723" t="inlineStr">
        <is>
          <t>eng</t>
        </is>
      </c>
      <c r="P1723" t="inlineStr">
        <is>
          <t>mau</t>
        </is>
      </c>
      <c r="R1723" t="inlineStr">
        <is>
          <t xml:space="preserve">HQ </t>
        </is>
      </c>
      <c r="S1723" t="n">
        <v>6</v>
      </c>
      <c r="T1723" t="n">
        <v>6</v>
      </c>
      <c r="U1723" t="inlineStr">
        <is>
          <t>2007-12-05</t>
        </is>
      </c>
      <c r="V1723" t="inlineStr">
        <is>
          <t>2007-12-05</t>
        </is>
      </c>
      <c r="W1723" t="inlineStr">
        <is>
          <t>2005-03-28</t>
        </is>
      </c>
      <c r="X1723" t="inlineStr">
        <is>
          <t>2005-03-28</t>
        </is>
      </c>
      <c r="Y1723" t="n">
        <v>582</v>
      </c>
      <c r="Z1723" t="n">
        <v>490</v>
      </c>
      <c r="AA1723" t="n">
        <v>501</v>
      </c>
      <c r="AB1723" t="n">
        <v>5</v>
      </c>
      <c r="AC1723" t="n">
        <v>5</v>
      </c>
      <c r="AD1723" t="n">
        <v>29</v>
      </c>
      <c r="AE1723" t="n">
        <v>29</v>
      </c>
      <c r="AF1723" t="n">
        <v>12</v>
      </c>
      <c r="AG1723" t="n">
        <v>12</v>
      </c>
      <c r="AH1723" t="n">
        <v>5</v>
      </c>
      <c r="AI1723" t="n">
        <v>5</v>
      </c>
      <c r="AJ1723" t="n">
        <v>15</v>
      </c>
      <c r="AK1723" t="n">
        <v>15</v>
      </c>
      <c r="AL1723" t="n">
        <v>4</v>
      </c>
      <c r="AM1723" t="n">
        <v>4</v>
      </c>
      <c r="AN1723" t="n">
        <v>0</v>
      </c>
      <c r="AO1723" t="n">
        <v>0</v>
      </c>
      <c r="AP1723" t="inlineStr">
        <is>
          <t>No</t>
        </is>
      </c>
      <c r="AQ1723" t="inlineStr">
        <is>
          <t>Yes</t>
        </is>
      </c>
      <c r="AR1723">
        <f>HYPERLINK("http://catalog.hathitrust.org/Record/004371131","HathiTrust Record")</f>
        <v/>
      </c>
      <c r="AS1723">
        <f>HYPERLINK("https://creighton-primo.hosted.exlibrisgroup.com/primo-explore/search?tab=default_tab&amp;search_scope=EVERYTHING&amp;vid=01CRU&amp;lang=en_US&amp;offset=0&amp;query=any,contains,991004488689702656","Catalog Record")</f>
        <v/>
      </c>
      <c r="AT1723">
        <f>HYPERLINK("http://www.worldcat.org/oclc/53315203","WorldCat Record")</f>
        <v/>
      </c>
      <c r="AU1723" t="inlineStr">
        <is>
          <t>1033970:eng</t>
        </is>
      </c>
      <c r="AV1723" t="inlineStr">
        <is>
          <t>53315203</t>
        </is>
      </c>
      <c r="AW1723" t="inlineStr">
        <is>
          <t>991004488689702656</t>
        </is>
      </c>
      <c r="AX1723" t="inlineStr">
        <is>
          <t>991004488689702656</t>
        </is>
      </c>
      <c r="AY1723" t="inlineStr">
        <is>
          <t>2259146660002656</t>
        </is>
      </c>
      <c r="AZ1723" t="inlineStr">
        <is>
          <t>BOOK</t>
        </is>
      </c>
      <c r="BB1723" t="inlineStr">
        <is>
          <t>9780674012851</t>
        </is>
      </c>
      <c r="BC1723" t="inlineStr">
        <is>
          <t>32285005045082</t>
        </is>
      </c>
      <c r="BD1723" t="inlineStr">
        <is>
          <t>893776071</t>
        </is>
      </c>
    </row>
    <row r="1724">
      <c r="A1724" t="inlineStr">
        <is>
          <t>No</t>
        </is>
      </c>
      <c r="B1724" t="inlineStr">
        <is>
          <t>HQ728 .M573 1985</t>
        </is>
      </c>
      <c r="C1724" t="inlineStr">
        <is>
          <t>0                      HQ 0728000M  573         1985</t>
        </is>
      </c>
      <c r="D1724" t="inlineStr">
        <is>
          <t>The family, politics and social theory / D.H.J. Morgan.</t>
        </is>
      </c>
      <c r="F1724" t="inlineStr">
        <is>
          <t>No</t>
        </is>
      </c>
      <c r="G1724" t="inlineStr">
        <is>
          <t>1</t>
        </is>
      </c>
      <c r="H1724" t="inlineStr">
        <is>
          <t>No</t>
        </is>
      </c>
      <c r="I1724" t="inlineStr">
        <is>
          <t>No</t>
        </is>
      </c>
      <c r="J1724" t="inlineStr">
        <is>
          <t>0</t>
        </is>
      </c>
      <c r="K1724" t="inlineStr">
        <is>
          <t>Morgan, D. H. J.</t>
        </is>
      </c>
      <c r="L1724" t="inlineStr">
        <is>
          <t>London ; Boston : Routledge &amp; Kegan Paul, 1985.</t>
        </is>
      </c>
      <c r="M1724" t="inlineStr">
        <is>
          <t>1985</t>
        </is>
      </c>
      <c r="O1724" t="inlineStr">
        <is>
          <t>eng</t>
        </is>
      </c>
      <c r="P1724" t="inlineStr">
        <is>
          <t>enk</t>
        </is>
      </c>
      <c r="R1724" t="inlineStr">
        <is>
          <t xml:space="preserve">HQ </t>
        </is>
      </c>
      <c r="S1724" t="n">
        <v>8</v>
      </c>
      <c r="T1724" t="n">
        <v>8</v>
      </c>
      <c r="U1724" t="inlineStr">
        <is>
          <t>1996-11-20</t>
        </is>
      </c>
      <c r="V1724" t="inlineStr">
        <is>
          <t>1996-11-20</t>
        </is>
      </c>
      <c r="W1724" t="inlineStr">
        <is>
          <t>1992-11-05</t>
        </is>
      </c>
      <c r="X1724" t="inlineStr">
        <is>
          <t>1992-11-05</t>
        </is>
      </c>
      <c r="Y1724" t="n">
        <v>336</v>
      </c>
      <c r="Z1724" t="n">
        <v>164</v>
      </c>
      <c r="AA1724" t="n">
        <v>174</v>
      </c>
      <c r="AB1724" t="n">
        <v>2</v>
      </c>
      <c r="AC1724" t="n">
        <v>2</v>
      </c>
      <c r="AD1724" t="n">
        <v>4</v>
      </c>
      <c r="AE1724" t="n">
        <v>4</v>
      </c>
      <c r="AF1724" t="n">
        <v>1</v>
      </c>
      <c r="AG1724" t="n">
        <v>1</v>
      </c>
      <c r="AH1724" t="n">
        <v>1</v>
      </c>
      <c r="AI1724" t="n">
        <v>1</v>
      </c>
      <c r="AJ1724" t="n">
        <v>2</v>
      </c>
      <c r="AK1724" t="n">
        <v>2</v>
      </c>
      <c r="AL1724" t="n">
        <v>1</v>
      </c>
      <c r="AM1724" t="n">
        <v>1</v>
      </c>
      <c r="AN1724" t="n">
        <v>0</v>
      </c>
      <c r="AO1724" t="n">
        <v>0</v>
      </c>
      <c r="AP1724" t="inlineStr">
        <is>
          <t>No</t>
        </is>
      </c>
      <c r="AQ1724" t="inlineStr">
        <is>
          <t>Yes</t>
        </is>
      </c>
      <c r="AR1724">
        <f>HYPERLINK("http://catalog.hathitrust.org/Record/000653553","HathiTrust Record")</f>
        <v/>
      </c>
      <c r="AS1724">
        <f>HYPERLINK("https://creighton-primo.hosted.exlibrisgroup.com/primo-explore/search?tab=default_tab&amp;search_scope=EVERYTHING&amp;vid=01CRU&amp;lang=en_US&amp;offset=0&amp;query=any,contains,991000548639702656","Catalog Record")</f>
        <v/>
      </c>
      <c r="AT1724">
        <f>HYPERLINK("http://www.worldcat.org/oclc/11523649","WorldCat Record")</f>
        <v/>
      </c>
      <c r="AU1724" t="inlineStr">
        <is>
          <t>2824783:eng</t>
        </is>
      </c>
      <c r="AV1724" t="inlineStr">
        <is>
          <t>11523649</t>
        </is>
      </c>
      <c r="AW1724" t="inlineStr">
        <is>
          <t>991000548639702656</t>
        </is>
      </c>
      <c r="AX1724" t="inlineStr">
        <is>
          <t>991000548639702656</t>
        </is>
      </c>
      <c r="AY1724" t="inlineStr">
        <is>
          <t>2265325210002656</t>
        </is>
      </c>
      <c r="AZ1724" t="inlineStr">
        <is>
          <t>BOOK</t>
        </is>
      </c>
      <c r="BB1724" t="inlineStr">
        <is>
          <t>9780710099433</t>
        </is>
      </c>
      <c r="BC1724" t="inlineStr">
        <is>
          <t>32285001382679</t>
        </is>
      </c>
      <c r="BD1724" t="inlineStr">
        <is>
          <t>893345766</t>
        </is>
      </c>
    </row>
    <row r="1725">
      <c r="A1725" t="inlineStr">
        <is>
          <t>No</t>
        </is>
      </c>
      <c r="B1725" t="inlineStr">
        <is>
          <t>HQ728 .M6</t>
        </is>
      </c>
      <c r="C1725" t="inlineStr">
        <is>
          <t>0                      HQ 0728000M  6</t>
        </is>
      </c>
      <c r="D1725" t="inlineStr">
        <is>
          <t>Family disorganization : an introduction to sociological analysis / by Ernest R. Mowrer, PH. D.</t>
        </is>
      </c>
      <c r="F1725" t="inlineStr">
        <is>
          <t>No</t>
        </is>
      </c>
      <c r="G1725" t="inlineStr">
        <is>
          <t>1</t>
        </is>
      </c>
      <c r="H1725" t="inlineStr">
        <is>
          <t>No</t>
        </is>
      </c>
      <c r="I1725" t="inlineStr">
        <is>
          <t>No</t>
        </is>
      </c>
      <c r="J1725" t="inlineStr">
        <is>
          <t>0</t>
        </is>
      </c>
      <c r="K1725" t="inlineStr">
        <is>
          <t>Mowrer, Ernest R. (Ernest Russell), 1895-1983.</t>
        </is>
      </c>
      <c r="L1725" t="inlineStr">
        <is>
          <t>Chicago, Ill. : The University of Chicago Press, [c1927]</t>
        </is>
      </c>
      <c r="M1725" t="inlineStr">
        <is>
          <t>1927</t>
        </is>
      </c>
      <c r="O1725" t="inlineStr">
        <is>
          <t>eng</t>
        </is>
      </c>
      <c r="P1725" t="inlineStr">
        <is>
          <t>ilu</t>
        </is>
      </c>
      <c r="Q1725" t="inlineStr">
        <is>
          <t>University of Chicago sociological series</t>
        </is>
      </c>
      <c r="R1725" t="inlineStr">
        <is>
          <t xml:space="preserve">HQ </t>
        </is>
      </c>
      <c r="S1725" t="n">
        <v>8</v>
      </c>
      <c r="T1725" t="n">
        <v>8</v>
      </c>
      <c r="U1725" t="inlineStr">
        <is>
          <t>2003-04-05</t>
        </is>
      </c>
      <c r="V1725" t="inlineStr">
        <is>
          <t>2003-04-05</t>
        </is>
      </c>
      <c r="W1725" t="inlineStr">
        <is>
          <t>1991-10-25</t>
        </is>
      </c>
      <c r="X1725" t="inlineStr">
        <is>
          <t>1991-10-25</t>
        </is>
      </c>
      <c r="Y1725" t="n">
        <v>226</v>
      </c>
      <c r="Z1725" t="n">
        <v>215</v>
      </c>
      <c r="AA1725" t="n">
        <v>411</v>
      </c>
      <c r="AB1725" t="n">
        <v>2</v>
      </c>
      <c r="AC1725" t="n">
        <v>5</v>
      </c>
      <c r="AD1725" t="n">
        <v>8</v>
      </c>
      <c r="AE1725" t="n">
        <v>18</v>
      </c>
      <c r="AF1725" t="n">
        <v>2</v>
      </c>
      <c r="AG1725" t="n">
        <v>7</v>
      </c>
      <c r="AH1725" t="n">
        <v>0</v>
      </c>
      <c r="AI1725" t="n">
        <v>0</v>
      </c>
      <c r="AJ1725" t="n">
        <v>5</v>
      </c>
      <c r="AK1725" t="n">
        <v>9</v>
      </c>
      <c r="AL1725" t="n">
        <v>1</v>
      </c>
      <c r="AM1725" t="n">
        <v>3</v>
      </c>
      <c r="AN1725" t="n">
        <v>1</v>
      </c>
      <c r="AO1725" t="n">
        <v>2</v>
      </c>
      <c r="AP1725" t="inlineStr">
        <is>
          <t>No</t>
        </is>
      </c>
      <c r="AQ1725" t="inlineStr">
        <is>
          <t>No</t>
        </is>
      </c>
      <c r="AS1725">
        <f>HYPERLINK("https://creighton-primo.hosted.exlibrisgroup.com/primo-explore/search?tab=default_tab&amp;search_scope=EVERYTHING&amp;vid=01CRU&amp;lang=en_US&amp;offset=0&amp;query=any,contains,991001095299702656","Catalog Record")</f>
        <v/>
      </c>
      <c r="AT1725">
        <f>HYPERLINK("http://www.worldcat.org/oclc/182949","WorldCat Record")</f>
        <v/>
      </c>
      <c r="AU1725" t="inlineStr">
        <is>
          <t>284131544:eng</t>
        </is>
      </c>
      <c r="AV1725" t="inlineStr">
        <is>
          <t>182949</t>
        </is>
      </c>
      <c r="AW1725" t="inlineStr">
        <is>
          <t>991001095299702656</t>
        </is>
      </c>
      <c r="AX1725" t="inlineStr">
        <is>
          <t>991001095299702656</t>
        </is>
      </c>
      <c r="AY1725" t="inlineStr">
        <is>
          <t>2271282080002656</t>
        </is>
      </c>
      <c r="AZ1725" t="inlineStr">
        <is>
          <t>BOOK</t>
        </is>
      </c>
      <c r="BC1725" t="inlineStr">
        <is>
          <t>32285000779867</t>
        </is>
      </c>
      <c r="BD1725" t="inlineStr">
        <is>
          <t>893720925</t>
        </is>
      </c>
    </row>
    <row r="1726">
      <c r="A1726" t="inlineStr">
        <is>
          <t>No</t>
        </is>
      </c>
      <c r="B1726" t="inlineStr">
        <is>
          <t>HQ728 .M86 1997</t>
        </is>
      </c>
      <c r="C1726" t="inlineStr">
        <is>
          <t>0                      HQ 0728000M  86          1997</t>
        </is>
      </c>
      <c r="D1726" t="inlineStr">
        <is>
          <t>Parental priorities and economic inequality / Casey B. Mulligan.</t>
        </is>
      </c>
      <c r="F1726" t="inlineStr">
        <is>
          <t>No</t>
        </is>
      </c>
      <c r="G1726" t="inlineStr">
        <is>
          <t>1</t>
        </is>
      </c>
      <c r="H1726" t="inlineStr">
        <is>
          <t>No</t>
        </is>
      </c>
      <c r="I1726" t="inlineStr">
        <is>
          <t>No</t>
        </is>
      </c>
      <c r="J1726" t="inlineStr">
        <is>
          <t>0</t>
        </is>
      </c>
      <c r="K1726" t="inlineStr">
        <is>
          <t>Mulligan, Casey B.</t>
        </is>
      </c>
      <c r="L1726" t="inlineStr">
        <is>
          <t>Chicago : University of Chicago Press, 1997.</t>
        </is>
      </c>
      <c r="M1726" t="inlineStr">
        <is>
          <t>1997</t>
        </is>
      </c>
      <c r="O1726" t="inlineStr">
        <is>
          <t>eng</t>
        </is>
      </c>
      <c r="P1726" t="inlineStr">
        <is>
          <t>ilu</t>
        </is>
      </c>
      <c r="R1726" t="inlineStr">
        <is>
          <t xml:space="preserve">HQ </t>
        </is>
      </c>
      <c r="S1726" t="n">
        <v>1</v>
      </c>
      <c r="T1726" t="n">
        <v>1</v>
      </c>
      <c r="U1726" t="inlineStr">
        <is>
          <t>2002-11-13</t>
        </is>
      </c>
      <c r="V1726" t="inlineStr">
        <is>
          <t>2002-11-13</t>
        </is>
      </c>
      <c r="W1726" t="inlineStr">
        <is>
          <t>1998-10-06</t>
        </is>
      </c>
      <c r="X1726" t="inlineStr">
        <is>
          <t>1998-10-06</t>
        </is>
      </c>
      <c r="Y1726" t="n">
        <v>310</v>
      </c>
      <c r="Z1726" t="n">
        <v>248</v>
      </c>
      <c r="AA1726" t="n">
        <v>248</v>
      </c>
      <c r="AB1726" t="n">
        <v>3</v>
      </c>
      <c r="AC1726" t="n">
        <v>3</v>
      </c>
      <c r="AD1726" t="n">
        <v>15</v>
      </c>
      <c r="AE1726" t="n">
        <v>15</v>
      </c>
      <c r="AF1726" t="n">
        <v>4</v>
      </c>
      <c r="AG1726" t="n">
        <v>4</v>
      </c>
      <c r="AH1726" t="n">
        <v>4</v>
      </c>
      <c r="AI1726" t="n">
        <v>4</v>
      </c>
      <c r="AJ1726" t="n">
        <v>10</v>
      </c>
      <c r="AK1726" t="n">
        <v>10</v>
      </c>
      <c r="AL1726" t="n">
        <v>2</v>
      </c>
      <c r="AM1726" t="n">
        <v>2</v>
      </c>
      <c r="AN1726" t="n">
        <v>0</v>
      </c>
      <c r="AO1726" t="n">
        <v>0</v>
      </c>
      <c r="AP1726" t="inlineStr">
        <is>
          <t>No</t>
        </is>
      </c>
      <c r="AQ1726" t="inlineStr">
        <is>
          <t>No</t>
        </is>
      </c>
      <c r="AS1726">
        <f>HYPERLINK("https://creighton-primo.hosted.exlibrisgroup.com/primo-explore/search?tab=default_tab&amp;search_scope=EVERYTHING&amp;vid=01CRU&amp;lang=en_US&amp;offset=0&amp;query=any,contains,991002812139702656","Catalog Record")</f>
        <v/>
      </c>
      <c r="AT1726">
        <f>HYPERLINK("http://www.worldcat.org/oclc/36942584","WorldCat Record")</f>
        <v/>
      </c>
      <c r="AU1726" t="inlineStr">
        <is>
          <t>601874:eng</t>
        </is>
      </c>
      <c r="AV1726" t="inlineStr">
        <is>
          <t>36942584</t>
        </is>
      </c>
      <c r="AW1726" t="inlineStr">
        <is>
          <t>991002812139702656</t>
        </is>
      </c>
      <c r="AX1726" t="inlineStr">
        <is>
          <t>991002812139702656</t>
        </is>
      </c>
      <c r="AY1726" t="inlineStr">
        <is>
          <t>2270293710002656</t>
        </is>
      </c>
      <c r="AZ1726" t="inlineStr">
        <is>
          <t>BOOK</t>
        </is>
      </c>
      <c r="BB1726" t="inlineStr">
        <is>
          <t>9780226548395</t>
        </is>
      </c>
      <c r="BC1726" t="inlineStr">
        <is>
          <t>32285003472486</t>
        </is>
      </c>
      <c r="BD1726" t="inlineStr">
        <is>
          <t>893415679</t>
        </is>
      </c>
    </row>
    <row r="1727">
      <c r="A1727" t="inlineStr">
        <is>
          <t>No</t>
        </is>
      </c>
      <c r="B1727" t="inlineStr">
        <is>
          <t>HQ728 .M88</t>
        </is>
      </c>
      <c r="C1727" t="inlineStr">
        <is>
          <t>0                      HQ 0728000M  88</t>
        </is>
      </c>
      <c r="D1727" t="inlineStr">
        <is>
          <t>Who will marry whom? : Theories and research in marital choice / Bernard I. Murstein.</t>
        </is>
      </c>
      <c r="F1727" t="inlineStr">
        <is>
          <t>No</t>
        </is>
      </c>
      <c r="G1727" t="inlineStr">
        <is>
          <t>1</t>
        </is>
      </c>
      <c r="H1727" t="inlineStr">
        <is>
          <t>No</t>
        </is>
      </c>
      <c r="I1727" t="inlineStr">
        <is>
          <t>No</t>
        </is>
      </c>
      <c r="J1727" t="inlineStr">
        <is>
          <t>0</t>
        </is>
      </c>
      <c r="K1727" t="inlineStr">
        <is>
          <t>Murstein, Bernard I.</t>
        </is>
      </c>
      <c r="L1727" t="inlineStr">
        <is>
          <t>New York : Springer Pub. Co., c1976.</t>
        </is>
      </c>
      <c r="M1727" t="inlineStr">
        <is>
          <t>1976</t>
        </is>
      </c>
      <c r="O1727" t="inlineStr">
        <is>
          <t>eng</t>
        </is>
      </c>
      <c r="P1727" t="inlineStr">
        <is>
          <t>nyu</t>
        </is>
      </c>
      <c r="R1727" t="inlineStr">
        <is>
          <t xml:space="preserve">HQ </t>
        </is>
      </c>
      <c r="S1727" t="n">
        <v>17</v>
      </c>
      <c r="T1727" t="n">
        <v>17</v>
      </c>
      <c r="U1727" t="inlineStr">
        <is>
          <t>2001-03-26</t>
        </is>
      </c>
      <c r="V1727" t="inlineStr">
        <is>
          <t>2001-03-26</t>
        </is>
      </c>
      <c r="W1727" t="inlineStr">
        <is>
          <t>1990-04-10</t>
        </is>
      </c>
      <c r="X1727" t="inlineStr">
        <is>
          <t>1990-04-10</t>
        </is>
      </c>
      <c r="Y1727" t="n">
        <v>405</v>
      </c>
      <c r="Z1727" t="n">
        <v>335</v>
      </c>
      <c r="AA1727" t="n">
        <v>336</v>
      </c>
      <c r="AB1727" t="n">
        <v>5</v>
      </c>
      <c r="AC1727" t="n">
        <v>5</v>
      </c>
      <c r="AD1727" t="n">
        <v>14</v>
      </c>
      <c r="AE1727" t="n">
        <v>14</v>
      </c>
      <c r="AF1727" t="n">
        <v>3</v>
      </c>
      <c r="AG1727" t="n">
        <v>3</v>
      </c>
      <c r="AH1727" t="n">
        <v>3</v>
      </c>
      <c r="AI1727" t="n">
        <v>3</v>
      </c>
      <c r="AJ1727" t="n">
        <v>6</v>
      </c>
      <c r="AK1727" t="n">
        <v>6</v>
      </c>
      <c r="AL1727" t="n">
        <v>3</v>
      </c>
      <c r="AM1727" t="n">
        <v>3</v>
      </c>
      <c r="AN1727" t="n">
        <v>0</v>
      </c>
      <c r="AO1727" t="n">
        <v>0</v>
      </c>
      <c r="AP1727" t="inlineStr">
        <is>
          <t>No</t>
        </is>
      </c>
      <c r="AQ1727" t="inlineStr">
        <is>
          <t>No</t>
        </is>
      </c>
      <c r="AS1727">
        <f>HYPERLINK("https://creighton-primo.hosted.exlibrisgroup.com/primo-explore/search?tab=default_tab&amp;search_scope=EVERYTHING&amp;vid=01CRU&amp;lang=en_US&amp;offset=0&amp;query=any,contains,991003972769702656","Catalog Record")</f>
        <v/>
      </c>
      <c r="AT1727">
        <f>HYPERLINK("http://www.worldcat.org/oclc/1993271","WorldCat Record")</f>
        <v/>
      </c>
      <c r="AU1727" t="inlineStr">
        <is>
          <t>309457341:eng</t>
        </is>
      </c>
      <c r="AV1727" t="inlineStr">
        <is>
          <t>1993271</t>
        </is>
      </c>
      <c r="AW1727" t="inlineStr">
        <is>
          <t>991003972769702656</t>
        </is>
      </c>
      <c r="AX1727" t="inlineStr">
        <is>
          <t>991003972769702656</t>
        </is>
      </c>
      <c r="AY1727" t="inlineStr">
        <is>
          <t>2260912610002656</t>
        </is>
      </c>
      <c r="AZ1727" t="inlineStr">
        <is>
          <t>BOOK</t>
        </is>
      </c>
      <c r="BB1727" t="inlineStr">
        <is>
          <t>9780826120304</t>
        </is>
      </c>
      <c r="BC1727" t="inlineStr">
        <is>
          <t>32285000104801</t>
        </is>
      </c>
      <c r="BD1727" t="inlineStr">
        <is>
          <t>893506213</t>
        </is>
      </c>
    </row>
    <row r="1728">
      <c r="A1728" t="inlineStr">
        <is>
          <t>No</t>
        </is>
      </c>
      <c r="B1728" t="inlineStr">
        <is>
          <t>HQ728 .N83</t>
        </is>
      </c>
      <c r="C1728" t="inlineStr">
        <is>
          <t>0                      HQ 0728000N  83</t>
        </is>
      </c>
      <c r="D1728" t="inlineStr">
        <is>
          <t>Normal family processes / edited by Froma Walsh ; foreword by Roy R. Grinker, Sr.</t>
        </is>
      </c>
      <c r="F1728" t="inlineStr">
        <is>
          <t>No</t>
        </is>
      </c>
      <c r="G1728" t="inlineStr">
        <is>
          <t>1</t>
        </is>
      </c>
      <c r="H1728" t="inlineStr">
        <is>
          <t>No</t>
        </is>
      </c>
      <c r="I1728" t="inlineStr">
        <is>
          <t>No</t>
        </is>
      </c>
      <c r="J1728" t="inlineStr">
        <is>
          <t>0</t>
        </is>
      </c>
      <c r="L1728" t="inlineStr">
        <is>
          <t>New York : Guilford Press, c1982.</t>
        </is>
      </c>
      <c r="M1728" t="inlineStr">
        <is>
          <t>1981</t>
        </is>
      </c>
      <c r="O1728" t="inlineStr">
        <is>
          <t>eng</t>
        </is>
      </c>
      <c r="P1728" t="inlineStr">
        <is>
          <t>nyu</t>
        </is>
      </c>
      <c r="Q1728" t="inlineStr">
        <is>
          <t>The Guilford family therapy series</t>
        </is>
      </c>
      <c r="R1728" t="inlineStr">
        <is>
          <t xml:space="preserve">HQ </t>
        </is>
      </c>
      <c r="S1728" t="n">
        <v>12</v>
      </c>
      <c r="T1728" t="n">
        <v>12</v>
      </c>
      <c r="U1728" t="inlineStr">
        <is>
          <t>2003-02-11</t>
        </is>
      </c>
      <c r="V1728" t="inlineStr">
        <is>
          <t>2003-02-11</t>
        </is>
      </c>
      <c r="W1728" t="inlineStr">
        <is>
          <t>1993-11-18</t>
        </is>
      </c>
      <c r="X1728" t="inlineStr">
        <is>
          <t>1993-11-18</t>
        </is>
      </c>
      <c r="Y1728" t="n">
        <v>667</v>
      </c>
      <c r="Z1728" t="n">
        <v>545</v>
      </c>
      <c r="AA1728" t="n">
        <v>1081</v>
      </c>
      <c r="AB1728" t="n">
        <v>5</v>
      </c>
      <c r="AC1728" t="n">
        <v>8</v>
      </c>
      <c r="AD1728" t="n">
        <v>21</v>
      </c>
      <c r="AE1728" t="n">
        <v>43</v>
      </c>
      <c r="AF1728" t="n">
        <v>7</v>
      </c>
      <c r="AG1728" t="n">
        <v>19</v>
      </c>
      <c r="AH1728" t="n">
        <v>3</v>
      </c>
      <c r="AI1728" t="n">
        <v>7</v>
      </c>
      <c r="AJ1728" t="n">
        <v>10</v>
      </c>
      <c r="AK1728" t="n">
        <v>20</v>
      </c>
      <c r="AL1728" t="n">
        <v>4</v>
      </c>
      <c r="AM1728" t="n">
        <v>7</v>
      </c>
      <c r="AN1728" t="n">
        <v>0</v>
      </c>
      <c r="AO1728" t="n">
        <v>0</v>
      </c>
      <c r="AP1728" t="inlineStr">
        <is>
          <t>No</t>
        </is>
      </c>
      <c r="AQ1728" t="inlineStr">
        <is>
          <t>No</t>
        </is>
      </c>
      <c r="AS1728">
        <f>HYPERLINK("https://creighton-primo.hosted.exlibrisgroup.com/primo-explore/search?tab=default_tab&amp;search_scope=EVERYTHING&amp;vid=01CRU&amp;lang=en_US&amp;offset=0&amp;query=any,contains,991005166929702656","Catalog Record")</f>
        <v/>
      </c>
      <c r="AT1728">
        <f>HYPERLINK("http://www.worldcat.org/oclc/7836220","WorldCat Record")</f>
        <v/>
      </c>
      <c r="AU1728" t="inlineStr">
        <is>
          <t>4925056920:eng</t>
        </is>
      </c>
      <c r="AV1728" t="inlineStr">
        <is>
          <t>7836220</t>
        </is>
      </c>
      <c r="AW1728" t="inlineStr">
        <is>
          <t>991005166929702656</t>
        </is>
      </c>
      <c r="AX1728" t="inlineStr">
        <is>
          <t>991005166929702656</t>
        </is>
      </c>
      <c r="AY1728" t="inlineStr">
        <is>
          <t>2255159410002656</t>
        </is>
      </c>
      <c r="AZ1728" t="inlineStr">
        <is>
          <t>BOOK</t>
        </is>
      </c>
      <c r="BB1728" t="inlineStr">
        <is>
          <t>9780898620511</t>
        </is>
      </c>
      <c r="BC1728" t="inlineStr">
        <is>
          <t>32285001799914</t>
        </is>
      </c>
      <c r="BD1728" t="inlineStr">
        <is>
          <t>893719900</t>
        </is>
      </c>
    </row>
    <row r="1729">
      <c r="A1729" t="inlineStr">
        <is>
          <t>No</t>
        </is>
      </c>
      <c r="B1729" t="inlineStr">
        <is>
          <t>HQ728 .O55 1973</t>
        </is>
      </c>
      <c r="C1729" t="inlineStr">
        <is>
          <t>0                      HQ 0728000O  55          1973</t>
        </is>
      </c>
      <c r="D1729" t="inlineStr">
        <is>
          <t>Open marriage : a new life style for couples / [by] Nena O'Neill and George O'Neill.</t>
        </is>
      </c>
      <c r="F1729" t="inlineStr">
        <is>
          <t>No</t>
        </is>
      </c>
      <c r="G1729" t="inlineStr">
        <is>
          <t>1</t>
        </is>
      </c>
      <c r="H1729" t="inlineStr">
        <is>
          <t>No</t>
        </is>
      </c>
      <c r="I1729" t="inlineStr">
        <is>
          <t>No</t>
        </is>
      </c>
      <c r="J1729" t="inlineStr">
        <is>
          <t>0</t>
        </is>
      </c>
      <c r="K1729" t="inlineStr">
        <is>
          <t>O'Neill, Nena.</t>
        </is>
      </c>
      <c r="L1729" t="inlineStr">
        <is>
          <t>[New York] : Avon, [1973, c1972]</t>
        </is>
      </c>
      <c r="M1729" t="inlineStr">
        <is>
          <t>1973</t>
        </is>
      </c>
      <c r="O1729" t="inlineStr">
        <is>
          <t>eng</t>
        </is>
      </c>
      <c r="P1729" t="inlineStr">
        <is>
          <t xml:space="preserve">xx </t>
        </is>
      </c>
      <c r="R1729" t="inlineStr">
        <is>
          <t xml:space="preserve">HQ </t>
        </is>
      </c>
      <c r="S1729" t="n">
        <v>7</v>
      </c>
      <c r="T1729" t="n">
        <v>7</v>
      </c>
      <c r="U1729" t="inlineStr">
        <is>
          <t>1996-11-16</t>
        </is>
      </c>
      <c r="V1729" t="inlineStr">
        <is>
          <t>1996-11-16</t>
        </is>
      </c>
      <c r="W1729" t="inlineStr">
        <is>
          <t>1992-02-26</t>
        </is>
      </c>
      <c r="X1729" t="inlineStr">
        <is>
          <t>1992-02-26</t>
        </is>
      </c>
      <c r="Y1729" t="n">
        <v>162</v>
      </c>
      <c r="Z1729" t="n">
        <v>136</v>
      </c>
      <c r="AA1729" t="n">
        <v>1410</v>
      </c>
      <c r="AB1729" t="n">
        <v>1</v>
      </c>
      <c r="AC1729" t="n">
        <v>10</v>
      </c>
      <c r="AD1729" t="n">
        <v>0</v>
      </c>
      <c r="AE1729" t="n">
        <v>33</v>
      </c>
      <c r="AF1729" t="n">
        <v>0</v>
      </c>
      <c r="AG1729" t="n">
        <v>12</v>
      </c>
      <c r="AH1729" t="n">
        <v>0</v>
      </c>
      <c r="AI1729" t="n">
        <v>8</v>
      </c>
      <c r="AJ1729" t="n">
        <v>0</v>
      </c>
      <c r="AK1729" t="n">
        <v>15</v>
      </c>
      <c r="AL1729" t="n">
        <v>0</v>
      </c>
      <c r="AM1729" t="n">
        <v>6</v>
      </c>
      <c r="AN1729" t="n">
        <v>0</v>
      </c>
      <c r="AO1729" t="n">
        <v>0</v>
      </c>
      <c r="AP1729" t="inlineStr">
        <is>
          <t>No</t>
        </is>
      </c>
      <c r="AQ1729" t="inlineStr">
        <is>
          <t>Yes</t>
        </is>
      </c>
      <c r="AR1729">
        <f>HYPERLINK("http://catalog.hathitrust.org/Record/000312188","HathiTrust Record")</f>
        <v/>
      </c>
      <c r="AS1729">
        <f>HYPERLINK("https://creighton-primo.hosted.exlibrisgroup.com/primo-explore/search?tab=default_tab&amp;search_scope=EVERYTHING&amp;vid=01CRU&amp;lang=en_US&amp;offset=0&amp;query=any,contains,991003745709702656","Catalog Record")</f>
        <v/>
      </c>
      <c r="AT1729">
        <f>HYPERLINK("http://www.worldcat.org/oclc/1416869","WorldCat Record")</f>
        <v/>
      </c>
      <c r="AU1729" t="inlineStr">
        <is>
          <t>4928606833:eng</t>
        </is>
      </c>
      <c r="AV1729" t="inlineStr">
        <is>
          <t>1416869</t>
        </is>
      </c>
      <c r="AW1729" t="inlineStr">
        <is>
          <t>991003745709702656</t>
        </is>
      </c>
      <c r="AX1729" t="inlineStr">
        <is>
          <t>991003745709702656</t>
        </is>
      </c>
      <c r="AY1729" t="inlineStr">
        <is>
          <t>2264133000002656</t>
        </is>
      </c>
      <c r="AZ1729" t="inlineStr">
        <is>
          <t>BOOK</t>
        </is>
      </c>
      <c r="BC1729" t="inlineStr">
        <is>
          <t>32285000938059</t>
        </is>
      </c>
      <c r="BD1729" t="inlineStr">
        <is>
          <t>893228410</t>
        </is>
      </c>
    </row>
    <row r="1730">
      <c r="A1730" t="inlineStr">
        <is>
          <t>No</t>
        </is>
      </c>
      <c r="B1730" t="inlineStr">
        <is>
          <t>HQ728 .P76 1994</t>
        </is>
      </c>
      <c r="C1730" t="inlineStr">
        <is>
          <t>0                      HQ 0728000P  76          1994</t>
        </is>
      </c>
      <c r="D1730" t="inlineStr">
        <is>
          <t>The psychosocial interior of the family / Gerald Handel and Gail G. Whitchurch, editors.</t>
        </is>
      </c>
      <c r="F1730" t="inlineStr">
        <is>
          <t>No</t>
        </is>
      </c>
      <c r="G1730" t="inlineStr">
        <is>
          <t>1</t>
        </is>
      </c>
      <c r="H1730" t="inlineStr">
        <is>
          <t>No</t>
        </is>
      </c>
      <c r="I1730" t="inlineStr">
        <is>
          <t>No</t>
        </is>
      </c>
      <c r="J1730" t="inlineStr">
        <is>
          <t>0</t>
        </is>
      </c>
      <c r="L1730" t="inlineStr">
        <is>
          <t>New York : Aldine De Gruyter, c1994.</t>
        </is>
      </c>
      <c r="M1730" t="inlineStr">
        <is>
          <t>1994</t>
        </is>
      </c>
      <c r="N1730" t="inlineStr">
        <is>
          <t>4th ed.</t>
        </is>
      </c>
      <c r="O1730" t="inlineStr">
        <is>
          <t>eng</t>
        </is>
      </c>
      <c r="P1730" t="inlineStr">
        <is>
          <t>nyu</t>
        </is>
      </c>
      <c r="R1730" t="inlineStr">
        <is>
          <t xml:space="preserve">HQ </t>
        </is>
      </c>
      <c r="S1730" t="n">
        <v>4</v>
      </c>
      <c r="T1730" t="n">
        <v>4</v>
      </c>
      <c r="U1730" t="inlineStr">
        <is>
          <t>2003-07-14</t>
        </is>
      </c>
      <c r="V1730" t="inlineStr">
        <is>
          <t>2003-07-14</t>
        </is>
      </c>
      <c r="W1730" t="inlineStr">
        <is>
          <t>1994-10-21</t>
        </is>
      </c>
      <c r="X1730" t="inlineStr">
        <is>
          <t>1994-10-21</t>
        </is>
      </c>
      <c r="Y1730" t="n">
        <v>331</v>
      </c>
      <c r="Z1730" t="n">
        <v>263</v>
      </c>
      <c r="AA1730" t="n">
        <v>537</v>
      </c>
      <c r="AB1730" t="n">
        <v>5</v>
      </c>
      <c r="AC1730" t="n">
        <v>6</v>
      </c>
      <c r="AD1730" t="n">
        <v>24</v>
      </c>
      <c r="AE1730" t="n">
        <v>33</v>
      </c>
      <c r="AF1730" t="n">
        <v>13</v>
      </c>
      <c r="AG1730" t="n">
        <v>16</v>
      </c>
      <c r="AH1730" t="n">
        <v>3</v>
      </c>
      <c r="AI1730" t="n">
        <v>6</v>
      </c>
      <c r="AJ1730" t="n">
        <v>12</v>
      </c>
      <c r="AK1730" t="n">
        <v>14</v>
      </c>
      <c r="AL1730" t="n">
        <v>4</v>
      </c>
      <c r="AM1730" t="n">
        <v>5</v>
      </c>
      <c r="AN1730" t="n">
        <v>0</v>
      </c>
      <c r="AO1730" t="n">
        <v>0</v>
      </c>
      <c r="AP1730" t="inlineStr">
        <is>
          <t>No</t>
        </is>
      </c>
      <c r="AQ1730" t="inlineStr">
        <is>
          <t>No</t>
        </is>
      </c>
      <c r="AS1730">
        <f>HYPERLINK("https://creighton-primo.hosted.exlibrisgroup.com/primo-explore/search?tab=default_tab&amp;search_scope=EVERYTHING&amp;vid=01CRU&amp;lang=en_US&amp;offset=0&amp;query=any,contains,991002342139702656","Catalog Record")</f>
        <v/>
      </c>
      <c r="AT1730">
        <f>HYPERLINK("http://www.worldcat.org/oclc/30508174","WorldCat Record")</f>
        <v/>
      </c>
      <c r="AU1730" t="inlineStr">
        <is>
          <t>3855336821:eng</t>
        </is>
      </c>
      <c r="AV1730" t="inlineStr">
        <is>
          <t>30508174</t>
        </is>
      </c>
      <c r="AW1730" t="inlineStr">
        <is>
          <t>991002342139702656</t>
        </is>
      </c>
      <c r="AX1730" t="inlineStr">
        <is>
          <t>991002342139702656</t>
        </is>
      </c>
      <c r="AY1730" t="inlineStr">
        <is>
          <t>2272649740002656</t>
        </is>
      </c>
      <c r="AZ1730" t="inlineStr">
        <is>
          <t>BOOK</t>
        </is>
      </c>
      <c r="BB1730" t="inlineStr">
        <is>
          <t>9780202304939</t>
        </is>
      </c>
      <c r="BC1730" t="inlineStr">
        <is>
          <t>32285001949964</t>
        </is>
      </c>
      <c r="BD1730" t="inlineStr">
        <is>
          <t>893238924</t>
        </is>
      </c>
    </row>
    <row r="1731">
      <c r="A1731" t="inlineStr">
        <is>
          <t>No</t>
        </is>
      </c>
      <c r="B1731" t="inlineStr">
        <is>
          <t>HQ728 .R384</t>
        </is>
      </c>
      <c r="C1731" t="inlineStr">
        <is>
          <t>0                      HQ 0728000R  384</t>
        </is>
      </c>
      <c r="D1731" t="inlineStr">
        <is>
          <t>Readings on the family system / [by] Ira L. Reiss.</t>
        </is>
      </c>
      <c r="F1731" t="inlineStr">
        <is>
          <t>No</t>
        </is>
      </c>
      <c r="G1731" t="inlineStr">
        <is>
          <t>1</t>
        </is>
      </c>
      <c r="H1731" t="inlineStr">
        <is>
          <t>No</t>
        </is>
      </c>
      <c r="I1731" t="inlineStr">
        <is>
          <t>No</t>
        </is>
      </c>
      <c r="J1731" t="inlineStr">
        <is>
          <t>0</t>
        </is>
      </c>
      <c r="K1731" t="inlineStr">
        <is>
          <t>Reiss, Ira L. compiler.</t>
        </is>
      </c>
      <c r="L1731" t="inlineStr">
        <is>
          <t>New York : Holt, Rinehart and Winston, [1972]</t>
        </is>
      </c>
      <c r="M1731" t="inlineStr">
        <is>
          <t>1972</t>
        </is>
      </c>
      <c r="O1731" t="inlineStr">
        <is>
          <t>eng</t>
        </is>
      </c>
      <c r="P1731" t="inlineStr">
        <is>
          <t>nyu</t>
        </is>
      </c>
      <c r="R1731" t="inlineStr">
        <is>
          <t xml:space="preserve">HQ </t>
        </is>
      </c>
      <c r="S1731" t="n">
        <v>5</v>
      </c>
      <c r="T1731" t="n">
        <v>5</v>
      </c>
      <c r="U1731" t="inlineStr">
        <is>
          <t>2002-09-23</t>
        </is>
      </c>
      <c r="V1731" t="inlineStr">
        <is>
          <t>2002-09-23</t>
        </is>
      </c>
      <c r="W1731" t="inlineStr">
        <is>
          <t>1990-04-10</t>
        </is>
      </c>
      <c r="X1731" t="inlineStr">
        <is>
          <t>1990-04-10</t>
        </is>
      </c>
      <c r="Y1731" t="n">
        <v>251</v>
      </c>
      <c r="Z1731" t="n">
        <v>201</v>
      </c>
      <c r="AA1731" t="n">
        <v>206</v>
      </c>
      <c r="AB1731" t="n">
        <v>1</v>
      </c>
      <c r="AC1731" t="n">
        <v>1</v>
      </c>
      <c r="AD1731" t="n">
        <v>5</v>
      </c>
      <c r="AE1731" t="n">
        <v>5</v>
      </c>
      <c r="AF1731" t="n">
        <v>1</v>
      </c>
      <c r="AG1731" t="n">
        <v>1</v>
      </c>
      <c r="AH1731" t="n">
        <v>0</v>
      </c>
      <c r="AI1731" t="n">
        <v>0</v>
      </c>
      <c r="AJ1731" t="n">
        <v>5</v>
      </c>
      <c r="AK1731" t="n">
        <v>5</v>
      </c>
      <c r="AL1731" t="n">
        <v>0</v>
      </c>
      <c r="AM1731" t="n">
        <v>0</v>
      </c>
      <c r="AN1731" t="n">
        <v>0</v>
      </c>
      <c r="AO1731" t="n">
        <v>0</v>
      </c>
      <c r="AP1731" t="inlineStr">
        <is>
          <t>No</t>
        </is>
      </c>
      <c r="AQ1731" t="inlineStr">
        <is>
          <t>No</t>
        </is>
      </c>
      <c r="AS1731">
        <f>HYPERLINK("https://creighton-primo.hosted.exlibrisgroup.com/primo-explore/search?tab=default_tab&amp;search_scope=EVERYTHING&amp;vid=01CRU&amp;lang=en_US&amp;offset=0&amp;query=any,contains,991002657219702656","Catalog Record")</f>
        <v/>
      </c>
      <c r="AT1731">
        <f>HYPERLINK("http://www.worldcat.org/oclc/389856","WorldCat Record")</f>
        <v/>
      </c>
      <c r="AU1731" t="inlineStr">
        <is>
          <t>1522543:eng</t>
        </is>
      </c>
      <c r="AV1731" t="inlineStr">
        <is>
          <t>389856</t>
        </is>
      </c>
      <c r="AW1731" t="inlineStr">
        <is>
          <t>991002657219702656</t>
        </is>
      </c>
      <c r="AX1731" t="inlineStr">
        <is>
          <t>991002657219702656</t>
        </is>
      </c>
      <c r="AY1731" t="inlineStr">
        <is>
          <t>2256575750002656</t>
        </is>
      </c>
      <c r="AZ1731" t="inlineStr">
        <is>
          <t>BOOK</t>
        </is>
      </c>
      <c r="BB1731" t="inlineStr">
        <is>
          <t>9780030844195</t>
        </is>
      </c>
      <c r="BC1731" t="inlineStr">
        <is>
          <t>32285000104793</t>
        </is>
      </c>
      <c r="BD1731" t="inlineStr">
        <is>
          <t>893786384</t>
        </is>
      </c>
    </row>
    <row r="1732">
      <c r="A1732" t="inlineStr">
        <is>
          <t>No</t>
        </is>
      </c>
      <c r="B1732" t="inlineStr">
        <is>
          <t>HQ728 .R56</t>
        </is>
      </c>
      <c r="C1732" t="inlineStr">
        <is>
          <t>0                      HQ 0728000R  56</t>
        </is>
      </c>
      <c r="D1732" t="inlineStr">
        <is>
          <t>Youth, marriage, and parenthood; the attitudes of 364 university juniors and seniors toward courtship, marriage, and parenthood, by Lemo D. Rockwood ... and Mary E.N. Ford...</t>
        </is>
      </c>
      <c r="F1732" t="inlineStr">
        <is>
          <t>No</t>
        </is>
      </c>
      <c r="G1732" t="inlineStr">
        <is>
          <t>1</t>
        </is>
      </c>
      <c r="H1732" t="inlineStr">
        <is>
          <t>No</t>
        </is>
      </c>
      <c r="I1732" t="inlineStr">
        <is>
          <t>No</t>
        </is>
      </c>
      <c r="J1732" t="inlineStr">
        <is>
          <t>0</t>
        </is>
      </c>
      <c r="K1732" t="inlineStr">
        <is>
          <t>Rockwood, Lemo Dennis, 1896-1982.</t>
        </is>
      </c>
      <c r="L1732" t="inlineStr">
        <is>
          <t>New York, J. Wiley &amp; Sons, Inc.; London, Chapman &amp; Hall, Limited [1945]</t>
        </is>
      </c>
      <c r="M1732" t="inlineStr">
        <is>
          <t>1945</t>
        </is>
      </c>
      <c r="O1732" t="inlineStr">
        <is>
          <t>eng</t>
        </is>
      </c>
      <c r="P1732" t="inlineStr">
        <is>
          <t>nyu</t>
        </is>
      </c>
      <c r="R1732" t="inlineStr">
        <is>
          <t xml:space="preserve">HQ </t>
        </is>
      </c>
      <c r="S1732" t="n">
        <v>2</v>
      </c>
      <c r="T1732" t="n">
        <v>2</v>
      </c>
      <c r="U1732" t="inlineStr">
        <is>
          <t>2008-04-20</t>
        </is>
      </c>
      <c r="V1732" t="inlineStr">
        <is>
          <t>2008-04-20</t>
        </is>
      </c>
      <c r="W1732" t="inlineStr">
        <is>
          <t>1997-08-11</t>
        </is>
      </c>
      <c r="X1732" t="inlineStr">
        <is>
          <t>1997-08-11</t>
        </is>
      </c>
      <c r="Y1732" t="n">
        <v>239</v>
      </c>
      <c r="Z1732" t="n">
        <v>217</v>
      </c>
      <c r="AA1732" t="n">
        <v>219</v>
      </c>
      <c r="AB1732" t="n">
        <v>4</v>
      </c>
      <c r="AC1732" t="n">
        <v>4</v>
      </c>
      <c r="AD1732" t="n">
        <v>11</v>
      </c>
      <c r="AE1732" t="n">
        <v>11</v>
      </c>
      <c r="AF1732" t="n">
        <v>3</v>
      </c>
      <c r="AG1732" t="n">
        <v>3</v>
      </c>
      <c r="AH1732" t="n">
        <v>1</v>
      </c>
      <c r="AI1732" t="n">
        <v>1</v>
      </c>
      <c r="AJ1732" t="n">
        <v>6</v>
      </c>
      <c r="AK1732" t="n">
        <v>6</v>
      </c>
      <c r="AL1732" t="n">
        <v>3</v>
      </c>
      <c r="AM1732" t="n">
        <v>3</v>
      </c>
      <c r="AN1732" t="n">
        <v>0</v>
      </c>
      <c r="AO1732" t="n">
        <v>0</v>
      </c>
      <c r="AP1732" t="inlineStr">
        <is>
          <t>No</t>
        </is>
      </c>
      <c r="AQ1732" t="inlineStr">
        <is>
          <t>Yes</t>
        </is>
      </c>
      <c r="AR1732">
        <f>HYPERLINK("http://catalog.hathitrust.org/Record/001109984","HathiTrust Record")</f>
        <v/>
      </c>
      <c r="AS1732">
        <f>HYPERLINK("https://creighton-primo.hosted.exlibrisgroup.com/primo-explore/search?tab=default_tab&amp;search_scope=EVERYTHING&amp;vid=01CRU&amp;lang=en_US&amp;offset=0&amp;query=any,contains,991002932989702656","Catalog Record")</f>
        <v/>
      </c>
      <c r="AT1732">
        <f>HYPERLINK("http://www.worldcat.org/oclc/531555","WorldCat Record")</f>
        <v/>
      </c>
      <c r="AU1732" t="inlineStr">
        <is>
          <t>1545940:eng</t>
        </is>
      </c>
      <c r="AV1732" t="inlineStr">
        <is>
          <t>531555</t>
        </is>
      </c>
      <c r="AW1732" t="inlineStr">
        <is>
          <t>991002932989702656</t>
        </is>
      </c>
      <c r="AX1732" t="inlineStr">
        <is>
          <t>991002932989702656</t>
        </is>
      </c>
      <c r="AY1732" t="inlineStr">
        <is>
          <t>2262672180002656</t>
        </is>
      </c>
      <c r="AZ1732" t="inlineStr">
        <is>
          <t>BOOK</t>
        </is>
      </c>
      <c r="BC1732" t="inlineStr">
        <is>
          <t>32285003089397</t>
        </is>
      </c>
      <c r="BD1732" t="inlineStr">
        <is>
          <t>893710861</t>
        </is>
      </c>
    </row>
    <row r="1733">
      <c r="A1733" t="inlineStr">
        <is>
          <t>No</t>
        </is>
      </c>
      <c r="B1733" t="inlineStr">
        <is>
          <t>HQ728 .R67 1982</t>
        </is>
      </c>
      <c r="C1733" t="inlineStr">
        <is>
          <t>0                      HQ 0728000R  67          1982</t>
        </is>
      </c>
      <c r="D1733" t="inlineStr">
        <is>
          <t>The industrial connection : achievement and the family in developing societies / Bernard Carl Rosen.</t>
        </is>
      </c>
      <c r="F1733" t="inlineStr">
        <is>
          <t>No</t>
        </is>
      </c>
      <c r="G1733" t="inlineStr">
        <is>
          <t>1</t>
        </is>
      </c>
      <c r="H1733" t="inlineStr">
        <is>
          <t>No</t>
        </is>
      </c>
      <c r="I1733" t="inlineStr">
        <is>
          <t>No</t>
        </is>
      </c>
      <c r="J1733" t="inlineStr">
        <is>
          <t>0</t>
        </is>
      </c>
      <c r="K1733" t="inlineStr">
        <is>
          <t>Rosen, Bernard Carl.</t>
        </is>
      </c>
      <c r="L1733" t="inlineStr">
        <is>
          <t>Hawthorne, N.Y. : Aldine Pub. Co., 1982.</t>
        </is>
      </c>
      <c r="M1733" t="inlineStr">
        <is>
          <t>1982</t>
        </is>
      </c>
      <c r="O1733" t="inlineStr">
        <is>
          <t>eng</t>
        </is>
      </c>
      <c r="P1733" t="inlineStr">
        <is>
          <t>nyu</t>
        </is>
      </c>
      <c r="R1733" t="inlineStr">
        <is>
          <t xml:space="preserve">HQ </t>
        </is>
      </c>
      <c r="S1733" t="n">
        <v>2</v>
      </c>
      <c r="T1733" t="n">
        <v>2</v>
      </c>
      <c r="U1733" t="inlineStr">
        <is>
          <t>1996-10-28</t>
        </is>
      </c>
      <c r="V1733" t="inlineStr">
        <is>
          <t>1996-10-28</t>
        </is>
      </c>
      <c r="W1733" t="inlineStr">
        <is>
          <t>1992-10-30</t>
        </is>
      </c>
      <c r="X1733" t="inlineStr">
        <is>
          <t>1992-10-30</t>
        </is>
      </c>
      <c r="Y1733" t="n">
        <v>420</v>
      </c>
      <c r="Z1733" t="n">
        <v>345</v>
      </c>
      <c r="AA1733" t="n">
        <v>345</v>
      </c>
      <c r="AB1733" t="n">
        <v>5</v>
      </c>
      <c r="AC1733" t="n">
        <v>5</v>
      </c>
      <c r="AD1733" t="n">
        <v>17</v>
      </c>
      <c r="AE1733" t="n">
        <v>17</v>
      </c>
      <c r="AF1733" t="n">
        <v>6</v>
      </c>
      <c r="AG1733" t="n">
        <v>6</v>
      </c>
      <c r="AH1733" t="n">
        <v>4</v>
      </c>
      <c r="AI1733" t="n">
        <v>4</v>
      </c>
      <c r="AJ1733" t="n">
        <v>8</v>
      </c>
      <c r="AK1733" t="n">
        <v>8</v>
      </c>
      <c r="AL1733" t="n">
        <v>4</v>
      </c>
      <c r="AM1733" t="n">
        <v>4</v>
      </c>
      <c r="AN1733" t="n">
        <v>0</v>
      </c>
      <c r="AO1733" t="n">
        <v>0</v>
      </c>
      <c r="AP1733" t="inlineStr">
        <is>
          <t>No</t>
        </is>
      </c>
      <c r="AQ1733" t="inlineStr">
        <is>
          <t>No</t>
        </is>
      </c>
      <c r="AS1733">
        <f>HYPERLINK("https://creighton-primo.hosted.exlibrisgroup.com/primo-explore/search?tab=default_tab&amp;search_scope=EVERYTHING&amp;vid=01CRU&amp;lang=en_US&amp;offset=0&amp;query=any,contains,991000049939702656","Catalog Record")</f>
        <v/>
      </c>
      <c r="AT1733">
        <f>HYPERLINK("http://www.worldcat.org/oclc/8681554","WorldCat Record")</f>
        <v/>
      </c>
      <c r="AU1733" t="inlineStr">
        <is>
          <t>918630884:eng</t>
        </is>
      </c>
      <c r="AV1733" t="inlineStr">
        <is>
          <t>8681554</t>
        </is>
      </c>
      <c r="AW1733" t="inlineStr">
        <is>
          <t>991000049939702656</t>
        </is>
      </c>
      <c r="AX1733" t="inlineStr">
        <is>
          <t>991000049939702656</t>
        </is>
      </c>
      <c r="AY1733" t="inlineStr">
        <is>
          <t>2267831660002656</t>
        </is>
      </c>
      <c r="AZ1733" t="inlineStr">
        <is>
          <t>BOOK</t>
        </is>
      </c>
      <c r="BC1733" t="inlineStr">
        <is>
          <t>32285001359263</t>
        </is>
      </c>
      <c r="BD1733" t="inlineStr">
        <is>
          <t>893790197</t>
        </is>
      </c>
    </row>
    <row r="1734">
      <c r="A1734" t="inlineStr">
        <is>
          <t>No</t>
        </is>
      </c>
      <c r="B1734" t="inlineStr">
        <is>
          <t>HQ728 .S286</t>
        </is>
      </c>
      <c r="C1734" t="inlineStr">
        <is>
          <t>0                      HQ 0728000S  286</t>
        </is>
      </c>
      <c r="D1734" t="inlineStr">
        <is>
          <t>Sex roles, women's work, and marital conflict : a study of family change / John Scanzoni.</t>
        </is>
      </c>
      <c r="F1734" t="inlineStr">
        <is>
          <t>No</t>
        </is>
      </c>
      <c r="G1734" t="inlineStr">
        <is>
          <t>1</t>
        </is>
      </c>
      <c r="H1734" t="inlineStr">
        <is>
          <t>No</t>
        </is>
      </c>
      <c r="I1734" t="inlineStr">
        <is>
          <t>No</t>
        </is>
      </c>
      <c r="J1734" t="inlineStr">
        <is>
          <t>0</t>
        </is>
      </c>
      <c r="K1734" t="inlineStr">
        <is>
          <t>Scanzoni, John H., 1935-</t>
        </is>
      </c>
      <c r="L1734" t="inlineStr">
        <is>
          <t>Lexington, Mass. : Lexington Books, c1978.</t>
        </is>
      </c>
      <c r="M1734" t="inlineStr">
        <is>
          <t>1978</t>
        </is>
      </c>
      <c r="O1734" t="inlineStr">
        <is>
          <t>eng</t>
        </is>
      </c>
      <c r="P1734" t="inlineStr">
        <is>
          <t>mau</t>
        </is>
      </c>
      <c r="R1734" t="inlineStr">
        <is>
          <t xml:space="preserve">HQ </t>
        </is>
      </c>
      <c r="S1734" t="n">
        <v>11</v>
      </c>
      <c r="T1734" t="n">
        <v>11</v>
      </c>
      <c r="U1734" t="inlineStr">
        <is>
          <t>1998-10-31</t>
        </is>
      </c>
      <c r="V1734" t="inlineStr">
        <is>
          <t>1998-10-31</t>
        </is>
      </c>
      <c r="W1734" t="inlineStr">
        <is>
          <t>1992-10-30</t>
        </is>
      </c>
      <c r="X1734" t="inlineStr">
        <is>
          <t>1992-10-30</t>
        </is>
      </c>
      <c r="Y1734" t="n">
        <v>556</v>
      </c>
      <c r="Z1734" t="n">
        <v>450</v>
      </c>
      <c r="AA1734" t="n">
        <v>458</v>
      </c>
      <c r="AB1734" t="n">
        <v>3</v>
      </c>
      <c r="AC1734" t="n">
        <v>3</v>
      </c>
      <c r="AD1734" t="n">
        <v>19</v>
      </c>
      <c r="AE1734" t="n">
        <v>19</v>
      </c>
      <c r="AF1734" t="n">
        <v>8</v>
      </c>
      <c r="AG1734" t="n">
        <v>8</v>
      </c>
      <c r="AH1734" t="n">
        <v>4</v>
      </c>
      <c r="AI1734" t="n">
        <v>4</v>
      </c>
      <c r="AJ1734" t="n">
        <v>10</v>
      </c>
      <c r="AK1734" t="n">
        <v>10</v>
      </c>
      <c r="AL1734" t="n">
        <v>1</v>
      </c>
      <c r="AM1734" t="n">
        <v>1</v>
      </c>
      <c r="AN1734" t="n">
        <v>2</v>
      </c>
      <c r="AO1734" t="n">
        <v>2</v>
      </c>
      <c r="AP1734" t="inlineStr">
        <is>
          <t>No</t>
        </is>
      </c>
      <c r="AQ1734" t="inlineStr">
        <is>
          <t>Yes</t>
        </is>
      </c>
      <c r="AR1734">
        <f>HYPERLINK("http://catalog.hathitrust.org/Record/000215853","HathiTrust Record")</f>
        <v/>
      </c>
      <c r="AS1734">
        <f>HYPERLINK("https://creighton-primo.hosted.exlibrisgroup.com/primo-explore/search?tab=default_tab&amp;search_scope=EVERYTHING&amp;vid=01CRU&amp;lang=en_US&amp;offset=0&amp;query=any,contains,991004604149702656","Catalog Record")</f>
        <v/>
      </c>
      <c r="AT1734">
        <f>HYPERLINK("http://www.worldcat.org/oclc/4193176","WorldCat Record")</f>
        <v/>
      </c>
      <c r="AU1734" t="inlineStr">
        <is>
          <t>514860:eng</t>
        </is>
      </c>
      <c r="AV1734" t="inlineStr">
        <is>
          <t>4193176</t>
        </is>
      </c>
      <c r="AW1734" t="inlineStr">
        <is>
          <t>991004604149702656</t>
        </is>
      </c>
      <c r="AX1734" t="inlineStr">
        <is>
          <t>991004604149702656</t>
        </is>
      </c>
      <c r="AY1734" t="inlineStr">
        <is>
          <t>2261891800002656</t>
        </is>
      </c>
      <c r="AZ1734" t="inlineStr">
        <is>
          <t>BOOK</t>
        </is>
      </c>
      <c r="BB1734" t="inlineStr">
        <is>
          <t>9780669024005</t>
        </is>
      </c>
      <c r="BC1734" t="inlineStr">
        <is>
          <t>32285001359271</t>
        </is>
      </c>
      <c r="BD1734" t="inlineStr">
        <is>
          <t>893612540</t>
        </is>
      </c>
    </row>
    <row r="1735">
      <c r="A1735" t="inlineStr">
        <is>
          <t>No</t>
        </is>
      </c>
      <c r="B1735" t="inlineStr">
        <is>
          <t>HQ728 .S36</t>
        </is>
      </c>
      <c r="C1735" t="inlineStr">
        <is>
          <t>0                      HQ 0728000S  36</t>
        </is>
      </c>
      <c r="D1735" t="inlineStr">
        <is>
          <t>The changing family : its function and future / [by] David A. Schulz.</t>
        </is>
      </c>
      <c r="F1735" t="inlineStr">
        <is>
          <t>No</t>
        </is>
      </c>
      <c r="G1735" t="inlineStr">
        <is>
          <t>1</t>
        </is>
      </c>
      <c r="H1735" t="inlineStr">
        <is>
          <t>No</t>
        </is>
      </c>
      <c r="I1735" t="inlineStr">
        <is>
          <t>No</t>
        </is>
      </c>
      <c r="J1735" t="inlineStr">
        <is>
          <t>0</t>
        </is>
      </c>
      <c r="K1735" t="inlineStr">
        <is>
          <t>Schulz, David A., 1933-</t>
        </is>
      </c>
      <c r="L1735" t="inlineStr">
        <is>
          <t>Englewood Cliffs, N.J. : Prentice-Hall, [1972]</t>
        </is>
      </c>
      <c r="M1735" t="inlineStr">
        <is>
          <t>1972</t>
        </is>
      </c>
      <c r="O1735" t="inlineStr">
        <is>
          <t>eng</t>
        </is>
      </c>
      <c r="P1735" t="inlineStr">
        <is>
          <t>nju</t>
        </is>
      </c>
      <c r="R1735" t="inlineStr">
        <is>
          <t xml:space="preserve">HQ </t>
        </is>
      </c>
      <c r="S1735" t="n">
        <v>5</v>
      </c>
      <c r="T1735" t="n">
        <v>5</v>
      </c>
      <c r="U1735" t="inlineStr">
        <is>
          <t>1993-09-02</t>
        </is>
      </c>
      <c r="V1735" t="inlineStr">
        <is>
          <t>1993-09-02</t>
        </is>
      </c>
      <c r="W1735" t="inlineStr">
        <is>
          <t>1992-11-04</t>
        </is>
      </c>
      <c r="X1735" t="inlineStr">
        <is>
          <t>1992-11-04</t>
        </is>
      </c>
      <c r="Y1735" t="n">
        <v>351</v>
      </c>
      <c r="Z1735" t="n">
        <v>282</v>
      </c>
      <c r="AA1735" t="n">
        <v>498</v>
      </c>
      <c r="AB1735" t="n">
        <v>2</v>
      </c>
      <c r="AC1735" t="n">
        <v>5</v>
      </c>
      <c r="AD1735" t="n">
        <v>14</v>
      </c>
      <c r="AE1735" t="n">
        <v>17</v>
      </c>
      <c r="AF1735" t="n">
        <v>9</v>
      </c>
      <c r="AG1735" t="n">
        <v>9</v>
      </c>
      <c r="AH1735" t="n">
        <v>1</v>
      </c>
      <c r="AI1735" t="n">
        <v>2</v>
      </c>
      <c r="AJ1735" t="n">
        <v>7</v>
      </c>
      <c r="AK1735" t="n">
        <v>7</v>
      </c>
      <c r="AL1735" t="n">
        <v>1</v>
      </c>
      <c r="AM1735" t="n">
        <v>3</v>
      </c>
      <c r="AN1735" t="n">
        <v>0</v>
      </c>
      <c r="AO1735" t="n">
        <v>0</v>
      </c>
      <c r="AP1735" t="inlineStr">
        <is>
          <t>No</t>
        </is>
      </c>
      <c r="AQ1735" t="inlineStr">
        <is>
          <t>Yes</t>
        </is>
      </c>
      <c r="AR1735">
        <f>HYPERLINK("http://catalog.hathitrust.org/Record/007558991","HathiTrust Record")</f>
        <v/>
      </c>
      <c r="AS1735">
        <f>HYPERLINK("https://creighton-primo.hosted.exlibrisgroup.com/primo-explore/search?tab=default_tab&amp;search_scope=EVERYTHING&amp;vid=01CRU&amp;lang=en_US&amp;offset=0&amp;query=any,contains,991002497919702656","Catalog Record")</f>
        <v/>
      </c>
      <c r="AT1735">
        <f>HYPERLINK("http://www.worldcat.org/oclc/364031","WorldCat Record")</f>
        <v/>
      </c>
      <c r="AU1735" t="inlineStr">
        <is>
          <t>1421272:eng</t>
        </is>
      </c>
      <c r="AV1735" t="inlineStr">
        <is>
          <t>364031</t>
        </is>
      </c>
      <c r="AW1735" t="inlineStr">
        <is>
          <t>991002497919702656</t>
        </is>
      </c>
      <c r="AX1735" t="inlineStr">
        <is>
          <t>991002497919702656</t>
        </is>
      </c>
      <c r="AY1735" t="inlineStr">
        <is>
          <t>2263034330002656</t>
        </is>
      </c>
      <c r="AZ1735" t="inlineStr">
        <is>
          <t>BOOK</t>
        </is>
      </c>
      <c r="BB1735" t="inlineStr">
        <is>
          <t>9780131280823</t>
        </is>
      </c>
      <c r="BC1735" t="inlineStr">
        <is>
          <t>32285001380582</t>
        </is>
      </c>
      <c r="BD1735" t="inlineStr">
        <is>
          <t>893535043</t>
        </is>
      </c>
    </row>
    <row r="1736">
      <c r="A1736" t="inlineStr">
        <is>
          <t>No</t>
        </is>
      </c>
      <c r="B1736" t="inlineStr">
        <is>
          <t>HQ728 .S43 1989</t>
        </is>
      </c>
      <c r="C1736" t="inlineStr">
        <is>
          <t>0                      HQ 0728000S  43          1989</t>
        </is>
      </c>
      <c r="D1736" t="inlineStr">
        <is>
          <t>The Sexual bond : rethinking families and close relationships / John Scanzoni ... [et al.].</t>
        </is>
      </c>
      <c r="F1736" t="inlineStr">
        <is>
          <t>No</t>
        </is>
      </c>
      <c r="G1736" t="inlineStr">
        <is>
          <t>1</t>
        </is>
      </c>
      <c r="H1736" t="inlineStr">
        <is>
          <t>No</t>
        </is>
      </c>
      <c r="I1736" t="inlineStr">
        <is>
          <t>No</t>
        </is>
      </c>
      <c r="J1736" t="inlineStr">
        <is>
          <t>0</t>
        </is>
      </c>
      <c r="L1736" t="inlineStr">
        <is>
          <t>Newbury Park, Calif. : Sage Publications, c1989.</t>
        </is>
      </c>
      <c r="M1736" t="inlineStr">
        <is>
          <t>1989</t>
        </is>
      </c>
      <c r="O1736" t="inlineStr">
        <is>
          <t>eng</t>
        </is>
      </c>
      <c r="P1736" t="inlineStr">
        <is>
          <t>cau</t>
        </is>
      </c>
      <c r="Q1736" t="inlineStr">
        <is>
          <t>Sage library of social research ; v. 170</t>
        </is>
      </c>
      <c r="R1736" t="inlineStr">
        <is>
          <t xml:space="preserve">HQ </t>
        </is>
      </c>
      <c r="S1736" t="n">
        <v>5</v>
      </c>
      <c r="T1736" t="n">
        <v>5</v>
      </c>
      <c r="U1736" t="inlineStr">
        <is>
          <t>2007-10-17</t>
        </is>
      </c>
      <c r="V1736" t="inlineStr">
        <is>
          <t>2007-10-17</t>
        </is>
      </c>
      <c r="W1736" t="inlineStr">
        <is>
          <t>1992-10-30</t>
        </is>
      </c>
      <c r="X1736" t="inlineStr">
        <is>
          <t>1992-10-30</t>
        </is>
      </c>
      <c r="Y1736" t="n">
        <v>465</v>
      </c>
      <c r="Z1736" t="n">
        <v>351</v>
      </c>
      <c r="AA1736" t="n">
        <v>366</v>
      </c>
      <c r="AB1736" t="n">
        <v>5</v>
      </c>
      <c r="AC1736" t="n">
        <v>5</v>
      </c>
      <c r="AD1736" t="n">
        <v>16</v>
      </c>
      <c r="AE1736" t="n">
        <v>16</v>
      </c>
      <c r="AF1736" t="n">
        <v>4</v>
      </c>
      <c r="AG1736" t="n">
        <v>4</v>
      </c>
      <c r="AH1736" t="n">
        <v>2</v>
      </c>
      <c r="AI1736" t="n">
        <v>2</v>
      </c>
      <c r="AJ1736" t="n">
        <v>9</v>
      </c>
      <c r="AK1736" t="n">
        <v>9</v>
      </c>
      <c r="AL1736" t="n">
        <v>4</v>
      </c>
      <c r="AM1736" t="n">
        <v>4</v>
      </c>
      <c r="AN1736" t="n">
        <v>0</v>
      </c>
      <c r="AO1736" t="n">
        <v>0</v>
      </c>
      <c r="AP1736" t="inlineStr">
        <is>
          <t>No</t>
        </is>
      </c>
      <c r="AQ1736" t="inlineStr">
        <is>
          <t>Yes</t>
        </is>
      </c>
      <c r="AR1736">
        <f>HYPERLINK("http://catalog.hathitrust.org/Record/002478443","HathiTrust Record")</f>
        <v/>
      </c>
      <c r="AS1736">
        <f>HYPERLINK("https://creighton-primo.hosted.exlibrisgroup.com/primo-explore/search?tab=default_tab&amp;search_scope=EVERYTHING&amp;vid=01CRU&amp;lang=en_US&amp;offset=0&amp;query=any,contains,991001244879702656","Catalog Record")</f>
        <v/>
      </c>
      <c r="AT1736">
        <f>HYPERLINK("http://www.worldcat.org/oclc/17649265","WorldCat Record")</f>
        <v/>
      </c>
      <c r="AU1736" t="inlineStr">
        <is>
          <t>836839031:eng</t>
        </is>
      </c>
      <c r="AV1736" t="inlineStr">
        <is>
          <t>17649265</t>
        </is>
      </c>
      <c r="AW1736" t="inlineStr">
        <is>
          <t>991001244879702656</t>
        </is>
      </c>
      <c r="AX1736" t="inlineStr">
        <is>
          <t>991001244879702656</t>
        </is>
      </c>
      <c r="AY1736" t="inlineStr">
        <is>
          <t>2259141060002656</t>
        </is>
      </c>
      <c r="AZ1736" t="inlineStr">
        <is>
          <t>BOOK</t>
        </is>
      </c>
      <c r="BB1736" t="inlineStr">
        <is>
          <t>9780803928848</t>
        </is>
      </c>
      <c r="BC1736" t="inlineStr">
        <is>
          <t>32285001359289</t>
        </is>
      </c>
      <c r="BD1736" t="inlineStr">
        <is>
          <t>893866084</t>
        </is>
      </c>
    </row>
    <row r="1737">
      <c r="A1737" t="inlineStr">
        <is>
          <t>No</t>
        </is>
      </c>
      <c r="B1737" t="inlineStr">
        <is>
          <t>HQ728 .S57</t>
        </is>
      </c>
      <c r="C1737" t="inlineStr">
        <is>
          <t>0                      HQ 0728000S  57</t>
        </is>
      </c>
      <c r="D1737" t="inlineStr">
        <is>
          <t>Families : developing relationships / Mollie Stevens Smart, Laura S. Smart; with contributions by Russell Cook Smart and Craig M. Szwed.</t>
        </is>
      </c>
      <c r="F1737" t="inlineStr">
        <is>
          <t>No</t>
        </is>
      </c>
      <c r="G1737" t="inlineStr">
        <is>
          <t>1</t>
        </is>
      </c>
      <c r="H1737" t="inlineStr">
        <is>
          <t>No</t>
        </is>
      </c>
      <c r="I1737" t="inlineStr">
        <is>
          <t>No</t>
        </is>
      </c>
      <c r="J1737" t="inlineStr">
        <is>
          <t>0</t>
        </is>
      </c>
      <c r="K1737" t="inlineStr">
        <is>
          <t>Smart, Mollie Stevens.</t>
        </is>
      </c>
      <c r="L1737" t="inlineStr">
        <is>
          <t>New York : Macmillan, c1976.</t>
        </is>
      </c>
      <c r="M1737" t="inlineStr">
        <is>
          <t>1976</t>
        </is>
      </c>
      <c r="O1737" t="inlineStr">
        <is>
          <t>eng</t>
        </is>
      </c>
      <c r="P1737" t="inlineStr">
        <is>
          <t>nyu</t>
        </is>
      </c>
      <c r="R1737" t="inlineStr">
        <is>
          <t xml:space="preserve">HQ </t>
        </is>
      </c>
      <c r="S1737" t="n">
        <v>7</v>
      </c>
      <c r="T1737" t="n">
        <v>7</v>
      </c>
      <c r="U1737" t="inlineStr">
        <is>
          <t>1996-03-26</t>
        </is>
      </c>
      <c r="V1737" t="inlineStr">
        <is>
          <t>1996-03-26</t>
        </is>
      </c>
      <c r="W1737" t="inlineStr">
        <is>
          <t>1992-05-12</t>
        </is>
      </c>
      <c r="X1737" t="inlineStr">
        <is>
          <t>1992-05-12</t>
        </is>
      </c>
      <c r="Y1737" t="n">
        <v>220</v>
      </c>
      <c r="Z1737" t="n">
        <v>162</v>
      </c>
      <c r="AA1737" t="n">
        <v>273</v>
      </c>
      <c r="AB1737" t="n">
        <v>3</v>
      </c>
      <c r="AC1737" t="n">
        <v>5</v>
      </c>
      <c r="AD1737" t="n">
        <v>3</v>
      </c>
      <c r="AE1737" t="n">
        <v>9</v>
      </c>
      <c r="AF1737" t="n">
        <v>2</v>
      </c>
      <c r="AG1737" t="n">
        <v>5</v>
      </c>
      <c r="AH1737" t="n">
        <v>0</v>
      </c>
      <c r="AI1737" t="n">
        <v>1</v>
      </c>
      <c r="AJ1737" t="n">
        <v>2</v>
      </c>
      <c r="AK1737" t="n">
        <v>2</v>
      </c>
      <c r="AL1737" t="n">
        <v>0</v>
      </c>
      <c r="AM1737" t="n">
        <v>2</v>
      </c>
      <c r="AN1737" t="n">
        <v>0</v>
      </c>
      <c r="AO1737" t="n">
        <v>0</v>
      </c>
      <c r="AP1737" t="inlineStr">
        <is>
          <t>No</t>
        </is>
      </c>
      <c r="AQ1737" t="inlineStr">
        <is>
          <t>Yes</t>
        </is>
      </c>
      <c r="AR1737">
        <f>HYPERLINK("http://catalog.hathitrust.org/Record/005709229","HathiTrust Record")</f>
        <v/>
      </c>
      <c r="AS1737">
        <f>HYPERLINK("https://creighton-primo.hosted.exlibrisgroup.com/primo-explore/search?tab=default_tab&amp;search_scope=EVERYTHING&amp;vid=01CRU&amp;lang=en_US&amp;offset=0&amp;query=any,contains,991003597809702656","Catalog Record")</f>
        <v/>
      </c>
      <c r="AT1737">
        <f>HYPERLINK("http://www.worldcat.org/oclc/1176029","WorldCat Record")</f>
        <v/>
      </c>
      <c r="AU1737" t="inlineStr">
        <is>
          <t>398795:eng</t>
        </is>
      </c>
      <c r="AV1737" t="inlineStr">
        <is>
          <t>1176029</t>
        </is>
      </c>
      <c r="AW1737" t="inlineStr">
        <is>
          <t>991003597809702656</t>
        </is>
      </c>
      <c r="AX1737" t="inlineStr">
        <is>
          <t>991003597809702656</t>
        </is>
      </c>
      <c r="AY1737" t="inlineStr">
        <is>
          <t>2271730330002656</t>
        </is>
      </c>
      <c r="AZ1737" t="inlineStr">
        <is>
          <t>BOOK</t>
        </is>
      </c>
      <c r="BB1737" t="inlineStr">
        <is>
          <t>9780024120205</t>
        </is>
      </c>
      <c r="BC1737" t="inlineStr">
        <is>
          <t>32285001106383</t>
        </is>
      </c>
      <c r="BD1737" t="inlineStr">
        <is>
          <t>893258608</t>
        </is>
      </c>
    </row>
    <row r="1738">
      <c r="A1738" t="inlineStr">
        <is>
          <t>No</t>
        </is>
      </c>
      <c r="B1738" t="inlineStr">
        <is>
          <t>HQ728 .S58</t>
        </is>
      </c>
      <c r="C1738" t="inlineStr">
        <is>
          <t>0                      HQ 0728000S  58</t>
        </is>
      </c>
      <c r="D1738" t="inlineStr">
        <is>
          <t>An introduction to family relationships / by Mollie Smart and Russell Smart.</t>
        </is>
      </c>
      <c r="F1738" t="inlineStr">
        <is>
          <t>No</t>
        </is>
      </c>
      <c r="G1738" t="inlineStr">
        <is>
          <t>1</t>
        </is>
      </c>
      <c r="H1738" t="inlineStr">
        <is>
          <t>No</t>
        </is>
      </c>
      <c r="I1738" t="inlineStr">
        <is>
          <t>No</t>
        </is>
      </c>
      <c r="J1738" t="inlineStr">
        <is>
          <t>0</t>
        </is>
      </c>
      <c r="K1738" t="inlineStr">
        <is>
          <t>Smart, Mollie Stevens.</t>
        </is>
      </c>
      <c r="L1738" t="inlineStr">
        <is>
          <t>Philadelphia : Saunders, 1953.</t>
        </is>
      </c>
      <c r="M1738" t="inlineStr">
        <is>
          <t>1953</t>
        </is>
      </c>
      <c r="O1738" t="inlineStr">
        <is>
          <t>eng</t>
        </is>
      </c>
      <c r="P1738" t="inlineStr">
        <is>
          <t>pau</t>
        </is>
      </c>
      <c r="R1738" t="inlineStr">
        <is>
          <t xml:space="preserve">HQ </t>
        </is>
      </c>
      <c r="S1738" t="n">
        <v>2</v>
      </c>
      <c r="T1738" t="n">
        <v>2</v>
      </c>
      <c r="U1738" t="inlineStr">
        <is>
          <t>1995-04-18</t>
        </is>
      </c>
      <c r="V1738" t="inlineStr">
        <is>
          <t>1995-04-18</t>
        </is>
      </c>
      <c r="W1738" t="inlineStr">
        <is>
          <t>1992-05-12</t>
        </is>
      </c>
      <c r="X1738" t="inlineStr">
        <is>
          <t>1992-05-12</t>
        </is>
      </c>
      <c r="Y1738" t="n">
        <v>169</v>
      </c>
      <c r="Z1738" t="n">
        <v>154</v>
      </c>
      <c r="AA1738" t="n">
        <v>160</v>
      </c>
      <c r="AB1738" t="n">
        <v>4</v>
      </c>
      <c r="AC1738" t="n">
        <v>4</v>
      </c>
      <c r="AD1738" t="n">
        <v>7</v>
      </c>
      <c r="AE1738" t="n">
        <v>7</v>
      </c>
      <c r="AF1738" t="n">
        <v>1</v>
      </c>
      <c r="AG1738" t="n">
        <v>1</v>
      </c>
      <c r="AH1738" t="n">
        <v>1</v>
      </c>
      <c r="AI1738" t="n">
        <v>1</v>
      </c>
      <c r="AJ1738" t="n">
        <v>2</v>
      </c>
      <c r="AK1738" t="n">
        <v>2</v>
      </c>
      <c r="AL1738" t="n">
        <v>3</v>
      </c>
      <c r="AM1738" t="n">
        <v>3</v>
      </c>
      <c r="AN1738" t="n">
        <v>0</v>
      </c>
      <c r="AO1738" t="n">
        <v>0</v>
      </c>
      <c r="AP1738" t="inlineStr">
        <is>
          <t>Yes</t>
        </is>
      </c>
      <c r="AQ1738" t="inlineStr">
        <is>
          <t>No</t>
        </is>
      </c>
      <c r="AR1738">
        <f>HYPERLINK("http://catalog.hathitrust.org/Record/006773019","HathiTrust Record")</f>
        <v/>
      </c>
      <c r="AS1738">
        <f>HYPERLINK("https://creighton-primo.hosted.exlibrisgroup.com/primo-explore/search?tab=default_tab&amp;search_scope=EVERYTHING&amp;vid=01CRU&amp;lang=en_US&amp;offset=0&amp;query=any,contains,991003930469702656","Catalog Record")</f>
        <v/>
      </c>
      <c r="AT1738">
        <f>HYPERLINK("http://www.worldcat.org/oclc/1895580","WorldCat Record")</f>
        <v/>
      </c>
      <c r="AU1738" t="inlineStr">
        <is>
          <t>3496402:eng</t>
        </is>
      </c>
      <c r="AV1738" t="inlineStr">
        <is>
          <t>1895580</t>
        </is>
      </c>
      <c r="AW1738" t="inlineStr">
        <is>
          <t>991003930469702656</t>
        </is>
      </c>
      <c r="AX1738" t="inlineStr">
        <is>
          <t>991003930469702656</t>
        </is>
      </c>
      <c r="AY1738" t="inlineStr">
        <is>
          <t>2261593050002656</t>
        </is>
      </c>
      <c r="AZ1738" t="inlineStr">
        <is>
          <t>BOOK</t>
        </is>
      </c>
      <c r="BC1738" t="inlineStr">
        <is>
          <t>32285001106375</t>
        </is>
      </c>
      <c r="BD1738" t="inlineStr">
        <is>
          <t>893781649</t>
        </is>
      </c>
    </row>
    <row r="1739">
      <c r="A1739" t="inlineStr">
        <is>
          <t>No</t>
        </is>
      </c>
      <c r="B1739" t="inlineStr">
        <is>
          <t>HQ728 .S638 1993</t>
        </is>
      </c>
      <c r="C1739" t="inlineStr">
        <is>
          <t>0                      HQ 0728000S  638         1993</t>
        </is>
      </c>
      <c r="D1739" t="inlineStr">
        <is>
          <t>Sourcebook of family theories and methods : a contextual approach / edited by Pauline G. Boss ... [et al.].</t>
        </is>
      </c>
      <c r="F1739" t="inlineStr">
        <is>
          <t>No</t>
        </is>
      </c>
      <c r="G1739" t="inlineStr">
        <is>
          <t>1</t>
        </is>
      </c>
      <c r="H1739" t="inlineStr">
        <is>
          <t>No</t>
        </is>
      </c>
      <c r="I1739" t="inlineStr">
        <is>
          <t>No</t>
        </is>
      </c>
      <c r="J1739" t="inlineStr">
        <is>
          <t>0</t>
        </is>
      </c>
      <c r="L1739" t="inlineStr">
        <is>
          <t>New York : Plenum Press, c1993.</t>
        </is>
      </c>
      <c r="M1739" t="inlineStr">
        <is>
          <t>1993</t>
        </is>
      </c>
      <c r="O1739" t="inlineStr">
        <is>
          <t>eng</t>
        </is>
      </c>
      <c r="P1739" t="inlineStr">
        <is>
          <t>nyu</t>
        </is>
      </c>
      <c r="R1739" t="inlineStr">
        <is>
          <t xml:space="preserve">HQ </t>
        </is>
      </c>
      <c r="S1739" t="n">
        <v>7</v>
      </c>
      <c r="T1739" t="n">
        <v>7</v>
      </c>
      <c r="U1739" t="inlineStr">
        <is>
          <t>2010-05-06</t>
        </is>
      </c>
      <c r="V1739" t="inlineStr">
        <is>
          <t>2010-05-06</t>
        </is>
      </c>
      <c r="W1739" t="inlineStr">
        <is>
          <t>1994-02-14</t>
        </is>
      </c>
      <c r="X1739" t="inlineStr">
        <is>
          <t>1994-02-14</t>
        </is>
      </c>
      <c r="Y1739" t="n">
        <v>494</v>
      </c>
      <c r="Z1739" t="n">
        <v>373</v>
      </c>
      <c r="AA1739" t="n">
        <v>410</v>
      </c>
      <c r="AB1739" t="n">
        <v>5</v>
      </c>
      <c r="AC1739" t="n">
        <v>5</v>
      </c>
      <c r="AD1739" t="n">
        <v>20</v>
      </c>
      <c r="AE1739" t="n">
        <v>22</v>
      </c>
      <c r="AF1739" t="n">
        <v>3</v>
      </c>
      <c r="AG1739" t="n">
        <v>5</v>
      </c>
      <c r="AH1739" t="n">
        <v>4</v>
      </c>
      <c r="AI1739" t="n">
        <v>4</v>
      </c>
      <c r="AJ1739" t="n">
        <v>12</v>
      </c>
      <c r="AK1739" t="n">
        <v>13</v>
      </c>
      <c r="AL1739" t="n">
        <v>4</v>
      </c>
      <c r="AM1739" t="n">
        <v>4</v>
      </c>
      <c r="AN1739" t="n">
        <v>0</v>
      </c>
      <c r="AO1739" t="n">
        <v>0</v>
      </c>
      <c r="AP1739" t="inlineStr">
        <is>
          <t>No</t>
        </is>
      </c>
      <c r="AQ1739" t="inlineStr">
        <is>
          <t>No</t>
        </is>
      </c>
      <c r="AS1739">
        <f>HYPERLINK("https://creighton-primo.hosted.exlibrisgroup.com/primo-explore/search?tab=default_tab&amp;search_scope=EVERYTHING&amp;vid=01CRU&amp;lang=en_US&amp;offset=0&amp;query=any,contains,991002099819702656","Catalog Record")</f>
        <v/>
      </c>
      <c r="AT1739">
        <f>HYPERLINK("http://www.worldcat.org/oclc/26935098","WorldCat Record")</f>
        <v/>
      </c>
      <c r="AU1739" t="inlineStr">
        <is>
          <t>836868166:eng</t>
        </is>
      </c>
      <c r="AV1739" t="inlineStr">
        <is>
          <t>26935098</t>
        </is>
      </c>
      <c r="AW1739" t="inlineStr">
        <is>
          <t>991002099819702656</t>
        </is>
      </c>
      <c r="AX1739" t="inlineStr">
        <is>
          <t>991002099819702656</t>
        </is>
      </c>
      <c r="AY1739" t="inlineStr">
        <is>
          <t>2262391170002656</t>
        </is>
      </c>
      <c r="AZ1739" t="inlineStr">
        <is>
          <t>BOOK</t>
        </is>
      </c>
      <c r="BB1739" t="inlineStr">
        <is>
          <t>9780306442643</t>
        </is>
      </c>
      <c r="BC1739" t="inlineStr">
        <is>
          <t>32285001841872</t>
        </is>
      </c>
      <c r="BD1739" t="inlineStr">
        <is>
          <t>893414821</t>
        </is>
      </c>
    </row>
    <row r="1740">
      <c r="A1740" t="inlineStr">
        <is>
          <t>No</t>
        </is>
      </c>
      <c r="B1740" t="inlineStr">
        <is>
          <t>HQ728 .T43</t>
        </is>
      </c>
      <c r="C1740" t="inlineStr">
        <is>
          <t>0                      HQ 0728000T  43</t>
        </is>
      </c>
      <c r="D1740" t="inlineStr">
        <is>
          <t>A factor analytic study of marriage-roles : expectations and perceived enactments / by Roland G. Tharp.</t>
        </is>
      </c>
      <c r="F1740" t="inlineStr">
        <is>
          <t>No</t>
        </is>
      </c>
      <c r="G1740" t="inlineStr">
        <is>
          <t>1</t>
        </is>
      </c>
      <c r="H1740" t="inlineStr">
        <is>
          <t>No</t>
        </is>
      </c>
      <c r="I1740" t="inlineStr">
        <is>
          <t>No</t>
        </is>
      </c>
      <c r="J1740" t="inlineStr">
        <is>
          <t>0</t>
        </is>
      </c>
      <c r="K1740" t="inlineStr">
        <is>
          <t>Tharp, Roland G., 1930-2015.</t>
        </is>
      </c>
      <c r="M1740" t="inlineStr">
        <is>
          <t>1961</t>
        </is>
      </c>
      <c r="O1740" t="inlineStr">
        <is>
          <t>eng</t>
        </is>
      </c>
      <c r="P1740" t="inlineStr">
        <is>
          <t xml:space="preserve">xx </t>
        </is>
      </c>
      <c r="R1740" t="inlineStr">
        <is>
          <t xml:space="preserve">HQ </t>
        </is>
      </c>
      <c r="S1740" t="n">
        <v>4</v>
      </c>
      <c r="T1740" t="n">
        <v>4</v>
      </c>
      <c r="U1740" t="inlineStr">
        <is>
          <t>1999-06-25</t>
        </is>
      </c>
      <c r="V1740" t="inlineStr">
        <is>
          <t>1999-06-25</t>
        </is>
      </c>
      <c r="W1740" t="inlineStr">
        <is>
          <t>1997-08-14</t>
        </is>
      </c>
      <c r="X1740" t="inlineStr">
        <is>
          <t>1997-08-14</t>
        </is>
      </c>
      <c r="Y1740" t="n">
        <v>4</v>
      </c>
      <c r="Z1740" t="n">
        <v>4</v>
      </c>
      <c r="AA1740" t="n">
        <v>10</v>
      </c>
      <c r="AB1740" t="n">
        <v>1</v>
      </c>
      <c r="AC1740" t="n">
        <v>1</v>
      </c>
      <c r="AD1740" t="n">
        <v>0</v>
      </c>
      <c r="AE1740" t="n">
        <v>0</v>
      </c>
      <c r="AF1740" t="n">
        <v>0</v>
      </c>
      <c r="AG1740" t="n">
        <v>0</v>
      </c>
      <c r="AH1740" t="n">
        <v>0</v>
      </c>
      <c r="AI1740" t="n">
        <v>0</v>
      </c>
      <c r="AJ1740" t="n">
        <v>0</v>
      </c>
      <c r="AK1740" t="n">
        <v>0</v>
      </c>
      <c r="AL1740" t="n">
        <v>0</v>
      </c>
      <c r="AM1740" t="n">
        <v>0</v>
      </c>
      <c r="AN1740" t="n">
        <v>0</v>
      </c>
      <c r="AO1740" t="n">
        <v>0</v>
      </c>
      <c r="AP1740" t="inlineStr">
        <is>
          <t>No</t>
        </is>
      </c>
      <c r="AQ1740" t="inlineStr">
        <is>
          <t>No</t>
        </is>
      </c>
      <c r="AS1740">
        <f>HYPERLINK("https://creighton-primo.hosted.exlibrisgroup.com/primo-explore/search?tab=default_tab&amp;search_scope=EVERYTHING&amp;vid=01CRU&amp;lang=en_US&amp;offset=0&amp;query=any,contains,991003586079702656","Catalog Record")</f>
        <v/>
      </c>
      <c r="AT1740">
        <f>HYPERLINK("http://www.worldcat.org/oclc/1166610","WorldCat Record")</f>
        <v/>
      </c>
      <c r="AU1740" t="inlineStr">
        <is>
          <t>2104652:eng</t>
        </is>
      </c>
      <c r="AV1740" t="inlineStr">
        <is>
          <t>1166610</t>
        </is>
      </c>
      <c r="AW1740" t="inlineStr">
        <is>
          <t>991003586079702656</t>
        </is>
      </c>
      <c r="AX1740" t="inlineStr">
        <is>
          <t>991003586079702656</t>
        </is>
      </c>
      <c r="AY1740" t="inlineStr">
        <is>
          <t>2266369100002656</t>
        </is>
      </c>
      <c r="AZ1740" t="inlineStr">
        <is>
          <t>BOOK</t>
        </is>
      </c>
      <c r="BC1740" t="inlineStr">
        <is>
          <t>32285003089439</t>
        </is>
      </c>
      <c r="BD1740" t="inlineStr">
        <is>
          <t>893717832</t>
        </is>
      </c>
    </row>
    <row r="1741">
      <c r="A1741" t="inlineStr">
        <is>
          <t>No</t>
        </is>
      </c>
      <c r="B1741" t="inlineStr">
        <is>
          <t>HQ728 .T45</t>
        </is>
      </c>
      <c r="C1741" t="inlineStr">
        <is>
          <t>0                      HQ 0728000T  45</t>
        </is>
      </c>
      <c r="D1741" t="inlineStr">
        <is>
          <t>Helping troubled families : a social work perspective / George Thorman.</t>
        </is>
      </c>
      <c r="F1741" t="inlineStr">
        <is>
          <t>No</t>
        </is>
      </c>
      <c r="G1741" t="inlineStr">
        <is>
          <t>1</t>
        </is>
      </c>
      <c r="H1741" t="inlineStr">
        <is>
          <t>No</t>
        </is>
      </c>
      <c r="I1741" t="inlineStr">
        <is>
          <t>No</t>
        </is>
      </c>
      <c r="J1741" t="inlineStr">
        <is>
          <t>0</t>
        </is>
      </c>
      <c r="K1741" t="inlineStr">
        <is>
          <t>Thorman, George.</t>
        </is>
      </c>
      <c r="L1741" t="inlineStr">
        <is>
          <t>New York : Aldine, c1982.</t>
        </is>
      </c>
      <c r="M1741" t="inlineStr">
        <is>
          <t>1982</t>
        </is>
      </c>
      <c r="O1741" t="inlineStr">
        <is>
          <t>eng</t>
        </is>
      </c>
      <c r="P1741" t="inlineStr">
        <is>
          <t>nyu</t>
        </is>
      </c>
      <c r="R1741" t="inlineStr">
        <is>
          <t xml:space="preserve">HQ </t>
        </is>
      </c>
      <c r="S1741" t="n">
        <v>4</v>
      </c>
      <c r="T1741" t="n">
        <v>4</v>
      </c>
      <c r="U1741" t="inlineStr">
        <is>
          <t>1993-04-21</t>
        </is>
      </c>
      <c r="V1741" t="inlineStr">
        <is>
          <t>1993-04-21</t>
        </is>
      </c>
      <c r="W1741" t="inlineStr">
        <is>
          <t>1992-10-30</t>
        </is>
      </c>
      <c r="X1741" t="inlineStr">
        <is>
          <t>1992-10-30</t>
        </is>
      </c>
      <c r="Y1741" t="n">
        <v>362</v>
      </c>
      <c r="Z1741" t="n">
        <v>301</v>
      </c>
      <c r="AA1741" t="n">
        <v>308</v>
      </c>
      <c r="AB1741" t="n">
        <v>1</v>
      </c>
      <c r="AC1741" t="n">
        <v>1</v>
      </c>
      <c r="AD1741" t="n">
        <v>12</v>
      </c>
      <c r="AE1741" t="n">
        <v>12</v>
      </c>
      <c r="AF1741" t="n">
        <v>6</v>
      </c>
      <c r="AG1741" t="n">
        <v>6</v>
      </c>
      <c r="AH1741" t="n">
        <v>4</v>
      </c>
      <c r="AI1741" t="n">
        <v>4</v>
      </c>
      <c r="AJ1741" t="n">
        <v>5</v>
      </c>
      <c r="AK1741" t="n">
        <v>5</v>
      </c>
      <c r="AL1741" t="n">
        <v>0</v>
      </c>
      <c r="AM1741" t="n">
        <v>0</v>
      </c>
      <c r="AN1741" t="n">
        <v>0</v>
      </c>
      <c r="AO1741" t="n">
        <v>0</v>
      </c>
      <c r="AP1741" t="inlineStr">
        <is>
          <t>No</t>
        </is>
      </c>
      <c r="AQ1741" t="inlineStr">
        <is>
          <t>Yes</t>
        </is>
      </c>
      <c r="AR1741">
        <f>HYPERLINK("http://catalog.hathitrust.org/Record/000437255","HathiTrust Record")</f>
        <v/>
      </c>
      <c r="AS1741">
        <f>HYPERLINK("https://creighton-primo.hosted.exlibrisgroup.com/primo-explore/search?tab=default_tab&amp;search_scope=EVERYTHING&amp;vid=01CRU&amp;lang=en_US&amp;offset=0&amp;query=any,contains,991000006299702656","Catalog Record")</f>
        <v/>
      </c>
      <c r="AT1741">
        <f>HYPERLINK("http://www.worldcat.org/oclc/8527194","WorldCat Record")</f>
        <v/>
      </c>
      <c r="AU1741" t="inlineStr">
        <is>
          <t>435357244:eng</t>
        </is>
      </c>
      <c r="AV1741" t="inlineStr">
        <is>
          <t>8527194</t>
        </is>
      </c>
      <c r="AW1741" t="inlineStr">
        <is>
          <t>991000006299702656</t>
        </is>
      </c>
      <c r="AX1741" t="inlineStr">
        <is>
          <t>991000006299702656</t>
        </is>
      </c>
      <c r="AY1741" t="inlineStr">
        <is>
          <t>2266095460002656</t>
        </is>
      </c>
      <c r="AZ1741" t="inlineStr">
        <is>
          <t>BOOK</t>
        </is>
      </c>
      <c r="BB1741" t="inlineStr">
        <is>
          <t>9780202260914</t>
        </is>
      </c>
      <c r="BC1741" t="inlineStr">
        <is>
          <t>32285001359305</t>
        </is>
      </c>
      <c r="BD1741" t="inlineStr">
        <is>
          <t>893242893</t>
        </is>
      </c>
    </row>
    <row r="1742">
      <c r="A1742" t="inlineStr">
        <is>
          <t>No</t>
        </is>
      </c>
      <c r="B1742" t="inlineStr">
        <is>
          <t>HQ728 .T48</t>
        </is>
      </c>
      <c r="C1742" t="inlineStr">
        <is>
          <t>0                      HQ 0728000T  48</t>
        </is>
      </c>
      <c r="D1742" t="inlineStr">
        <is>
          <t>Beyond marriage and the nuclear family / Robert Thamm.</t>
        </is>
      </c>
      <c r="F1742" t="inlineStr">
        <is>
          <t>No</t>
        </is>
      </c>
      <c r="G1742" t="inlineStr">
        <is>
          <t>1</t>
        </is>
      </c>
      <c r="H1742" t="inlineStr">
        <is>
          <t>No</t>
        </is>
      </c>
      <c r="I1742" t="inlineStr">
        <is>
          <t>No</t>
        </is>
      </c>
      <c r="J1742" t="inlineStr">
        <is>
          <t>0</t>
        </is>
      </c>
      <c r="K1742" t="inlineStr">
        <is>
          <t>Thamm, Robert.</t>
        </is>
      </c>
      <c r="L1742" t="inlineStr">
        <is>
          <t>San Francisco : Canfield Press, [1975]</t>
        </is>
      </c>
      <c r="M1742" t="inlineStr">
        <is>
          <t>1975</t>
        </is>
      </c>
      <c r="O1742" t="inlineStr">
        <is>
          <t>eng</t>
        </is>
      </c>
      <c r="P1742" t="inlineStr">
        <is>
          <t>cau</t>
        </is>
      </c>
      <c r="R1742" t="inlineStr">
        <is>
          <t xml:space="preserve">HQ </t>
        </is>
      </c>
      <c r="S1742" t="n">
        <v>6</v>
      </c>
      <c r="T1742" t="n">
        <v>6</v>
      </c>
      <c r="U1742" t="inlineStr">
        <is>
          <t>2004-11-16</t>
        </is>
      </c>
      <c r="V1742" t="inlineStr">
        <is>
          <t>2004-11-16</t>
        </is>
      </c>
      <c r="W1742" t="inlineStr">
        <is>
          <t>1997-08-11</t>
        </is>
      </c>
      <c r="X1742" t="inlineStr">
        <is>
          <t>1997-08-11</t>
        </is>
      </c>
      <c r="Y1742" t="n">
        <v>326</v>
      </c>
      <c r="Z1742" t="n">
        <v>258</v>
      </c>
      <c r="AA1742" t="n">
        <v>266</v>
      </c>
      <c r="AB1742" t="n">
        <v>3</v>
      </c>
      <c r="AC1742" t="n">
        <v>3</v>
      </c>
      <c r="AD1742" t="n">
        <v>7</v>
      </c>
      <c r="AE1742" t="n">
        <v>7</v>
      </c>
      <c r="AF1742" t="n">
        <v>1</v>
      </c>
      <c r="AG1742" t="n">
        <v>1</v>
      </c>
      <c r="AH1742" t="n">
        <v>0</v>
      </c>
      <c r="AI1742" t="n">
        <v>0</v>
      </c>
      <c r="AJ1742" t="n">
        <v>4</v>
      </c>
      <c r="AK1742" t="n">
        <v>4</v>
      </c>
      <c r="AL1742" t="n">
        <v>2</v>
      </c>
      <c r="AM1742" t="n">
        <v>2</v>
      </c>
      <c r="AN1742" t="n">
        <v>0</v>
      </c>
      <c r="AO1742" t="n">
        <v>0</v>
      </c>
      <c r="AP1742" t="inlineStr">
        <is>
          <t>No</t>
        </is>
      </c>
      <c r="AQ1742" t="inlineStr">
        <is>
          <t>No</t>
        </is>
      </c>
      <c r="AS1742">
        <f>HYPERLINK("https://creighton-primo.hosted.exlibrisgroup.com/primo-explore/search?tab=default_tab&amp;search_scope=EVERYTHING&amp;vid=01CRU&amp;lang=en_US&amp;offset=0&amp;query=any,contains,991003528239702656","Catalog Record")</f>
        <v/>
      </c>
      <c r="AT1742">
        <f>HYPERLINK("http://www.worldcat.org/oclc/1091837","WorldCat Record")</f>
        <v/>
      </c>
      <c r="AU1742" t="inlineStr">
        <is>
          <t>2063196:eng</t>
        </is>
      </c>
      <c r="AV1742" t="inlineStr">
        <is>
          <t>1091837</t>
        </is>
      </c>
      <c r="AW1742" t="inlineStr">
        <is>
          <t>991003528239702656</t>
        </is>
      </c>
      <c r="AX1742" t="inlineStr">
        <is>
          <t>991003528239702656</t>
        </is>
      </c>
      <c r="AY1742" t="inlineStr">
        <is>
          <t>2265947660002656</t>
        </is>
      </c>
      <c r="AZ1742" t="inlineStr">
        <is>
          <t>BOOK</t>
        </is>
      </c>
      <c r="BB1742" t="inlineStr">
        <is>
          <t>9780063887268</t>
        </is>
      </c>
      <c r="BC1742" t="inlineStr">
        <is>
          <t>32285003089447</t>
        </is>
      </c>
      <c r="BD1742" t="inlineStr">
        <is>
          <t>893422666</t>
        </is>
      </c>
    </row>
    <row r="1743">
      <c r="A1743" t="inlineStr">
        <is>
          <t>No</t>
        </is>
      </c>
      <c r="B1743" t="inlineStr">
        <is>
          <t>HQ728 .T54 1999</t>
        </is>
      </c>
      <c r="C1743" t="inlineStr">
        <is>
          <t>0                      HQ 0728000T  54          1999</t>
        </is>
      </c>
      <c r="D1743" t="inlineStr">
        <is>
          <t>Till death do us part : a multicultural anthology on marriage / edited by Sandra Lee Browning, R. Robin Miller.</t>
        </is>
      </c>
      <c r="F1743" t="inlineStr">
        <is>
          <t>No</t>
        </is>
      </c>
      <c r="G1743" t="inlineStr">
        <is>
          <t>1</t>
        </is>
      </c>
      <c r="H1743" t="inlineStr">
        <is>
          <t>No</t>
        </is>
      </c>
      <c r="I1743" t="inlineStr">
        <is>
          <t>No</t>
        </is>
      </c>
      <c r="J1743" t="inlineStr">
        <is>
          <t>0</t>
        </is>
      </c>
      <c r="L1743" t="inlineStr">
        <is>
          <t>Stamford, Conn. : JAI Press, c1999.</t>
        </is>
      </c>
      <c r="M1743" t="inlineStr">
        <is>
          <t>1999</t>
        </is>
      </c>
      <c r="O1743" t="inlineStr">
        <is>
          <t>eng</t>
        </is>
      </c>
      <c r="P1743" t="inlineStr">
        <is>
          <t>ctu</t>
        </is>
      </c>
      <c r="Q1743" t="inlineStr">
        <is>
          <t>Contemporary studies in sociology ; v. 14</t>
        </is>
      </c>
      <c r="R1743" t="inlineStr">
        <is>
          <t xml:space="preserve">HQ </t>
        </is>
      </c>
      <c r="S1743" t="n">
        <v>5</v>
      </c>
      <c r="T1743" t="n">
        <v>5</v>
      </c>
      <c r="U1743" t="inlineStr">
        <is>
          <t>2003-09-09</t>
        </is>
      </c>
      <c r="V1743" t="inlineStr">
        <is>
          <t>2003-09-09</t>
        </is>
      </c>
      <c r="W1743" t="inlineStr">
        <is>
          <t>2000-03-20</t>
        </is>
      </c>
      <c r="X1743" t="inlineStr">
        <is>
          <t>2000-03-20</t>
        </is>
      </c>
      <c r="Y1743" t="n">
        <v>190</v>
      </c>
      <c r="Z1743" t="n">
        <v>152</v>
      </c>
      <c r="AA1743" t="n">
        <v>152</v>
      </c>
      <c r="AB1743" t="n">
        <v>2</v>
      </c>
      <c r="AC1743" t="n">
        <v>2</v>
      </c>
      <c r="AD1743" t="n">
        <v>7</v>
      </c>
      <c r="AE1743" t="n">
        <v>7</v>
      </c>
      <c r="AF1743" t="n">
        <v>1</v>
      </c>
      <c r="AG1743" t="n">
        <v>1</v>
      </c>
      <c r="AH1743" t="n">
        <v>2</v>
      </c>
      <c r="AI1743" t="n">
        <v>2</v>
      </c>
      <c r="AJ1743" t="n">
        <v>4</v>
      </c>
      <c r="AK1743" t="n">
        <v>4</v>
      </c>
      <c r="AL1743" t="n">
        <v>1</v>
      </c>
      <c r="AM1743" t="n">
        <v>1</v>
      </c>
      <c r="AN1743" t="n">
        <v>0</v>
      </c>
      <c r="AO1743" t="n">
        <v>0</v>
      </c>
      <c r="AP1743" t="inlineStr">
        <is>
          <t>No</t>
        </is>
      </c>
      <c r="AQ1743" t="inlineStr">
        <is>
          <t>No</t>
        </is>
      </c>
      <c r="AS1743">
        <f>HYPERLINK("https://creighton-primo.hosted.exlibrisgroup.com/primo-explore/search?tab=default_tab&amp;search_scope=EVERYTHING&amp;vid=01CRU&amp;lang=en_US&amp;offset=0&amp;query=any,contains,991003019009702656","Catalog Record")</f>
        <v/>
      </c>
      <c r="AT1743">
        <f>HYPERLINK("http://www.worldcat.org/oclc/41096223","WorldCat Record")</f>
        <v/>
      </c>
      <c r="AU1743" t="inlineStr">
        <is>
          <t>836965607:eng</t>
        </is>
      </c>
      <c r="AV1743" t="inlineStr">
        <is>
          <t>41096223</t>
        </is>
      </c>
      <c r="AW1743" t="inlineStr">
        <is>
          <t>991003019009702656</t>
        </is>
      </c>
      <c r="AX1743" t="inlineStr">
        <is>
          <t>991003019009702656</t>
        </is>
      </c>
      <c r="AY1743" t="inlineStr">
        <is>
          <t>2265509160002656</t>
        </is>
      </c>
      <c r="AZ1743" t="inlineStr">
        <is>
          <t>BOOK</t>
        </is>
      </c>
      <c r="BB1743" t="inlineStr">
        <is>
          <t>9780762302635</t>
        </is>
      </c>
      <c r="BC1743" t="inlineStr">
        <is>
          <t>32285003671970</t>
        </is>
      </c>
      <c r="BD1743" t="inlineStr">
        <is>
          <t>893251925</t>
        </is>
      </c>
    </row>
    <row r="1744">
      <c r="A1744" t="inlineStr">
        <is>
          <t>No</t>
        </is>
      </c>
      <c r="B1744" t="inlineStr">
        <is>
          <t>HQ728 .T56 2000</t>
        </is>
      </c>
      <c r="C1744" t="inlineStr">
        <is>
          <t>0                      HQ 0728000T  56          2000</t>
        </is>
      </c>
      <c r="D1744" t="inlineStr">
        <is>
          <t>Time, sex, and money : the first five years of marriage / Center for Marriage and Family, Creighton University.</t>
        </is>
      </c>
      <c r="F1744" t="inlineStr">
        <is>
          <t>No</t>
        </is>
      </c>
      <c r="G1744" t="inlineStr">
        <is>
          <t>1</t>
        </is>
      </c>
      <c r="H1744" t="inlineStr">
        <is>
          <t>No</t>
        </is>
      </c>
      <c r="I1744" t="inlineStr">
        <is>
          <t>No</t>
        </is>
      </c>
      <c r="J1744" t="inlineStr">
        <is>
          <t>0</t>
        </is>
      </c>
      <c r="L1744" t="inlineStr">
        <is>
          <t>Omaha, NE : The Center, 2000.</t>
        </is>
      </c>
      <c r="M1744" t="inlineStr">
        <is>
          <t>2000</t>
        </is>
      </c>
      <c r="O1744" t="inlineStr">
        <is>
          <t>eng</t>
        </is>
      </c>
      <c r="P1744" t="inlineStr">
        <is>
          <t>nbu</t>
        </is>
      </c>
      <c r="R1744" t="inlineStr">
        <is>
          <t xml:space="preserve">HQ </t>
        </is>
      </c>
      <c r="S1744" t="n">
        <v>4</v>
      </c>
      <c r="T1744" t="n">
        <v>4</v>
      </c>
      <c r="U1744" t="inlineStr">
        <is>
          <t>2007-05-03</t>
        </is>
      </c>
      <c r="V1744" t="inlineStr">
        <is>
          <t>2007-05-03</t>
        </is>
      </c>
      <c r="W1744" t="inlineStr">
        <is>
          <t>2001-11-07</t>
        </is>
      </c>
      <c r="X1744" t="inlineStr">
        <is>
          <t>2001-11-07</t>
        </is>
      </c>
      <c r="Y1744" t="n">
        <v>11</v>
      </c>
      <c r="Z1744" t="n">
        <v>9</v>
      </c>
      <c r="AA1744" t="n">
        <v>9</v>
      </c>
      <c r="AB1744" t="n">
        <v>1</v>
      </c>
      <c r="AC1744" t="n">
        <v>1</v>
      </c>
      <c r="AD1744" t="n">
        <v>1</v>
      </c>
      <c r="AE1744" t="n">
        <v>1</v>
      </c>
      <c r="AF1744" t="n">
        <v>1</v>
      </c>
      <c r="AG1744" t="n">
        <v>1</v>
      </c>
      <c r="AH1744" t="n">
        <v>0</v>
      </c>
      <c r="AI1744" t="n">
        <v>0</v>
      </c>
      <c r="AJ1744" t="n">
        <v>0</v>
      </c>
      <c r="AK1744" t="n">
        <v>0</v>
      </c>
      <c r="AL1744" t="n">
        <v>0</v>
      </c>
      <c r="AM1744" t="n">
        <v>0</v>
      </c>
      <c r="AN1744" t="n">
        <v>0</v>
      </c>
      <c r="AO1744" t="n">
        <v>0</v>
      </c>
      <c r="AP1744" t="inlineStr">
        <is>
          <t>No</t>
        </is>
      </c>
      <c r="AQ1744" t="inlineStr">
        <is>
          <t>No</t>
        </is>
      </c>
      <c r="AS1744">
        <f>HYPERLINK("https://creighton-primo.hosted.exlibrisgroup.com/primo-explore/search?tab=default_tab&amp;search_scope=EVERYTHING&amp;vid=01CRU&amp;lang=en_US&amp;offset=0&amp;query=any,contains,991003673379702656","Catalog Record")</f>
        <v/>
      </c>
      <c r="AT1744">
        <f>HYPERLINK("http://www.worldcat.org/oclc/47857561","WorldCat Record")</f>
        <v/>
      </c>
      <c r="AU1744" t="inlineStr">
        <is>
          <t>36585806:eng</t>
        </is>
      </c>
      <c r="AV1744" t="inlineStr">
        <is>
          <t>47857561</t>
        </is>
      </c>
      <c r="AW1744" t="inlineStr">
        <is>
          <t>991003673379702656</t>
        </is>
      </c>
      <c r="AX1744" t="inlineStr">
        <is>
          <t>991003673379702656</t>
        </is>
      </c>
      <c r="AY1744" t="inlineStr">
        <is>
          <t>2262197920002656</t>
        </is>
      </c>
      <c r="AZ1744" t="inlineStr">
        <is>
          <t>BOOK</t>
        </is>
      </c>
      <c r="BC1744" t="inlineStr">
        <is>
          <t>32285004418678</t>
        </is>
      </c>
      <c r="BD1744" t="inlineStr">
        <is>
          <t>893234432</t>
        </is>
      </c>
    </row>
    <row r="1745">
      <c r="A1745" t="inlineStr">
        <is>
          <t>No</t>
        </is>
      </c>
      <c r="B1745" t="inlineStr">
        <is>
          <t>HQ728 .T68 1990</t>
        </is>
      </c>
      <c r="C1745" t="inlineStr">
        <is>
          <t>0                      HQ 0728000T  68          1990</t>
        </is>
      </c>
      <c r="D1745" t="inlineStr">
        <is>
          <t>Handbook of family measurement techniques / John Touliatos, Barry F. Perlmutter, Murray A. Straus, editors.</t>
        </is>
      </c>
      <c r="F1745" t="inlineStr">
        <is>
          <t>No</t>
        </is>
      </c>
      <c r="G1745" t="inlineStr">
        <is>
          <t>1</t>
        </is>
      </c>
      <c r="H1745" t="inlineStr">
        <is>
          <t>No</t>
        </is>
      </c>
      <c r="I1745" t="inlineStr">
        <is>
          <t>No</t>
        </is>
      </c>
      <c r="J1745" t="inlineStr">
        <is>
          <t>0</t>
        </is>
      </c>
      <c r="L1745" t="inlineStr">
        <is>
          <t>Newbury Park, Calif. : Sage, c1990.</t>
        </is>
      </c>
      <c r="M1745" t="inlineStr">
        <is>
          <t>1990</t>
        </is>
      </c>
      <c r="O1745" t="inlineStr">
        <is>
          <t>eng</t>
        </is>
      </c>
      <c r="P1745" t="inlineStr">
        <is>
          <t>cau</t>
        </is>
      </c>
      <c r="R1745" t="inlineStr">
        <is>
          <t xml:space="preserve">HQ </t>
        </is>
      </c>
      <c r="S1745" t="n">
        <v>6</v>
      </c>
      <c r="T1745" t="n">
        <v>6</v>
      </c>
      <c r="U1745" t="inlineStr">
        <is>
          <t>1998-04-18</t>
        </is>
      </c>
      <c r="V1745" t="inlineStr">
        <is>
          <t>1998-04-18</t>
        </is>
      </c>
      <c r="W1745" t="inlineStr">
        <is>
          <t>1990-06-21</t>
        </is>
      </c>
      <c r="X1745" t="inlineStr">
        <is>
          <t>1990-06-21</t>
        </is>
      </c>
      <c r="Y1745" t="n">
        <v>653</v>
      </c>
      <c r="Z1745" t="n">
        <v>529</v>
      </c>
      <c r="AA1745" t="n">
        <v>536</v>
      </c>
      <c r="AB1745" t="n">
        <v>5</v>
      </c>
      <c r="AC1745" t="n">
        <v>5</v>
      </c>
      <c r="AD1745" t="n">
        <v>26</v>
      </c>
      <c r="AE1745" t="n">
        <v>26</v>
      </c>
      <c r="AF1745" t="n">
        <v>10</v>
      </c>
      <c r="AG1745" t="n">
        <v>10</v>
      </c>
      <c r="AH1745" t="n">
        <v>6</v>
      </c>
      <c r="AI1745" t="n">
        <v>6</v>
      </c>
      <c r="AJ1745" t="n">
        <v>14</v>
      </c>
      <c r="AK1745" t="n">
        <v>14</v>
      </c>
      <c r="AL1745" t="n">
        <v>4</v>
      </c>
      <c r="AM1745" t="n">
        <v>4</v>
      </c>
      <c r="AN1745" t="n">
        <v>0</v>
      </c>
      <c r="AO1745" t="n">
        <v>0</v>
      </c>
      <c r="AP1745" t="inlineStr">
        <is>
          <t>No</t>
        </is>
      </c>
      <c r="AQ1745" t="inlineStr">
        <is>
          <t>Yes</t>
        </is>
      </c>
      <c r="AR1745">
        <f>HYPERLINK("http://catalog.hathitrust.org/Record/001949866","HathiTrust Record")</f>
        <v/>
      </c>
      <c r="AS1745">
        <f>HYPERLINK("https://creighton-primo.hosted.exlibrisgroup.com/primo-explore/search?tab=default_tab&amp;search_scope=EVERYTHING&amp;vid=01CRU&amp;lang=en_US&amp;offset=0&amp;query=any,contains,991001527339702656","Catalog Record")</f>
        <v/>
      </c>
      <c r="AT1745">
        <f>HYPERLINK("http://www.worldcat.org/oclc/20013654","WorldCat Record")</f>
        <v/>
      </c>
      <c r="AU1745" t="inlineStr">
        <is>
          <t>8866396317:eng</t>
        </is>
      </c>
      <c r="AV1745" t="inlineStr">
        <is>
          <t>20013654</t>
        </is>
      </c>
      <c r="AW1745" t="inlineStr">
        <is>
          <t>991001527339702656</t>
        </is>
      </c>
      <c r="AX1745" t="inlineStr">
        <is>
          <t>991001527339702656</t>
        </is>
      </c>
      <c r="AY1745" t="inlineStr">
        <is>
          <t>2262267720002656</t>
        </is>
      </c>
      <c r="AZ1745" t="inlineStr">
        <is>
          <t>BOOK</t>
        </is>
      </c>
      <c r="BB1745" t="inlineStr">
        <is>
          <t>9780803931213</t>
        </is>
      </c>
      <c r="BC1745" t="inlineStr">
        <is>
          <t>32285000179142</t>
        </is>
      </c>
      <c r="BD1745" t="inlineStr">
        <is>
          <t>893596532</t>
        </is>
      </c>
    </row>
    <row r="1746">
      <c r="A1746" t="inlineStr">
        <is>
          <t>No</t>
        </is>
      </c>
      <c r="B1746" t="inlineStr">
        <is>
          <t>HQ728 .T9</t>
        </is>
      </c>
      <c r="C1746" t="inlineStr">
        <is>
          <t>0                      HQ 0728000T  9</t>
        </is>
      </c>
      <c r="D1746" t="inlineStr">
        <is>
          <t>Family interaction / [by] Ralph H. Turner.</t>
        </is>
      </c>
      <c r="F1746" t="inlineStr">
        <is>
          <t>No</t>
        </is>
      </c>
      <c r="G1746" t="inlineStr">
        <is>
          <t>1</t>
        </is>
      </c>
      <c r="H1746" t="inlineStr">
        <is>
          <t>No</t>
        </is>
      </c>
      <c r="I1746" t="inlineStr">
        <is>
          <t>No</t>
        </is>
      </c>
      <c r="J1746" t="inlineStr">
        <is>
          <t>0</t>
        </is>
      </c>
      <c r="K1746" t="inlineStr">
        <is>
          <t>Turner, Ralph H.</t>
        </is>
      </c>
      <c r="L1746" t="inlineStr">
        <is>
          <t>New York : Wiley, [1970]</t>
        </is>
      </c>
      <c r="M1746" t="inlineStr">
        <is>
          <t>1970</t>
        </is>
      </c>
      <c r="O1746" t="inlineStr">
        <is>
          <t>eng</t>
        </is>
      </c>
      <c r="P1746" t="inlineStr">
        <is>
          <t>nyu</t>
        </is>
      </c>
      <c r="R1746" t="inlineStr">
        <is>
          <t xml:space="preserve">HQ </t>
        </is>
      </c>
      <c r="S1746" t="n">
        <v>3</v>
      </c>
      <c r="T1746" t="n">
        <v>3</v>
      </c>
      <c r="U1746" t="inlineStr">
        <is>
          <t>1993-03-24</t>
        </is>
      </c>
      <c r="V1746" t="inlineStr">
        <is>
          <t>1993-03-24</t>
        </is>
      </c>
      <c r="W1746" t="inlineStr">
        <is>
          <t>1992-05-12</t>
        </is>
      </c>
      <c r="X1746" t="inlineStr">
        <is>
          <t>1992-05-12</t>
        </is>
      </c>
      <c r="Y1746" t="n">
        <v>615</v>
      </c>
      <c r="Z1746" t="n">
        <v>432</v>
      </c>
      <c r="AA1746" t="n">
        <v>435</v>
      </c>
      <c r="AB1746" t="n">
        <v>4</v>
      </c>
      <c r="AC1746" t="n">
        <v>4</v>
      </c>
      <c r="AD1746" t="n">
        <v>17</v>
      </c>
      <c r="AE1746" t="n">
        <v>17</v>
      </c>
      <c r="AF1746" t="n">
        <v>3</v>
      </c>
      <c r="AG1746" t="n">
        <v>3</v>
      </c>
      <c r="AH1746" t="n">
        <v>3</v>
      </c>
      <c r="AI1746" t="n">
        <v>3</v>
      </c>
      <c r="AJ1746" t="n">
        <v>12</v>
      </c>
      <c r="AK1746" t="n">
        <v>12</v>
      </c>
      <c r="AL1746" t="n">
        <v>3</v>
      </c>
      <c r="AM1746" t="n">
        <v>3</v>
      </c>
      <c r="AN1746" t="n">
        <v>0</v>
      </c>
      <c r="AO1746" t="n">
        <v>0</v>
      </c>
      <c r="AP1746" t="inlineStr">
        <is>
          <t>No</t>
        </is>
      </c>
      <c r="AQ1746" t="inlineStr">
        <is>
          <t>Yes</t>
        </is>
      </c>
      <c r="AR1746">
        <f>HYPERLINK("http://catalog.hathitrust.org/Record/001109991","HathiTrust Record")</f>
        <v/>
      </c>
      <c r="AS1746">
        <f>HYPERLINK("https://creighton-primo.hosted.exlibrisgroup.com/primo-explore/search?tab=default_tab&amp;search_scope=EVERYTHING&amp;vid=01CRU&amp;lang=en_US&amp;offset=0&amp;query=any,contains,991000637369702656","Catalog Record")</f>
        <v/>
      </c>
      <c r="AT1746">
        <f>HYPERLINK("http://www.worldcat.org/oclc/108374","WorldCat Record")</f>
        <v/>
      </c>
      <c r="AU1746" t="inlineStr">
        <is>
          <t>1196646:eng</t>
        </is>
      </c>
      <c r="AV1746" t="inlineStr">
        <is>
          <t>108374</t>
        </is>
      </c>
      <c r="AW1746" t="inlineStr">
        <is>
          <t>991000637369702656</t>
        </is>
      </c>
      <c r="AX1746" t="inlineStr">
        <is>
          <t>991000637369702656</t>
        </is>
      </c>
      <c r="AY1746" t="inlineStr">
        <is>
          <t>2262469340002656</t>
        </is>
      </c>
      <c r="AZ1746" t="inlineStr">
        <is>
          <t>BOOK</t>
        </is>
      </c>
      <c r="BB1746" t="inlineStr">
        <is>
          <t>9780471893004</t>
        </is>
      </c>
      <c r="BC1746" t="inlineStr">
        <is>
          <t>32285001106367</t>
        </is>
      </c>
      <c r="BD1746" t="inlineStr">
        <is>
          <t>893515461</t>
        </is>
      </c>
    </row>
    <row r="1747">
      <c r="A1747" t="inlineStr">
        <is>
          <t>No</t>
        </is>
      </c>
      <c r="B1747" t="inlineStr">
        <is>
          <t>HQ728 .V55</t>
        </is>
      </c>
      <c r="C1747" t="inlineStr">
        <is>
          <t>0                      HQ 0728000V  55</t>
        </is>
      </c>
      <c r="D1747" t="inlineStr">
        <is>
          <t>Violence and the family / edited by J. P. Martin.</t>
        </is>
      </c>
      <c r="F1747" t="inlineStr">
        <is>
          <t>No</t>
        </is>
      </c>
      <c r="G1747" t="inlineStr">
        <is>
          <t>1</t>
        </is>
      </c>
      <c r="H1747" t="inlineStr">
        <is>
          <t>No</t>
        </is>
      </c>
      <c r="I1747" t="inlineStr">
        <is>
          <t>No</t>
        </is>
      </c>
      <c r="J1747" t="inlineStr">
        <is>
          <t>0</t>
        </is>
      </c>
      <c r="L1747" t="inlineStr">
        <is>
          <t>Chichester ; New York : Wiley, c1978.</t>
        </is>
      </c>
      <c r="M1747" t="inlineStr">
        <is>
          <t>1978</t>
        </is>
      </c>
      <c r="O1747" t="inlineStr">
        <is>
          <t>eng</t>
        </is>
      </c>
      <c r="P1747" t="inlineStr">
        <is>
          <t>enk</t>
        </is>
      </c>
      <c r="R1747" t="inlineStr">
        <is>
          <t xml:space="preserve">HQ </t>
        </is>
      </c>
      <c r="S1747" t="n">
        <v>4</v>
      </c>
      <c r="T1747" t="n">
        <v>4</v>
      </c>
      <c r="U1747" t="inlineStr">
        <is>
          <t>1995-10-30</t>
        </is>
      </c>
      <c r="V1747" t="inlineStr">
        <is>
          <t>1995-10-30</t>
        </is>
      </c>
      <c r="W1747" t="inlineStr">
        <is>
          <t>1992-05-08</t>
        </is>
      </c>
      <c r="X1747" t="inlineStr">
        <is>
          <t>1992-05-08</t>
        </is>
      </c>
      <c r="Y1747" t="n">
        <v>735</v>
      </c>
      <c r="Z1747" t="n">
        <v>552</v>
      </c>
      <c r="AA1747" t="n">
        <v>556</v>
      </c>
      <c r="AB1747" t="n">
        <v>5</v>
      </c>
      <c r="AC1747" t="n">
        <v>5</v>
      </c>
      <c r="AD1747" t="n">
        <v>25</v>
      </c>
      <c r="AE1747" t="n">
        <v>25</v>
      </c>
      <c r="AF1747" t="n">
        <v>12</v>
      </c>
      <c r="AG1747" t="n">
        <v>12</v>
      </c>
      <c r="AH1747" t="n">
        <v>6</v>
      </c>
      <c r="AI1747" t="n">
        <v>6</v>
      </c>
      <c r="AJ1747" t="n">
        <v>11</v>
      </c>
      <c r="AK1747" t="n">
        <v>11</v>
      </c>
      <c r="AL1747" t="n">
        <v>3</v>
      </c>
      <c r="AM1747" t="n">
        <v>3</v>
      </c>
      <c r="AN1747" t="n">
        <v>0</v>
      </c>
      <c r="AO1747" t="n">
        <v>0</v>
      </c>
      <c r="AP1747" t="inlineStr">
        <is>
          <t>No</t>
        </is>
      </c>
      <c r="AQ1747" t="inlineStr">
        <is>
          <t>Yes</t>
        </is>
      </c>
      <c r="AR1747">
        <f>HYPERLINK("http://catalog.hathitrust.org/Record/000293747","HathiTrust Record")</f>
        <v/>
      </c>
      <c r="AS1747">
        <f>HYPERLINK("https://creighton-primo.hosted.exlibrisgroup.com/primo-explore/search?tab=default_tab&amp;search_scope=EVERYTHING&amp;vid=01CRU&amp;lang=en_US&amp;offset=0&amp;query=any,contains,991004364699702656","Catalog Record")</f>
        <v/>
      </c>
      <c r="AT1747">
        <f>HYPERLINK("http://www.worldcat.org/oclc/3168980","WorldCat Record")</f>
        <v/>
      </c>
      <c r="AU1747" t="inlineStr">
        <is>
          <t>102067517:eng</t>
        </is>
      </c>
      <c r="AV1747" t="inlineStr">
        <is>
          <t>3168980</t>
        </is>
      </c>
      <c r="AW1747" t="inlineStr">
        <is>
          <t>991004364699702656</t>
        </is>
      </c>
      <c r="AX1747" t="inlineStr">
        <is>
          <t>991004364699702656</t>
        </is>
      </c>
      <c r="AY1747" t="inlineStr">
        <is>
          <t>2263105360002656</t>
        </is>
      </c>
      <c r="AZ1747" t="inlineStr">
        <is>
          <t>BOOK</t>
        </is>
      </c>
      <c r="BB1747" t="inlineStr">
        <is>
          <t>9780471995760</t>
        </is>
      </c>
      <c r="BC1747" t="inlineStr">
        <is>
          <t>32285001106359</t>
        </is>
      </c>
      <c r="BD1747" t="inlineStr">
        <is>
          <t>893712501</t>
        </is>
      </c>
    </row>
    <row r="1748">
      <c r="A1748" t="inlineStr">
        <is>
          <t>No</t>
        </is>
      </c>
      <c r="B1748" t="inlineStr">
        <is>
          <t>HQ728 .V83 1999</t>
        </is>
      </c>
      <c r="C1748" t="inlineStr">
        <is>
          <t>0                      HQ 0728000V  83          1999</t>
        </is>
      </c>
      <c r="D1748" t="inlineStr">
        <is>
          <t>Problem solving in families : research and practice / Samuel Vuchinich.</t>
        </is>
      </c>
      <c r="F1748" t="inlineStr">
        <is>
          <t>No</t>
        </is>
      </c>
      <c r="G1748" t="inlineStr">
        <is>
          <t>1</t>
        </is>
      </c>
      <c r="H1748" t="inlineStr">
        <is>
          <t>No</t>
        </is>
      </c>
      <c r="I1748" t="inlineStr">
        <is>
          <t>No</t>
        </is>
      </c>
      <c r="J1748" t="inlineStr">
        <is>
          <t>0</t>
        </is>
      </c>
      <c r="K1748" t="inlineStr">
        <is>
          <t>Vuchinich, Samuel.</t>
        </is>
      </c>
      <c r="L1748" t="inlineStr">
        <is>
          <t>Thousand Oaks, Calif. : Sage Publications, c1999.</t>
        </is>
      </c>
      <c r="M1748" t="inlineStr">
        <is>
          <t>1999</t>
        </is>
      </c>
      <c r="O1748" t="inlineStr">
        <is>
          <t>eng</t>
        </is>
      </c>
      <c r="P1748" t="inlineStr">
        <is>
          <t>cau</t>
        </is>
      </c>
      <c r="Q1748" t="inlineStr">
        <is>
          <t>Understanding families ; v. 13</t>
        </is>
      </c>
      <c r="R1748" t="inlineStr">
        <is>
          <t xml:space="preserve">HQ </t>
        </is>
      </c>
      <c r="S1748" t="n">
        <v>2</v>
      </c>
      <c r="T1748" t="n">
        <v>2</v>
      </c>
      <c r="U1748" t="inlineStr">
        <is>
          <t>2005-06-16</t>
        </is>
      </c>
      <c r="V1748" t="inlineStr">
        <is>
          <t>2005-06-16</t>
        </is>
      </c>
      <c r="W1748" t="inlineStr">
        <is>
          <t>1999-03-24</t>
        </is>
      </c>
      <c r="X1748" t="inlineStr">
        <is>
          <t>1999-03-24</t>
        </is>
      </c>
      <c r="Y1748" t="n">
        <v>377</v>
      </c>
      <c r="Z1748" t="n">
        <v>293</v>
      </c>
      <c r="AA1748" t="n">
        <v>295</v>
      </c>
      <c r="AB1748" t="n">
        <v>5</v>
      </c>
      <c r="AC1748" t="n">
        <v>5</v>
      </c>
      <c r="AD1748" t="n">
        <v>20</v>
      </c>
      <c r="AE1748" t="n">
        <v>20</v>
      </c>
      <c r="AF1748" t="n">
        <v>6</v>
      </c>
      <c r="AG1748" t="n">
        <v>6</v>
      </c>
      <c r="AH1748" t="n">
        <v>4</v>
      </c>
      <c r="AI1748" t="n">
        <v>4</v>
      </c>
      <c r="AJ1748" t="n">
        <v>10</v>
      </c>
      <c r="AK1748" t="n">
        <v>10</v>
      </c>
      <c r="AL1748" t="n">
        <v>4</v>
      </c>
      <c r="AM1748" t="n">
        <v>4</v>
      </c>
      <c r="AN1748" t="n">
        <v>0</v>
      </c>
      <c r="AO1748" t="n">
        <v>0</v>
      </c>
      <c r="AP1748" t="inlineStr">
        <is>
          <t>No</t>
        </is>
      </c>
      <c r="AQ1748" t="inlineStr">
        <is>
          <t>Yes</t>
        </is>
      </c>
      <c r="AR1748">
        <f>HYPERLINK("http://catalog.hathitrust.org/Record/004054277","HathiTrust Record")</f>
        <v/>
      </c>
      <c r="AS1748">
        <f>HYPERLINK("https://creighton-primo.hosted.exlibrisgroup.com/primo-explore/search?tab=default_tab&amp;search_scope=EVERYTHING&amp;vid=01CRU&amp;lang=en_US&amp;offset=0&amp;query=any,contains,991002965619702656","Catalog Record")</f>
        <v/>
      </c>
      <c r="AT1748">
        <f>HYPERLINK("http://www.worldcat.org/oclc/39679482","WorldCat Record")</f>
        <v/>
      </c>
      <c r="AU1748" t="inlineStr">
        <is>
          <t>42234748:eng</t>
        </is>
      </c>
      <c r="AV1748" t="inlineStr">
        <is>
          <t>39679482</t>
        </is>
      </c>
      <c r="AW1748" t="inlineStr">
        <is>
          <t>991002965619702656</t>
        </is>
      </c>
      <c r="AX1748" t="inlineStr">
        <is>
          <t>991002965619702656</t>
        </is>
      </c>
      <c r="AY1748" t="inlineStr">
        <is>
          <t>2260415400002656</t>
        </is>
      </c>
      <c r="AZ1748" t="inlineStr">
        <is>
          <t>BOOK</t>
        </is>
      </c>
      <c r="BB1748" t="inlineStr">
        <is>
          <t>9780761908777</t>
        </is>
      </c>
      <c r="BC1748" t="inlineStr">
        <is>
          <t>32285003545885</t>
        </is>
      </c>
      <c r="BD1748" t="inlineStr">
        <is>
          <t>893604287</t>
        </is>
      </c>
    </row>
    <row r="1749">
      <c r="A1749" t="inlineStr">
        <is>
          <t>No</t>
        </is>
      </c>
      <c r="B1749" t="inlineStr">
        <is>
          <t>HQ728 .W48 1990</t>
        </is>
      </c>
      <c r="C1749" t="inlineStr">
        <is>
          <t>0                      HQ 0728000W  48          1990</t>
        </is>
      </c>
      <c r="D1749" t="inlineStr">
        <is>
          <t>Identity and intimacy in marriage : a study of couples / Susan Krauss Whitbourne, Joyce B. Ebmeyer.</t>
        </is>
      </c>
      <c r="F1749" t="inlineStr">
        <is>
          <t>No</t>
        </is>
      </c>
      <c r="G1749" t="inlineStr">
        <is>
          <t>1</t>
        </is>
      </c>
      <c r="H1749" t="inlineStr">
        <is>
          <t>No</t>
        </is>
      </c>
      <c r="I1749" t="inlineStr">
        <is>
          <t>No</t>
        </is>
      </c>
      <c r="J1749" t="inlineStr">
        <is>
          <t>0</t>
        </is>
      </c>
      <c r="K1749" t="inlineStr">
        <is>
          <t>Whitbourne, Susan Krauss.</t>
        </is>
      </c>
      <c r="L1749" t="inlineStr">
        <is>
          <t>New York : Springer-Verlag, c1990.</t>
        </is>
      </c>
      <c r="M1749" t="inlineStr">
        <is>
          <t>1990</t>
        </is>
      </c>
      <c r="O1749" t="inlineStr">
        <is>
          <t>eng</t>
        </is>
      </c>
      <c r="P1749" t="inlineStr">
        <is>
          <t>nyu</t>
        </is>
      </c>
      <c r="R1749" t="inlineStr">
        <is>
          <t xml:space="preserve">HQ </t>
        </is>
      </c>
      <c r="S1749" t="n">
        <v>28</v>
      </c>
      <c r="T1749" t="n">
        <v>28</v>
      </c>
      <c r="U1749" t="inlineStr">
        <is>
          <t>2003-04-05</t>
        </is>
      </c>
      <c r="V1749" t="inlineStr">
        <is>
          <t>2003-04-05</t>
        </is>
      </c>
      <c r="W1749" t="inlineStr">
        <is>
          <t>1991-03-11</t>
        </is>
      </c>
      <c r="X1749" t="inlineStr">
        <is>
          <t>1991-03-11</t>
        </is>
      </c>
      <c r="Y1749" t="n">
        <v>354</v>
      </c>
      <c r="Z1749" t="n">
        <v>275</v>
      </c>
      <c r="AA1749" t="n">
        <v>289</v>
      </c>
      <c r="AB1749" t="n">
        <v>4</v>
      </c>
      <c r="AC1749" t="n">
        <v>4</v>
      </c>
      <c r="AD1749" t="n">
        <v>17</v>
      </c>
      <c r="AE1749" t="n">
        <v>18</v>
      </c>
      <c r="AF1749" t="n">
        <v>6</v>
      </c>
      <c r="AG1749" t="n">
        <v>7</v>
      </c>
      <c r="AH1749" t="n">
        <v>3</v>
      </c>
      <c r="AI1749" t="n">
        <v>3</v>
      </c>
      <c r="AJ1749" t="n">
        <v>10</v>
      </c>
      <c r="AK1749" t="n">
        <v>10</v>
      </c>
      <c r="AL1749" t="n">
        <v>3</v>
      </c>
      <c r="AM1749" t="n">
        <v>3</v>
      </c>
      <c r="AN1749" t="n">
        <v>0</v>
      </c>
      <c r="AO1749" t="n">
        <v>0</v>
      </c>
      <c r="AP1749" t="inlineStr">
        <is>
          <t>No</t>
        </is>
      </c>
      <c r="AQ1749" t="inlineStr">
        <is>
          <t>No</t>
        </is>
      </c>
      <c r="AS1749">
        <f>HYPERLINK("https://creighton-primo.hosted.exlibrisgroup.com/primo-explore/search?tab=default_tab&amp;search_scope=EVERYTHING&amp;vid=01CRU&amp;lang=en_US&amp;offset=0&amp;query=any,contains,991001577389702656","Catalog Record")</f>
        <v/>
      </c>
      <c r="AT1749">
        <f>HYPERLINK("http://www.worldcat.org/oclc/20453067","WorldCat Record")</f>
        <v/>
      </c>
      <c r="AU1749" t="inlineStr">
        <is>
          <t>890021699:eng</t>
        </is>
      </c>
      <c r="AV1749" t="inlineStr">
        <is>
          <t>20453067</t>
        </is>
      </c>
      <c r="AW1749" t="inlineStr">
        <is>
          <t>991001577389702656</t>
        </is>
      </c>
      <c r="AX1749" t="inlineStr">
        <is>
          <t>991001577389702656</t>
        </is>
      </c>
      <c r="AY1749" t="inlineStr">
        <is>
          <t>2255669700002656</t>
        </is>
      </c>
      <c r="AZ1749" t="inlineStr">
        <is>
          <t>BOOK</t>
        </is>
      </c>
      <c r="BB1749" t="inlineStr">
        <is>
          <t>9780387970127</t>
        </is>
      </c>
      <c r="BC1749" t="inlineStr">
        <is>
          <t>32285000494186</t>
        </is>
      </c>
      <c r="BD1749" t="inlineStr">
        <is>
          <t>893408214</t>
        </is>
      </c>
    </row>
    <row r="1750">
      <c r="A1750" t="inlineStr">
        <is>
          <t>No</t>
        </is>
      </c>
      <c r="B1750" t="inlineStr">
        <is>
          <t>HQ728 .W526 1990</t>
        </is>
      </c>
      <c r="C1750" t="inlineStr">
        <is>
          <t>0                      HQ 0728000W  526         1990</t>
        </is>
      </c>
      <c r="D1750" t="inlineStr">
        <is>
          <t>Dating, mating, and marriage / Martin King Whyte.</t>
        </is>
      </c>
      <c r="F1750" t="inlineStr">
        <is>
          <t>No</t>
        </is>
      </c>
      <c r="G1750" t="inlineStr">
        <is>
          <t>1</t>
        </is>
      </c>
      <c r="H1750" t="inlineStr">
        <is>
          <t>No</t>
        </is>
      </c>
      <c r="I1750" t="inlineStr">
        <is>
          <t>No</t>
        </is>
      </c>
      <c r="J1750" t="inlineStr">
        <is>
          <t>0</t>
        </is>
      </c>
      <c r="K1750" t="inlineStr">
        <is>
          <t>Whyte, Martin King.</t>
        </is>
      </c>
      <c r="L1750" t="inlineStr">
        <is>
          <t>New York : Aldine de Gruyter, c1990.</t>
        </is>
      </c>
      <c r="M1750" t="inlineStr">
        <is>
          <t>1990</t>
        </is>
      </c>
      <c r="O1750" t="inlineStr">
        <is>
          <t>eng</t>
        </is>
      </c>
      <c r="P1750" t="inlineStr">
        <is>
          <t>nyu</t>
        </is>
      </c>
      <c r="Q1750" t="inlineStr">
        <is>
          <t>Social institutions and social change</t>
        </is>
      </c>
      <c r="R1750" t="inlineStr">
        <is>
          <t xml:space="preserve">HQ </t>
        </is>
      </c>
      <c r="S1750" t="n">
        <v>54</v>
      </c>
      <c r="T1750" t="n">
        <v>54</v>
      </c>
      <c r="U1750" t="inlineStr">
        <is>
          <t>2003-10-07</t>
        </is>
      </c>
      <c r="V1750" t="inlineStr">
        <is>
          <t>2003-10-07</t>
        </is>
      </c>
      <c r="W1750" t="inlineStr">
        <is>
          <t>1991-04-30</t>
        </is>
      </c>
      <c r="X1750" t="inlineStr">
        <is>
          <t>1991-04-30</t>
        </is>
      </c>
      <c r="Y1750" t="n">
        <v>812</v>
      </c>
      <c r="Z1750" t="n">
        <v>702</v>
      </c>
      <c r="AA1750" t="n">
        <v>716</v>
      </c>
      <c r="AB1750" t="n">
        <v>8</v>
      </c>
      <c r="AC1750" t="n">
        <v>8</v>
      </c>
      <c r="AD1750" t="n">
        <v>41</v>
      </c>
      <c r="AE1750" t="n">
        <v>41</v>
      </c>
      <c r="AF1750" t="n">
        <v>15</v>
      </c>
      <c r="AG1750" t="n">
        <v>15</v>
      </c>
      <c r="AH1750" t="n">
        <v>9</v>
      </c>
      <c r="AI1750" t="n">
        <v>9</v>
      </c>
      <c r="AJ1750" t="n">
        <v>21</v>
      </c>
      <c r="AK1750" t="n">
        <v>21</v>
      </c>
      <c r="AL1750" t="n">
        <v>7</v>
      </c>
      <c r="AM1750" t="n">
        <v>7</v>
      </c>
      <c r="AN1750" t="n">
        <v>0</v>
      </c>
      <c r="AO1750" t="n">
        <v>0</v>
      </c>
      <c r="AP1750" t="inlineStr">
        <is>
          <t>No</t>
        </is>
      </c>
      <c r="AQ1750" t="inlineStr">
        <is>
          <t>No</t>
        </is>
      </c>
      <c r="AS1750">
        <f>HYPERLINK("https://creighton-primo.hosted.exlibrisgroup.com/primo-explore/search?tab=default_tab&amp;search_scope=EVERYTHING&amp;vid=01CRU&amp;lang=en_US&amp;offset=0&amp;query=any,contains,991001571489702656","Catalog Record")</f>
        <v/>
      </c>
      <c r="AT1750">
        <f>HYPERLINK("http://www.worldcat.org/oclc/20392500","WorldCat Record")</f>
        <v/>
      </c>
      <c r="AU1750" t="inlineStr">
        <is>
          <t>22677283:eng</t>
        </is>
      </c>
      <c r="AV1750" t="inlineStr">
        <is>
          <t>20392500</t>
        </is>
      </c>
      <c r="AW1750" t="inlineStr">
        <is>
          <t>991001571489702656</t>
        </is>
      </c>
      <c r="AX1750" t="inlineStr">
        <is>
          <t>991001571489702656</t>
        </is>
      </c>
      <c r="AY1750" t="inlineStr">
        <is>
          <t>2269248720002656</t>
        </is>
      </c>
      <c r="AZ1750" t="inlineStr">
        <is>
          <t>BOOK</t>
        </is>
      </c>
      <c r="BB1750" t="inlineStr">
        <is>
          <t>9780202304168</t>
        </is>
      </c>
      <c r="BC1750" t="inlineStr">
        <is>
          <t>32285000570076</t>
        </is>
      </c>
      <c r="BD1750" t="inlineStr">
        <is>
          <t>893690690</t>
        </is>
      </c>
    </row>
    <row r="1751">
      <c r="A1751" t="inlineStr">
        <is>
          <t>No</t>
        </is>
      </c>
      <c r="B1751" t="inlineStr">
        <is>
          <t>HQ728 .W54</t>
        </is>
      </c>
      <c r="C1751" t="inlineStr">
        <is>
          <t>0                      HQ 0728000W  54</t>
        </is>
      </c>
      <c r="D1751" t="inlineStr">
        <is>
          <t>Marriage and family relations / [by] Robert C. Williamson.</t>
        </is>
      </c>
      <c r="F1751" t="inlineStr">
        <is>
          <t>No</t>
        </is>
      </c>
      <c r="G1751" t="inlineStr">
        <is>
          <t>1</t>
        </is>
      </c>
      <c r="H1751" t="inlineStr">
        <is>
          <t>No</t>
        </is>
      </c>
      <c r="I1751" t="inlineStr">
        <is>
          <t>No</t>
        </is>
      </c>
      <c r="J1751" t="inlineStr">
        <is>
          <t>0</t>
        </is>
      </c>
      <c r="K1751" t="inlineStr">
        <is>
          <t>Williamson, Robert C. (Robert Clifford), 1916-2016.</t>
        </is>
      </c>
      <c r="L1751" t="inlineStr">
        <is>
          <t>New York : Wiley, [1966]</t>
        </is>
      </c>
      <c r="M1751" t="inlineStr">
        <is>
          <t>1966</t>
        </is>
      </c>
      <c r="O1751" t="inlineStr">
        <is>
          <t>eng</t>
        </is>
      </c>
      <c r="P1751" t="inlineStr">
        <is>
          <t>nyu</t>
        </is>
      </c>
      <c r="R1751" t="inlineStr">
        <is>
          <t xml:space="preserve">HQ </t>
        </is>
      </c>
      <c r="S1751" t="n">
        <v>3</v>
      </c>
      <c r="T1751" t="n">
        <v>3</v>
      </c>
      <c r="U1751" t="inlineStr">
        <is>
          <t>1993-10-25</t>
        </is>
      </c>
      <c r="V1751" t="inlineStr">
        <is>
          <t>1993-10-25</t>
        </is>
      </c>
      <c r="W1751" t="inlineStr">
        <is>
          <t>1992-04-24</t>
        </is>
      </c>
      <c r="X1751" t="inlineStr">
        <is>
          <t>1992-04-24</t>
        </is>
      </c>
      <c r="Y1751" t="n">
        <v>375</v>
      </c>
      <c r="Z1751" t="n">
        <v>289</v>
      </c>
      <c r="AA1751" t="n">
        <v>441</v>
      </c>
      <c r="AB1751" t="n">
        <v>3</v>
      </c>
      <c r="AC1751" t="n">
        <v>4</v>
      </c>
      <c r="AD1751" t="n">
        <v>11</v>
      </c>
      <c r="AE1751" t="n">
        <v>15</v>
      </c>
      <c r="AF1751" t="n">
        <v>2</v>
      </c>
      <c r="AG1751" t="n">
        <v>3</v>
      </c>
      <c r="AH1751" t="n">
        <v>3</v>
      </c>
      <c r="AI1751" t="n">
        <v>3</v>
      </c>
      <c r="AJ1751" t="n">
        <v>6</v>
      </c>
      <c r="AK1751" t="n">
        <v>9</v>
      </c>
      <c r="AL1751" t="n">
        <v>2</v>
      </c>
      <c r="AM1751" t="n">
        <v>3</v>
      </c>
      <c r="AN1751" t="n">
        <v>0</v>
      </c>
      <c r="AO1751" t="n">
        <v>0</v>
      </c>
      <c r="AP1751" t="inlineStr">
        <is>
          <t>No</t>
        </is>
      </c>
      <c r="AQ1751" t="inlineStr">
        <is>
          <t>Yes</t>
        </is>
      </c>
      <c r="AR1751">
        <f>HYPERLINK("http://catalog.hathitrust.org/Record/007558990","HathiTrust Record")</f>
        <v/>
      </c>
      <c r="AS1751">
        <f>HYPERLINK("https://creighton-primo.hosted.exlibrisgroup.com/primo-explore/search?tab=default_tab&amp;search_scope=EVERYTHING&amp;vid=01CRU&amp;lang=en_US&amp;offset=0&amp;query=any,contains,991002027039702656","Catalog Record")</f>
        <v/>
      </c>
      <c r="AT1751">
        <f>HYPERLINK("http://www.worldcat.org/oclc/259875","WorldCat Record")</f>
        <v/>
      </c>
      <c r="AU1751" t="inlineStr">
        <is>
          <t>1300920:eng</t>
        </is>
      </c>
      <c r="AV1751" t="inlineStr">
        <is>
          <t>259875</t>
        </is>
      </c>
      <c r="AW1751" t="inlineStr">
        <is>
          <t>991002027039702656</t>
        </is>
      </c>
      <c r="AX1751" t="inlineStr">
        <is>
          <t>991002027039702656</t>
        </is>
      </c>
      <c r="AY1751" t="inlineStr">
        <is>
          <t>2272782870002656</t>
        </is>
      </c>
      <c r="AZ1751" t="inlineStr">
        <is>
          <t>BOOK</t>
        </is>
      </c>
      <c r="BC1751" t="inlineStr">
        <is>
          <t>32285001086569</t>
        </is>
      </c>
      <c r="BD1751" t="inlineStr">
        <is>
          <t>893523100</t>
        </is>
      </c>
    </row>
    <row r="1752">
      <c r="A1752" t="inlineStr">
        <is>
          <t>No</t>
        </is>
      </c>
      <c r="B1752" t="inlineStr">
        <is>
          <t>HQ728 .W548</t>
        </is>
      </c>
      <c r="C1752" t="inlineStr">
        <is>
          <t>0                      HQ 0728000W  548</t>
        </is>
      </c>
      <c r="D1752" t="inlineStr">
        <is>
          <t>Mate-selection : a study of complementary needs.</t>
        </is>
      </c>
      <c r="F1752" t="inlineStr">
        <is>
          <t>No</t>
        </is>
      </c>
      <c r="G1752" t="inlineStr">
        <is>
          <t>1</t>
        </is>
      </c>
      <c r="H1752" t="inlineStr">
        <is>
          <t>No</t>
        </is>
      </c>
      <c r="I1752" t="inlineStr">
        <is>
          <t>No</t>
        </is>
      </c>
      <c r="J1752" t="inlineStr">
        <is>
          <t>0</t>
        </is>
      </c>
      <c r="K1752" t="inlineStr">
        <is>
          <t>Winch, Robert F. (Robert Francis), 1911-1977.</t>
        </is>
      </c>
      <c r="L1752" t="inlineStr">
        <is>
          <t>New York : Harper, [1958]</t>
        </is>
      </c>
      <c r="M1752" t="inlineStr">
        <is>
          <t>1958</t>
        </is>
      </c>
      <c r="O1752" t="inlineStr">
        <is>
          <t>eng</t>
        </is>
      </c>
      <c r="P1752" t="inlineStr">
        <is>
          <t>nyu</t>
        </is>
      </c>
      <c r="Q1752" t="inlineStr">
        <is>
          <t>Harper's social science series</t>
        </is>
      </c>
      <c r="R1752" t="inlineStr">
        <is>
          <t xml:space="preserve">HQ </t>
        </is>
      </c>
      <c r="S1752" t="n">
        <v>3</v>
      </c>
      <c r="T1752" t="n">
        <v>3</v>
      </c>
      <c r="U1752" t="inlineStr">
        <is>
          <t>1996-03-22</t>
        </is>
      </c>
      <c r="V1752" t="inlineStr">
        <is>
          <t>1996-03-22</t>
        </is>
      </c>
      <c r="W1752" t="inlineStr">
        <is>
          <t>1994-11-23</t>
        </is>
      </c>
      <c r="X1752" t="inlineStr">
        <is>
          <t>1994-11-23</t>
        </is>
      </c>
      <c r="Y1752" t="n">
        <v>429</v>
      </c>
      <c r="Z1752" t="n">
        <v>378</v>
      </c>
      <c r="AA1752" t="n">
        <v>429</v>
      </c>
      <c r="AB1752" t="n">
        <v>3</v>
      </c>
      <c r="AC1752" t="n">
        <v>3</v>
      </c>
      <c r="AD1752" t="n">
        <v>17</v>
      </c>
      <c r="AE1752" t="n">
        <v>20</v>
      </c>
      <c r="AF1752" t="n">
        <v>5</v>
      </c>
      <c r="AG1752" t="n">
        <v>7</v>
      </c>
      <c r="AH1752" t="n">
        <v>3</v>
      </c>
      <c r="AI1752" t="n">
        <v>5</v>
      </c>
      <c r="AJ1752" t="n">
        <v>10</v>
      </c>
      <c r="AK1752" t="n">
        <v>10</v>
      </c>
      <c r="AL1752" t="n">
        <v>2</v>
      </c>
      <c r="AM1752" t="n">
        <v>2</v>
      </c>
      <c r="AN1752" t="n">
        <v>0</v>
      </c>
      <c r="AO1752" t="n">
        <v>0</v>
      </c>
      <c r="AP1752" t="inlineStr">
        <is>
          <t>No</t>
        </is>
      </c>
      <c r="AQ1752" t="inlineStr">
        <is>
          <t>Yes</t>
        </is>
      </c>
      <c r="AR1752">
        <f>HYPERLINK("http://catalog.hathitrust.org/Record/000425237","HathiTrust Record")</f>
        <v/>
      </c>
      <c r="AS1752">
        <f>HYPERLINK("https://creighton-primo.hosted.exlibrisgroup.com/primo-explore/search?tab=default_tab&amp;search_scope=EVERYTHING&amp;vid=01CRU&amp;lang=en_US&amp;offset=0&amp;query=any,contains,991002027009702656","Catalog Record")</f>
        <v/>
      </c>
      <c r="AT1752">
        <f>HYPERLINK("http://www.worldcat.org/oclc/259874","WorldCat Record")</f>
        <v/>
      </c>
      <c r="AU1752" t="inlineStr">
        <is>
          <t>443128:eng</t>
        </is>
      </c>
      <c r="AV1752" t="inlineStr">
        <is>
          <t>259874</t>
        </is>
      </c>
      <c r="AW1752" t="inlineStr">
        <is>
          <t>991002027009702656</t>
        </is>
      </c>
      <c r="AX1752" t="inlineStr">
        <is>
          <t>991002027009702656</t>
        </is>
      </c>
      <c r="AY1752" t="inlineStr">
        <is>
          <t>2272782840002656</t>
        </is>
      </c>
      <c r="AZ1752" t="inlineStr">
        <is>
          <t>BOOK</t>
        </is>
      </c>
      <c r="BC1752" t="inlineStr">
        <is>
          <t>32285001968261</t>
        </is>
      </c>
      <c r="BD1752" t="inlineStr">
        <is>
          <t>893885761</t>
        </is>
      </c>
    </row>
    <row r="1753">
      <c r="A1753" t="inlineStr">
        <is>
          <t>No</t>
        </is>
      </c>
      <c r="B1753" t="inlineStr">
        <is>
          <t>HQ728 .W56 1968</t>
        </is>
      </c>
      <c r="C1753" t="inlineStr">
        <is>
          <t>0                      HQ 0728000W  56          1968</t>
        </is>
      </c>
      <c r="D1753" t="inlineStr">
        <is>
          <t>Selected studies in marriage and the family / edited by Robert F. Winch [and] Louis Wolf Goodman.</t>
        </is>
      </c>
      <c r="F1753" t="inlineStr">
        <is>
          <t>No</t>
        </is>
      </c>
      <c r="G1753" t="inlineStr">
        <is>
          <t>1</t>
        </is>
      </c>
      <c r="H1753" t="inlineStr">
        <is>
          <t>No</t>
        </is>
      </c>
      <c r="I1753" t="inlineStr">
        <is>
          <t>Yes</t>
        </is>
      </c>
      <c r="J1753" t="inlineStr">
        <is>
          <t>0</t>
        </is>
      </c>
      <c r="K1753" t="inlineStr">
        <is>
          <t>Winch, Robert F. (Robert Francis), 1911-1977 editor.</t>
        </is>
      </c>
      <c r="L1753" t="inlineStr">
        <is>
          <t>New York : Holt, Rinehart and Winston, [1968]</t>
        </is>
      </c>
      <c r="M1753" t="inlineStr">
        <is>
          <t>1968</t>
        </is>
      </c>
      <c r="N1753" t="inlineStr">
        <is>
          <t>3d ed.</t>
        </is>
      </c>
      <c r="O1753" t="inlineStr">
        <is>
          <t>eng</t>
        </is>
      </c>
      <c r="P1753" t="inlineStr">
        <is>
          <t>nyu</t>
        </is>
      </c>
      <c r="R1753" t="inlineStr">
        <is>
          <t xml:space="preserve">HQ </t>
        </is>
      </c>
      <c r="S1753" t="n">
        <v>13</v>
      </c>
      <c r="T1753" t="n">
        <v>13</v>
      </c>
      <c r="U1753" t="inlineStr">
        <is>
          <t>1999-04-17</t>
        </is>
      </c>
      <c r="V1753" t="inlineStr">
        <is>
          <t>1999-04-17</t>
        </is>
      </c>
      <c r="W1753" t="inlineStr">
        <is>
          <t>1994-03-29</t>
        </is>
      </c>
      <c r="X1753" t="inlineStr">
        <is>
          <t>1994-03-29</t>
        </is>
      </c>
      <c r="Y1753" t="n">
        <v>483</v>
      </c>
      <c r="Z1753" t="n">
        <v>368</v>
      </c>
      <c r="AA1753" t="n">
        <v>764</v>
      </c>
      <c r="AB1753" t="n">
        <v>5</v>
      </c>
      <c r="AC1753" t="n">
        <v>10</v>
      </c>
      <c r="AD1753" t="n">
        <v>12</v>
      </c>
      <c r="AE1753" t="n">
        <v>38</v>
      </c>
      <c r="AF1753" t="n">
        <v>2</v>
      </c>
      <c r="AG1753" t="n">
        <v>13</v>
      </c>
      <c r="AH1753" t="n">
        <v>1</v>
      </c>
      <c r="AI1753" t="n">
        <v>6</v>
      </c>
      <c r="AJ1753" t="n">
        <v>7</v>
      </c>
      <c r="AK1753" t="n">
        <v>20</v>
      </c>
      <c r="AL1753" t="n">
        <v>3</v>
      </c>
      <c r="AM1753" t="n">
        <v>7</v>
      </c>
      <c r="AN1753" t="n">
        <v>1</v>
      </c>
      <c r="AO1753" t="n">
        <v>1</v>
      </c>
      <c r="AP1753" t="inlineStr">
        <is>
          <t>No</t>
        </is>
      </c>
      <c r="AQ1753" t="inlineStr">
        <is>
          <t>Yes</t>
        </is>
      </c>
      <c r="AR1753">
        <f>HYPERLINK("http://catalog.hathitrust.org/Record/102013971","HathiTrust Record")</f>
        <v/>
      </c>
      <c r="AS1753">
        <f>HYPERLINK("https://creighton-primo.hosted.exlibrisgroup.com/primo-explore/search?tab=default_tab&amp;search_scope=EVERYTHING&amp;vid=01CRU&amp;lang=en_US&amp;offset=0&amp;query=any,contains,991002196759702656","Catalog Record")</f>
        <v/>
      </c>
      <c r="AT1753">
        <f>HYPERLINK("http://www.worldcat.org/oclc/283356","WorldCat Record")</f>
        <v/>
      </c>
      <c r="AU1753" t="inlineStr">
        <is>
          <t>1366609:eng</t>
        </is>
      </c>
      <c r="AV1753" t="inlineStr">
        <is>
          <t>283356</t>
        </is>
      </c>
      <c r="AW1753" t="inlineStr">
        <is>
          <t>991002196759702656</t>
        </is>
      </c>
      <c r="AX1753" t="inlineStr">
        <is>
          <t>991002196759702656</t>
        </is>
      </c>
      <c r="AY1753" t="inlineStr">
        <is>
          <t>2265765050002656</t>
        </is>
      </c>
      <c r="AZ1753" t="inlineStr">
        <is>
          <t>BOOK</t>
        </is>
      </c>
      <c r="BC1753" t="inlineStr">
        <is>
          <t>32285001872646</t>
        </is>
      </c>
      <c r="BD1753" t="inlineStr">
        <is>
          <t>893238758</t>
        </is>
      </c>
    </row>
    <row r="1754">
      <c r="A1754" t="inlineStr">
        <is>
          <t>No</t>
        </is>
      </c>
      <c r="B1754" t="inlineStr">
        <is>
          <t>HQ734 .A385 1996</t>
        </is>
      </c>
      <c r="C1754" t="inlineStr">
        <is>
          <t>0                      HQ 0734000A  385         1996</t>
        </is>
      </c>
      <c r="D1754" t="inlineStr">
        <is>
          <t>Family careers : rethinking the developmental perspective / Joan Aldous.</t>
        </is>
      </c>
      <c r="F1754" t="inlineStr">
        <is>
          <t>No</t>
        </is>
      </c>
      <c r="G1754" t="inlineStr">
        <is>
          <t>1</t>
        </is>
      </c>
      <c r="H1754" t="inlineStr">
        <is>
          <t>No</t>
        </is>
      </c>
      <c r="I1754" t="inlineStr">
        <is>
          <t>Yes</t>
        </is>
      </c>
      <c r="J1754" t="inlineStr">
        <is>
          <t>0</t>
        </is>
      </c>
      <c r="K1754" t="inlineStr">
        <is>
          <t>Aldous, Joan.</t>
        </is>
      </c>
      <c r="L1754" t="inlineStr">
        <is>
          <t>Thousand Oaks, Calif. : Sage Publications, c1996.</t>
        </is>
      </c>
      <c r="M1754" t="inlineStr">
        <is>
          <t>1996</t>
        </is>
      </c>
      <c r="O1754" t="inlineStr">
        <is>
          <t>eng</t>
        </is>
      </c>
      <c r="P1754" t="inlineStr">
        <is>
          <t>cau</t>
        </is>
      </c>
      <c r="R1754" t="inlineStr">
        <is>
          <t xml:space="preserve">HQ </t>
        </is>
      </c>
      <c r="S1754" t="n">
        <v>8</v>
      </c>
      <c r="T1754" t="n">
        <v>8</v>
      </c>
      <c r="U1754" t="inlineStr">
        <is>
          <t>2004-09-07</t>
        </is>
      </c>
      <c r="V1754" t="inlineStr">
        <is>
          <t>2004-09-07</t>
        </is>
      </c>
      <c r="W1754" t="inlineStr">
        <is>
          <t>1996-05-28</t>
        </is>
      </c>
      <c r="X1754" t="inlineStr">
        <is>
          <t>1996-05-28</t>
        </is>
      </c>
      <c r="Y1754" t="n">
        <v>354</v>
      </c>
      <c r="Z1754" t="n">
        <v>273</v>
      </c>
      <c r="AA1754" t="n">
        <v>509</v>
      </c>
      <c r="AB1754" t="n">
        <v>3</v>
      </c>
      <c r="AC1754" t="n">
        <v>5</v>
      </c>
      <c r="AD1754" t="n">
        <v>14</v>
      </c>
      <c r="AE1754" t="n">
        <v>26</v>
      </c>
      <c r="AF1754" t="n">
        <v>5</v>
      </c>
      <c r="AG1754" t="n">
        <v>12</v>
      </c>
      <c r="AH1754" t="n">
        <v>2</v>
      </c>
      <c r="AI1754" t="n">
        <v>5</v>
      </c>
      <c r="AJ1754" t="n">
        <v>8</v>
      </c>
      <c r="AK1754" t="n">
        <v>14</v>
      </c>
      <c r="AL1754" t="n">
        <v>2</v>
      </c>
      <c r="AM1754" t="n">
        <v>3</v>
      </c>
      <c r="AN1754" t="n">
        <v>0</v>
      </c>
      <c r="AO1754" t="n">
        <v>0</v>
      </c>
      <c r="AP1754" t="inlineStr">
        <is>
          <t>No</t>
        </is>
      </c>
      <c r="AQ1754" t="inlineStr">
        <is>
          <t>Yes</t>
        </is>
      </c>
      <c r="AR1754">
        <f>HYPERLINK("http://catalog.hathitrust.org/Record/003049308","HathiTrust Record")</f>
        <v/>
      </c>
      <c r="AS1754">
        <f>HYPERLINK("https://creighton-primo.hosted.exlibrisgroup.com/primo-explore/search?tab=default_tab&amp;search_scope=EVERYTHING&amp;vid=01CRU&amp;lang=en_US&amp;offset=0&amp;query=any,contains,991002558149702656","Catalog Record")</f>
        <v/>
      </c>
      <c r="AT1754">
        <f>HYPERLINK("http://www.worldcat.org/oclc/33245168","WorldCat Record")</f>
        <v/>
      </c>
      <c r="AU1754" t="inlineStr">
        <is>
          <t>8908636655:eng</t>
        </is>
      </c>
      <c r="AV1754" t="inlineStr">
        <is>
          <t>33245168</t>
        </is>
      </c>
      <c r="AW1754" t="inlineStr">
        <is>
          <t>991002558149702656</t>
        </is>
      </c>
      <c r="AX1754" t="inlineStr">
        <is>
          <t>991002558149702656</t>
        </is>
      </c>
      <c r="AY1754" t="inlineStr">
        <is>
          <t>2257217030002656</t>
        </is>
      </c>
      <c r="AZ1754" t="inlineStr">
        <is>
          <t>BOOK</t>
        </is>
      </c>
      <c r="BB1754" t="inlineStr">
        <is>
          <t>9780803951792</t>
        </is>
      </c>
      <c r="BC1754" t="inlineStr">
        <is>
          <t>32285002178068</t>
        </is>
      </c>
      <c r="BD1754" t="inlineStr">
        <is>
          <t>893903964</t>
        </is>
      </c>
    </row>
    <row r="1755">
      <c r="A1755" t="inlineStr">
        <is>
          <t>No</t>
        </is>
      </c>
      <c r="B1755" t="inlineStr">
        <is>
          <t>HQ734 .A43 1985</t>
        </is>
      </c>
      <c r="C1755" t="inlineStr">
        <is>
          <t>0                      HQ 0734000A  43          1985</t>
        </is>
      </c>
      <c r="D1755" t="inlineStr">
        <is>
          <t>Family life : domestic roles and social organization / Graham Allan.</t>
        </is>
      </c>
      <c r="F1755" t="inlineStr">
        <is>
          <t>No</t>
        </is>
      </c>
      <c r="G1755" t="inlineStr">
        <is>
          <t>1</t>
        </is>
      </c>
      <c r="H1755" t="inlineStr">
        <is>
          <t>No</t>
        </is>
      </c>
      <c r="I1755" t="inlineStr">
        <is>
          <t>No</t>
        </is>
      </c>
      <c r="J1755" t="inlineStr">
        <is>
          <t>0</t>
        </is>
      </c>
      <c r="K1755" t="inlineStr">
        <is>
          <t>Allan, Graham, 1948-</t>
        </is>
      </c>
      <c r="L1755" t="inlineStr">
        <is>
          <t>Oxford, OX, UK ; New York, NY, USA : B. Blackwell, 1985.</t>
        </is>
      </c>
      <c r="M1755" t="inlineStr">
        <is>
          <t>1985</t>
        </is>
      </c>
      <c r="O1755" t="inlineStr">
        <is>
          <t>eng</t>
        </is>
      </c>
      <c r="P1755" t="inlineStr">
        <is>
          <t>nyu</t>
        </is>
      </c>
      <c r="R1755" t="inlineStr">
        <is>
          <t xml:space="preserve">HQ </t>
        </is>
      </c>
      <c r="S1755" t="n">
        <v>9</v>
      </c>
      <c r="T1755" t="n">
        <v>9</v>
      </c>
      <c r="U1755" t="inlineStr">
        <is>
          <t>1998-10-31</t>
        </is>
      </c>
      <c r="V1755" t="inlineStr">
        <is>
          <t>1998-10-31</t>
        </is>
      </c>
      <c r="W1755" t="inlineStr">
        <is>
          <t>1992-10-30</t>
        </is>
      </c>
      <c r="X1755" t="inlineStr">
        <is>
          <t>1992-10-30</t>
        </is>
      </c>
      <c r="Y1755" t="n">
        <v>387</v>
      </c>
      <c r="Z1755" t="n">
        <v>222</v>
      </c>
      <c r="AA1755" t="n">
        <v>222</v>
      </c>
      <c r="AB1755" t="n">
        <v>2</v>
      </c>
      <c r="AC1755" t="n">
        <v>2</v>
      </c>
      <c r="AD1755" t="n">
        <v>7</v>
      </c>
      <c r="AE1755" t="n">
        <v>7</v>
      </c>
      <c r="AF1755" t="n">
        <v>2</v>
      </c>
      <c r="AG1755" t="n">
        <v>2</v>
      </c>
      <c r="AH1755" t="n">
        <v>1</v>
      </c>
      <c r="AI1755" t="n">
        <v>1</v>
      </c>
      <c r="AJ1755" t="n">
        <v>4</v>
      </c>
      <c r="AK1755" t="n">
        <v>4</v>
      </c>
      <c r="AL1755" t="n">
        <v>1</v>
      </c>
      <c r="AM1755" t="n">
        <v>1</v>
      </c>
      <c r="AN1755" t="n">
        <v>0</v>
      </c>
      <c r="AO1755" t="n">
        <v>0</v>
      </c>
      <c r="AP1755" t="inlineStr">
        <is>
          <t>No</t>
        </is>
      </c>
      <c r="AQ1755" t="inlineStr">
        <is>
          <t>No</t>
        </is>
      </c>
      <c r="AS1755">
        <f>HYPERLINK("https://creighton-primo.hosted.exlibrisgroup.com/primo-explore/search?tab=default_tab&amp;search_scope=EVERYTHING&amp;vid=01CRU&amp;lang=en_US&amp;offset=0&amp;query=any,contains,991000584349702656","Catalog Record")</f>
        <v/>
      </c>
      <c r="AT1755">
        <f>HYPERLINK("http://www.worldcat.org/oclc/11755781","WorldCat Record")</f>
        <v/>
      </c>
      <c r="AU1755" t="inlineStr">
        <is>
          <t>478959373:eng</t>
        </is>
      </c>
      <c r="AV1755" t="inlineStr">
        <is>
          <t>11755781</t>
        </is>
      </c>
      <c r="AW1755" t="inlineStr">
        <is>
          <t>991000584349702656</t>
        </is>
      </c>
      <c r="AX1755" t="inlineStr">
        <is>
          <t>991000584349702656</t>
        </is>
      </c>
      <c r="AY1755" t="inlineStr">
        <is>
          <t>2270670240002656</t>
        </is>
      </c>
      <c r="AZ1755" t="inlineStr">
        <is>
          <t>BOOK</t>
        </is>
      </c>
      <c r="BB1755" t="inlineStr">
        <is>
          <t>9780631142874</t>
        </is>
      </c>
      <c r="BC1755" t="inlineStr">
        <is>
          <t>32285001359321</t>
        </is>
      </c>
      <c r="BD1755" t="inlineStr">
        <is>
          <t>893432088</t>
        </is>
      </c>
    </row>
    <row r="1756">
      <c r="A1756" t="inlineStr">
        <is>
          <t>No</t>
        </is>
      </c>
      <c r="B1756" t="inlineStr">
        <is>
          <t>HQ734 .A56</t>
        </is>
      </c>
      <c r="C1756" t="inlineStr">
        <is>
          <t>0                      HQ 0734000A  56</t>
        </is>
      </c>
      <c r="D1756" t="inlineStr">
        <is>
          <t>Sociology of the family: selected readings.</t>
        </is>
      </c>
      <c r="F1756" t="inlineStr">
        <is>
          <t>No</t>
        </is>
      </c>
      <c r="G1756" t="inlineStr">
        <is>
          <t>1</t>
        </is>
      </c>
      <c r="H1756" t="inlineStr">
        <is>
          <t>No</t>
        </is>
      </c>
      <c r="I1756" t="inlineStr">
        <is>
          <t>No</t>
        </is>
      </c>
      <c r="J1756" t="inlineStr">
        <is>
          <t>0</t>
        </is>
      </c>
      <c r="K1756" t="inlineStr">
        <is>
          <t>Anderson, Michael, 1942- compiler.</t>
        </is>
      </c>
      <c r="L1756" t="inlineStr">
        <is>
          <t>Harmondsworth, Penguin, 1971.</t>
        </is>
      </c>
      <c r="M1756" t="inlineStr">
        <is>
          <t>1971</t>
        </is>
      </c>
      <c r="O1756" t="inlineStr">
        <is>
          <t>eng</t>
        </is>
      </c>
      <c r="P1756" t="inlineStr">
        <is>
          <t>enk</t>
        </is>
      </c>
      <c r="Q1756" t="inlineStr">
        <is>
          <t>Penguin Education</t>
        </is>
      </c>
      <c r="R1756" t="inlineStr">
        <is>
          <t xml:space="preserve">HQ </t>
        </is>
      </c>
      <c r="S1756" t="n">
        <v>5</v>
      </c>
      <c r="T1756" t="n">
        <v>5</v>
      </c>
      <c r="U1756" t="inlineStr">
        <is>
          <t>1998-10-31</t>
        </is>
      </c>
      <c r="V1756" t="inlineStr">
        <is>
          <t>1998-10-31</t>
        </is>
      </c>
      <c r="W1756" t="inlineStr">
        <is>
          <t>1997-08-11</t>
        </is>
      </c>
      <c r="X1756" t="inlineStr">
        <is>
          <t>1997-08-11</t>
        </is>
      </c>
      <c r="Y1756" t="n">
        <v>394</v>
      </c>
      <c r="Z1756" t="n">
        <v>173</v>
      </c>
      <c r="AA1756" t="n">
        <v>184</v>
      </c>
      <c r="AB1756" t="n">
        <v>2</v>
      </c>
      <c r="AC1756" t="n">
        <v>2</v>
      </c>
      <c r="AD1756" t="n">
        <v>6</v>
      </c>
      <c r="AE1756" t="n">
        <v>6</v>
      </c>
      <c r="AF1756" t="n">
        <v>0</v>
      </c>
      <c r="AG1756" t="n">
        <v>0</v>
      </c>
      <c r="AH1756" t="n">
        <v>1</v>
      </c>
      <c r="AI1756" t="n">
        <v>1</v>
      </c>
      <c r="AJ1756" t="n">
        <v>4</v>
      </c>
      <c r="AK1756" t="n">
        <v>4</v>
      </c>
      <c r="AL1756" t="n">
        <v>1</v>
      </c>
      <c r="AM1756" t="n">
        <v>1</v>
      </c>
      <c r="AN1756" t="n">
        <v>0</v>
      </c>
      <c r="AO1756" t="n">
        <v>0</v>
      </c>
      <c r="AP1756" t="inlineStr">
        <is>
          <t>No</t>
        </is>
      </c>
      <c r="AQ1756" t="inlineStr">
        <is>
          <t>Yes</t>
        </is>
      </c>
      <c r="AR1756">
        <f>HYPERLINK("http://catalog.hathitrust.org/Record/001108308","HathiTrust Record")</f>
        <v/>
      </c>
      <c r="AS1756">
        <f>HYPERLINK("https://creighton-primo.hosted.exlibrisgroup.com/primo-explore/search?tab=default_tab&amp;search_scope=EVERYTHING&amp;vid=01CRU&amp;lang=en_US&amp;offset=0&amp;query=any,contains,991000923399702656","Catalog Record")</f>
        <v/>
      </c>
      <c r="AT1756">
        <f>HYPERLINK("http://www.worldcat.org/oclc/162415","WorldCat Record")</f>
        <v/>
      </c>
      <c r="AU1756" t="inlineStr">
        <is>
          <t>43167703:eng</t>
        </is>
      </c>
      <c r="AV1756" t="inlineStr">
        <is>
          <t>162415</t>
        </is>
      </c>
      <c r="AW1756" t="inlineStr">
        <is>
          <t>991000923399702656</t>
        </is>
      </c>
      <c r="AX1756" t="inlineStr">
        <is>
          <t>991000923399702656</t>
        </is>
      </c>
      <c r="AY1756" t="inlineStr">
        <is>
          <t>2268931260002656</t>
        </is>
      </c>
      <c r="AZ1756" t="inlineStr">
        <is>
          <t>BOOK</t>
        </is>
      </c>
      <c r="BB1756" t="inlineStr">
        <is>
          <t>9780140801934</t>
        </is>
      </c>
      <c r="BC1756" t="inlineStr">
        <is>
          <t>32285003089496</t>
        </is>
      </c>
      <c r="BD1756" t="inlineStr">
        <is>
          <t>893502934</t>
        </is>
      </c>
    </row>
    <row r="1757">
      <c r="A1757" t="inlineStr">
        <is>
          <t>No</t>
        </is>
      </c>
      <c r="B1757" t="inlineStr">
        <is>
          <t>HQ734 .B213513 1987</t>
        </is>
      </c>
      <c r="C1757" t="inlineStr">
        <is>
          <t>0                      HQ 0734000B  213513      1987</t>
        </is>
      </c>
      <c r="D1757" t="inlineStr">
        <is>
          <t>How to understand marriage / Jean-Pierre Bagot ; [translated by John Bowden].</t>
        </is>
      </c>
      <c r="F1757" t="inlineStr">
        <is>
          <t>No</t>
        </is>
      </c>
      <c r="G1757" t="inlineStr">
        <is>
          <t>1</t>
        </is>
      </c>
      <c r="H1757" t="inlineStr">
        <is>
          <t>No</t>
        </is>
      </c>
      <c r="I1757" t="inlineStr">
        <is>
          <t>No</t>
        </is>
      </c>
      <c r="J1757" t="inlineStr">
        <is>
          <t>0</t>
        </is>
      </c>
      <c r="K1757" t="inlineStr">
        <is>
          <t>Bagot, Jean Pierre.</t>
        </is>
      </c>
      <c r="L1757" t="inlineStr">
        <is>
          <t>New York : Crossroad, 1987.</t>
        </is>
      </c>
      <c r="M1757" t="inlineStr">
        <is>
          <t>1987</t>
        </is>
      </c>
      <c r="O1757" t="inlineStr">
        <is>
          <t>eng</t>
        </is>
      </c>
      <c r="P1757" t="inlineStr">
        <is>
          <t>nyu</t>
        </is>
      </c>
      <c r="R1757" t="inlineStr">
        <is>
          <t xml:space="preserve">HQ </t>
        </is>
      </c>
      <c r="S1757" t="n">
        <v>14</v>
      </c>
      <c r="T1757" t="n">
        <v>14</v>
      </c>
      <c r="U1757" t="inlineStr">
        <is>
          <t>2003-04-22</t>
        </is>
      </c>
      <c r="V1757" t="inlineStr">
        <is>
          <t>2003-04-22</t>
        </is>
      </c>
      <c r="W1757" t="inlineStr">
        <is>
          <t>1992-04-30</t>
        </is>
      </c>
      <c r="X1757" t="inlineStr">
        <is>
          <t>1992-04-30</t>
        </is>
      </c>
      <c r="Y1757" t="n">
        <v>65</v>
      </c>
      <c r="Z1757" t="n">
        <v>55</v>
      </c>
      <c r="AA1757" t="n">
        <v>57</v>
      </c>
      <c r="AB1757" t="n">
        <v>1</v>
      </c>
      <c r="AC1757" t="n">
        <v>1</v>
      </c>
      <c r="AD1757" t="n">
        <v>7</v>
      </c>
      <c r="AE1757" t="n">
        <v>7</v>
      </c>
      <c r="AF1757" t="n">
        <v>2</v>
      </c>
      <c r="AG1757" t="n">
        <v>2</v>
      </c>
      <c r="AH1757" t="n">
        <v>2</v>
      </c>
      <c r="AI1757" t="n">
        <v>2</v>
      </c>
      <c r="AJ1757" t="n">
        <v>5</v>
      </c>
      <c r="AK1757" t="n">
        <v>5</v>
      </c>
      <c r="AL1757" t="n">
        <v>0</v>
      </c>
      <c r="AM1757" t="n">
        <v>0</v>
      </c>
      <c r="AN1757" t="n">
        <v>0</v>
      </c>
      <c r="AO1757" t="n">
        <v>0</v>
      </c>
      <c r="AP1757" t="inlineStr">
        <is>
          <t>No</t>
        </is>
      </c>
      <c r="AQ1757" t="inlineStr">
        <is>
          <t>No</t>
        </is>
      </c>
      <c r="AS1757">
        <f>HYPERLINK("https://creighton-primo.hosted.exlibrisgroup.com/primo-explore/search?tab=default_tab&amp;search_scope=EVERYTHING&amp;vid=01CRU&amp;lang=en_US&amp;offset=0&amp;query=any,contains,991001016289702656","Catalog Record")</f>
        <v/>
      </c>
      <c r="AT1757">
        <f>HYPERLINK("http://www.worldcat.org/oclc/15317808","WorldCat Record")</f>
        <v/>
      </c>
      <c r="AU1757" t="inlineStr">
        <is>
          <t>10139868:eng</t>
        </is>
      </c>
      <c r="AV1757" t="inlineStr">
        <is>
          <t>15317808</t>
        </is>
      </c>
      <c r="AW1757" t="inlineStr">
        <is>
          <t>991001016289702656</t>
        </is>
      </c>
      <c r="AX1757" t="inlineStr">
        <is>
          <t>991001016289702656</t>
        </is>
      </c>
      <c r="AY1757" t="inlineStr">
        <is>
          <t>2258491040002656</t>
        </is>
      </c>
      <c r="AZ1757" t="inlineStr">
        <is>
          <t>BOOK</t>
        </is>
      </c>
      <c r="BB1757" t="inlineStr">
        <is>
          <t>9780824508104</t>
        </is>
      </c>
      <c r="BC1757" t="inlineStr">
        <is>
          <t>32285001104867</t>
        </is>
      </c>
      <c r="BD1757" t="inlineStr">
        <is>
          <t>893515833</t>
        </is>
      </c>
    </row>
    <row r="1758">
      <c r="A1758" t="inlineStr">
        <is>
          <t>No</t>
        </is>
      </c>
      <c r="B1758" t="inlineStr">
        <is>
          <t>HQ734 .B47 1989</t>
        </is>
      </c>
      <c r="C1758" t="inlineStr">
        <is>
          <t>0                      HQ 0734000B  47          1989</t>
        </is>
      </c>
      <c r="D1758" t="inlineStr">
        <is>
          <t>Love is never enough : how couples can overcome misunderstandings, resolve conflicts, and solve relationship problems through cognitive therapy / Aaron T. Beck.</t>
        </is>
      </c>
      <c r="F1758" t="inlineStr">
        <is>
          <t>No</t>
        </is>
      </c>
      <c r="G1758" t="inlineStr">
        <is>
          <t>1</t>
        </is>
      </c>
      <c r="H1758" t="inlineStr">
        <is>
          <t>No</t>
        </is>
      </c>
      <c r="I1758" t="inlineStr">
        <is>
          <t>No</t>
        </is>
      </c>
      <c r="J1758" t="inlineStr">
        <is>
          <t>0</t>
        </is>
      </c>
      <c r="K1758" t="inlineStr">
        <is>
          <t>Beck, Aaron T.</t>
        </is>
      </c>
      <c r="L1758" t="inlineStr">
        <is>
          <t>New York : Perennial Library, 1989, c1988.</t>
        </is>
      </c>
      <c r="M1758" t="inlineStr">
        <is>
          <t>1989</t>
        </is>
      </c>
      <c r="O1758" t="inlineStr">
        <is>
          <t>eng</t>
        </is>
      </c>
      <c r="P1758" t="inlineStr">
        <is>
          <t>nyu</t>
        </is>
      </c>
      <c r="R1758" t="inlineStr">
        <is>
          <t xml:space="preserve">HQ </t>
        </is>
      </c>
      <c r="S1758" t="n">
        <v>49</v>
      </c>
      <c r="T1758" t="n">
        <v>49</v>
      </c>
      <c r="U1758" t="inlineStr">
        <is>
          <t>2010-12-08</t>
        </is>
      </c>
      <c r="V1758" t="inlineStr">
        <is>
          <t>2010-12-08</t>
        </is>
      </c>
      <c r="W1758" t="inlineStr">
        <is>
          <t>1991-06-06</t>
        </is>
      </c>
      <c r="X1758" t="inlineStr">
        <is>
          <t>1991-06-06</t>
        </is>
      </c>
      <c r="Y1758" t="n">
        <v>349</v>
      </c>
      <c r="Z1758" t="n">
        <v>323</v>
      </c>
      <c r="AA1758" t="n">
        <v>968</v>
      </c>
      <c r="AB1758" t="n">
        <v>2</v>
      </c>
      <c r="AC1758" t="n">
        <v>4</v>
      </c>
      <c r="AD1758" t="n">
        <v>12</v>
      </c>
      <c r="AE1758" t="n">
        <v>23</v>
      </c>
      <c r="AF1758" t="n">
        <v>7</v>
      </c>
      <c r="AG1758" t="n">
        <v>13</v>
      </c>
      <c r="AH1758" t="n">
        <v>1</v>
      </c>
      <c r="AI1758" t="n">
        <v>2</v>
      </c>
      <c r="AJ1758" t="n">
        <v>4</v>
      </c>
      <c r="AK1758" t="n">
        <v>8</v>
      </c>
      <c r="AL1758" t="n">
        <v>1</v>
      </c>
      <c r="AM1758" t="n">
        <v>3</v>
      </c>
      <c r="AN1758" t="n">
        <v>0</v>
      </c>
      <c r="AO1758" t="n">
        <v>0</v>
      </c>
      <c r="AP1758" t="inlineStr">
        <is>
          <t>No</t>
        </is>
      </c>
      <c r="AQ1758" t="inlineStr">
        <is>
          <t>No</t>
        </is>
      </c>
      <c r="AS1758">
        <f>HYPERLINK("https://creighton-primo.hosted.exlibrisgroup.com/primo-explore/search?tab=default_tab&amp;search_scope=EVERYTHING&amp;vid=01CRU&amp;lang=en_US&amp;offset=0&amp;query=any,contains,991001628879702656","Catalog Record")</f>
        <v/>
      </c>
      <c r="AT1758">
        <f>HYPERLINK("http://www.worldcat.org/oclc/20870788","WorldCat Record")</f>
        <v/>
      </c>
      <c r="AU1758" t="inlineStr">
        <is>
          <t>16306789:eng</t>
        </is>
      </c>
      <c r="AV1758" t="inlineStr">
        <is>
          <t>20870788</t>
        </is>
      </c>
      <c r="AW1758" t="inlineStr">
        <is>
          <t>991001628879702656</t>
        </is>
      </c>
      <c r="AX1758" t="inlineStr">
        <is>
          <t>991001628879702656</t>
        </is>
      </c>
      <c r="AY1758" t="inlineStr">
        <is>
          <t>2261834860002656</t>
        </is>
      </c>
      <c r="AZ1758" t="inlineStr">
        <is>
          <t>BOOK</t>
        </is>
      </c>
      <c r="BB1758" t="inlineStr">
        <is>
          <t>9780060916046</t>
        </is>
      </c>
      <c r="BC1758" t="inlineStr">
        <is>
          <t>32285000593623</t>
        </is>
      </c>
      <c r="BD1758" t="inlineStr">
        <is>
          <t>893256357</t>
        </is>
      </c>
    </row>
    <row r="1759">
      <c r="A1759" t="inlineStr">
        <is>
          <t>No</t>
        </is>
      </c>
      <c r="B1759" t="inlineStr">
        <is>
          <t>HQ734 .B56 1983</t>
        </is>
      </c>
      <c r="C1759" t="inlineStr">
        <is>
          <t>0                      HQ 0734000B  56          1983</t>
        </is>
      </c>
      <c r="D1759" t="inlineStr">
        <is>
          <t>The war over the family : capturing the middle ground / by Brigitte Berger and Peter L. Berger.</t>
        </is>
      </c>
      <c r="F1759" t="inlineStr">
        <is>
          <t>No</t>
        </is>
      </c>
      <c r="G1759" t="inlineStr">
        <is>
          <t>1</t>
        </is>
      </c>
      <c r="H1759" t="inlineStr">
        <is>
          <t>No</t>
        </is>
      </c>
      <c r="I1759" t="inlineStr">
        <is>
          <t>No</t>
        </is>
      </c>
      <c r="J1759" t="inlineStr">
        <is>
          <t>0</t>
        </is>
      </c>
      <c r="K1759" t="inlineStr">
        <is>
          <t>Berger, Brigitte.</t>
        </is>
      </c>
      <c r="L1759" t="inlineStr">
        <is>
          <t>Garden City, N.Y. : Anchor Press/Doubleday, 1983.</t>
        </is>
      </c>
      <c r="M1759" t="inlineStr">
        <is>
          <t>1983</t>
        </is>
      </c>
      <c r="N1759" t="inlineStr">
        <is>
          <t>1st ed.</t>
        </is>
      </c>
      <c r="O1759" t="inlineStr">
        <is>
          <t>eng</t>
        </is>
      </c>
      <c r="P1759" t="inlineStr">
        <is>
          <t>nyu</t>
        </is>
      </c>
      <c r="R1759" t="inlineStr">
        <is>
          <t xml:space="preserve">HQ </t>
        </is>
      </c>
      <c r="S1759" t="n">
        <v>8</v>
      </c>
      <c r="T1759" t="n">
        <v>8</v>
      </c>
      <c r="U1759" t="inlineStr">
        <is>
          <t>2002-09-13</t>
        </is>
      </c>
      <c r="V1759" t="inlineStr">
        <is>
          <t>2002-09-13</t>
        </is>
      </c>
      <c r="W1759" t="inlineStr">
        <is>
          <t>1992-02-26</t>
        </is>
      </c>
      <c r="X1759" t="inlineStr">
        <is>
          <t>1992-02-26</t>
        </is>
      </c>
      <c r="Y1759" t="n">
        <v>928</v>
      </c>
      <c r="Z1759" t="n">
        <v>835</v>
      </c>
      <c r="AA1759" t="n">
        <v>884</v>
      </c>
      <c r="AB1759" t="n">
        <v>6</v>
      </c>
      <c r="AC1759" t="n">
        <v>8</v>
      </c>
      <c r="AD1759" t="n">
        <v>33</v>
      </c>
      <c r="AE1759" t="n">
        <v>35</v>
      </c>
      <c r="AF1759" t="n">
        <v>15</v>
      </c>
      <c r="AG1759" t="n">
        <v>15</v>
      </c>
      <c r="AH1759" t="n">
        <v>6</v>
      </c>
      <c r="AI1759" t="n">
        <v>6</v>
      </c>
      <c r="AJ1759" t="n">
        <v>18</v>
      </c>
      <c r="AK1759" t="n">
        <v>18</v>
      </c>
      <c r="AL1759" t="n">
        <v>4</v>
      </c>
      <c r="AM1759" t="n">
        <v>6</v>
      </c>
      <c r="AN1759" t="n">
        <v>0</v>
      </c>
      <c r="AO1759" t="n">
        <v>0</v>
      </c>
      <c r="AP1759" t="inlineStr">
        <is>
          <t>No</t>
        </is>
      </c>
      <c r="AQ1759" t="inlineStr">
        <is>
          <t>Yes</t>
        </is>
      </c>
      <c r="AR1759">
        <f>HYPERLINK("http://catalog.hathitrust.org/Record/000237045","HathiTrust Record")</f>
        <v/>
      </c>
      <c r="AS1759">
        <f>HYPERLINK("https://creighton-primo.hosted.exlibrisgroup.com/primo-explore/search?tab=default_tab&amp;search_scope=EVERYTHING&amp;vid=01CRU&amp;lang=en_US&amp;offset=0&amp;query=any,contains,991000174149702656","Catalog Record")</f>
        <v/>
      </c>
      <c r="AT1759">
        <f>HYPERLINK("http://www.worldcat.org/oclc/9326684","WorldCat Record")</f>
        <v/>
      </c>
      <c r="AU1759" t="inlineStr">
        <is>
          <t>4054370:eng</t>
        </is>
      </c>
      <c r="AV1759" t="inlineStr">
        <is>
          <t>9326684</t>
        </is>
      </c>
      <c r="AW1759" t="inlineStr">
        <is>
          <t>991000174149702656</t>
        </is>
      </c>
      <c r="AX1759" t="inlineStr">
        <is>
          <t>991000174149702656</t>
        </is>
      </c>
      <c r="AY1759" t="inlineStr">
        <is>
          <t>2270416630002656</t>
        </is>
      </c>
      <c r="AZ1759" t="inlineStr">
        <is>
          <t>BOOK</t>
        </is>
      </c>
      <c r="BB1759" t="inlineStr">
        <is>
          <t>9780385180061</t>
        </is>
      </c>
      <c r="BC1759" t="inlineStr">
        <is>
          <t>32285000977222</t>
        </is>
      </c>
      <c r="BD1759" t="inlineStr">
        <is>
          <t>893589239</t>
        </is>
      </c>
    </row>
    <row r="1760">
      <c r="A1760" t="inlineStr">
        <is>
          <t>No</t>
        </is>
      </c>
      <c r="B1760" t="inlineStr">
        <is>
          <t>HQ734 .B659 1983</t>
        </is>
      </c>
      <c r="C1760" t="inlineStr">
        <is>
          <t>0                      HQ 0734000B  659         1983</t>
        </is>
      </c>
      <c r="D1760" t="inlineStr">
        <is>
          <t>American couples : money, work, sex / Philip Blumstein &amp; Pepper Schwartz.</t>
        </is>
      </c>
      <c r="F1760" t="inlineStr">
        <is>
          <t>No</t>
        </is>
      </c>
      <c r="G1760" t="inlineStr">
        <is>
          <t>1</t>
        </is>
      </c>
      <c r="H1760" t="inlineStr">
        <is>
          <t>No</t>
        </is>
      </c>
      <c r="I1760" t="inlineStr">
        <is>
          <t>No</t>
        </is>
      </c>
      <c r="J1760" t="inlineStr">
        <is>
          <t>0</t>
        </is>
      </c>
      <c r="K1760" t="inlineStr">
        <is>
          <t>Blumstein, Philip.</t>
        </is>
      </c>
      <c r="L1760" t="inlineStr">
        <is>
          <t>New York : Morrow, 1983.</t>
        </is>
      </c>
      <c r="M1760" t="inlineStr">
        <is>
          <t>1983</t>
        </is>
      </c>
      <c r="N1760" t="inlineStr">
        <is>
          <t>1st ed.</t>
        </is>
      </c>
      <c r="O1760" t="inlineStr">
        <is>
          <t>eng</t>
        </is>
      </c>
      <c r="P1760" t="inlineStr">
        <is>
          <t>nyu</t>
        </is>
      </c>
      <c r="R1760" t="inlineStr">
        <is>
          <t xml:space="preserve">HQ </t>
        </is>
      </c>
      <c r="S1760" t="n">
        <v>15</v>
      </c>
      <c r="T1760" t="n">
        <v>15</v>
      </c>
      <c r="U1760" t="inlineStr">
        <is>
          <t>2006-04-28</t>
        </is>
      </c>
      <c r="V1760" t="inlineStr">
        <is>
          <t>2006-04-28</t>
        </is>
      </c>
      <c r="W1760" t="inlineStr">
        <is>
          <t>1990-02-26</t>
        </is>
      </c>
      <c r="X1760" t="inlineStr">
        <is>
          <t>1990-02-26</t>
        </is>
      </c>
      <c r="Y1760" t="n">
        <v>1331</v>
      </c>
      <c r="Z1760" t="n">
        <v>1238</v>
      </c>
      <c r="AA1760" t="n">
        <v>1324</v>
      </c>
      <c r="AB1760" t="n">
        <v>8</v>
      </c>
      <c r="AC1760" t="n">
        <v>8</v>
      </c>
      <c r="AD1760" t="n">
        <v>40</v>
      </c>
      <c r="AE1760" t="n">
        <v>41</v>
      </c>
      <c r="AF1760" t="n">
        <v>16</v>
      </c>
      <c r="AG1760" t="n">
        <v>16</v>
      </c>
      <c r="AH1760" t="n">
        <v>8</v>
      </c>
      <c r="AI1760" t="n">
        <v>8</v>
      </c>
      <c r="AJ1760" t="n">
        <v>19</v>
      </c>
      <c r="AK1760" t="n">
        <v>19</v>
      </c>
      <c r="AL1760" t="n">
        <v>6</v>
      </c>
      <c r="AM1760" t="n">
        <v>6</v>
      </c>
      <c r="AN1760" t="n">
        <v>0</v>
      </c>
      <c r="AO1760" t="n">
        <v>1</v>
      </c>
      <c r="AP1760" t="inlineStr">
        <is>
          <t>No</t>
        </is>
      </c>
      <c r="AQ1760" t="inlineStr">
        <is>
          <t>Yes</t>
        </is>
      </c>
      <c r="AR1760">
        <f>HYPERLINK("http://catalog.hathitrust.org/Record/000114837","HathiTrust Record")</f>
        <v/>
      </c>
      <c r="AS1760">
        <f>HYPERLINK("https://creighton-primo.hosted.exlibrisgroup.com/primo-explore/search?tab=default_tab&amp;search_scope=EVERYTHING&amp;vid=01CRU&amp;lang=en_US&amp;offset=0&amp;query=any,contains,991005403429702656","Catalog Record")</f>
        <v/>
      </c>
      <c r="AT1760">
        <f>HYPERLINK("http://www.worldcat.org/oclc/9990880","WorldCat Record")</f>
        <v/>
      </c>
      <c r="AU1760" t="inlineStr">
        <is>
          <t>5223942:eng</t>
        </is>
      </c>
      <c r="AV1760" t="inlineStr">
        <is>
          <t>9990880</t>
        </is>
      </c>
      <c r="AW1760" t="inlineStr">
        <is>
          <t>991005403429702656</t>
        </is>
      </c>
      <c r="AX1760" t="inlineStr">
        <is>
          <t>991005403429702656</t>
        </is>
      </c>
      <c r="AY1760" t="inlineStr">
        <is>
          <t>2272174710002656</t>
        </is>
      </c>
      <c r="AZ1760" t="inlineStr">
        <is>
          <t>BOOK</t>
        </is>
      </c>
      <c r="BB1760" t="inlineStr">
        <is>
          <t>9780688037727</t>
        </is>
      </c>
      <c r="BC1760" t="inlineStr">
        <is>
          <t>32285000059732</t>
        </is>
      </c>
      <c r="BD1760" t="inlineStr">
        <is>
          <t>893521127</t>
        </is>
      </c>
    </row>
    <row r="1761">
      <c r="A1761" t="inlineStr">
        <is>
          <t>No</t>
        </is>
      </c>
      <c r="B1761" t="inlineStr">
        <is>
          <t>HQ734 .B66</t>
        </is>
      </c>
      <c r="C1761" t="inlineStr">
        <is>
          <t>0                      HQ 0734000B  66</t>
        </is>
      </c>
      <c r="D1761" t="inlineStr">
        <is>
          <t>Family and marriage.</t>
        </is>
      </c>
      <c r="F1761" t="inlineStr">
        <is>
          <t>No</t>
        </is>
      </c>
      <c r="G1761" t="inlineStr">
        <is>
          <t>1</t>
        </is>
      </c>
      <c r="H1761" t="inlineStr">
        <is>
          <t>No</t>
        </is>
      </c>
      <c r="I1761" t="inlineStr">
        <is>
          <t>No</t>
        </is>
      </c>
      <c r="J1761" t="inlineStr">
        <is>
          <t>0</t>
        </is>
      </c>
      <c r="K1761" t="inlineStr">
        <is>
          <t>Boalt, Gunnar.</t>
        </is>
      </c>
      <c r="L1761" t="inlineStr">
        <is>
          <t>New York : D. McKay Co., [1965]</t>
        </is>
      </c>
      <c r="M1761" t="inlineStr">
        <is>
          <t>1965</t>
        </is>
      </c>
      <c r="O1761" t="inlineStr">
        <is>
          <t>eng</t>
        </is>
      </c>
      <c r="P1761" t="inlineStr">
        <is>
          <t>nyu</t>
        </is>
      </c>
      <c r="Q1761" t="inlineStr">
        <is>
          <t>McKay social science series</t>
        </is>
      </c>
      <c r="R1761" t="inlineStr">
        <is>
          <t xml:space="preserve">HQ </t>
        </is>
      </c>
      <c r="S1761" t="n">
        <v>7</v>
      </c>
      <c r="T1761" t="n">
        <v>7</v>
      </c>
      <c r="U1761" t="inlineStr">
        <is>
          <t>2001-02-22</t>
        </is>
      </c>
      <c r="V1761" t="inlineStr">
        <is>
          <t>2001-02-22</t>
        </is>
      </c>
      <c r="W1761" t="inlineStr">
        <is>
          <t>1993-12-15</t>
        </is>
      </c>
      <c r="X1761" t="inlineStr">
        <is>
          <t>1993-12-15</t>
        </is>
      </c>
      <c r="Y1761" t="n">
        <v>245</v>
      </c>
      <c r="Z1761" t="n">
        <v>203</v>
      </c>
      <c r="AA1761" t="n">
        <v>205</v>
      </c>
      <c r="AB1761" t="n">
        <v>2</v>
      </c>
      <c r="AC1761" t="n">
        <v>2</v>
      </c>
      <c r="AD1761" t="n">
        <v>8</v>
      </c>
      <c r="AE1761" t="n">
        <v>8</v>
      </c>
      <c r="AF1761" t="n">
        <v>2</v>
      </c>
      <c r="AG1761" t="n">
        <v>2</v>
      </c>
      <c r="AH1761" t="n">
        <v>1</v>
      </c>
      <c r="AI1761" t="n">
        <v>1</v>
      </c>
      <c r="AJ1761" t="n">
        <v>6</v>
      </c>
      <c r="AK1761" t="n">
        <v>6</v>
      </c>
      <c r="AL1761" t="n">
        <v>1</v>
      </c>
      <c r="AM1761" t="n">
        <v>1</v>
      </c>
      <c r="AN1761" t="n">
        <v>0</v>
      </c>
      <c r="AO1761" t="n">
        <v>0</v>
      </c>
      <c r="AP1761" t="inlineStr">
        <is>
          <t>No</t>
        </is>
      </c>
      <c r="AQ1761" t="inlineStr">
        <is>
          <t>Yes</t>
        </is>
      </c>
      <c r="AR1761">
        <f>HYPERLINK("http://catalog.hathitrust.org/Record/000977548","HathiTrust Record")</f>
        <v/>
      </c>
      <c r="AS1761">
        <f>HYPERLINK("https://creighton-primo.hosted.exlibrisgroup.com/primo-explore/search?tab=default_tab&amp;search_scope=EVERYTHING&amp;vid=01CRU&amp;lang=en_US&amp;offset=0&amp;query=any,contains,991003093439702656","Catalog Record")</f>
        <v/>
      </c>
      <c r="AT1761">
        <f>HYPERLINK("http://www.worldcat.org/oclc/643564","WorldCat Record")</f>
        <v/>
      </c>
      <c r="AU1761" t="inlineStr">
        <is>
          <t>1804127:eng</t>
        </is>
      </c>
      <c r="AV1761" t="inlineStr">
        <is>
          <t>643564</t>
        </is>
      </c>
      <c r="AW1761" t="inlineStr">
        <is>
          <t>991003093439702656</t>
        </is>
      </c>
      <c r="AX1761" t="inlineStr">
        <is>
          <t>991003093439702656</t>
        </is>
      </c>
      <c r="AY1761" t="inlineStr">
        <is>
          <t>2258324460002656</t>
        </is>
      </c>
      <c r="AZ1761" t="inlineStr">
        <is>
          <t>BOOK</t>
        </is>
      </c>
      <c r="BC1761" t="inlineStr">
        <is>
          <t>32285001817724</t>
        </is>
      </c>
      <c r="BD1761" t="inlineStr">
        <is>
          <t>893246018</t>
        </is>
      </c>
    </row>
    <row r="1762">
      <c r="A1762" t="inlineStr">
        <is>
          <t>No</t>
        </is>
      </c>
      <c r="B1762" t="inlineStr">
        <is>
          <t>HQ734 .C592</t>
        </is>
      </c>
      <c r="C1762" t="inlineStr">
        <is>
          <t>0                      HQ 0734000C  592</t>
        </is>
      </c>
      <c r="D1762" t="inlineStr">
        <is>
          <t>Marriage and the family, an integrated approach for Catholics.</t>
        </is>
      </c>
      <c r="F1762" t="inlineStr">
        <is>
          <t>No</t>
        </is>
      </c>
      <c r="G1762" t="inlineStr">
        <is>
          <t>1</t>
        </is>
      </c>
      <c r="H1762" t="inlineStr">
        <is>
          <t>No</t>
        </is>
      </c>
      <c r="I1762" t="inlineStr">
        <is>
          <t>No</t>
        </is>
      </c>
      <c r="J1762" t="inlineStr">
        <is>
          <t>0</t>
        </is>
      </c>
      <c r="K1762" t="inlineStr">
        <is>
          <t>Clemens, Alphonse H. (Alphonse Henry), 1905-1977.</t>
        </is>
      </c>
      <c r="L1762" t="inlineStr">
        <is>
          <t>Englewood Cliffs, N.J., Prentice-Hall, 1957.</t>
        </is>
      </c>
      <c r="M1762" t="inlineStr">
        <is>
          <t>1957</t>
        </is>
      </c>
      <c r="O1762" t="inlineStr">
        <is>
          <t>eng</t>
        </is>
      </c>
      <c r="P1762" t="inlineStr">
        <is>
          <t xml:space="preserve">xx </t>
        </is>
      </c>
      <c r="R1762" t="inlineStr">
        <is>
          <t xml:space="preserve">HQ </t>
        </is>
      </c>
      <c r="S1762" t="n">
        <v>3</v>
      </c>
      <c r="T1762" t="n">
        <v>3</v>
      </c>
      <c r="U1762" t="inlineStr">
        <is>
          <t>2001-04-01</t>
        </is>
      </c>
      <c r="V1762" t="inlineStr">
        <is>
          <t>2001-04-01</t>
        </is>
      </c>
      <c r="W1762" t="inlineStr">
        <is>
          <t>1997-08-11</t>
        </is>
      </c>
      <c r="X1762" t="inlineStr">
        <is>
          <t>1997-08-11</t>
        </is>
      </c>
      <c r="Y1762" t="n">
        <v>259</v>
      </c>
      <c r="Z1762" t="n">
        <v>240</v>
      </c>
      <c r="AA1762" t="n">
        <v>248</v>
      </c>
      <c r="AB1762" t="n">
        <v>4</v>
      </c>
      <c r="AC1762" t="n">
        <v>4</v>
      </c>
      <c r="AD1762" t="n">
        <v>26</v>
      </c>
      <c r="AE1762" t="n">
        <v>26</v>
      </c>
      <c r="AF1762" t="n">
        <v>7</v>
      </c>
      <c r="AG1762" t="n">
        <v>7</v>
      </c>
      <c r="AH1762" t="n">
        <v>6</v>
      </c>
      <c r="AI1762" t="n">
        <v>6</v>
      </c>
      <c r="AJ1762" t="n">
        <v>19</v>
      </c>
      <c r="AK1762" t="n">
        <v>19</v>
      </c>
      <c r="AL1762" t="n">
        <v>1</v>
      </c>
      <c r="AM1762" t="n">
        <v>1</v>
      </c>
      <c r="AN1762" t="n">
        <v>0</v>
      </c>
      <c r="AO1762" t="n">
        <v>0</v>
      </c>
      <c r="AP1762" t="inlineStr">
        <is>
          <t>No</t>
        </is>
      </c>
      <c r="AQ1762" t="inlineStr">
        <is>
          <t>Yes</t>
        </is>
      </c>
      <c r="AR1762">
        <f>HYPERLINK("http://catalog.hathitrust.org/Record/004398118","HathiTrust Record")</f>
        <v/>
      </c>
      <c r="AS1762">
        <f>HYPERLINK("https://creighton-primo.hosted.exlibrisgroup.com/primo-explore/search?tab=default_tab&amp;search_scope=EVERYTHING&amp;vid=01CRU&amp;lang=en_US&amp;offset=0&amp;query=any,contains,991003384879702656","Catalog Record")</f>
        <v/>
      </c>
      <c r="AT1762">
        <f>HYPERLINK("http://www.worldcat.org/oclc/922038","WorldCat Record")</f>
        <v/>
      </c>
      <c r="AU1762" t="inlineStr">
        <is>
          <t>1866882:eng</t>
        </is>
      </c>
      <c r="AV1762" t="inlineStr">
        <is>
          <t>922038</t>
        </is>
      </c>
      <c r="AW1762" t="inlineStr">
        <is>
          <t>991003384879702656</t>
        </is>
      </c>
      <c r="AX1762" t="inlineStr">
        <is>
          <t>991003384879702656</t>
        </is>
      </c>
      <c r="AY1762" t="inlineStr">
        <is>
          <t>2269757900002656</t>
        </is>
      </c>
      <c r="AZ1762" t="inlineStr">
        <is>
          <t>BOOK</t>
        </is>
      </c>
      <c r="BC1762" t="inlineStr">
        <is>
          <t>32285003089538</t>
        </is>
      </c>
      <c r="BD1762" t="inlineStr">
        <is>
          <t>893604745</t>
        </is>
      </c>
    </row>
    <row r="1763">
      <c r="A1763" t="inlineStr">
        <is>
          <t>No</t>
        </is>
      </c>
      <c r="B1763" t="inlineStr">
        <is>
          <t>HQ734 .C592 1964</t>
        </is>
      </c>
      <c r="C1763" t="inlineStr">
        <is>
          <t>0                      HQ 0734000C  592         1964</t>
        </is>
      </c>
      <c r="D1763" t="inlineStr">
        <is>
          <t>Design for successful marriage.</t>
        </is>
      </c>
      <c r="F1763" t="inlineStr">
        <is>
          <t>No</t>
        </is>
      </c>
      <c r="G1763" t="inlineStr">
        <is>
          <t>1</t>
        </is>
      </c>
      <c r="H1763" t="inlineStr">
        <is>
          <t>No</t>
        </is>
      </c>
      <c r="I1763" t="inlineStr">
        <is>
          <t>No</t>
        </is>
      </c>
      <c r="J1763" t="inlineStr">
        <is>
          <t>0</t>
        </is>
      </c>
      <c r="K1763" t="inlineStr">
        <is>
          <t>Clemens, Alphonse H. (Alphonse Henry), 1905-1977.</t>
        </is>
      </c>
      <c r="L1763" t="inlineStr">
        <is>
          <t>Englewood Cliffs, N.J. : Prentice-Hall, [c1964]</t>
        </is>
      </c>
      <c r="M1763" t="inlineStr">
        <is>
          <t>1964</t>
        </is>
      </c>
      <c r="N1763" t="inlineStr">
        <is>
          <t>2d ed.</t>
        </is>
      </c>
      <c r="O1763" t="inlineStr">
        <is>
          <t>eng</t>
        </is>
      </c>
      <c r="P1763" t="inlineStr">
        <is>
          <t xml:space="preserve">xx </t>
        </is>
      </c>
      <c r="R1763" t="inlineStr">
        <is>
          <t xml:space="preserve">HQ </t>
        </is>
      </c>
      <c r="S1763" t="n">
        <v>5</v>
      </c>
      <c r="T1763" t="n">
        <v>5</v>
      </c>
      <c r="U1763" t="inlineStr">
        <is>
          <t>1995-02-24</t>
        </is>
      </c>
      <c r="V1763" t="inlineStr">
        <is>
          <t>1995-02-24</t>
        </is>
      </c>
      <c r="W1763" t="inlineStr">
        <is>
          <t>1993-04-28</t>
        </is>
      </c>
      <c r="X1763" t="inlineStr">
        <is>
          <t>1993-04-28</t>
        </is>
      </c>
      <c r="Y1763" t="n">
        <v>297</v>
      </c>
      <c r="Z1763" t="n">
        <v>257</v>
      </c>
      <c r="AA1763" t="n">
        <v>263</v>
      </c>
      <c r="AB1763" t="n">
        <v>4</v>
      </c>
      <c r="AC1763" t="n">
        <v>4</v>
      </c>
      <c r="AD1763" t="n">
        <v>28</v>
      </c>
      <c r="AE1763" t="n">
        <v>28</v>
      </c>
      <c r="AF1763" t="n">
        <v>9</v>
      </c>
      <c r="AG1763" t="n">
        <v>9</v>
      </c>
      <c r="AH1763" t="n">
        <v>4</v>
      </c>
      <c r="AI1763" t="n">
        <v>4</v>
      </c>
      <c r="AJ1763" t="n">
        <v>20</v>
      </c>
      <c r="AK1763" t="n">
        <v>20</v>
      </c>
      <c r="AL1763" t="n">
        <v>3</v>
      </c>
      <c r="AM1763" t="n">
        <v>3</v>
      </c>
      <c r="AN1763" t="n">
        <v>0</v>
      </c>
      <c r="AO1763" t="n">
        <v>0</v>
      </c>
      <c r="AP1763" t="inlineStr">
        <is>
          <t>No</t>
        </is>
      </c>
      <c r="AQ1763" t="inlineStr">
        <is>
          <t>Yes</t>
        </is>
      </c>
      <c r="AR1763">
        <f>HYPERLINK("http://catalog.hathitrust.org/Record/000977557","HathiTrust Record")</f>
        <v/>
      </c>
      <c r="AS1763">
        <f>HYPERLINK("https://creighton-primo.hosted.exlibrisgroup.com/primo-explore/search?tab=default_tab&amp;search_scope=EVERYTHING&amp;vid=01CRU&amp;lang=en_US&amp;offset=0&amp;query=any,contains,991001930189702656","Catalog Record")</f>
        <v/>
      </c>
      <c r="AT1763">
        <f>HYPERLINK("http://www.worldcat.org/oclc/248422","WorldCat Record")</f>
        <v/>
      </c>
      <c r="AU1763" t="inlineStr">
        <is>
          <t>1408717:eng</t>
        </is>
      </c>
      <c r="AV1763" t="inlineStr">
        <is>
          <t>248422</t>
        </is>
      </c>
      <c r="AW1763" t="inlineStr">
        <is>
          <t>991001930189702656</t>
        </is>
      </c>
      <c r="AX1763" t="inlineStr">
        <is>
          <t>991001930189702656</t>
        </is>
      </c>
      <c r="AY1763" t="inlineStr">
        <is>
          <t>2257883760002656</t>
        </is>
      </c>
      <c r="AZ1763" t="inlineStr">
        <is>
          <t>BOOK</t>
        </is>
      </c>
      <c r="BC1763" t="inlineStr">
        <is>
          <t>32285001629301</t>
        </is>
      </c>
      <c r="BD1763" t="inlineStr">
        <is>
          <t>893709660</t>
        </is>
      </c>
    </row>
    <row r="1764">
      <c r="A1764" t="inlineStr">
        <is>
          <t>No</t>
        </is>
      </c>
      <c r="B1764" t="inlineStr">
        <is>
          <t>HQ734 .C75 1985</t>
        </is>
      </c>
      <c r="C1764" t="inlineStr">
        <is>
          <t>0                      HQ 0734000C  75          1985</t>
        </is>
      </c>
      <c r="D1764" t="inlineStr">
        <is>
          <t>Contemporary marriage : comparative perspectives on a changing institution / edited by Kingsley Davis, in association with Amyra Grossbard-Shechtman.</t>
        </is>
      </c>
      <c r="F1764" t="inlineStr">
        <is>
          <t>No</t>
        </is>
      </c>
      <c r="G1764" t="inlineStr">
        <is>
          <t>1</t>
        </is>
      </c>
      <c r="H1764" t="inlineStr">
        <is>
          <t>No</t>
        </is>
      </c>
      <c r="I1764" t="inlineStr">
        <is>
          <t>No</t>
        </is>
      </c>
      <c r="J1764" t="inlineStr">
        <is>
          <t>0</t>
        </is>
      </c>
      <c r="L1764" t="inlineStr">
        <is>
          <t>New York : Russell Sage Foundation, c1985.</t>
        </is>
      </c>
      <c r="M1764" t="inlineStr">
        <is>
          <t>1985</t>
        </is>
      </c>
      <c r="O1764" t="inlineStr">
        <is>
          <t>eng</t>
        </is>
      </c>
      <c r="P1764" t="inlineStr">
        <is>
          <t>nyu</t>
        </is>
      </c>
      <c r="R1764" t="inlineStr">
        <is>
          <t xml:space="preserve">HQ </t>
        </is>
      </c>
      <c r="S1764" t="n">
        <v>24</v>
      </c>
      <c r="T1764" t="n">
        <v>24</v>
      </c>
      <c r="U1764" t="inlineStr">
        <is>
          <t>2001-03-28</t>
        </is>
      </c>
      <c r="V1764" t="inlineStr">
        <is>
          <t>2001-03-28</t>
        </is>
      </c>
      <c r="W1764" t="inlineStr">
        <is>
          <t>1990-02-02</t>
        </is>
      </c>
      <c r="X1764" t="inlineStr">
        <is>
          <t>1990-02-02</t>
        </is>
      </c>
      <c r="Y1764" t="n">
        <v>404</v>
      </c>
      <c r="Z1764" t="n">
        <v>313</v>
      </c>
      <c r="AA1764" t="n">
        <v>378</v>
      </c>
      <c r="AB1764" t="n">
        <v>3</v>
      </c>
      <c r="AC1764" t="n">
        <v>3</v>
      </c>
      <c r="AD1764" t="n">
        <v>12</v>
      </c>
      <c r="AE1764" t="n">
        <v>14</v>
      </c>
      <c r="AF1764" t="n">
        <v>3</v>
      </c>
      <c r="AG1764" t="n">
        <v>5</v>
      </c>
      <c r="AH1764" t="n">
        <v>3</v>
      </c>
      <c r="AI1764" t="n">
        <v>4</v>
      </c>
      <c r="AJ1764" t="n">
        <v>8</v>
      </c>
      <c r="AK1764" t="n">
        <v>8</v>
      </c>
      <c r="AL1764" t="n">
        <v>2</v>
      </c>
      <c r="AM1764" t="n">
        <v>2</v>
      </c>
      <c r="AN1764" t="n">
        <v>0</v>
      </c>
      <c r="AO1764" t="n">
        <v>0</v>
      </c>
      <c r="AP1764" t="inlineStr">
        <is>
          <t>No</t>
        </is>
      </c>
      <c r="AQ1764" t="inlineStr">
        <is>
          <t>No</t>
        </is>
      </c>
      <c r="AS1764">
        <f>HYPERLINK("https://creighton-primo.hosted.exlibrisgroup.com/primo-explore/search?tab=default_tab&amp;search_scope=EVERYTHING&amp;vid=01CRU&amp;lang=en_US&amp;offset=0&amp;query=any,contains,991000752599702656","Catalog Record")</f>
        <v/>
      </c>
      <c r="AT1764">
        <f>HYPERLINK("http://www.worldcat.org/oclc/12942725","WorldCat Record")</f>
        <v/>
      </c>
      <c r="AU1764" t="inlineStr">
        <is>
          <t>366657129:eng</t>
        </is>
      </c>
      <c r="AV1764" t="inlineStr">
        <is>
          <t>12942725</t>
        </is>
      </c>
      <c r="AW1764" t="inlineStr">
        <is>
          <t>991000752599702656</t>
        </is>
      </c>
      <c r="AX1764" t="inlineStr">
        <is>
          <t>991000752599702656</t>
        </is>
      </c>
      <c r="AY1764" t="inlineStr">
        <is>
          <t>2269406300002656</t>
        </is>
      </c>
      <c r="AZ1764" t="inlineStr">
        <is>
          <t>BOOK</t>
        </is>
      </c>
      <c r="BB1764" t="inlineStr">
        <is>
          <t>9780871542212</t>
        </is>
      </c>
      <c r="BC1764" t="inlineStr">
        <is>
          <t>32285000038348</t>
        </is>
      </c>
      <c r="BD1764" t="inlineStr">
        <is>
          <t>893683727</t>
        </is>
      </c>
    </row>
    <row r="1765">
      <c r="A1765" t="inlineStr">
        <is>
          <t>No</t>
        </is>
      </c>
      <c r="B1765" t="inlineStr">
        <is>
          <t>HQ734 .C863 2006</t>
        </is>
      </c>
      <c r="C1765" t="inlineStr">
        <is>
          <t>0                      HQ 0734000C  863         2006</t>
        </is>
      </c>
      <c r="D1765" t="inlineStr">
        <is>
          <t>Couples, kids, and family life / edited by Jaber F. Gubrium, James A. Holstein.</t>
        </is>
      </c>
      <c r="F1765" t="inlineStr">
        <is>
          <t>No</t>
        </is>
      </c>
      <c r="G1765" t="inlineStr">
        <is>
          <t>1</t>
        </is>
      </c>
      <c r="H1765" t="inlineStr">
        <is>
          <t>No</t>
        </is>
      </c>
      <c r="I1765" t="inlineStr">
        <is>
          <t>No</t>
        </is>
      </c>
      <c r="J1765" t="inlineStr">
        <is>
          <t>0</t>
        </is>
      </c>
      <c r="L1765" t="inlineStr">
        <is>
          <t>New York : Oxford University Press, 2006.</t>
        </is>
      </c>
      <c r="M1765" t="inlineStr">
        <is>
          <t>2006</t>
        </is>
      </c>
      <c r="O1765" t="inlineStr">
        <is>
          <t>eng</t>
        </is>
      </c>
      <c r="P1765" t="inlineStr">
        <is>
          <t>nyu</t>
        </is>
      </c>
      <c r="Q1765" t="inlineStr">
        <is>
          <t>Social worlds from the inside out</t>
        </is>
      </c>
      <c r="R1765" t="inlineStr">
        <is>
          <t xml:space="preserve">HQ </t>
        </is>
      </c>
      <c r="S1765" t="n">
        <v>4</v>
      </c>
      <c r="T1765" t="n">
        <v>4</v>
      </c>
      <c r="U1765" t="inlineStr">
        <is>
          <t>2010-03-16</t>
        </is>
      </c>
      <c r="V1765" t="inlineStr">
        <is>
          <t>2010-03-16</t>
        </is>
      </c>
      <c r="W1765" t="inlineStr">
        <is>
          <t>2006-03-06</t>
        </is>
      </c>
      <c r="X1765" t="inlineStr">
        <is>
          <t>2006-03-06</t>
        </is>
      </c>
      <c r="Y1765" t="n">
        <v>212</v>
      </c>
      <c r="Z1765" t="n">
        <v>162</v>
      </c>
      <c r="AA1765" t="n">
        <v>855</v>
      </c>
      <c r="AB1765" t="n">
        <v>1</v>
      </c>
      <c r="AC1765" t="n">
        <v>19</v>
      </c>
      <c r="AD1765" t="n">
        <v>10</v>
      </c>
      <c r="AE1765" t="n">
        <v>40</v>
      </c>
      <c r="AF1765" t="n">
        <v>6</v>
      </c>
      <c r="AG1765" t="n">
        <v>16</v>
      </c>
      <c r="AH1765" t="n">
        <v>2</v>
      </c>
      <c r="AI1765" t="n">
        <v>7</v>
      </c>
      <c r="AJ1765" t="n">
        <v>3</v>
      </c>
      <c r="AK1765" t="n">
        <v>9</v>
      </c>
      <c r="AL1765" t="n">
        <v>0</v>
      </c>
      <c r="AM1765" t="n">
        <v>11</v>
      </c>
      <c r="AN1765" t="n">
        <v>1</v>
      </c>
      <c r="AO1765" t="n">
        <v>2</v>
      </c>
      <c r="AP1765" t="inlineStr">
        <is>
          <t>No</t>
        </is>
      </c>
      <c r="AQ1765" t="inlineStr">
        <is>
          <t>Yes</t>
        </is>
      </c>
      <c r="AR1765">
        <f>HYPERLINK("http://catalog.hathitrust.org/Record/005097140","HathiTrust Record")</f>
        <v/>
      </c>
      <c r="AS1765">
        <f>HYPERLINK("https://creighton-primo.hosted.exlibrisgroup.com/primo-explore/search?tab=default_tab&amp;search_scope=EVERYTHING&amp;vid=01CRU&amp;lang=en_US&amp;offset=0&amp;query=any,contains,991004759339702656","Catalog Record")</f>
        <v/>
      </c>
      <c r="AT1765">
        <f>HYPERLINK("http://www.worldcat.org/oclc/60791696","WorldCat Record")</f>
        <v/>
      </c>
      <c r="AU1765" t="inlineStr">
        <is>
          <t>351223204:eng</t>
        </is>
      </c>
      <c r="AV1765" t="inlineStr">
        <is>
          <t>60791696</t>
        </is>
      </c>
      <c r="AW1765" t="inlineStr">
        <is>
          <t>991004759339702656</t>
        </is>
      </c>
      <c r="AX1765" t="inlineStr">
        <is>
          <t>991004759339702656</t>
        </is>
      </c>
      <c r="AY1765" t="inlineStr">
        <is>
          <t>2261179430002656</t>
        </is>
      </c>
      <c r="AZ1765" t="inlineStr">
        <is>
          <t>BOOK</t>
        </is>
      </c>
      <c r="BB1765" t="inlineStr">
        <is>
          <t>9780195177909</t>
        </is>
      </c>
      <c r="BC1765" t="inlineStr">
        <is>
          <t>32285005165146</t>
        </is>
      </c>
      <c r="BD1765" t="inlineStr">
        <is>
          <t>893507201</t>
        </is>
      </c>
    </row>
    <row r="1766">
      <c r="A1766" t="inlineStr">
        <is>
          <t>No</t>
        </is>
      </c>
      <c r="B1766" t="inlineStr">
        <is>
          <t>HQ734 .C8652 1976</t>
        </is>
      </c>
      <c r="C1766" t="inlineStr">
        <is>
          <t>0                      HQ 0734000C  8652        1976</t>
        </is>
      </c>
      <c r="D1766" t="inlineStr">
        <is>
          <t>Mating, marriage, and the status of woman / by James Corin.</t>
        </is>
      </c>
      <c r="F1766" t="inlineStr">
        <is>
          <t>No</t>
        </is>
      </c>
      <c r="G1766" t="inlineStr">
        <is>
          <t>1</t>
        </is>
      </c>
      <c r="H1766" t="inlineStr">
        <is>
          <t>No</t>
        </is>
      </c>
      <c r="I1766" t="inlineStr">
        <is>
          <t>No</t>
        </is>
      </c>
      <c r="J1766" t="inlineStr">
        <is>
          <t>0</t>
        </is>
      </c>
      <c r="K1766" t="inlineStr">
        <is>
          <t>Corin, James.</t>
        </is>
      </c>
      <c r="L1766" t="inlineStr">
        <is>
          <t>New York : AMS Press, 1976.</t>
        </is>
      </c>
      <c r="M1766" t="inlineStr">
        <is>
          <t>1976</t>
        </is>
      </c>
      <c r="O1766" t="inlineStr">
        <is>
          <t>eng</t>
        </is>
      </c>
      <c r="P1766" t="inlineStr">
        <is>
          <t>nyu</t>
        </is>
      </c>
      <c r="R1766" t="inlineStr">
        <is>
          <t xml:space="preserve">HQ </t>
        </is>
      </c>
      <c r="S1766" t="n">
        <v>7</v>
      </c>
      <c r="T1766" t="n">
        <v>7</v>
      </c>
      <c r="U1766" t="inlineStr">
        <is>
          <t>2008-04-20</t>
        </is>
      </c>
      <c r="V1766" t="inlineStr">
        <is>
          <t>2008-04-20</t>
        </is>
      </c>
      <c r="W1766" t="inlineStr">
        <is>
          <t>1993-04-21</t>
        </is>
      </c>
      <c r="X1766" t="inlineStr">
        <is>
          <t>1993-04-21</t>
        </is>
      </c>
      <c r="Y1766" t="n">
        <v>73</v>
      </c>
      <c r="Z1766" t="n">
        <v>58</v>
      </c>
      <c r="AA1766" t="n">
        <v>172</v>
      </c>
      <c r="AB1766" t="n">
        <v>1</v>
      </c>
      <c r="AC1766" t="n">
        <v>3</v>
      </c>
      <c r="AD1766" t="n">
        <v>2</v>
      </c>
      <c r="AE1766" t="n">
        <v>8</v>
      </c>
      <c r="AF1766" t="n">
        <v>0</v>
      </c>
      <c r="AG1766" t="n">
        <v>2</v>
      </c>
      <c r="AH1766" t="n">
        <v>1</v>
      </c>
      <c r="AI1766" t="n">
        <v>1</v>
      </c>
      <c r="AJ1766" t="n">
        <v>2</v>
      </c>
      <c r="AK1766" t="n">
        <v>4</v>
      </c>
      <c r="AL1766" t="n">
        <v>0</v>
      </c>
      <c r="AM1766" t="n">
        <v>2</v>
      </c>
      <c r="AN1766" t="n">
        <v>0</v>
      </c>
      <c r="AO1766" t="n">
        <v>1</v>
      </c>
      <c r="AP1766" t="inlineStr">
        <is>
          <t>No</t>
        </is>
      </c>
      <c r="AQ1766" t="inlineStr">
        <is>
          <t>Yes</t>
        </is>
      </c>
      <c r="AR1766">
        <f>HYPERLINK("http://catalog.hathitrust.org/Record/007572375","HathiTrust Record")</f>
        <v/>
      </c>
      <c r="AS1766">
        <f>HYPERLINK("https://creighton-primo.hosted.exlibrisgroup.com/primo-explore/search?tab=default_tab&amp;search_scope=EVERYTHING&amp;vid=01CRU&amp;lang=en_US&amp;offset=0&amp;query=any,contains,991003917069702656","Catalog Record")</f>
        <v/>
      </c>
      <c r="AT1766">
        <f>HYPERLINK("http://www.worldcat.org/oclc/1863239","WorldCat Record")</f>
        <v/>
      </c>
      <c r="AU1766" t="inlineStr">
        <is>
          <t>2669516:eng</t>
        </is>
      </c>
      <c r="AV1766" t="inlineStr">
        <is>
          <t>1863239</t>
        </is>
      </c>
      <c r="AW1766" t="inlineStr">
        <is>
          <t>991003917069702656</t>
        </is>
      </c>
      <c r="AX1766" t="inlineStr">
        <is>
          <t>991003917069702656</t>
        </is>
      </c>
      <c r="AY1766" t="inlineStr">
        <is>
          <t>2263124100002656</t>
        </is>
      </c>
      <c r="AZ1766" t="inlineStr">
        <is>
          <t>BOOK</t>
        </is>
      </c>
      <c r="BB1766" t="inlineStr">
        <is>
          <t>9780404574321</t>
        </is>
      </c>
      <c r="BC1766" t="inlineStr">
        <is>
          <t>32285001622058</t>
        </is>
      </c>
      <c r="BD1766" t="inlineStr">
        <is>
          <t>893875458</t>
        </is>
      </c>
    </row>
    <row r="1767">
      <c r="A1767" t="inlineStr">
        <is>
          <t>No</t>
        </is>
      </c>
      <c r="B1767" t="inlineStr">
        <is>
          <t>HQ734 .C86575 2007</t>
        </is>
      </c>
      <c r="C1767" t="inlineStr">
        <is>
          <t>0                      HQ 0734000C  86575       2007</t>
        </is>
      </c>
      <c r="D1767" t="inlineStr">
        <is>
          <t>What smart couples know : the secret to a happy relationship / Patricia Covalt.</t>
        </is>
      </c>
      <c r="F1767" t="inlineStr">
        <is>
          <t>No</t>
        </is>
      </c>
      <c r="G1767" t="inlineStr">
        <is>
          <t>1</t>
        </is>
      </c>
      <c r="H1767" t="inlineStr">
        <is>
          <t>No</t>
        </is>
      </c>
      <c r="I1767" t="inlineStr">
        <is>
          <t>No</t>
        </is>
      </c>
      <c r="J1767" t="inlineStr">
        <is>
          <t>0</t>
        </is>
      </c>
      <c r="K1767" t="inlineStr">
        <is>
          <t>Covalt, Patricia.</t>
        </is>
      </c>
      <c r="L1767" t="inlineStr">
        <is>
          <t>New York, N.Y. : AMACOM, 2007.</t>
        </is>
      </c>
      <c r="M1767" t="inlineStr">
        <is>
          <t>2007</t>
        </is>
      </c>
      <c r="O1767" t="inlineStr">
        <is>
          <t>eng</t>
        </is>
      </c>
      <c r="P1767" t="inlineStr">
        <is>
          <t>nyu</t>
        </is>
      </c>
      <c r="R1767" t="inlineStr">
        <is>
          <t xml:space="preserve">HQ </t>
        </is>
      </c>
      <c r="S1767" t="n">
        <v>8</v>
      </c>
      <c r="T1767" t="n">
        <v>8</v>
      </c>
      <c r="U1767" t="inlineStr">
        <is>
          <t>2010-03-16</t>
        </is>
      </c>
      <c r="V1767" t="inlineStr">
        <is>
          <t>2010-03-16</t>
        </is>
      </c>
      <c r="W1767" t="inlineStr">
        <is>
          <t>2007-07-23</t>
        </is>
      </c>
      <c r="X1767" t="inlineStr">
        <is>
          <t>2007-07-23</t>
        </is>
      </c>
      <c r="Y1767" t="n">
        <v>165</v>
      </c>
      <c r="Z1767" t="n">
        <v>142</v>
      </c>
      <c r="AA1767" t="n">
        <v>495</v>
      </c>
      <c r="AB1767" t="n">
        <v>3</v>
      </c>
      <c r="AC1767" t="n">
        <v>15</v>
      </c>
      <c r="AD1767" t="n">
        <v>3</v>
      </c>
      <c r="AE1767" t="n">
        <v>17</v>
      </c>
      <c r="AF1767" t="n">
        <v>1</v>
      </c>
      <c r="AG1767" t="n">
        <v>7</v>
      </c>
      <c r="AH1767" t="n">
        <v>1</v>
      </c>
      <c r="AI1767" t="n">
        <v>2</v>
      </c>
      <c r="AJ1767" t="n">
        <v>1</v>
      </c>
      <c r="AK1767" t="n">
        <v>2</v>
      </c>
      <c r="AL1767" t="n">
        <v>1</v>
      </c>
      <c r="AM1767" t="n">
        <v>9</v>
      </c>
      <c r="AN1767" t="n">
        <v>0</v>
      </c>
      <c r="AO1767" t="n">
        <v>0</v>
      </c>
      <c r="AP1767" t="inlineStr">
        <is>
          <t>No</t>
        </is>
      </c>
      <c r="AQ1767" t="inlineStr">
        <is>
          <t>No</t>
        </is>
      </c>
      <c r="AS1767">
        <f>HYPERLINK("https://creighton-primo.hosted.exlibrisgroup.com/primo-explore/search?tab=default_tab&amp;search_scope=EVERYTHING&amp;vid=01CRU&amp;lang=en_US&amp;offset=0&amp;query=any,contains,991005102849702656","Catalog Record")</f>
        <v/>
      </c>
      <c r="AT1767">
        <f>HYPERLINK("http://www.worldcat.org/oclc/82367683","WorldCat Record")</f>
        <v/>
      </c>
      <c r="AU1767" t="inlineStr">
        <is>
          <t>797239367:eng</t>
        </is>
      </c>
      <c r="AV1767" t="inlineStr">
        <is>
          <t>82367683</t>
        </is>
      </c>
      <c r="AW1767" t="inlineStr">
        <is>
          <t>991005102849702656</t>
        </is>
      </c>
      <c r="AX1767" t="inlineStr">
        <is>
          <t>991005102849702656</t>
        </is>
      </c>
      <c r="AY1767" t="inlineStr">
        <is>
          <t>2265916510002656</t>
        </is>
      </c>
      <c r="AZ1767" t="inlineStr">
        <is>
          <t>BOOK</t>
        </is>
      </c>
      <c r="BB1767" t="inlineStr">
        <is>
          <t>9780814409213</t>
        </is>
      </c>
      <c r="BC1767" t="inlineStr">
        <is>
          <t>32285005321426</t>
        </is>
      </c>
      <c r="BD1767" t="inlineStr">
        <is>
          <t>893526900</t>
        </is>
      </c>
    </row>
    <row r="1768">
      <c r="A1768" t="inlineStr">
        <is>
          <t>No</t>
        </is>
      </c>
      <c r="B1768" t="inlineStr">
        <is>
          <t>HQ734 .C87 1985</t>
        </is>
      </c>
      <c r="C1768" t="inlineStr">
        <is>
          <t>0                      HQ 0734000C  87          1985</t>
        </is>
      </c>
      <c r="D1768" t="inlineStr">
        <is>
          <t>Stress and the healthy family : how healthy families control the ten most common stresses / Dolores Curran.</t>
        </is>
      </c>
      <c r="F1768" t="inlineStr">
        <is>
          <t>No</t>
        </is>
      </c>
      <c r="G1768" t="inlineStr">
        <is>
          <t>1</t>
        </is>
      </c>
      <c r="H1768" t="inlineStr">
        <is>
          <t>No</t>
        </is>
      </c>
      <c r="I1768" t="inlineStr">
        <is>
          <t>No</t>
        </is>
      </c>
      <c r="J1768" t="inlineStr">
        <is>
          <t>0</t>
        </is>
      </c>
      <c r="K1768" t="inlineStr">
        <is>
          <t>Curran, Dolores.</t>
        </is>
      </c>
      <c r="L1768" t="inlineStr">
        <is>
          <t>[Minneapolis, Minn.] : Winston Press [c1985]</t>
        </is>
      </c>
      <c r="M1768" t="inlineStr">
        <is>
          <t>1985</t>
        </is>
      </c>
      <c r="O1768" t="inlineStr">
        <is>
          <t>eng</t>
        </is>
      </c>
      <c r="P1768" t="inlineStr">
        <is>
          <t>mnu</t>
        </is>
      </c>
      <c r="R1768" t="inlineStr">
        <is>
          <t xml:space="preserve">HQ </t>
        </is>
      </c>
      <c r="S1768" t="n">
        <v>14</v>
      </c>
      <c r="T1768" t="n">
        <v>14</v>
      </c>
      <c r="U1768" t="inlineStr">
        <is>
          <t>2004-10-18</t>
        </is>
      </c>
      <c r="V1768" t="inlineStr">
        <is>
          <t>2004-10-18</t>
        </is>
      </c>
      <c r="W1768" t="inlineStr">
        <is>
          <t>1990-04-03</t>
        </is>
      </c>
      <c r="X1768" t="inlineStr">
        <is>
          <t>1990-04-03</t>
        </is>
      </c>
      <c r="Y1768" t="n">
        <v>356</v>
      </c>
      <c r="Z1768" t="n">
        <v>340</v>
      </c>
      <c r="AA1768" t="n">
        <v>510</v>
      </c>
      <c r="AB1768" t="n">
        <v>2</v>
      </c>
      <c r="AC1768" t="n">
        <v>4</v>
      </c>
      <c r="AD1768" t="n">
        <v>11</v>
      </c>
      <c r="AE1768" t="n">
        <v>14</v>
      </c>
      <c r="AF1768" t="n">
        <v>6</v>
      </c>
      <c r="AG1768" t="n">
        <v>8</v>
      </c>
      <c r="AH1768" t="n">
        <v>0</v>
      </c>
      <c r="AI1768" t="n">
        <v>1</v>
      </c>
      <c r="AJ1768" t="n">
        <v>6</v>
      </c>
      <c r="AK1768" t="n">
        <v>7</v>
      </c>
      <c r="AL1768" t="n">
        <v>1</v>
      </c>
      <c r="AM1768" t="n">
        <v>1</v>
      </c>
      <c r="AN1768" t="n">
        <v>0</v>
      </c>
      <c r="AO1768" t="n">
        <v>0</v>
      </c>
      <c r="AP1768" t="inlineStr">
        <is>
          <t>No</t>
        </is>
      </c>
      <c r="AQ1768" t="inlineStr">
        <is>
          <t>No</t>
        </is>
      </c>
      <c r="AS1768">
        <f>HYPERLINK("https://creighton-primo.hosted.exlibrisgroup.com/primo-explore/search?tab=default_tab&amp;search_scope=EVERYTHING&amp;vid=01CRU&amp;lang=en_US&amp;offset=0&amp;query=any,contains,991000712879702656","Catalog Record")</f>
        <v/>
      </c>
      <c r="AT1768">
        <f>HYPERLINK("http://www.worldcat.org/oclc/12594077","WorldCat Record")</f>
        <v/>
      </c>
      <c r="AU1768" t="inlineStr">
        <is>
          <t>2564808586:eng</t>
        </is>
      </c>
      <c r="AV1768" t="inlineStr">
        <is>
          <t>12594077</t>
        </is>
      </c>
      <c r="AW1768" t="inlineStr">
        <is>
          <t>991000712879702656</t>
        </is>
      </c>
      <c r="AX1768" t="inlineStr">
        <is>
          <t>991000712879702656</t>
        </is>
      </c>
      <c r="AY1768" t="inlineStr">
        <is>
          <t>2272224870002656</t>
        </is>
      </c>
      <c r="AZ1768" t="inlineStr">
        <is>
          <t>BOOK</t>
        </is>
      </c>
      <c r="BB1768" t="inlineStr">
        <is>
          <t>9780866838634</t>
        </is>
      </c>
      <c r="BC1768" t="inlineStr">
        <is>
          <t>32285000108273</t>
        </is>
      </c>
      <c r="BD1768" t="inlineStr">
        <is>
          <t>893444434</t>
        </is>
      </c>
    </row>
    <row r="1769">
      <c r="A1769" t="inlineStr">
        <is>
          <t>No</t>
        </is>
      </c>
      <c r="B1769" t="inlineStr">
        <is>
          <t>HQ734 .C895</t>
        </is>
      </c>
      <c r="C1769" t="inlineStr">
        <is>
          <t>0                      HQ 0734000C  895</t>
        </is>
      </c>
      <c r="D1769" t="inlineStr">
        <is>
          <t>Illusion and disillusion : the self in love and marriage / [by] John F. Crosby.</t>
        </is>
      </c>
      <c r="F1769" t="inlineStr">
        <is>
          <t>No</t>
        </is>
      </c>
      <c r="G1769" t="inlineStr">
        <is>
          <t>1</t>
        </is>
      </c>
      <c r="H1769" t="inlineStr">
        <is>
          <t>No</t>
        </is>
      </c>
      <c r="I1769" t="inlineStr">
        <is>
          <t>No</t>
        </is>
      </c>
      <c r="J1769" t="inlineStr">
        <is>
          <t>0</t>
        </is>
      </c>
      <c r="K1769" t="inlineStr">
        <is>
          <t>Crosby, John F.</t>
        </is>
      </c>
      <c r="L1769" t="inlineStr">
        <is>
          <t>Belmont, Calif. : Wadsworth Pub. Co., [1973]</t>
        </is>
      </c>
      <c r="M1769" t="inlineStr">
        <is>
          <t>1973</t>
        </is>
      </c>
      <c r="O1769" t="inlineStr">
        <is>
          <t>eng</t>
        </is>
      </c>
      <c r="P1769" t="inlineStr">
        <is>
          <t>cau</t>
        </is>
      </c>
      <c r="R1769" t="inlineStr">
        <is>
          <t xml:space="preserve">HQ </t>
        </is>
      </c>
      <c r="S1769" t="n">
        <v>11</v>
      </c>
      <c r="T1769" t="n">
        <v>11</v>
      </c>
      <c r="U1769" t="inlineStr">
        <is>
          <t>2008-04-20</t>
        </is>
      </c>
      <c r="V1769" t="inlineStr">
        <is>
          <t>2008-04-20</t>
        </is>
      </c>
      <c r="W1769" t="inlineStr">
        <is>
          <t>1992-02-28</t>
        </is>
      </c>
      <c r="X1769" t="inlineStr">
        <is>
          <t>1992-02-28</t>
        </is>
      </c>
      <c r="Y1769" t="n">
        <v>179</v>
      </c>
      <c r="Z1769" t="n">
        <v>151</v>
      </c>
      <c r="AA1769" t="n">
        <v>405</v>
      </c>
      <c r="AB1769" t="n">
        <v>1</v>
      </c>
      <c r="AC1769" t="n">
        <v>3</v>
      </c>
      <c r="AD1769" t="n">
        <v>0</v>
      </c>
      <c r="AE1769" t="n">
        <v>10</v>
      </c>
      <c r="AF1769" t="n">
        <v>0</v>
      </c>
      <c r="AG1769" t="n">
        <v>3</v>
      </c>
      <c r="AH1769" t="n">
        <v>0</v>
      </c>
      <c r="AI1769" t="n">
        <v>0</v>
      </c>
      <c r="AJ1769" t="n">
        <v>0</v>
      </c>
      <c r="AK1769" t="n">
        <v>7</v>
      </c>
      <c r="AL1769" t="n">
        <v>0</v>
      </c>
      <c r="AM1769" t="n">
        <v>2</v>
      </c>
      <c r="AN1769" t="n">
        <v>0</v>
      </c>
      <c r="AO1769" t="n">
        <v>0</v>
      </c>
      <c r="AP1769" t="inlineStr">
        <is>
          <t>No</t>
        </is>
      </c>
      <c r="AQ1769" t="inlineStr">
        <is>
          <t>Yes</t>
        </is>
      </c>
      <c r="AR1769">
        <f>HYPERLINK("http://catalog.hathitrust.org/Record/007401025","HathiTrust Record")</f>
        <v/>
      </c>
      <c r="AS1769">
        <f>HYPERLINK("https://creighton-primo.hosted.exlibrisgroup.com/primo-explore/search?tab=default_tab&amp;search_scope=EVERYTHING&amp;vid=01CRU&amp;lang=en_US&amp;offset=0&amp;query=any,contains,991003025189702656","Catalog Record")</f>
        <v/>
      </c>
      <c r="AT1769">
        <f>HYPERLINK("http://www.worldcat.org/oclc/589269","WorldCat Record")</f>
        <v/>
      </c>
      <c r="AU1769" t="inlineStr">
        <is>
          <t>1766196:eng</t>
        </is>
      </c>
      <c r="AV1769" t="inlineStr">
        <is>
          <t>589269</t>
        </is>
      </c>
      <c r="AW1769" t="inlineStr">
        <is>
          <t>991003025189702656</t>
        </is>
      </c>
      <c r="AX1769" t="inlineStr">
        <is>
          <t>991003025189702656</t>
        </is>
      </c>
      <c r="AY1769" t="inlineStr">
        <is>
          <t>2259443270002656</t>
        </is>
      </c>
      <c r="AZ1769" t="inlineStr">
        <is>
          <t>BOOK</t>
        </is>
      </c>
      <c r="BB1769" t="inlineStr">
        <is>
          <t>9780534002251</t>
        </is>
      </c>
      <c r="BC1769" t="inlineStr">
        <is>
          <t>32285000938638</t>
        </is>
      </c>
      <c r="BD1769" t="inlineStr">
        <is>
          <t>893428355</t>
        </is>
      </c>
    </row>
    <row r="1770">
      <c r="A1770" t="inlineStr">
        <is>
          <t>No</t>
        </is>
      </c>
      <c r="B1770" t="inlineStr">
        <is>
          <t>HQ734 .D957 1960a</t>
        </is>
      </c>
      <c r="C1770" t="inlineStr">
        <is>
          <t>0                      HQ 0734000D  957         1960a</t>
        </is>
      </c>
      <c r="D1770" t="inlineStr">
        <is>
          <t>Being married / by Evelyn M. Duvall and Reuben Hill. With chapters in collaboration with Sylvanus M. Duvall.</t>
        </is>
      </c>
      <c r="F1770" t="inlineStr">
        <is>
          <t>No</t>
        </is>
      </c>
      <c r="G1770" t="inlineStr">
        <is>
          <t>1</t>
        </is>
      </c>
      <c r="H1770" t="inlineStr">
        <is>
          <t>No</t>
        </is>
      </c>
      <c r="I1770" t="inlineStr">
        <is>
          <t>No</t>
        </is>
      </c>
      <c r="J1770" t="inlineStr">
        <is>
          <t>0</t>
        </is>
      </c>
      <c r="K1770" t="inlineStr">
        <is>
          <t>Duvall, Evelyn Millis, 1906-1998.</t>
        </is>
      </c>
      <c r="L1770" t="inlineStr">
        <is>
          <t>New York : Association Press, [1960]</t>
        </is>
      </c>
      <c r="M1770" t="inlineStr">
        <is>
          <t>1960</t>
        </is>
      </c>
      <c r="O1770" t="inlineStr">
        <is>
          <t>eng</t>
        </is>
      </c>
      <c r="P1770" t="inlineStr">
        <is>
          <t>nyu</t>
        </is>
      </c>
      <c r="R1770" t="inlineStr">
        <is>
          <t xml:space="preserve">HQ </t>
        </is>
      </c>
      <c r="S1770" t="n">
        <v>2</v>
      </c>
      <c r="T1770" t="n">
        <v>2</v>
      </c>
      <c r="U1770" t="inlineStr">
        <is>
          <t>1994-10-28</t>
        </is>
      </c>
      <c r="V1770" t="inlineStr">
        <is>
          <t>1994-10-28</t>
        </is>
      </c>
      <c r="W1770" t="inlineStr">
        <is>
          <t>1994-07-12</t>
        </is>
      </c>
      <c r="X1770" t="inlineStr">
        <is>
          <t>1994-07-12</t>
        </is>
      </c>
      <c r="Y1770" t="n">
        <v>296</v>
      </c>
      <c r="Z1770" t="n">
        <v>276</v>
      </c>
      <c r="AA1770" t="n">
        <v>422</v>
      </c>
      <c r="AB1770" t="n">
        <v>2</v>
      </c>
      <c r="AC1770" t="n">
        <v>3</v>
      </c>
      <c r="AD1770" t="n">
        <v>8</v>
      </c>
      <c r="AE1770" t="n">
        <v>10</v>
      </c>
      <c r="AF1770" t="n">
        <v>4</v>
      </c>
      <c r="AG1770" t="n">
        <v>4</v>
      </c>
      <c r="AH1770" t="n">
        <v>1</v>
      </c>
      <c r="AI1770" t="n">
        <v>1</v>
      </c>
      <c r="AJ1770" t="n">
        <v>4</v>
      </c>
      <c r="AK1770" t="n">
        <v>5</v>
      </c>
      <c r="AL1770" t="n">
        <v>1</v>
      </c>
      <c r="AM1770" t="n">
        <v>2</v>
      </c>
      <c r="AN1770" t="n">
        <v>0</v>
      </c>
      <c r="AO1770" t="n">
        <v>0</v>
      </c>
      <c r="AP1770" t="inlineStr">
        <is>
          <t>No</t>
        </is>
      </c>
      <c r="AQ1770" t="inlineStr">
        <is>
          <t>No</t>
        </is>
      </c>
      <c r="AS1770">
        <f>HYPERLINK("https://creighton-primo.hosted.exlibrisgroup.com/primo-explore/search?tab=default_tab&amp;search_scope=EVERYTHING&amp;vid=01CRU&amp;lang=en_US&amp;offset=0&amp;query=any,contains,991002029669702656","Catalog Record")</f>
        <v/>
      </c>
      <c r="AT1770">
        <f>HYPERLINK("http://www.worldcat.org/oclc/260050","WorldCat Record")</f>
        <v/>
      </c>
      <c r="AU1770" t="inlineStr">
        <is>
          <t>422687893:eng</t>
        </is>
      </c>
      <c r="AV1770" t="inlineStr">
        <is>
          <t>260050</t>
        </is>
      </c>
      <c r="AW1770" t="inlineStr">
        <is>
          <t>991002029669702656</t>
        </is>
      </c>
      <c r="AX1770" t="inlineStr">
        <is>
          <t>991002029669702656</t>
        </is>
      </c>
      <c r="AY1770" t="inlineStr">
        <is>
          <t>2266171210002656</t>
        </is>
      </c>
      <c r="AZ1770" t="inlineStr">
        <is>
          <t>BOOK</t>
        </is>
      </c>
      <c r="BC1770" t="inlineStr">
        <is>
          <t>32285001936490</t>
        </is>
      </c>
      <c r="BD1770" t="inlineStr">
        <is>
          <t>893250728</t>
        </is>
      </c>
    </row>
    <row r="1771">
      <c r="A1771" t="inlineStr">
        <is>
          <t>No</t>
        </is>
      </c>
      <c r="B1771" t="inlineStr">
        <is>
          <t>HQ734 .D9588 1977</t>
        </is>
      </c>
      <c r="C1771" t="inlineStr">
        <is>
          <t>0                      HQ 0734000D  9588        1977</t>
        </is>
      </c>
      <c r="D1771" t="inlineStr">
        <is>
          <t>Marriage and family development / Evelyn Millis Duvall.</t>
        </is>
      </c>
      <c r="F1771" t="inlineStr">
        <is>
          <t>No</t>
        </is>
      </c>
      <c r="G1771" t="inlineStr">
        <is>
          <t>1</t>
        </is>
      </c>
      <c r="H1771" t="inlineStr">
        <is>
          <t>No</t>
        </is>
      </c>
      <c r="I1771" t="inlineStr">
        <is>
          <t>No</t>
        </is>
      </c>
      <c r="J1771" t="inlineStr">
        <is>
          <t>0</t>
        </is>
      </c>
      <c r="K1771" t="inlineStr">
        <is>
          <t>Duvall, Evelyn Millis, 1906-1998.</t>
        </is>
      </c>
      <c r="L1771" t="inlineStr">
        <is>
          <t>Philadelphia : Lippincott, c1977.</t>
        </is>
      </c>
      <c r="M1771" t="inlineStr">
        <is>
          <t>1977</t>
        </is>
      </c>
      <c r="N1771" t="inlineStr">
        <is>
          <t>5th ed.</t>
        </is>
      </c>
      <c r="O1771" t="inlineStr">
        <is>
          <t>eng</t>
        </is>
      </c>
      <c r="P1771" t="inlineStr">
        <is>
          <t>pau</t>
        </is>
      </c>
      <c r="R1771" t="inlineStr">
        <is>
          <t xml:space="preserve">HQ </t>
        </is>
      </c>
      <c r="S1771" t="n">
        <v>5</v>
      </c>
      <c r="T1771" t="n">
        <v>5</v>
      </c>
      <c r="U1771" t="inlineStr">
        <is>
          <t>2006-01-26</t>
        </is>
      </c>
      <c r="V1771" t="inlineStr">
        <is>
          <t>2006-01-26</t>
        </is>
      </c>
      <c r="W1771" t="inlineStr">
        <is>
          <t>1997-08-12</t>
        </is>
      </c>
      <c r="X1771" t="inlineStr">
        <is>
          <t>1997-08-12</t>
        </is>
      </c>
      <c r="Y1771" t="n">
        <v>415</v>
      </c>
      <c r="Z1771" t="n">
        <v>336</v>
      </c>
      <c r="AA1771" t="n">
        <v>494</v>
      </c>
      <c r="AB1771" t="n">
        <v>3</v>
      </c>
      <c r="AC1771" t="n">
        <v>5</v>
      </c>
      <c r="AD1771" t="n">
        <v>9</v>
      </c>
      <c r="AE1771" t="n">
        <v>16</v>
      </c>
      <c r="AF1771" t="n">
        <v>3</v>
      </c>
      <c r="AG1771" t="n">
        <v>6</v>
      </c>
      <c r="AH1771" t="n">
        <v>2</v>
      </c>
      <c r="AI1771" t="n">
        <v>2</v>
      </c>
      <c r="AJ1771" t="n">
        <v>5</v>
      </c>
      <c r="AK1771" t="n">
        <v>8</v>
      </c>
      <c r="AL1771" t="n">
        <v>1</v>
      </c>
      <c r="AM1771" t="n">
        <v>3</v>
      </c>
      <c r="AN1771" t="n">
        <v>0</v>
      </c>
      <c r="AO1771" t="n">
        <v>0</v>
      </c>
      <c r="AP1771" t="inlineStr">
        <is>
          <t>No</t>
        </is>
      </c>
      <c r="AQ1771" t="inlineStr">
        <is>
          <t>Yes</t>
        </is>
      </c>
      <c r="AR1771">
        <f>HYPERLINK("http://catalog.hathitrust.org/Record/000170362","HathiTrust Record")</f>
        <v/>
      </c>
      <c r="AS1771">
        <f>HYPERLINK("https://creighton-primo.hosted.exlibrisgroup.com/primo-explore/search?tab=default_tab&amp;search_scope=EVERYTHING&amp;vid=01CRU&amp;lang=en_US&amp;offset=0&amp;query=any,contains,991005217879702656","Catalog Record")</f>
        <v/>
      </c>
      <c r="AT1771">
        <f>HYPERLINK("http://www.worldcat.org/oclc/2680784","WorldCat Record")</f>
        <v/>
      </c>
      <c r="AU1771" t="inlineStr">
        <is>
          <t>3810781613:eng</t>
        </is>
      </c>
      <c r="AV1771" t="inlineStr">
        <is>
          <t>2680784</t>
        </is>
      </c>
      <c r="AW1771" t="inlineStr">
        <is>
          <t>991005217879702656</t>
        </is>
      </c>
      <c r="AX1771" t="inlineStr">
        <is>
          <t>991005217879702656</t>
        </is>
      </c>
      <c r="AY1771" t="inlineStr">
        <is>
          <t>2266087150002656</t>
        </is>
      </c>
      <c r="AZ1771" t="inlineStr">
        <is>
          <t>BOOK</t>
        </is>
      </c>
      <c r="BB1771" t="inlineStr">
        <is>
          <t>9780397473625</t>
        </is>
      </c>
      <c r="BC1771" t="inlineStr">
        <is>
          <t>32285003089579</t>
        </is>
      </c>
      <c r="BD1771" t="inlineStr">
        <is>
          <t>893902314</t>
        </is>
      </c>
    </row>
    <row r="1772">
      <c r="A1772" t="inlineStr">
        <is>
          <t>No</t>
        </is>
      </c>
      <c r="B1772" t="inlineStr">
        <is>
          <t>HQ734 .E585 2001</t>
        </is>
      </c>
      <c r="C1772" t="inlineStr">
        <is>
          <t>0                      HQ 0734000E  585         2001</t>
        </is>
      </c>
      <c r="D1772" t="inlineStr">
        <is>
          <t>Empty nesting : reinventing your marriage when the kids leave home / David H. Arp ... [et al.].</t>
        </is>
      </c>
      <c r="F1772" t="inlineStr">
        <is>
          <t>No</t>
        </is>
      </c>
      <c r="G1772" t="inlineStr">
        <is>
          <t>1</t>
        </is>
      </c>
      <c r="H1772" t="inlineStr">
        <is>
          <t>No</t>
        </is>
      </c>
      <c r="I1772" t="inlineStr">
        <is>
          <t>No</t>
        </is>
      </c>
      <c r="J1772" t="inlineStr">
        <is>
          <t>0</t>
        </is>
      </c>
      <c r="L1772" t="inlineStr">
        <is>
          <t>San Francisco : Jossey-Bass, c2001.</t>
        </is>
      </c>
      <c r="M1772" t="inlineStr">
        <is>
          <t>2001</t>
        </is>
      </c>
      <c r="N1772" t="inlineStr">
        <is>
          <t>1st ed.</t>
        </is>
      </c>
      <c r="O1772" t="inlineStr">
        <is>
          <t>eng</t>
        </is>
      </c>
      <c r="P1772" t="inlineStr">
        <is>
          <t>cau</t>
        </is>
      </c>
      <c r="R1772" t="inlineStr">
        <is>
          <t xml:space="preserve">HQ </t>
        </is>
      </c>
      <c r="S1772" t="n">
        <v>2</v>
      </c>
      <c r="T1772" t="n">
        <v>2</v>
      </c>
      <c r="U1772" t="inlineStr">
        <is>
          <t>2010-08-29</t>
        </is>
      </c>
      <c r="V1772" t="inlineStr">
        <is>
          <t>2010-08-29</t>
        </is>
      </c>
      <c r="W1772" t="inlineStr">
        <is>
          <t>2009-07-08</t>
        </is>
      </c>
      <c r="X1772" t="inlineStr">
        <is>
          <t>2009-07-08</t>
        </is>
      </c>
      <c r="Y1772" t="n">
        <v>120</v>
      </c>
      <c r="Z1772" t="n">
        <v>95</v>
      </c>
      <c r="AA1772" t="n">
        <v>95</v>
      </c>
      <c r="AB1772" t="n">
        <v>2</v>
      </c>
      <c r="AC1772" t="n">
        <v>2</v>
      </c>
      <c r="AD1772" t="n">
        <v>1</v>
      </c>
      <c r="AE1772" t="n">
        <v>1</v>
      </c>
      <c r="AF1772" t="n">
        <v>1</v>
      </c>
      <c r="AG1772" t="n">
        <v>1</v>
      </c>
      <c r="AH1772" t="n">
        <v>0</v>
      </c>
      <c r="AI1772" t="n">
        <v>0</v>
      </c>
      <c r="AJ1772" t="n">
        <v>0</v>
      </c>
      <c r="AK1772" t="n">
        <v>0</v>
      </c>
      <c r="AL1772" t="n">
        <v>0</v>
      </c>
      <c r="AM1772" t="n">
        <v>0</v>
      </c>
      <c r="AN1772" t="n">
        <v>0</v>
      </c>
      <c r="AO1772" t="n">
        <v>0</v>
      </c>
      <c r="AP1772" t="inlineStr">
        <is>
          <t>No</t>
        </is>
      </c>
      <c r="AQ1772" t="inlineStr">
        <is>
          <t>No</t>
        </is>
      </c>
      <c r="AS1772">
        <f>HYPERLINK("https://creighton-primo.hosted.exlibrisgroup.com/primo-explore/search?tab=default_tab&amp;search_scope=EVERYTHING&amp;vid=01CRU&amp;lang=en_US&amp;offset=0&amp;query=any,contains,991005325419702656","Catalog Record")</f>
        <v/>
      </c>
      <c r="AT1772">
        <f>HYPERLINK("http://www.worldcat.org/oclc/48032834","WorldCat Record")</f>
        <v/>
      </c>
      <c r="AU1772" t="inlineStr">
        <is>
          <t>9449632067:eng</t>
        </is>
      </c>
      <c r="AV1772" t="inlineStr">
        <is>
          <t>48032834</t>
        </is>
      </c>
      <c r="AW1772" t="inlineStr">
        <is>
          <t>991005325419702656</t>
        </is>
      </c>
      <c r="AX1772" t="inlineStr">
        <is>
          <t>991005325419702656</t>
        </is>
      </c>
      <c r="AY1772" t="inlineStr">
        <is>
          <t>2269016080002656</t>
        </is>
      </c>
      <c r="AZ1772" t="inlineStr">
        <is>
          <t>BOOK</t>
        </is>
      </c>
      <c r="BB1772" t="inlineStr">
        <is>
          <t>9780787960414</t>
        </is>
      </c>
      <c r="BC1772" t="inlineStr">
        <is>
          <t>32285005537229</t>
        </is>
      </c>
      <c r="BD1772" t="inlineStr">
        <is>
          <t>893431235</t>
        </is>
      </c>
    </row>
    <row r="1773">
      <c r="A1773" t="inlineStr">
        <is>
          <t>No</t>
        </is>
      </c>
      <c r="B1773" t="inlineStr">
        <is>
          <t>HQ734 .F2418</t>
        </is>
      </c>
      <c r="C1773" t="inlineStr">
        <is>
          <t>0                      HQ 0734000F  2418</t>
        </is>
      </c>
      <c r="D1773" t="inlineStr">
        <is>
          <t>Family relationships : rewards and costs / edited by F. Ivan Nye.</t>
        </is>
      </c>
      <c r="F1773" t="inlineStr">
        <is>
          <t>No</t>
        </is>
      </c>
      <c r="G1773" t="inlineStr">
        <is>
          <t>1</t>
        </is>
      </c>
      <c r="H1773" t="inlineStr">
        <is>
          <t>No</t>
        </is>
      </c>
      <c r="I1773" t="inlineStr">
        <is>
          <t>No</t>
        </is>
      </c>
      <c r="J1773" t="inlineStr">
        <is>
          <t>0</t>
        </is>
      </c>
      <c r="L1773" t="inlineStr">
        <is>
          <t>Beverly Hills, Calif. : Sage Publications, c1982.</t>
        </is>
      </c>
      <c r="M1773" t="inlineStr">
        <is>
          <t>1981</t>
        </is>
      </c>
      <c r="O1773" t="inlineStr">
        <is>
          <t>eng</t>
        </is>
      </c>
      <c r="P1773" t="inlineStr">
        <is>
          <t>cau</t>
        </is>
      </c>
      <c r="Q1773" t="inlineStr">
        <is>
          <t>Sage focus editions ; 46</t>
        </is>
      </c>
      <c r="R1773" t="inlineStr">
        <is>
          <t xml:space="preserve">HQ </t>
        </is>
      </c>
      <c r="S1773" t="n">
        <v>8</v>
      </c>
      <c r="T1773" t="n">
        <v>8</v>
      </c>
      <c r="U1773" t="inlineStr">
        <is>
          <t>2009-04-23</t>
        </is>
      </c>
      <c r="V1773" t="inlineStr">
        <is>
          <t>2009-04-23</t>
        </is>
      </c>
      <c r="W1773" t="inlineStr">
        <is>
          <t>1992-02-26</t>
        </is>
      </c>
      <c r="X1773" t="inlineStr">
        <is>
          <t>1992-02-26</t>
        </is>
      </c>
      <c r="Y1773" t="n">
        <v>444</v>
      </c>
      <c r="Z1773" t="n">
        <v>339</v>
      </c>
      <c r="AA1773" t="n">
        <v>343</v>
      </c>
      <c r="AB1773" t="n">
        <v>3</v>
      </c>
      <c r="AC1773" t="n">
        <v>3</v>
      </c>
      <c r="AD1773" t="n">
        <v>18</v>
      </c>
      <c r="AE1773" t="n">
        <v>18</v>
      </c>
      <c r="AF1773" t="n">
        <v>8</v>
      </c>
      <c r="AG1773" t="n">
        <v>8</v>
      </c>
      <c r="AH1773" t="n">
        <v>4</v>
      </c>
      <c r="AI1773" t="n">
        <v>4</v>
      </c>
      <c r="AJ1773" t="n">
        <v>8</v>
      </c>
      <c r="AK1773" t="n">
        <v>8</v>
      </c>
      <c r="AL1773" t="n">
        <v>2</v>
      </c>
      <c r="AM1773" t="n">
        <v>2</v>
      </c>
      <c r="AN1773" t="n">
        <v>0</v>
      </c>
      <c r="AO1773" t="n">
        <v>0</v>
      </c>
      <c r="AP1773" t="inlineStr">
        <is>
          <t>No</t>
        </is>
      </c>
      <c r="AQ1773" t="inlineStr">
        <is>
          <t>Yes</t>
        </is>
      </c>
      <c r="AR1773">
        <f>HYPERLINK("http://catalog.hathitrust.org/Record/000233777","HathiTrust Record")</f>
        <v/>
      </c>
      <c r="AS1773">
        <f>HYPERLINK("https://creighton-primo.hosted.exlibrisgroup.com/primo-explore/search?tab=default_tab&amp;search_scope=EVERYTHING&amp;vid=01CRU&amp;lang=en_US&amp;offset=0&amp;query=any,contains,991005186039702656","Catalog Record")</f>
        <v/>
      </c>
      <c r="AT1773">
        <f>HYPERLINK("http://www.worldcat.org/oclc/7976063","WorldCat Record")</f>
        <v/>
      </c>
      <c r="AU1773" t="inlineStr">
        <is>
          <t>836680819:eng</t>
        </is>
      </c>
      <c r="AV1773" t="inlineStr">
        <is>
          <t>7976063</t>
        </is>
      </c>
      <c r="AW1773" t="inlineStr">
        <is>
          <t>991005186039702656</t>
        </is>
      </c>
      <c r="AX1773" t="inlineStr">
        <is>
          <t>991005186039702656</t>
        </is>
      </c>
      <c r="AY1773" t="inlineStr">
        <is>
          <t>2261950900002656</t>
        </is>
      </c>
      <c r="AZ1773" t="inlineStr">
        <is>
          <t>BOOK</t>
        </is>
      </c>
      <c r="BB1773" t="inlineStr">
        <is>
          <t>9780803917705</t>
        </is>
      </c>
      <c r="BC1773" t="inlineStr">
        <is>
          <t>32285000977214</t>
        </is>
      </c>
      <c r="BD1773" t="inlineStr">
        <is>
          <t>893507750</t>
        </is>
      </c>
    </row>
    <row r="1774">
      <c r="A1774" t="inlineStr">
        <is>
          <t>No</t>
        </is>
      </c>
      <c r="B1774" t="inlineStr">
        <is>
          <t>HQ734 .F374 1997</t>
        </is>
      </c>
      <c r="C1774" t="inlineStr">
        <is>
          <t>0                      HQ 0734000F  374         1997</t>
        </is>
      </c>
      <c r="D1774" t="inlineStr">
        <is>
          <t>Feminism and families / edited and with an introduction by Hilde Lindemann Nelson.</t>
        </is>
      </c>
      <c r="F1774" t="inlineStr">
        <is>
          <t>No</t>
        </is>
      </c>
      <c r="G1774" t="inlineStr">
        <is>
          <t>1</t>
        </is>
      </c>
      <c r="H1774" t="inlineStr">
        <is>
          <t>No</t>
        </is>
      </c>
      <c r="I1774" t="inlineStr">
        <is>
          <t>No</t>
        </is>
      </c>
      <c r="J1774" t="inlineStr">
        <is>
          <t>0</t>
        </is>
      </c>
      <c r="L1774" t="inlineStr">
        <is>
          <t>New York : Routledge, 1997.</t>
        </is>
      </c>
      <c r="M1774" t="inlineStr">
        <is>
          <t>1997</t>
        </is>
      </c>
      <c r="O1774" t="inlineStr">
        <is>
          <t>eng</t>
        </is>
      </c>
      <c r="P1774" t="inlineStr">
        <is>
          <t>nyu</t>
        </is>
      </c>
      <c r="Q1774" t="inlineStr">
        <is>
          <t>Thinking gender</t>
        </is>
      </c>
      <c r="R1774" t="inlineStr">
        <is>
          <t xml:space="preserve">HQ </t>
        </is>
      </c>
      <c r="S1774" t="n">
        <v>3</v>
      </c>
      <c r="T1774" t="n">
        <v>3</v>
      </c>
      <c r="U1774" t="inlineStr">
        <is>
          <t>2003-09-11</t>
        </is>
      </c>
      <c r="V1774" t="inlineStr">
        <is>
          <t>2003-09-11</t>
        </is>
      </c>
      <c r="W1774" t="inlineStr">
        <is>
          <t>1999-11-08</t>
        </is>
      </c>
      <c r="X1774" t="inlineStr">
        <is>
          <t>1999-11-08</t>
        </is>
      </c>
      <c r="Y1774" t="n">
        <v>407</v>
      </c>
      <c r="Z1774" t="n">
        <v>261</v>
      </c>
      <c r="AA1774" t="n">
        <v>282</v>
      </c>
      <c r="AB1774" t="n">
        <v>4</v>
      </c>
      <c r="AC1774" t="n">
        <v>4</v>
      </c>
      <c r="AD1774" t="n">
        <v>14</v>
      </c>
      <c r="AE1774" t="n">
        <v>14</v>
      </c>
      <c r="AF1774" t="n">
        <v>3</v>
      </c>
      <c r="AG1774" t="n">
        <v>3</v>
      </c>
      <c r="AH1774" t="n">
        <v>4</v>
      </c>
      <c r="AI1774" t="n">
        <v>4</v>
      </c>
      <c r="AJ1774" t="n">
        <v>9</v>
      </c>
      <c r="AK1774" t="n">
        <v>9</v>
      </c>
      <c r="AL1774" t="n">
        <v>3</v>
      </c>
      <c r="AM1774" t="n">
        <v>3</v>
      </c>
      <c r="AN1774" t="n">
        <v>0</v>
      </c>
      <c r="AO1774" t="n">
        <v>0</v>
      </c>
      <c r="AP1774" t="inlineStr">
        <is>
          <t>No</t>
        </is>
      </c>
      <c r="AQ1774" t="inlineStr">
        <is>
          <t>No</t>
        </is>
      </c>
      <c r="AS1774">
        <f>HYPERLINK("https://creighton-primo.hosted.exlibrisgroup.com/primo-explore/search?tab=default_tab&amp;search_scope=EVERYTHING&amp;vid=01CRU&amp;lang=en_US&amp;offset=0&amp;query=any,contains,991002678089702656","Catalog Record")</f>
        <v/>
      </c>
      <c r="AT1774">
        <f>HYPERLINK("http://www.worldcat.org/oclc/35008206","WorldCat Record")</f>
        <v/>
      </c>
      <c r="AU1774" t="inlineStr">
        <is>
          <t>39648291:eng</t>
        </is>
      </c>
      <c r="AV1774" t="inlineStr">
        <is>
          <t>35008206</t>
        </is>
      </c>
      <c r="AW1774" t="inlineStr">
        <is>
          <t>991002678089702656</t>
        </is>
      </c>
      <c r="AX1774" t="inlineStr">
        <is>
          <t>991002678089702656</t>
        </is>
      </c>
      <c r="AY1774" t="inlineStr">
        <is>
          <t>2262256140002656</t>
        </is>
      </c>
      <c r="AZ1774" t="inlineStr">
        <is>
          <t>BOOK</t>
        </is>
      </c>
      <c r="BB1774" t="inlineStr">
        <is>
          <t>9780415912532</t>
        </is>
      </c>
      <c r="BC1774" t="inlineStr">
        <is>
          <t>32285003619060</t>
        </is>
      </c>
      <c r="BD1774" t="inlineStr">
        <is>
          <t>893329400</t>
        </is>
      </c>
    </row>
    <row r="1775">
      <c r="A1775" t="inlineStr">
        <is>
          <t>No</t>
        </is>
      </c>
      <c r="B1775" t="inlineStr">
        <is>
          <t>HQ734 .F777 1994</t>
        </is>
      </c>
      <c r="C1775" t="inlineStr">
        <is>
          <t>0                      HQ 0734000F  777         1994</t>
        </is>
      </c>
      <c r="D1775" t="inlineStr">
        <is>
          <t>From the heart : men and women write their private thoughts about their married lives / edited by Dale Atkins &amp; Meris Powell.</t>
        </is>
      </c>
      <c r="F1775" t="inlineStr">
        <is>
          <t>No</t>
        </is>
      </c>
      <c r="G1775" t="inlineStr">
        <is>
          <t>1</t>
        </is>
      </c>
      <c r="H1775" t="inlineStr">
        <is>
          <t>No</t>
        </is>
      </c>
      <c r="I1775" t="inlineStr">
        <is>
          <t>No</t>
        </is>
      </c>
      <c r="J1775" t="inlineStr">
        <is>
          <t>0</t>
        </is>
      </c>
      <c r="L1775" t="inlineStr">
        <is>
          <t>New York : H. Holt and Co., 1994.</t>
        </is>
      </c>
      <c r="M1775" t="inlineStr">
        <is>
          <t>1994</t>
        </is>
      </c>
      <c r="N1775" t="inlineStr">
        <is>
          <t>1st ed.</t>
        </is>
      </c>
      <c r="O1775" t="inlineStr">
        <is>
          <t>eng</t>
        </is>
      </c>
      <c r="P1775" t="inlineStr">
        <is>
          <t>nyu</t>
        </is>
      </c>
      <c r="R1775" t="inlineStr">
        <is>
          <t xml:space="preserve">HQ </t>
        </is>
      </c>
      <c r="S1775" t="n">
        <v>11</v>
      </c>
      <c r="T1775" t="n">
        <v>11</v>
      </c>
      <c r="U1775" t="inlineStr">
        <is>
          <t>1997-03-14</t>
        </is>
      </c>
      <c r="V1775" t="inlineStr">
        <is>
          <t>1997-03-14</t>
        </is>
      </c>
      <c r="W1775" t="inlineStr">
        <is>
          <t>1996-08-15</t>
        </is>
      </c>
      <c r="X1775" t="inlineStr">
        <is>
          <t>1996-08-15</t>
        </is>
      </c>
      <c r="Y1775" t="n">
        <v>105</v>
      </c>
      <c r="Z1775" t="n">
        <v>103</v>
      </c>
      <c r="AA1775" t="n">
        <v>108</v>
      </c>
      <c r="AB1775" t="n">
        <v>2</v>
      </c>
      <c r="AC1775" t="n">
        <v>2</v>
      </c>
      <c r="AD1775" t="n">
        <v>1</v>
      </c>
      <c r="AE1775" t="n">
        <v>1</v>
      </c>
      <c r="AF1775" t="n">
        <v>0</v>
      </c>
      <c r="AG1775" t="n">
        <v>0</v>
      </c>
      <c r="AH1775" t="n">
        <v>0</v>
      </c>
      <c r="AI1775" t="n">
        <v>0</v>
      </c>
      <c r="AJ1775" t="n">
        <v>1</v>
      </c>
      <c r="AK1775" t="n">
        <v>1</v>
      </c>
      <c r="AL1775" t="n">
        <v>0</v>
      </c>
      <c r="AM1775" t="n">
        <v>0</v>
      </c>
      <c r="AN1775" t="n">
        <v>0</v>
      </c>
      <c r="AO1775" t="n">
        <v>0</v>
      </c>
      <c r="AP1775" t="inlineStr">
        <is>
          <t>No</t>
        </is>
      </c>
      <c r="AQ1775" t="inlineStr">
        <is>
          <t>No</t>
        </is>
      </c>
      <c r="AS1775">
        <f>HYPERLINK("https://creighton-primo.hosted.exlibrisgroup.com/primo-explore/search?tab=default_tab&amp;search_scope=EVERYTHING&amp;vid=01CRU&amp;lang=en_US&amp;offset=0&amp;query=any,contains,991002356639702656","Catalog Record")</f>
        <v/>
      </c>
      <c r="AT1775">
        <f>HYPERLINK("http://www.worldcat.org/oclc/30666245","WorldCat Record")</f>
        <v/>
      </c>
      <c r="AU1775" t="inlineStr">
        <is>
          <t>10143522866:eng</t>
        </is>
      </c>
      <c r="AV1775" t="inlineStr">
        <is>
          <t>30666245</t>
        </is>
      </c>
      <c r="AW1775" t="inlineStr">
        <is>
          <t>991002356639702656</t>
        </is>
      </c>
      <c r="AX1775" t="inlineStr">
        <is>
          <t>991002356639702656</t>
        </is>
      </c>
      <c r="AY1775" t="inlineStr">
        <is>
          <t>2267689060002656</t>
        </is>
      </c>
      <c r="AZ1775" t="inlineStr">
        <is>
          <t>BOOK</t>
        </is>
      </c>
      <c r="BB1775" t="inlineStr">
        <is>
          <t>9780805034981</t>
        </is>
      </c>
      <c r="BC1775" t="inlineStr">
        <is>
          <t>32285002290434</t>
        </is>
      </c>
      <c r="BD1775" t="inlineStr">
        <is>
          <t>893710180</t>
        </is>
      </c>
    </row>
    <row r="1776">
      <c r="A1776" t="inlineStr">
        <is>
          <t>No</t>
        </is>
      </c>
      <c r="B1776" t="inlineStr">
        <is>
          <t>HQ734 .G4</t>
        </is>
      </c>
      <c r="C1776" t="inlineStr">
        <is>
          <t>0                      HQ 0734000G  4</t>
        </is>
      </c>
      <c r="D1776" t="inlineStr">
        <is>
          <t>Marriage and parenthood, the Catholic ideal, by the Rev. Thomas Gerrard ...</t>
        </is>
      </c>
      <c r="F1776" t="inlineStr">
        <is>
          <t>No</t>
        </is>
      </c>
      <c r="G1776" t="inlineStr">
        <is>
          <t>1</t>
        </is>
      </c>
      <c r="H1776" t="inlineStr">
        <is>
          <t>No</t>
        </is>
      </c>
      <c r="I1776" t="inlineStr">
        <is>
          <t>No</t>
        </is>
      </c>
      <c r="J1776" t="inlineStr">
        <is>
          <t>0</t>
        </is>
      </c>
      <c r="K1776" t="inlineStr">
        <is>
          <t>Gerrard, Thomas J. (Thomas John), 1871-1916.</t>
        </is>
      </c>
      <c r="L1776" t="inlineStr">
        <is>
          <t>New York, J. F. Wagner [1911]</t>
        </is>
      </c>
      <c r="M1776" t="inlineStr">
        <is>
          <t>1911</t>
        </is>
      </c>
      <c r="O1776" t="inlineStr">
        <is>
          <t>eng</t>
        </is>
      </c>
      <c r="P1776" t="inlineStr">
        <is>
          <t>nyu</t>
        </is>
      </c>
      <c r="R1776" t="inlineStr">
        <is>
          <t xml:space="preserve">HQ </t>
        </is>
      </c>
      <c r="S1776" t="n">
        <v>1</v>
      </c>
      <c r="T1776" t="n">
        <v>1</v>
      </c>
      <c r="U1776" t="inlineStr">
        <is>
          <t>2004-12-08</t>
        </is>
      </c>
      <c r="V1776" t="inlineStr">
        <is>
          <t>2004-12-08</t>
        </is>
      </c>
      <c r="W1776" t="inlineStr">
        <is>
          <t>1997-08-11</t>
        </is>
      </c>
      <c r="X1776" t="inlineStr">
        <is>
          <t>1997-08-11</t>
        </is>
      </c>
      <c r="Y1776" t="n">
        <v>83</v>
      </c>
      <c r="Z1776" t="n">
        <v>72</v>
      </c>
      <c r="AA1776" t="n">
        <v>113</v>
      </c>
      <c r="AB1776" t="n">
        <v>2</v>
      </c>
      <c r="AC1776" t="n">
        <v>3</v>
      </c>
      <c r="AD1776" t="n">
        <v>11</v>
      </c>
      <c r="AE1776" t="n">
        <v>16</v>
      </c>
      <c r="AF1776" t="n">
        <v>2</v>
      </c>
      <c r="AG1776" t="n">
        <v>3</v>
      </c>
      <c r="AH1776" t="n">
        <v>2</v>
      </c>
      <c r="AI1776" t="n">
        <v>3</v>
      </c>
      <c r="AJ1776" t="n">
        <v>9</v>
      </c>
      <c r="AK1776" t="n">
        <v>13</v>
      </c>
      <c r="AL1776" t="n">
        <v>0</v>
      </c>
      <c r="AM1776" t="n">
        <v>0</v>
      </c>
      <c r="AN1776" t="n">
        <v>0</v>
      </c>
      <c r="AO1776" t="n">
        <v>0</v>
      </c>
      <c r="AP1776" t="inlineStr">
        <is>
          <t>Yes</t>
        </is>
      </c>
      <c r="AQ1776" t="inlineStr">
        <is>
          <t>No</t>
        </is>
      </c>
      <c r="AR1776">
        <f>HYPERLINK("http://catalog.hathitrust.org/Record/100766389","HathiTrust Record")</f>
        <v/>
      </c>
      <c r="AS1776">
        <f>HYPERLINK("https://creighton-primo.hosted.exlibrisgroup.com/primo-explore/search?tab=default_tab&amp;search_scope=EVERYTHING&amp;vid=01CRU&amp;lang=en_US&amp;offset=0&amp;query=any,contains,991004718569702656","Catalog Record")</f>
        <v/>
      </c>
      <c r="AT1776">
        <f>HYPERLINK("http://www.worldcat.org/oclc/4786527","WorldCat Record")</f>
        <v/>
      </c>
      <c r="AU1776" t="inlineStr">
        <is>
          <t>5389643:eng</t>
        </is>
      </c>
      <c r="AV1776" t="inlineStr">
        <is>
          <t>4786527</t>
        </is>
      </c>
      <c r="AW1776" t="inlineStr">
        <is>
          <t>991004718569702656</t>
        </is>
      </c>
      <c r="AX1776" t="inlineStr">
        <is>
          <t>991004718569702656</t>
        </is>
      </c>
      <c r="AY1776" t="inlineStr">
        <is>
          <t>2257203960002656</t>
        </is>
      </c>
      <c r="AZ1776" t="inlineStr">
        <is>
          <t>BOOK</t>
        </is>
      </c>
      <c r="BC1776" t="inlineStr">
        <is>
          <t>32285003089587</t>
        </is>
      </c>
      <c r="BD1776" t="inlineStr">
        <is>
          <t>893619002</t>
        </is>
      </c>
    </row>
    <row r="1777">
      <c r="A1777" t="inlineStr">
        <is>
          <t>No</t>
        </is>
      </c>
      <c r="B1777" t="inlineStr">
        <is>
          <t>HQ734 .G425 1984</t>
        </is>
      </c>
      <c r="C1777" t="inlineStr">
        <is>
          <t>0                      HQ 0734000G  425         1984</t>
        </is>
      </c>
      <c r="D1777" t="inlineStr">
        <is>
          <t>Commuter marriage : a study of work and family / Naomi Gerstel and Harriet Gross ; foreword by Bert N. Adams.</t>
        </is>
      </c>
      <c r="F1777" t="inlineStr">
        <is>
          <t>No</t>
        </is>
      </c>
      <c r="G1777" t="inlineStr">
        <is>
          <t>1</t>
        </is>
      </c>
      <c r="H1777" t="inlineStr">
        <is>
          <t>No</t>
        </is>
      </c>
      <c r="I1777" t="inlineStr">
        <is>
          <t>No</t>
        </is>
      </c>
      <c r="J1777" t="inlineStr">
        <is>
          <t>0</t>
        </is>
      </c>
      <c r="K1777" t="inlineStr">
        <is>
          <t>Gerstel, Naomi.</t>
        </is>
      </c>
      <c r="L1777" t="inlineStr">
        <is>
          <t>New York : Guilford Press, c1984.</t>
        </is>
      </c>
      <c r="M1777" t="inlineStr">
        <is>
          <t>1984</t>
        </is>
      </c>
      <c r="O1777" t="inlineStr">
        <is>
          <t>eng</t>
        </is>
      </c>
      <c r="P1777" t="inlineStr">
        <is>
          <t>nyu</t>
        </is>
      </c>
      <c r="Q1777" t="inlineStr">
        <is>
          <t>Perspectives on marriage and the family</t>
        </is>
      </c>
      <c r="R1777" t="inlineStr">
        <is>
          <t xml:space="preserve">HQ </t>
        </is>
      </c>
      <c r="S1777" t="n">
        <v>14</v>
      </c>
      <c r="T1777" t="n">
        <v>14</v>
      </c>
      <c r="U1777" t="inlineStr">
        <is>
          <t>2005-09-14</t>
        </is>
      </c>
      <c r="V1777" t="inlineStr">
        <is>
          <t>2005-09-14</t>
        </is>
      </c>
      <c r="W1777" t="inlineStr">
        <is>
          <t>1992-10-30</t>
        </is>
      </c>
      <c r="X1777" t="inlineStr">
        <is>
          <t>1992-10-30</t>
        </is>
      </c>
      <c r="Y1777" t="n">
        <v>572</v>
      </c>
      <c r="Z1777" t="n">
        <v>494</v>
      </c>
      <c r="AA1777" t="n">
        <v>496</v>
      </c>
      <c r="AB1777" t="n">
        <v>3</v>
      </c>
      <c r="AC1777" t="n">
        <v>3</v>
      </c>
      <c r="AD1777" t="n">
        <v>26</v>
      </c>
      <c r="AE1777" t="n">
        <v>26</v>
      </c>
      <c r="AF1777" t="n">
        <v>12</v>
      </c>
      <c r="AG1777" t="n">
        <v>12</v>
      </c>
      <c r="AH1777" t="n">
        <v>7</v>
      </c>
      <c r="AI1777" t="n">
        <v>7</v>
      </c>
      <c r="AJ1777" t="n">
        <v>14</v>
      </c>
      <c r="AK1777" t="n">
        <v>14</v>
      </c>
      <c r="AL1777" t="n">
        <v>2</v>
      </c>
      <c r="AM1777" t="n">
        <v>2</v>
      </c>
      <c r="AN1777" t="n">
        <v>0</v>
      </c>
      <c r="AO1777" t="n">
        <v>0</v>
      </c>
      <c r="AP1777" t="inlineStr">
        <is>
          <t>No</t>
        </is>
      </c>
      <c r="AQ1777" t="inlineStr">
        <is>
          <t>No</t>
        </is>
      </c>
      <c r="AS1777">
        <f>HYPERLINK("https://creighton-primo.hosted.exlibrisgroup.com/primo-explore/search?tab=default_tab&amp;search_scope=EVERYTHING&amp;vid=01CRU&amp;lang=en_US&amp;offset=0&amp;query=any,contains,991005404199702656","Catalog Record")</f>
        <v/>
      </c>
      <c r="AT1777">
        <f>HYPERLINK("http://www.worldcat.org/oclc/10912259","WorldCat Record")</f>
        <v/>
      </c>
      <c r="AU1777" t="inlineStr">
        <is>
          <t>2965932:eng</t>
        </is>
      </c>
      <c r="AV1777" t="inlineStr">
        <is>
          <t>10912259</t>
        </is>
      </c>
      <c r="AW1777" t="inlineStr">
        <is>
          <t>991005404199702656</t>
        </is>
      </c>
      <c r="AX1777" t="inlineStr">
        <is>
          <t>991005404199702656</t>
        </is>
      </c>
      <c r="AY1777" t="inlineStr">
        <is>
          <t>2259300420002656</t>
        </is>
      </c>
      <c r="AZ1777" t="inlineStr">
        <is>
          <t>BOOK</t>
        </is>
      </c>
      <c r="BB1777" t="inlineStr">
        <is>
          <t>9780898620764</t>
        </is>
      </c>
      <c r="BC1777" t="inlineStr">
        <is>
          <t>32285001359354</t>
        </is>
      </c>
      <c r="BD1777" t="inlineStr">
        <is>
          <t>893339041</t>
        </is>
      </c>
    </row>
    <row r="1778">
      <c r="A1778" t="inlineStr">
        <is>
          <t>No</t>
        </is>
      </c>
      <c r="B1778" t="inlineStr">
        <is>
          <t>HQ734 .G716 1999</t>
        </is>
      </c>
      <c r="C1778" t="inlineStr">
        <is>
          <t>0                      HQ 0734000G  716         1999</t>
        </is>
      </c>
      <c r="D1778" t="inlineStr">
        <is>
          <t>What is marriage for? / E.J. Graff.</t>
        </is>
      </c>
      <c r="F1778" t="inlineStr">
        <is>
          <t>No</t>
        </is>
      </c>
      <c r="G1778" t="inlineStr">
        <is>
          <t>1</t>
        </is>
      </c>
      <c r="H1778" t="inlineStr">
        <is>
          <t>No</t>
        </is>
      </c>
      <c r="I1778" t="inlineStr">
        <is>
          <t>No</t>
        </is>
      </c>
      <c r="J1778" t="inlineStr">
        <is>
          <t>0</t>
        </is>
      </c>
      <c r="K1778" t="inlineStr">
        <is>
          <t>Graff, E. J.</t>
        </is>
      </c>
      <c r="L1778" t="inlineStr">
        <is>
          <t>Boston, Mass. : Beacon, c1999.</t>
        </is>
      </c>
      <c r="M1778" t="inlineStr">
        <is>
          <t>1999</t>
        </is>
      </c>
      <c r="O1778" t="inlineStr">
        <is>
          <t>eng</t>
        </is>
      </c>
      <c r="P1778" t="inlineStr">
        <is>
          <t>mau</t>
        </is>
      </c>
      <c r="R1778" t="inlineStr">
        <is>
          <t xml:space="preserve">HQ </t>
        </is>
      </c>
      <c r="S1778" t="n">
        <v>11</v>
      </c>
      <c r="T1778" t="n">
        <v>11</v>
      </c>
      <c r="U1778" t="inlineStr">
        <is>
          <t>2010-11-29</t>
        </is>
      </c>
      <c r="V1778" t="inlineStr">
        <is>
          <t>2010-11-29</t>
        </is>
      </c>
      <c r="W1778" t="inlineStr">
        <is>
          <t>2000-12-05</t>
        </is>
      </c>
      <c r="X1778" t="inlineStr">
        <is>
          <t>2000-12-05</t>
        </is>
      </c>
      <c r="Y1778" t="n">
        <v>576</v>
      </c>
      <c r="Z1778" t="n">
        <v>533</v>
      </c>
      <c r="AA1778" t="n">
        <v>714</v>
      </c>
      <c r="AB1778" t="n">
        <v>5</v>
      </c>
      <c r="AC1778" t="n">
        <v>5</v>
      </c>
      <c r="AD1778" t="n">
        <v>21</v>
      </c>
      <c r="AE1778" t="n">
        <v>27</v>
      </c>
      <c r="AF1778" t="n">
        <v>5</v>
      </c>
      <c r="AG1778" t="n">
        <v>10</v>
      </c>
      <c r="AH1778" t="n">
        <v>5</v>
      </c>
      <c r="AI1778" t="n">
        <v>5</v>
      </c>
      <c r="AJ1778" t="n">
        <v>9</v>
      </c>
      <c r="AK1778" t="n">
        <v>10</v>
      </c>
      <c r="AL1778" t="n">
        <v>4</v>
      </c>
      <c r="AM1778" t="n">
        <v>4</v>
      </c>
      <c r="AN1778" t="n">
        <v>1</v>
      </c>
      <c r="AO1778" t="n">
        <v>1</v>
      </c>
      <c r="AP1778" t="inlineStr">
        <is>
          <t>No</t>
        </is>
      </c>
      <c r="AQ1778" t="inlineStr">
        <is>
          <t>Yes</t>
        </is>
      </c>
      <c r="AR1778">
        <f>HYPERLINK("http://catalog.hathitrust.org/Record/004037522","HathiTrust Record")</f>
        <v/>
      </c>
      <c r="AS1778">
        <f>HYPERLINK("https://creighton-primo.hosted.exlibrisgroup.com/primo-explore/search?tab=default_tab&amp;search_scope=EVERYTHING&amp;vid=01CRU&amp;lang=en_US&amp;offset=0&amp;query=any,contains,991003328849702656","Catalog Record")</f>
        <v/>
      </c>
      <c r="AT1778">
        <f>HYPERLINK("http://www.worldcat.org/oclc/40521296","WorldCat Record")</f>
        <v/>
      </c>
      <c r="AU1778" t="inlineStr">
        <is>
          <t>14396545:eng</t>
        </is>
      </c>
      <c r="AV1778" t="inlineStr">
        <is>
          <t>40521296</t>
        </is>
      </c>
      <c r="AW1778" t="inlineStr">
        <is>
          <t>991003328849702656</t>
        </is>
      </c>
      <c r="AX1778" t="inlineStr">
        <is>
          <t>991003328849702656</t>
        </is>
      </c>
      <c r="AY1778" t="inlineStr">
        <is>
          <t>2270263460002656</t>
        </is>
      </c>
      <c r="AZ1778" t="inlineStr">
        <is>
          <t>BOOK</t>
        </is>
      </c>
      <c r="BB1778" t="inlineStr">
        <is>
          <t>9780807041147</t>
        </is>
      </c>
      <c r="BC1778" t="inlineStr">
        <is>
          <t>32285004269949</t>
        </is>
      </c>
      <c r="BD1778" t="inlineStr">
        <is>
          <t>893893619</t>
        </is>
      </c>
    </row>
    <row r="1779">
      <c r="A1779" t="inlineStr">
        <is>
          <t>No</t>
        </is>
      </c>
      <c r="B1779" t="inlineStr">
        <is>
          <t>HQ734 .G72 1947</t>
        </is>
      </c>
      <c r="C1779" t="inlineStr">
        <is>
          <t>0                      HQ 0734000G  72          1947</t>
        </is>
      </c>
      <c r="D1779" t="inlineStr">
        <is>
          <t>So! you want to get married! / Dorothy Fremont Grant.</t>
        </is>
      </c>
      <c r="F1779" t="inlineStr">
        <is>
          <t>No</t>
        </is>
      </c>
      <c r="G1779" t="inlineStr">
        <is>
          <t>1</t>
        </is>
      </c>
      <c r="H1779" t="inlineStr">
        <is>
          <t>No</t>
        </is>
      </c>
      <c r="I1779" t="inlineStr">
        <is>
          <t>No</t>
        </is>
      </c>
      <c r="J1779" t="inlineStr">
        <is>
          <t>0</t>
        </is>
      </c>
      <c r="K1779" t="inlineStr">
        <is>
          <t>Grant, Dorothy Fremont, 1900-</t>
        </is>
      </c>
      <c r="L1779" t="inlineStr">
        <is>
          <t>Milwaukee : Bruce Pub. Co., [1947]</t>
        </is>
      </c>
      <c r="M1779" t="inlineStr">
        <is>
          <t>1947</t>
        </is>
      </c>
      <c r="O1779" t="inlineStr">
        <is>
          <t>eng</t>
        </is>
      </c>
      <c r="P1779" t="inlineStr">
        <is>
          <t>wiu</t>
        </is>
      </c>
      <c r="R1779" t="inlineStr">
        <is>
          <t xml:space="preserve">HQ </t>
        </is>
      </c>
      <c r="S1779" t="n">
        <v>6</v>
      </c>
      <c r="T1779" t="n">
        <v>6</v>
      </c>
      <c r="U1779" t="inlineStr">
        <is>
          <t>2001-10-15</t>
        </is>
      </c>
      <c r="V1779" t="inlineStr">
        <is>
          <t>2001-10-15</t>
        </is>
      </c>
      <c r="W1779" t="inlineStr">
        <is>
          <t>1990-03-28</t>
        </is>
      </c>
      <c r="X1779" t="inlineStr">
        <is>
          <t>1990-03-28</t>
        </is>
      </c>
      <c r="Y1779" t="n">
        <v>76</v>
      </c>
      <c r="Z1779" t="n">
        <v>67</v>
      </c>
      <c r="AA1779" t="n">
        <v>69</v>
      </c>
      <c r="AB1779" t="n">
        <v>1</v>
      </c>
      <c r="AC1779" t="n">
        <v>1</v>
      </c>
      <c r="AD1779" t="n">
        <v>12</v>
      </c>
      <c r="AE1779" t="n">
        <v>12</v>
      </c>
      <c r="AF1779" t="n">
        <v>3</v>
      </c>
      <c r="AG1779" t="n">
        <v>3</v>
      </c>
      <c r="AH1779" t="n">
        <v>1</v>
      </c>
      <c r="AI1779" t="n">
        <v>1</v>
      </c>
      <c r="AJ1779" t="n">
        <v>11</v>
      </c>
      <c r="AK1779" t="n">
        <v>11</v>
      </c>
      <c r="AL1779" t="n">
        <v>0</v>
      </c>
      <c r="AM1779" t="n">
        <v>0</v>
      </c>
      <c r="AN1779" t="n">
        <v>0</v>
      </c>
      <c r="AO1779" t="n">
        <v>0</v>
      </c>
      <c r="AP1779" t="inlineStr">
        <is>
          <t>No</t>
        </is>
      </c>
      <c r="AQ1779" t="inlineStr">
        <is>
          <t>Yes</t>
        </is>
      </c>
      <c r="AR1779">
        <f>HYPERLINK("http://catalog.hathitrust.org/Record/009367444","HathiTrust Record")</f>
        <v/>
      </c>
      <c r="AS1779">
        <f>HYPERLINK("https://creighton-primo.hosted.exlibrisgroup.com/primo-explore/search?tab=default_tab&amp;search_scope=EVERYTHING&amp;vid=01CRU&amp;lang=en_US&amp;offset=0&amp;query=any,contains,991003896059702656","Catalog Record")</f>
        <v/>
      </c>
      <c r="AT1779">
        <f>HYPERLINK("http://www.worldcat.org/oclc/1809833","WorldCat Record")</f>
        <v/>
      </c>
      <c r="AU1779" t="inlineStr">
        <is>
          <t>2564808:eng</t>
        </is>
      </c>
      <c r="AV1779" t="inlineStr">
        <is>
          <t>1809833</t>
        </is>
      </c>
      <c r="AW1779" t="inlineStr">
        <is>
          <t>991003896059702656</t>
        </is>
      </c>
      <c r="AX1779" t="inlineStr">
        <is>
          <t>991003896059702656</t>
        </is>
      </c>
      <c r="AY1779" t="inlineStr">
        <is>
          <t>2265623700002656</t>
        </is>
      </c>
      <c r="AZ1779" t="inlineStr">
        <is>
          <t>BOOK</t>
        </is>
      </c>
      <c r="BC1779" t="inlineStr">
        <is>
          <t>32285000099928</t>
        </is>
      </c>
      <c r="BD1779" t="inlineStr">
        <is>
          <t>893343213</t>
        </is>
      </c>
    </row>
    <row r="1780">
      <c r="A1780" t="inlineStr">
        <is>
          <t>No</t>
        </is>
      </c>
      <c r="B1780" t="inlineStr">
        <is>
          <t>HQ734 .G8845</t>
        </is>
      </c>
      <c r="C1780" t="inlineStr">
        <is>
          <t>0                      HQ 0734000G  8845</t>
        </is>
      </c>
      <c r="D1780" t="inlineStr">
        <is>
          <t>The young marriage; a handbook for those who marry young and for the early years of marriage [by] Mary Anne Guitar and the editors of Good housekeeping.</t>
        </is>
      </c>
      <c r="F1780" t="inlineStr">
        <is>
          <t>No</t>
        </is>
      </c>
      <c r="G1780" t="inlineStr">
        <is>
          <t>1</t>
        </is>
      </c>
      <c r="H1780" t="inlineStr">
        <is>
          <t>No</t>
        </is>
      </c>
      <c r="I1780" t="inlineStr">
        <is>
          <t>No</t>
        </is>
      </c>
      <c r="J1780" t="inlineStr">
        <is>
          <t>0</t>
        </is>
      </c>
      <c r="K1780" t="inlineStr">
        <is>
          <t>Guitar, Mary Anne.</t>
        </is>
      </c>
      <c r="L1780" t="inlineStr">
        <is>
          <t>Garden City, N.Y., Doubleday, 1968.</t>
        </is>
      </c>
      <c r="M1780" t="inlineStr">
        <is>
          <t>1968</t>
        </is>
      </c>
      <c r="N1780" t="inlineStr">
        <is>
          <t>[1st ed.]</t>
        </is>
      </c>
      <c r="O1780" t="inlineStr">
        <is>
          <t>eng</t>
        </is>
      </c>
      <c r="P1780" t="inlineStr">
        <is>
          <t>nyu</t>
        </is>
      </c>
      <c r="R1780" t="inlineStr">
        <is>
          <t xml:space="preserve">HQ </t>
        </is>
      </c>
      <c r="S1780" t="n">
        <v>9</v>
      </c>
      <c r="T1780" t="n">
        <v>9</v>
      </c>
      <c r="U1780" t="inlineStr">
        <is>
          <t>2002-12-04</t>
        </is>
      </c>
      <c r="V1780" t="inlineStr">
        <is>
          <t>2002-12-04</t>
        </is>
      </c>
      <c r="W1780" t="inlineStr">
        <is>
          <t>1991-12-16</t>
        </is>
      </c>
      <c r="X1780" t="inlineStr">
        <is>
          <t>1991-12-16</t>
        </is>
      </c>
      <c r="Y1780" t="n">
        <v>218</v>
      </c>
      <c r="Z1780" t="n">
        <v>211</v>
      </c>
      <c r="AA1780" t="n">
        <v>213</v>
      </c>
      <c r="AB1780" t="n">
        <v>2</v>
      </c>
      <c r="AC1780" t="n">
        <v>2</v>
      </c>
      <c r="AD1780" t="n">
        <v>1</v>
      </c>
      <c r="AE1780" t="n">
        <v>1</v>
      </c>
      <c r="AF1780" t="n">
        <v>0</v>
      </c>
      <c r="AG1780" t="n">
        <v>0</v>
      </c>
      <c r="AH1780" t="n">
        <v>0</v>
      </c>
      <c r="AI1780" t="n">
        <v>0</v>
      </c>
      <c r="AJ1780" t="n">
        <v>0</v>
      </c>
      <c r="AK1780" t="n">
        <v>0</v>
      </c>
      <c r="AL1780" t="n">
        <v>1</v>
      </c>
      <c r="AM1780" t="n">
        <v>1</v>
      </c>
      <c r="AN1780" t="n">
        <v>0</v>
      </c>
      <c r="AO1780" t="n">
        <v>0</v>
      </c>
      <c r="AP1780" t="inlineStr">
        <is>
          <t>No</t>
        </is>
      </c>
      <c r="AQ1780" t="inlineStr">
        <is>
          <t>Yes</t>
        </is>
      </c>
      <c r="AR1780">
        <f>HYPERLINK("http://catalog.hathitrust.org/Record/012265551","HathiTrust Record")</f>
        <v/>
      </c>
      <c r="AS1780">
        <f>HYPERLINK("https://creighton-primo.hosted.exlibrisgroup.com/primo-explore/search?tab=default_tab&amp;search_scope=EVERYTHING&amp;vid=01CRU&amp;lang=en_US&amp;offset=0&amp;query=any,contains,991003433909702656","Catalog Record")</f>
        <v/>
      </c>
      <c r="AT1780">
        <f>HYPERLINK("http://www.worldcat.org/oclc/969323","WorldCat Record")</f>
        <v/>
      </c>
      <c r="AU1780" t="inlineStr">
        <is>
          <t>231155018:eng</t>
        </is>
      </c>
      <c r="AV1780" t="inlineStr">
        <is>
          <t>969323</t>
        </is>
      </c>
      <c r="AW1780" t="inlineStr">
        <is>
          <t>991003433909702656</t>
        </is>
      </c>
      <c r="AX1780" t="inlineStr">
        <is>
          <t>991003433909702656</t>
        </is>
      </c>
      <c r="AY1780" t="inlineStr">
        <is>
          <t>2260775920002656</t>
        </is>
      </c>
      <c r="AZ1780" t="inlineStr">
        <is>
          <t>BOOK</t>
        </is>
      </c>
      <c r="BC1780" t="inlineStr">
        <is>
          <t>32285000906155</t>
        </is>
      </c>
      <c r="BD1780" t="inlineStr">
        <is>
          <t>893774709</t>
        </is>
      </c>
    </row>
    <row r="1781">
      <c r="A1781" t="inlineStr">
        <is>
          <t>No</t>
        </is>
      </c>
      <c r="B1781" t="inlineStr">
        <is>
          <t>HQ734 .H285 1994</t>
        </is>
      </c>
      <c r="C1781" t="inlineStr">
        <is>
          <t>0                      HQ 0734000H  285         1994</t>
        </is>
      </c>
      <c r="D1781" t="inlineStr">
        <is>
          <t>His needs, her needs : building an affair-proof marriage / Willard F. Harley, Jr.</t>
        </is>
      </c>
      <c r="F1781" t="inlineStr">
        <is>
          <t>No</t>
        </is>
      </c>
      <c r="G1781" t="inlineStr">
        <is>
          <t>1</t>
        </is>
      </c>
      <c r="H1781" t="inlineStr">
        <is>
          <t>No</t>
        </is>
      </c>
      <c r="I1781" t="inlineStr">
        <is>
          <t>No</t>
        </is>
      </c>
      <c r="J1781" t="inlineStr">
        <is>
          <t>0</t>
        </is>
      </c>
      <c r="K1781" t="inlineStr">
        <is>
          <t>Harley, Willard F.</t>
        </is>
      </c>
      <c r="L1781" t="inlineStr">
        <is>
          <t>Grand Rapids, Mich. : F.H. Revell, c1994.</t>
        </is>
      </c>
      <c r="M1781" t="inlineStr">
        <is>
          <t>1994</t>
        </is>
      </c>
      <c r="O1781" t="inlineStr">
        <is>
          <t>eng</t>
        </is>
      </c>
      <c r="P1781" t="inlineStr">
        <is>
          <t>miu</t>
        </is>
      </c>
      <c r="R1781" t="inlineStr">
        <is>
          <t xml:space="preserve">HQ </t>
        </is>
      </c>
      <c r="S1781" t="n">
        <v>1</v>
      </c>
      <c r="T1781" t="n">
        <v>1</v>
      </c>
      <c r="U1781" t="inlineStr">
        <is>
          <t>2006-09-14</t>
        </is>
      </c>
      <c r="V1781" t="inlineStr">
        <is>
          <t>2006-09-14</t>
        </is>
      </c>
      <c r="W1781" t="inlineStr">
        <is>
          <t>2006-09-14</t>
        </is>
      </c>
      <c r="X1781" t="inlineStr">
        <is>
          <t>2006-09-14</t>
        </is>
      </c>
      <c r="Y1781" t="n">
        <v>304</v>
      </c>
      <c r="Z1781" t="n">
        <v>297</v>
      </c>
      <c r="AA1781" t="n">
        <v>1101</v>
      </c>
      <c r="AB1781" t="n">
        <v>6</v>
      </c>
      <c r="AC1781" t="n">
        <v>12</v>
      </c>
      <c r="AD1781" t="n">
        <v>4</v>
      </c>
      <c r="AE1781" t="n">
        <v>6</v>
      </c>
      <c r="AF1781" t="n">
        <v>2</v>
      </c>
      <c r="AG1781" t="n">
        <v>3</v>
      </c>
      <c r="AH1781" t="n">
        <v>0</v>
      </c>
      <c r="AI1781" t="n">
        <v>1</v>
      </c>
      <c r="AJ1781" t="n">
        <v>0</v>
      </c>
      <c r="AK1781" t="n">
        <v>1</v>
      </c>
      <c r="AL1781" t="n">
        <v>2</v>
      </c>
      <c r="AM1781" t="n">
        <v>2</v>
      </c>
      <c r="AN1781" t="n">
        <v>0</v>
      </c>
      <c r="AO1781" t="n">
        <v>0</v>
      </c>
      <c r="AP1781" t="inlineStr">
        <is>
          <t>No</t>
        </is>
      </c>
      <c r="AQ1781" t="inlineStr">
        <is>
          <t>No</t>
        </is>
      </c>
      <c r="AS1781">
        <f>HYPERLINK("https://creighton-primo.hosted.exlibrisgroup.com/primo-explore/search?tab=default_tab&amp;search_scope=EVERYTHING&amp;vid=01CRU&amp;lang=en_US&amp;offset=0&amp;query=any,contains,991004919779702656","Catalog Record")</f>
        <v/>
      </c>
      <c r="AT1781">
        <f>HYPERLINK("http://www.worldcat.org/oclc/30681391","WorldCat Record")</f>
        <v/>
      </c>
      <c r="AU1781" t="inlineStr">
        <is>
          <t>792841061:eng</t>
        </is>
      </c>
      <c r="AV1781" t="inlineStr">
        <is>
          <t>30681391</t>
        </is>
      </c>
      <c r="AW1781" t="inlineStr">
        <is>
          <t>991004919779702656</t>
        </is>
      </c>
      <c r="AX1781" t="inlineStr">
        <is>
          <t>991004919779702656</t>
        </is>
      </c>
      <c r="AY1781" t="inlineStr">
        <is>
          <t>2269000240002656</t>
        </is>
      </c>
      <c r="AZ1781" t="inlineStr">
        <is>
          <t>BOOK</t>
        </is>
      </c>
      <c r="BB1781" t="inlineStr">
        <is>
          <t>9780800714789</t>
        </is>
      </c>
      <c r="BC1781" t="inlineStr">
        <is>
          <t>32285005223820</t>
        </is>
      </c>
      <c r="BD1781" t="inlineStr">
        <is>
          <t>893319771</t>
        </is>
      </c>
    </row>
    <row r="1782">
      <c r="A1782" t="inlineStr">
        <is>
          <t>No</t>
        </is>
      </c>
      <c r="B1782" t="inlineStr">
        <is>
          <t>HQ734 .H357 1983</t>
        </is>
      </c>
      <c r="C1782" t="inlineStr">
        <is>
          <t>0                      HQ 0734000H  357         1983</t>
        </is>
      </c>
      <c r="D1782" t="inlineStr">
        <is>
          <t>The first two years of marriage : foundations for a life together / Thomas N. Hart and Kathleen Fischer Hart.</t>
        </is>
      </c>
      <c r="F1782" t="inlineStr">
        <is>
          <t>No</t>
        </is>
      </c>
      <c r="G1782" t="inlineStr">
        <is>
          <t>1</t>
        </is>
      </c>
      <c r="H1782" t="inlineStr">
        <is>
          <t>No</t>
        </is>
      </c>
      <c r="I1782" t="inlineStr">
        <is>
          <t>No</t>
        </is>
      </c>
      <c r="J1782" t="inlineStr">
        <is>
          <t>0</t>
        </is>
      </c>
      <c r="K1782" t="inlineStr">
        <is>
          <t>Hart, Thomas N.</t>
        </is>
      </c>
      <c r="L1782" t="inlineStr">
        <is>
          <t>New York : Paulist Press, c1983.</t>
        </is>
      </c>
      <c r="M1782" t="inlineStr">
        <is>
          <t>1983</t>
        </is>
      </c>
      <c r="O1782" t="inlineStr">
        <is>
          <t>eng</t>
        </is>
      </c>
      <c r="P1782" t="inlineStr">
        <is>
          <t>nyu</t>
        </is>
      </c>
      <c r="R1782" t="inlineStr">
        <is>
          <t xml:space="preserve">HQ </t>
        </is>
      </c>
      <c r="S1782" t="n">
        <v>20</v>
      </c>
      <c r="T1782" t="n">
        <v>20</v>
      </c>
      <c r="U1782" t="inlineStr">
        <is>
          <t>2006-03-17</t>
        </is>
      </c>
      <c r="V1782" t="inlineStr">
        <is>
          <t>2006-03-17</t>
        </is>
      </c>
      <c r="W1782" t="inlineStr">
        <is>
          <t>1990-12-28</t>
        </is>
      </c>
      <c r="X1782" t="inlineStr">
        <is>
          <t>1990-12-28</t>
        </is>
      </c>
      <c r="Y1782" t="n">
        <v>205</v>
      </c>
      <c r="Z1782" t="n">
        <v>191</v>
      </c>
      <c r="AA1782" t="n">
        <v>196</v>
      </c>
      <c r="AB1782" t="n">
        <v>3</v>
      </c>
      <c r="AC1782" t="n">
        <v>3</v>
      </c>
      <c r="AD1782" t="n">
        <v>14</v>
      </c>
      <c r="AE1782" t="n">
        <v>14</v>
      </c>
      <c r="AF1782" t="n">
        <v>4</v>
      </c>
      <c r="AG1782" t="n">
        <v>4</v>
      </c>
      <c r="AH1782" t="n">
        <v>2</v>
      </c>
      <c r="AI1782" t="n">
        <v>2</v>
      </c>
      <c r="AJ1782" t="n">
        <v>11</v>
      </c>
      <c r="AK1782" t="n">
        <v>11</v>
      </c>
      <c r="AL1782" t="n">
        <v>2</v>
      </c>
      <c r="AM1782" t="n">
        <v>2</v>
      </c>
      <c r="AN1782" t="n">
        <v>0</v>
      </c>
      <c r="AO1782" t="n">
        <v>0</v>
      </c>
      <c r="AP1782" t="inlineStr">
        <is>
          <t>No</t>
        </is>
      </c>
      <c r="AQ1782" t="inlineStr">
        <is>
          <t>No</t>
        </is>
      </c>
      <c r="AS1782">
        <f>HYPERLINK("https://creighton-primo.hosted.exlibrisgroup.com/primo-explore/search?tab=default_tab&amp;search_scope=EVERYTHING&amp;vid=01CRU&amp;lang=en_US&amp;offset=0&amp;query=any,contains,991000360909702656","Catalog Record")</f>
        <v/>
      </c>
      <c r="AT1782">
        <f>HYPERLINK("http://www.worldcat.org/oclc/10365499","WorldCat Record")</f>
        <v/>
      </c>
      <c r="AU1782" t="inlineStr">
        <is>
          <t>3031548:eng</t>
        </is>
      </c>
      <c r="AV1782" t="inlineStr">
        <is>
          <t>10365499</t>
        </is>
      </c>
      <c r="AW1782" t="inlineStr">
        <is>
          <t>991000360909702656</t>
        </is>
      </c>
      <c r="AX1782" t="inlineStr">
        <is>
          <t>991000360909702656</t>
        </is>
      </c>
      <c r="AY1782" t="inlineStr">
        <is>
          <t>2267279760002656</t>
        </is>
      </c>
      <c r="AZ1782" t="inlineStr">
        <is>
          <t>BOOK</t>
        </is>
      </c>
      <c r="BB1782" t="inlineStr">
        <is>
          <t>9780809125531</t>
        </is>
      </c>
      <c r="BC1782" t="inlineStr">
        <is>
          <t>32285000405596</t>
        </is>
      </c>
      <c r="BD1782" t="inlineStr">
        <is>
          <t>893890598</t>
        </is>
      </c>
    </row>
    <row r="1783">
      <c r="A1783" t="inlineStr">
        <is>
          <t>No</t>
        </is>
      </c>
      <c r="B1783" t="inlineStr">
        <is>
          <t>HQ734 .H45 1958</t>
        </is>
      </c>
      <c r="C1783" t="inlineStr">
        <is>
          <t>0                      HQ 0734000H  45          1958</t>
        </is>
      </c>
      <c r="D1783" t="inlineStr">
        <is>
          <t>Marriage guidance : a study of the problems of the married and of those contemplating marriage / Edwin F. Healy.</t>
        </is>
      </c>
      <c r="F1783" t="inlineStr">
        <is>
          <t>No</t>
        </is>
      </c>
      <c r="G1783" t="inlineStr">
        <is>
          <t>1</t>
        </is>
      </c>
      <c r="H1783" t="inlineStr">
        <is>
          <t>No</t>
        </is>
      </c>
      <c r="I1783" t="inlineStr">
        <is>
          <t>No</t>
        </is>
      </c>
      <c r="J1783" t="inlineStr">
        <is>
          <t>0</t>
        </is>
      </c>
      <c r="K1783" t="inlineStr">
        <is>
          <t>Healy, Edwin F., 1897-1957.</t>
        </is>
      </c>
      <c r="L1783" t="inlineStr">
        <is>
          <t>Chicago : Loyola University Press, [1958]</t>
        </is>
      </c>
      <c r="M1783" t="inlineStr">
        <is>
          <t>1958</t>
        </is>
      </c>
      <c r="O1783" t="inlineStr">
        <is>
          <t>eng</t>
        </is>
      </c>
      <c r="P1783" t="inlineStr">
        <is>
          <t>ilu</t>
        </is>
      </c>
      <c r="R1783" t="inlineStr">
        <is>
          <t xml:space="preserve">HQ </t>
        </is>
      </c>
      <c r="S1783" t="n">
        <v>1</v>
      </c>
      <c r="T1783" t="n">
        <v>1</v>
      </c>
      <c r="U1783" t="inlineStr">
        <is>
          <t>2010-07-01</t>
        </is>
      </c>
      <c r="V1783" t="inlineStr">
        <is>
          <t>2010-07-01</t>
        </is>
      </c>
      <c r="W1783" t="inlineStr">
        <is>
          <t>2010-07-01</t>
        </is>
      </c>
      <c r="X1783" t="inlineStr">
        <is>
          <t>2010-07-01</t>
        </is>
      </c>
      <c r="Y1783" t="n">
        <v>54</v>
      </c>
      <c r="Z1783" t="n">
        <v>48</v>
      </c>
      <c r="AA1783" t="n">
        <v>161</v>
      </c>
      <c r="AB1783" t="n">
        <v>1</v>
      </c>
      <c r="AC1783" t="n">
        <v>2</v>
      </c>
      <c r="AD1783" t="n">
        <v>3</v>
      </c>
      <c r="AE1783" t="n">
        <v>22</v>
      </c>
      <c r="AF1783" t="n">
        <v>0</v>
      </c>
      <c r="AG1783" t="n">
        <v>7</v>
      </c>
      <c r="AH1783" t="n">
        <v>0</v>
      </c>
      <c r="AI1783" t="n">
        <v>3</v>
      </c>
      <c r="AJ1783" t="n">
        <v>3</v>
      </c>
      <c r="AK1783" t="n">
        <v>19</v>
      </c>
      <c r="AL1783" t="n">
        <v>0</v>
      </c>
      <c r="AM1783" t="n">
        <v>0</v>
      </c>
      <c r="AN1783" t="n">
        <v>0</v>
      </c>
      <c r="AO1783" t="n">
        <v>0</v>
      </c>
      <c r="AP1783" t="inlineStr">
        <is>
          <t>Yes</t>
        </is>
      </c>
      <c r="AQ1783" t="inlineStr">
        <is>
          <t>No</t>
        </is>
      </c>
      <c r="AR1783">
        <f>HYPERLINK("http://catalog.hathitrust.org/Record/009076785","HathiTrust Record")</f>
        <v/>
      </c>
      <c r="AS1783">
        <f>HYPERLINK("https://creighton-primo.hosted.exlibrisgroup.com/primo-explore/search?tab=default_tab&amp;search_scope=EVERYTHING&amp;vid=01CRU&amp;lang=en_US&amp;offset=0&amp;query=any,contains,991000017099702656","Catalog Record")</f>
        <v/>
      </c>
      <c r="AT1783">
        <f>HYPERLINK("http://www.worldcat.org/oclc/922050","WorldCat Record")</f>
        <v/>
      </c>
      <c r="AU1783" t="inlineStr">
        <is>
          <t>1866898:eng</t>
        </is>
      </c>
      <c r="AV1783" t="inlineStr">
        <is>
          <t>922050</t>
        </is>
      </c>
      <c r="AW1783" t="inlineStr">
        <is>
          <t>991000017099702656</t>
        </is>
      </c>
      <c r="AX1783" t="inlineStr">
        <is>
          <t>991000017099702656</t>
        </is>
      </c>
      <c r="AY1783" t="inlineStr">
        <is>
          <t>2269743150002656</t>
        </is>
      </c>
      <c r="AZ1783" t="inlineStr">
        <is>
          <t>BOOK</t>
        </is>
      </c>
      <c r="BC1783" t="inlineStr">
        <is>
          <t>32285005589378</t>
        </is>
      </c>
      <c r="BD1783" t="inlineStr">
        <is>
          <t>893626157</t>
        </is>
      </c>
    </row>
    <row r="1784">
      <c r="A1784" t="inlineStr">
        <is>
          <t>No</t>
        </is>
      </c>
      <c r="B1784" t="inlineStr">
        <is>
          <t>HQ734 .H795</t>
        </is>
      </c>
      <c r="C1784" t="inlineStr">
        <is>
          <t>0                      HQ 0734000H  795</t>
        </is>
      </c>
      <c r="D1784" t="inlineStr">
        <is>
          <t>Concepts and methodologies in the family : an instructor's resource handbook / Helene M. Hoover and Kenneth H. Hoover.</t>
        </is>
      </c>
      <c r="F1784" t="inlineStr">
        <is>
          <t>No</t>
        </is>
      </c>
      <c r="G1784" t="inlineStr">
        <is>
          <t>1</t>
        </is>
      </c>
      <c r="H1784" t="inlineStr">
        <is>
          <t>No</t>
        </is>
      </c>
      <c r="I1784" t="inlineStr">
        <is>
          <t>No</t>
        </is>
      </c>
      <c r="J1784" t="inlineStr">
        <is>
          <t>0</t>
        </is>
      </c>
      <c r="K1784" t="inlineStr">
        <is>
          <t>Hoover, Helene M.</t>
        </is>
      </c>
      <c r="L1784" t="inlineStr">
        <is>
          <t>Boston : Allyn and Bacon, c1979.</t>
        </is>
      </c>
      <c r="M1784" t="inlineStr">
        <is>
          <t>1979</t>
        </is>
      </c>
      <c r="O1784" t="inlineStr">
        <is>
          <t>eng</t>
        </is>
      </c>
      <c r="P1784" t="inlineStr">
        <is>
          <t>mau</t>
        </is>
      </c>
      <c r="R1784" t="inlineStr">
        <is>
          <t xml:space="preserve">HQ </t>
        </is>
      </c>
      <c r="S1784" t="n">
        <v>10</v>
      </c>
      <c r="T1784" t="n">
        <v>10</v>
      </c>
      <c r="U1784" t="inlineStr">
        <is>
          <t>2000-02-13</t>
        </is>
      </c>
      <c r="V1784" t="inlineStr">
        <is>
          <t>2000-02-13</t>
        </is>
      </c>
      <c r="W1784" t="inlineStr">
        <is>
          <t>1992-10-30</t>
        </is>
      </c>
      <c r="X1784" t="inlineStr">
        <is>
          <t>1992-10-30</t>
        </is>
      </c>
      <c r="Y1784" t="n">
        <v>182</v>
      </c>
      <c r="Z1784" t="n">
        <v>168</v>
      </c>
      <c r="AA1784" t="n">
        <v>168</v>
      </c>
      <c r="AB1784" t="n">
        <v>2</v>
      </c>
      <c r="AC1784" t="n">
        <v>2</v>
      </c>
      <c r="AD1784" t="n">
        <v>4</v>
      </c>
      <c r="AE1784" t="n">
        <v>4</v>
      </c>
      <c r="AF1784" t="n">
        <v>0</v>
      </c>
      <c r="AG1784" t="n">
        <v>0</v>
      </c>
      <c r="AH1784" t="n">
        <v>1</v>
      </c>
      <c r="AI1784" t="n">
        <v>1</v>
      </c>
      <c r="AJ1784" t="n">
        <v>3</v>
      </c>
      <c r="AK1784" t="n">
        <v>3</v>
      </c>
      <c r="AL1784" t="n">
        <v>1</v>
      </c>
      <c r="AM1784" t="n">
        <v>1</v>
      </c>
      <c r="AN1784" t="n">
        <v>0</v>
      </c>
      <c r="AO1784" t="n">
        <v>0</v>
      </c>
      <c r="AP1784" t="inlineStr">
        <is>
          <t>No</t>
        </is>
      </c>
      <c r="AQ1784" t="inlineStr">
        <is>
          <t>No</t>
        </is>
      </c>
      <c r="AS1784">
        <f>HYPERLINK("https://creighton-primo.hosted.exlibrisgroup.com/primo-explore/search?tab=default_tab&amp;search_scope=EVERYTHING&amp;vid=01CRU&amp;lang=en_US&amp;offset=0&amp;query=any,contains,991004556009702656","Catalog Record")</f>
        <v/>
      </c>
      <c r="AT1784">
        <f>HYPERLINK("http://www.worldcat.org/oclc/3966296","WorldCat Record")</f>
        <v/>
      </c>
      <c r="AU1784" t="inlineStr">
        <is>
          <t>1215897509:eng</t>
        </is>
      </c>
      <c r="AV1784" t="inlineStr">
        <is>
          <t>3966296</t>
        </is>
      </c>
      <c r="AW1784" t="inlineStr">
        <is>
          <t>991004556009702656</t>
        </is>
      </c>
      <c r="AX1784" t="inlineStr">
        <is>
          <t>991004556009702656</t>
        </is>
      </c>
      <c r="AY1784" t="inlineStr">
        <is>
          <t>2263812810002656</t>
        </is>
      </c>
      <c r="AZ1784" t="inlineStr">
        <is>
          <t>BOOK</t>
        </is>
      </c>
      <c r="BB1784" t="inlineStr">
        <is>
          <t>9780205061594</t>
        </is>
      </c>
      <c r="BC1784" t="inlineStr">
        <is>
          <t>32285001359362</t>
        </is>
      </c>
      <c r="BD1784" t="inlineStr">
        <is>
          <t>893353450</t>
        </is>
      </c>
    </row>
    <row r="1785">
      <c r="A1785" t="inlineStr">
        <is>
          <t>No</t>
        </is>
      </c>
      <c r="B1785" t="inlineStr">
        <is>
          <t>HQ734 .H869 2001</t>
        </is>
      </c>
      <c r="C1785" t="inlineStr">
        <is>
          <t>0                      HQ 0734000H  869         2001</t>
        </is>
      </c>
      <c r="D1785" t="inlineStr">
        <is>
          <t>Premarital prediction of marital quality or breakup : research, theory, and practice / Thomas B. Holman, with Paul James Birch ... [et al.].</t>
        </is>
      </c>
      <c r="F1785" t="inlineStr">
        <is>
          <t>No</t>
        </is>
      </c>
      <c r="G1785" t="inlineStr">
        <is>
          <t>1</t>
        </is>
      </c>
      <c r="H1785" t="inlineStr">
        <is>
          <t>No</t>
        </is>
      </c>
      <c r="I1785" t="inlineStr">
        <is>
          <t>No</t>
        </is>
      </c>
      <c r="J1785" t="inlineStr">
        <is>
          <t>0</t>
        </is>
      </c>
      <c r="K1785" t="inlineStr">
        <is>
          <t>Holman, Thomas.</t>
        </is>
      </c>
      <c r="L1785" t="inlineStr">
        <is>
          <t>New York : Kluwer Academic/Plenum Publishers, c2001.</t>
        </is>
      </c>
      <c r="M1785" t="inlineStr">
        <is>
          <t>2001</t>
        </is>
      </c>
      <c r="O1785" t="inlineStr">
        <is>
          <t>eng</t>
        </is>
      </c>
      <c r="P1785" t="inlineStr">
        <is>
          <t>nyu</t>
        </is>
      </c>
      <c r="Q1785" t="inlineStr">
        <is>
          <t>Longitudinal research in the social and behavioral sciences</t>
        </is>
      </c>
      <c r="R1785" t="inlineStr">
        <is>
          <t xml:space="preserve">HQ </t>
        </is>
      </c>
      <c r="S1785" t="n">
        <v>3</v>
      </c>
      <c r="T1785" t="n">
        <v>3</v>
      </c>
      <c r="U1785" t="inlineStr">
        <is>
          <t>2008-04-20</t>
        </is>
      </c>
      <c r="V1785" t="inlineStr">
        <is>
          <t>2008-04-20</t>
        </is>
      </c>
      <c r="W1785" t="inlineStr">
        <is>
          <t>2003-03-20</t>
        </is>
      </c>
      <c r="X1785" t="inlineStr">
        <is>
          <t>2003-03-20</t>
        </is>
      </c>
      <c r="Y1785" t="n">
        <v>272</v>
      </c>
      <c r="Z1785" t="n">
        <v>229</v>
      </c>
      <c r="AA1785" t="n">
        <v>1022</v>
      </c>
      <c r="AB1785" t="n">
        <v>3</v>
      </c>
      <c r="AC1785" t="n">
        <v>27</v>
      </c>
      <c r="AD1785" t="n">
        <v>11</v>
      </c>
      <c r="AE1785" t="n">
        <v>37</v>
      </c>
      <c r="AF1785" t="n">
        <v>3</v>
      </c>
      <c r="AG1785" t="n">
        <v>11</v>
      </c>
      <c r="AH1785" t="n">
        <v>3</v>
      </c>
      <c r="AI1785" t="n">
        <v>8</v>
      </c>
      <c r="AJ1785" t="n">
        <v>5</v>
      </c>
      <c r="AK1785" t="n">
        <v>15</v>
      </c>
      <c r="AL1785" t="n">
        <v>2</v>
      </c>
      <c r="AM1785" t="n">
        <v>12</v>
      </c>
      <c r="AN1785" t="n">
        <v>0</v>
      </c>
      <c r="AO1785" t="n">
        <v>0</v>
      </c>
      <c r="AP1785" t="inlineStr">
        <is>
          <t>No</t>
        </is>
      </c>
      <c r="AQ1785" t="inlineStr">
        <is>
          <t>No</t>
        </is>
      </c>
      <c r="AS1785">
        <f>HYPERLINK("https://creighton-primo.hosted.exlibrisgroup.com/primo-explore/search?tab=default_tab&amp;search_scope=EVERYTHING&amp;vid=01CRU&amp;lang=en_US&amp;offset=0&amp;query=any,contains,991003989079702656","Catalog Record")</f>
        <v/>
      </c>
      <c r="AT1785">
        <f>HYPERLINK("http://www.worldcat.org/oclc/43434524","WorldCat Record")</f>
        <v/>
      </c>
      <c r="AU1785" t="inlineStr">
        <is>
          <t>793911775:eng</t>
        </is>
      </c>
      <c r="AV1785" t="inlineStr">
        <is>
          <t>43434524</t>
        </is>
      </c>
      <c r="AW1785" t="inlineStr">
        <is>
          <t>991003989079702656</t>
        </is>
      </c>
      <c r="AX1785" t="inlineStr">
        <is>
          <t>991003989079702656</t>
        </is>
      </c>
      <c r="AY1785" t="inlineStr">
        <is>
          <t>2255710310002656</t>
        </is>
      </c>
      <c r="AZ1785" t="inlineStr">
        <is>
          <t>BOOK</t>
        </is>
      </c>
      <c r="BB1785" t="inlineStr">
        <is>
          <t>9780306463266</t>
        </is>
      </c>
      <c r="BC1785" t="inlineStr">
        <is>
          <t>32285004685953</t>
        </is>
      </c>
      <c r="BD1785" t="inlineStr">
        <is>
          <t>893331081</t>
        </is>
      </c>
    </row>
    <row r="1786">
      <c r="A1786" t="inlineStr">
        <is>
          <t>No</t>
        </is>
      </c>
      <c r="B1786" t="inlineStr">
        <is>
          <t>HQ734 .J63</t>
        </is>
      </c>
      <c r="C1786" t="inlineStr">
        <is>
          <t>0                      HQ 0734000J  63</t>
        </is>
      </c>
      <c r="D1786" t="inlineStr">
        <is>
          <t>Two careers--one marriage / William M. Jones and Ruth A. Jones.</t>
        </is>
      </c>
      <c r="F1786" t="inlineStr">
        <is>
          <t>No</t>
        </is>
      </c>
      <c r="G1786" t="inlineStr">
        <is>
          <t>1</t>
        </is>
      </c>
      <c r="H1786" t="inlineStr">
        <is>
          <t>No</t>
        </is>
      </c>
      <c r="I1786" t="inlineStr">
        <is>
          <t>No</t>
        </is>
      </c>
      <c r="J1786" t="inlineStr">
        <is>
          <t>0</t>
        </is>
      </c>
      <c r="K1786" t="inlineStr">
        <is>
          <t>Jones, William McKendrey.</t>
        </is>
      </c>
      <c r="L1786" t="inlineStr">
        <is>
          <t>New York : AMACOM, c1980.</t>
        </is>
      </c>
      <c r="M1786" t="inlineStr">
        <is>
          <t>1980</t>
        </is>
      </c>
      <c r="O1786" t="inlineStr">
        <is>
          <t>eng</t>
        </is>
      </c>
      <c r="P1786" t="inlineStr">
        <is>
          <t>nyu</t>
        </is>
      </c>
      <c r="R1786" t="inlineStr">
        <is>
          <t xml:space="preserve">HQ </t>
        </is>
      </c>
      <c r="S1786" t="n">
        <v>6</v>
      </c>
      <c r="T1786" t="n">
        <v>6</v>
      </c>
      <c r="U1786" t="inlineStr">
        <is>
          <t>1996-11-16</t>
        </is>
      </c>
      <c r="V1786" t="inlineStr">
        <is>
          <t>1996-11-16</t>
        </is>
      </c>
      <c r="W1786" t="inlineStr">
        <is>
          <t>1990-04-20</t>
        </is>
      </c>
      <c r="X1786" t="inlineStr">
        <is>
          <t>1990-04-20</t>
        </is>
      </c>
      <c r="Y1786" t="n">
        <v>420</v>
      </c>
      <c r="Z1786" t="n">
        <v>390</v>
      </c>
      <c r="AA1786" t="n">
        <v>390</v>
      </c>
      <c r="AB1786" t="n">
        <v>4</v>
      </c>
      <c r="AC1786" t="n">
        <v>4</v>
      </c>
      <c r="AD1786" t="n">
        <v>16</v>
      </c>
      <c r="AE1786" t="n">
        <v>16</v>
      </c>
      <c r="AF1786" t="n">
        <v>5</v>
      </c>
      <c r="AG1786" t="n">
        <v>5</v>
      </c>
      <c r="AH1786" t="n">
        <v>3</v>
      </c>
      <c r="AI1786" t="n">
        <v>3</v>
      </c>
      <c r="AJ1786" t="n">
        <v>11</v>
      </c>
      <c r="AK1786" t="n">
        <v>11</v>
      </c>
      <c r="AL1786" t="n">
        <v>3</v>
      </c>
      <c r="AM1786" t="n">
        <v>3</v>
      </c>
      <c r="AN1786" t="n">
        <v>0</v>
      </c>
      <c r="AO1786" t="n">
        <v>0</v>
      </c>
      <c r="AP1786" t="inlineStr">
        <is>
          <t>No</t>
        </is>
      </c>
      <c r="AQ1786" t="inlineStr">
        <is>
          <t>No</t>
        </is>
      </c>
      <c r="AS1786">
        <f>HYPERLINK("https://creighton-primo.hosted.exlibrisgroup.com/primo-explore/search?tab=default_tab&amp;search_scope=EVERYTHING&amp;vid=01CRU&amp;lang=en_US&amp;offset=0&amp;query=any,contains,991004868879702656","Catalog Record")</f>
        <v/>
      </c>
      <c r="AT1786">
        <f>HYPERLINK("http://www.worldcat.org/oclc/5749714","WorldCat Record")</f>
        <v/>
      </c>
      <c r="AU1786" t="inlineStr">
        <is>
          <t>20323692:eng</t>
        </is>
      </c>
      <c r="AV1786" t="inlineStr">
        <is>
          <t>5749714</t>
        </is>
      </c>
      <c r="AW1786" t="inlineStr">
        <is>
          <t>991004868879702656</t>
        </is>
      </c>
      <c r="AX1786" t="inlineStr">
        <is>
          <t>991004868879702656</t>
        </is>
      </c>
      <c r="AY1786" t="inlineStr">
        <is>
          <t>2262017670002656</t>
        </is>
      </c>
      <c r="AZ1786" t="inlineStr">
        <is>
          <t>BOOK</t>
        </is>
      </c>
      <c r="BB1786" t="inlineStr">
        <is>
          <t>9780814455890</t>
        </is>
      </c>
      <c r="BC1786" t="inlineStr">
        <is>
          <t>32285000124155</t>
        </is>
      </c>
      <c r="BD1786" t="inlineStr">
        <is>
          <t>893706941</t>
        </is>
      </c>
    </row>
    <row r="1787">
      <c r="A1787" t="inlineStr">
        <is>
          <t>No</t>
        </is>
      </c>
      <c r="B1787" t="inlineStr">
        <is>
          <t>HQ734 .K245</t>
        </is>
      </c>
      <c r="C1787" t="inlineStr">
        <is>
          <t>0                      HQ 0734000K  245</t>
        </is>
      </c>
      <c r="D1787" t="inlineStr">
        <is>
          <t>Sexual behavior &amp; family life in transition / Thomas M. Kando.</t>
        </is>
      </c>
      <c r="F1787" t="inlineStr">
        <is>
          <t>No</t>
        </is>
      </c>
      <c r="G1787" t="inlineStr">
        <is>
          <t>1</t>
        </is>
      </c>
      <c r="H1787" t="inlineStr">
        <is>
          <t>No</t>
        </is>
      </c>
      <c r="I1787" t="inlineStr">
        <is>
          <t>No</t>
        </is>
      </c>
      <c r="J1787" t="inlineStr">
        <is>
          <t>0</t>
        </is>
      </c>
      <c r="K1787" t="inlineStr">
        <is>
          <t>Kando, Thomas M., 1941-</t>
        </is>
      </c>
      <c r="L1787" t="inlineStr">
        <is>
          <t>New York : Elsevier, c1978.</t>
        </is>
      </c>
      <c r="M1787" t="inlineStr">
        <is>
          <t>1978</t>
        </is>
      </c>
      <c r="O1787" t="inlineStr">
        <is>
          <t>eng</t>
        </is>
      </c>
      <c r="P1787" t="inlineStr">
        <is>
          <t>nyu</t>
        </is>
      </c>
      <c r="R1787" t="inlineStr">
        <is>
          <t xml:space="preserve">HQ </t>
        </is>
      </c>
      <c r="S1787" t="n">
        <v>5</v>
      </c>
      <c r="T1787" t="n">
        <v>5</v>
      </c>
      <c r="U1787" t="inlineStr">
        <is>
          <t>1994-06-09</t>
        </is>
      </c>
      <c r="V1787" t="inlineStr">
        <is>
          <t>1994-06-09</t>
        </is>
      </c>
      <c r="W1787" t="inlineStr">
        <is>
          <t>1992-10-30</t>
        </is>
      </c>
      <c r="X1787" t="inlineStr">
        <is>
          <t>1992-10-30</t>
        </is>
      </c>
      <c r="Y1787" t="n">
        <v>237</v>
      </c>
      <c r="Z1787" t="n">
        <v>163</v>
      </c>
      <c r="AA1787" t="n">
        <v>164</v>
      </c>
      <c r="AB1787" t="n">
        <v>2</v>
      </c>
      <c r="AC1787" t="n">
        <v>2</v>
      </c>
      <c r="AD1787" t="n">
        <v>6</v>
      </c>
      <c r="AE1787" t="n">
        <v>6</v>
      </c>
      <c r="AF1787" t="n">
        <v>1</v>
      </c>
      <c r="AG1787" t="n">
        <v>1</v>
      </c>
      <c r="AH1787" t="n">
        <v>2</v>
      </c>
      <c r="AI1787" t="n">
        <v>2</v>
      </c>
      <c r="AJ1787" t="n">
        <v>4</v>
      </c>
      <c r="AK1787" t="n">
        <v>4</v>
      </c>
      <c r="AL1787" t="n">
        <v>1</v>
      </c>
      <c r="AM1787" t="n">
        <v>1</v>
      </c>
      <c r="AN1787" t="n">
        <v>0</v>
      </c>
      <c r="AO1787" t="n">
        <v>0</v>
      </c>
      <c r="AP1787" t="inlineStr">
        <is>
          <t>No</t>
        </is>
      </c>
      <c r="AQ1787" t="inlineStr">
        <is>
          <t>Yes</t>
        </is>
      </c>
      <c r="AR1787">
        <f>HYPERLINK("http://catalog.hathitrust.org/Record/101979425","HathiTrust Record")</f>
        <v/>
      </c>
      <c r="AS1787">
        <f>HYPERLINK("https://creighton-primo.hosted.exlibrisgroup.com/primo-explore/search?tab=default_tab&amp;search_scope=EVERYTHING&amp;vid=01CRU&amp;lang=en_US&amp;offset=0&amp;query=any,contains,991004575079702656","Catalog Record")</f>
        <v/>
      </c>
      <c r="AT1787">
        <f>HYPERLINK("http://www.worldcat.org/oclc/4037209","WorldCat Record")</f>
        <v/>
      </c>
      <c r="AU1787" t="inlineStr">
        <is>
          <t>483579:eng</t>
        </is>
      </c>
      <c r="AV1787" t="inlineStr">
        <is>
          <t>4037209</t>
        </is>
      </c>
      <c r="AW1787" t="inlineStr">
        <is>
          <t>991004575079702656</t>
        </is>
      </c>
      <c r="AX1787" t="inlineStr">
        <is>
          <t>991004575079702656</t>
        </is>
      </c>
      <c r="AY1787" t="inlineStr">
        <is>
          <t>2269144650002656</t>
        </is>
      </c>
      <c r="AZ1787" t="inlineStr">
        <is>
          <t>BOOK</t>
        </is>
      </c>
      <c r="BB1787" t="inlineStr">
        <is>
          <t>9780444990495</t>
        </is>
      </c>
      <c r="BC1787" t="inlineStr">
        <is>
          <t>32285001359388</t>
        </is>
      </c>
      <c r="BD1787" t="inlineStr">
        <is>
          <t>893259887</t>
        </is>
      </c>
    </row>
    <row r="1788">
      <c r="A1788" t="inlineStr">
        <is>
          <t>No</t>
        </is>
      </c>
      <c r="B1788" t="inlineStr">
        <is>
          <t>HQ734 .K37</t>
        </is>
      </c>
      <c r="C1788" t="inlineStr">
        <is>
          <t>0                      HQ 0734000K  37</t>
        </is>
      </c>
      <c r="D1788" t="inlineStr">
        <is>
          <t>The Catholic marriage manual.</t>
        </is>
      </c>
      <c r="F1788" t="inlineStr">
        <is>
          <t>No</t>
        </is>
      </c>
      <c r="G1788" t="inlineStr">
        <is>
          <t>1</t>
        </is>
      </c>
      <c r="H1788" t="inlineStr">
        <is>
          <t>No</t>
        </is>
      </c>
      <c r="I1788" t="inlineStr">
        <is>
          <t>No</t>
        </is>
      </c>
      <c r="J1788" t="inlineStr">
        <is>
          <t>0</t>
        </is>
      </c>
      <c r="K1788" t="inlineStr">
        <is>
          <t>Kelly, George Anthony, 1916-2004.</t>
        </is>
      </c>
      <c r="L1788" t="inlineStr">
        <is>
          <t>New York, Random House [1958]</t>
        </is>
      </c>
      <c r="M1788" t="inlineStr">
        <is>
          <t>1958</t>
        </is>
      </c>
      <c r="O1788" t="inlineStr">
        <is>
          <t>eng</t>
        </is>
      </c>
      <c r="P1788" t="inlineStr">
        <is>
          <t>nyu</t>
        </is>
      </c>
      <c r="R1788" t="inlineStr">
        <is>
          <t xml:space="preserve">HQ </t>
        </is>
      </c>
      <c r="S1788" t="n">
        <v>1</v>
      </c>
      <c r="T1788" t="n">
        <v>1</v>
      </c>
      <c r="U1788" t="inlineStr">
        <is>
          <t>2002-03-27</t>
        </is>
      </c>
      <c r="V1788" t="inlineStr">
        <is>
          <t>2002-03-27</t>
        </is>
      </c>
      <c r="W1788" t="inlineStr">
        <is>
          <t>1997-08-11</t>
        </is>
      </c>
      <c r="X1788" t="inlineStr">
        <is>
          <t>1997-08-11</t>
        </is>
      </c>
      <c r="Y1788" t="n">
        <v>362</v>
      </c>
      <c r="Z1788" t="n">
        <v>330</v>
      </c>
      <c r="AA1788" t="n">
        <v>341</v>
      </c>
      <c r="AB1788" t="n">
        <v>8</v>
      </c>
      <c r="AC1788" t="n">
        <v>8</v>
      </c>
      <c r="AD1788" t="n">
        <v>33</v>
      </c>
      <c r="AE1788" t="n">
        <v>33</v>
      </c>
      <c r="AF1788" t="n">
        <v>9</v>
      </c>
      <c r="AG1788" t="n">
        <v>9</v>
      </c>
      <c r="AH1788" t="n">
        <v>8</v>
      </c>
      <c r="AI1788" t="n">
        <v>8</v>
      </c>
      <c r="AJ1788" t="n">
        <v>21</v>
      </c>
      <c r="AK1788" t="n">
        <v>21</v>
      </c>
      <c r="AL1788" t="n">
        <v>3</v>
      </c>
      <c r="AM1788" t="n">
        <v>3</v>
      </c>
      <c r="AN1788" t="n">
        <v>0</v>
      </c>
      <c r="AO1788" t="n">
        <v>0</v>
      </c>
      <c r="AP1788" t="inlineStr">
        <is>
          <t>Yes</t>
        </is>
      </c>
      <c r="AQ1788" t="inlineStr">
        <is>
          <t>No</t>
        </is>
      </c>
      <c r="AR1788">
        <f>HYPERLINK("http://catalog.hathitrust.org/Record/010551373","HathiTrust Record")</f>
        <v/>
      </c>
      <c r="AS1788">
        <f>HYPERLINK("https://creighton-primo.hosted.exlibrisgroup.com/primo-explore/search?tab=default_tab&amp;search_scope=EVERYTHING&amp;vid=01CRU&amp;lang=en_US&amp;offset=0&amp;query=any,contains,991003426369702656","Catalog Record")</f>
        <v/>
      </c>
      <c r="AT1788">
        <f>HYPERLINK("http://www.worldcat.org/oclc/964699","WorldCat Record")</f>
        <v/>
      </c>
      <c r="AU1788" t="inlineStr">
        <is>
          <t>58300991:eng</t>
        </is>
      </c>
      <c r="AV1788" t="inlineStr">
        <is>
          <t>964699</t>
        </is>
      </c>
      <c r="AW1788" t="inlineStr">
        <is>
          <t>991003426369702656</t>
        </is>
      </c>
      <c r="AX1788" t="inlineStr">
        <is>
          <t>991003426369702656</t>
        </is>
      </c>
      <c r="AY1788" t="inlineStr">
        <is>
          <t>2261753160002656</t>
        </is>
      </c>
      <c r="AZ1788" t="inlineStr">
        <is>
          <t>BOOK</t>
        </is>
      </c>
      <c r="BC1788" t="inlineStr">
        <is>
          <t>32285003089611</t>
        </is>
      </c>
      <c r="BD1788" t="inlineStr">
        <is>
          <t>893874740</t>
        </is>
      </c>
    </row>
    <row r="1789">
      <c r="A1789" t="inlineStr">
        <is>
          <t>No</t>
        </is>
      </c>
      <c r="B1789" t="inlineStr">
        <is>
          <t>HQ734 .K67</t>
        </is>
      </c>
      <c r="C1789" t="inlineStr">
        <is>
          <t>0                      HQ 0734000K  67</t>
        </is>
      </c>
      <c r="D1789" t="inlineStr">
        <is>
          <t>Marriage : who? when? why?</t>
        </is>
      </c>
      <c r="F1789" t="inlineStr">
        <is>
          <t>No</t>
        </is>
      </c>
      <c r="G1789" t="inlineStr">
        <is>
          <t>1</t>
        </is>
      </c>
      <c r="H1789" t="inlineStr">
        <is>
          <t>No</t>
        </is>
      </c>
      <c r="I1789" t="inlineStr">
        <is>
          <t>No</t>
        </is>
      </c>
      <c r="J1789" t="inlineStr">
        <is>
          <t>0</t>
        </is>
      </c>
      <c r="K1789" t="inlineStr">
        <is>
          <t>Knox, David, 1943-</t>
        </is>
      </c>
      <c r="L1789" t="inlineStr">
        <is>
          <t>Englewood Cliffs, N.J. : Prentice-Hall, [1974, c1975]</t>
        </is>
      </c>
      <c r="M1789" t="inlineStr">
        <is>
          <t>1974</t>
        </is>
      </c>
      <c r="O1789" t="inlineStr">
        <is>
          <t>eng</t>
        </is>
      </c>
      <c r="P1789" t="inlineStr">
        <is>
          <t>nju</t>
        </is>
      </c>
      <c r="Q1789" t="inlineStr">
        <is>
          <t>Prentice-Hall sociology series</t>
        </is>
      </c>
      <c r="R1789" t="inlineStr">
        <is>
          <t xml:space="preserve">HQ </t>
        </is>
      </c>
      <c r="S1789" t="n">
        <v>19</v>
      </c>
      <c r="T1789" t="n">
        <v>19</v>
      </c>
      <c r="U1789" t="inlineStr">
        <is>
          <t>2002-12-04</t>
        </is>
      </c>
      <c r="V1789" t="inlineStr">
        <is>
          <t>2002-12-04</t>
        </is>
      </c>
      <c r="W1789" t="inlineStr">
        <is>
          <t>1995-05-01</t>
        </is>
      </c>
      <c r="X1789" t="inlineStr">
        <is>
          <t>1995-05-01</t>
        </is>
      </c>
      <c r="Y1789" t="n">
        <v>199</v>
      </c>
      <c r="Z1789" t="n">
        <v>164</v>
      </c>
      <c r="AA1789" t="n">
        <v>169</v>
      </c>
      <c r="AB1789" t="n">
        <v>2</v>
      </c>
      <c r="AC1789" t="n">
        <v>2</v>
      </c>
      <c r="AD1789" t="n">
        <v>3</v>
      </c>
      <c r="AE1789" t="n">
        <v>3</v>
      </c>
      <c r="AF1789" t="n">
        <v>0</v>
      </c>
      <c r="AG1789" t="n">
        <v>0</v>
      </c>
      <c r="AH1789" t="n">
        <v>0</v>
      </c>
      <c r="AI1789" t="n">
        <v>0</v>
      </c>
      <c r="AJ1789" t="n">
        <v>2</v>
      </c>
      <c r="AK1789" t="n">
        <v>2</v>
      </c>
      <c r="AL1789" t="n">
        <v>1</v>
      </c>
      <c r="AM1789" t="n">
        <v>1</v>
      </c>
      <c r="AN1789" t="n">
        <v>0</v>
      </c>
      <c r="AO1789" t="n">
        <v>0</v>
      </c>
      <c r="AP1789" t="inlineStr">
        <is>
          <t>No</t>
        </is>
      </c>
      <c r="AQ1789" t="inlineStr">
        <is>
          <t>No</t>
        </is>
      </c>
      <c r="AS1789">
        <f>HYPERLINK("https://creighton-primo.hosted.exlibrisgroup.com/primo-explore/search?tab=default_tab&amp;search_scope=EVERYTHING&amp;vid=01CRU&amp;lang=en_US&amp;offset=0&amp;query=any,contains,991003409549702656","Catalog Record")</f>
        <v/>
      </c>
      <c r="AT1789">
        <f>HYPERLINK("http://www.worldcat.org/oclc/948053","WorldCat Record")</f>
        <v/>
      </c>
      <c r="AU1789" t="inlineStr">
        <is>
          <t>9593891929:eng</t>
        </is>
      </c>
      <c r="AV1789" t="inlineStr">
        <is>
          <t>948053</t>
        </is>
      </c>
      <c r="AW1789" t="inlineStr">
        <is>
          <t>991003409549702656</t>
        </is>
      </c>
      <c r="AX1789" t="inlineStr">
        <is>
          <t>991003409549702656</t>
        </is>
      </c>
      <c r="AY1789" t="inlineStr">
        <is>
          <t>2264927180002656</t>
        </is>
      </c>
      <c r="AZ1789" t="inlineStr">
        <is>
          <t>BOOK</t>
        </is>
      </c>
      <c r="BB1789" t="inlineStr">
        <is>
          <t>9780135593363</t>
        </is>
      </c>
      <c r="BC1789" t="inlineStr">
        <is>
          <t>32285002021045</t>
        </is>
      </c>
      <c r="BD1789" t="inlineStr">
        <is>
          <t>893317963</t>
        </is>
      </c>
    </row>
    <row r="1790">
      <c r="A1790" t="inlineStr">
        <is>
          <t>No</t>
        </is>
      </c>
      <c r="B1790" t="inlineStr">
        <is>
          <t>HQ734 .L22 1985</t>
        </is>
      </c>
      <c r="C1790" t="inlineStr">
        <is>
          <t>0                      HQ 0734000L  22          1985</t>
        </is>
      </c>
      <c r="D1790" t="inlineStr">
        <is>
          <t>Marriages and families : making choices throughout the life cycle / Mary Ann Lamanna, Agnes Riedmann.</t>
        </is>
      </c>
      <c r="F1790" t="inlineStr">
        <is>
          <t>No</t>
        </is>
      </c>
      <c r="G1790" t="inlineStr">
        <is>
          <t>1</t>
        </is>
      </c>
      <c r="H1790" t="inlineStr">
        <is>
          <t>No</t>
        </is>
      </c>
      <c r="I1790" t="inlineStr">
        <is>
          <t>No</t>
        </is>
      </c>
      <c r="J1790" t="inlineStr">
        <is>
          <t>0</t>
        </is>
      </c>
      <c r="K1790" t="inlineStr">
        <is>
          <t>Lamanna, Mary Ann.</t>
        </is>
      </c>
      <c r="L1790" t="inlineStr">
        <is>
          <t>Belmont, Calif. : Wadsworth Pub. Co., c1985.</t>
        </is>
      </c>
      <c r="M1790" t="inlineStr">
        <is>
          <t>1985</t>
        </is>
      </c>
      <c r="N1790" t="inlineStr">
        <is>
          <t>2nd ed.</t>
        </is>
      </c>
      <c r="O1790" t="inlineStr">
        <is>
          <t>eng</t>
        </is>
      </c>
      <c r="P1790" t="inlineStr">
        <is>
          <t>cau</t>
        </is>
      </c>
      <c r="R1790" t="inlineStr">
        <is>
          <t xml:space="preserve">HQ </t>
        </is>
      </c>
      <c r="S1790" t="n">
        <v>14</v>
      </c>
      <c r="T1790" t="n">
        <v>14</v>
      </c>
      <c r="U1790" t="inlineStr">
        <is>
          <t>1996-05-01</t>
        </is>
      </c>
      <c r="V1790" t="inlineStr">
        <is>
          <t>1996-05-01</t>
        </is>
      </c>
      <c r="W1790" t="inlineStr">
        <is>
          <t>1990-03-28</t>
        </is>
      </c>
      <c r="X1790" t="inlineStr">
        <is>
          <t>1990-03-28</t>
        </is>
      </c>
      <c r="Y1790" t="n">
        <v>125</v>
      </c>
      <c r="Z1790" t="n">
        <v>98</v>
      </c>
      <c r="AA1790" t="n">
        <v>181</v>
      </c>
      <c r="AB1790" t="n">
        <v>2</v>
      </c>
      <c r="AC1790" t="n">
        <v>2</v>
      </c>
      <c r="AD1790" t="n">
        <v>2</v>
      </c>
      <c r="AE1790" t="n">
        <v>5</v>
      </c>
      <c r="AF1790" t="n">
        <v>1</v>
      </c>
      <c r="AG1790" t="n">
        <v>2</v>
      </c>
      <c r="AH1790" t="n">
        <v>0</v>
      </c>
      <c r="AI1790" t="n">
        <v>0</v>
      </c>
      <c r="AJ1790" t="n">
        <v>1</v>
      </c>
      <c r="AK1790" t="n">
        <v>4</v>
      </c>
      <c r="AL1790" t="n">
        <v>1</v>
      </c>
      <c r="AM1790" t="n">
        <v>1</v>
      </c>
      <c r="AN1790" t="n">
        <v>0</v>
      </c>
      <c r="AO1790" t="n">
        <v>0</v>
      </c>
      <c r="AP1790" t="inlineStr">
        <is>
          <t>No</t>
        </is>
      </c>
      <c r="AQ1790" t="inlineStr">
        <is>
          <t>No</t>
        </is>
      </c>
      <c r="AS1790">
        <f>HYPERLINK("https://creighton-primo.hosted.exlibrisgroup.com/primo-explore/search?tab=default_tab&amp;search_scope=EVERYTHING&amp;vid=01CRU&amp;lang=en_US&amp;offset=0&amp;query=any,contains,991000507269702656","Catalog Record")</f>
        <v/>
      </c>
      <c r="AT1790">
        <f>HYPERLINK("http://www.worldcat.org/oclc/11212334","WorldCat Record")</f>
        <v/>
      </c>
      <c r="AU1790" t="inlineStr">
        <is>
          <t>3943267117:eng</t>
        </is>
      </c>
      <c r="AV1790" t="inlineStr">
        <is>
          <t>11212334</t>
        </is>
      </c>
      <c r="AW1790" t="inlineStr">
        <is>
          <t>991000507269702656</t>
        </is>
      </c>
      <c r="AX1790" t="inlineStr">
        <is>
          <t>991000507269702656</t>
        </is>
      </c>
      <c r="AY1790" t="inlineStr">
        <is>
          <t>2256855240002656</t>
        </is>
      </c>
      <c r="AZ1790" t="inlineStr">
        <is>
          <t>BOOK</t>
        </is>
      </c>
      <c r="BB1790" t="inlineStr">
        <is>
          <t>9780534040475</t>
        </is>
      </c>
      <c r="BC1790" t="inlineStr">
        <is>
          <t>32285000099936</t>
        </is>
      </c>
      <c r="BD1790" t="inlineStr">
        <is>
          <t>893884446</t>
        </is>
      </c>
    </row>
    <row r="1791">
      <c r="A1791" t="inlineStr">
        <is>
          <t>No</t>
        </is>
      </c>
      <c r="B1791" t="inlineStr">
        <is>
          <t>HQ734 .L25 1963</t>
        </is>
      </c>
      <c r="C1791" t="inlineStr">
        <is>
          <t>0                      HQ 0734000L  25          1963</t>
        </is>
      </c>
      <c r="D1791" t="inlineStr">
        <is>
          <t>Building a successful marriage.</t>
        </is>
      </c>
      <c r="F1791" t="inlineStr">
        <is>
          <t>No</t>
        </is>
      </c>
      <c r="G1791" t="inlineStr">
        <is>
          <t>1</t>
        </is>
      </c>
      <c r="H1791" t="inlineStr">
        <is>
          <t>No</t>
        </is>
      </c>
      <c r="I1791" t="inlineStr">
        <is>
          <t>Yes</t>
        </is>
      </c>
      <c r="J1791" t="inlineStr">
        <is>
          <t>0</t>
        </is>
      </c>
      <c r="K1791" t="inlineStr">
        <is>
          <t>Landis, Judson T. (Judson Taylor), 1906-1982.</t>
        </is>
      </c>
      <c r="L1791" t="inlineStr">
        <is>
          <t>Prentice-Hall [1963]</t>
        </is>
      </c>
      <c r="M1791" t="inlineStr">
        <is>
          <t>1963</t>
        </is>
      </c>
      <c r="N1791" t="inlineStr">
        <is>
          <t>4th ed.</t>
        </is>
      </c>
      <c r="O1791" t="inlineStr">
        <is>
          <t>eng</t>
        </is>
      </c>
      <c r="P1791" t="inlineStr">
        <is>
          <t>___</t>
        </is>
      </c>
      <c r="R1791" t="inlineStr">
        <is>
          <t xml:space="preserve">HQ </t>
        </is>
      </c>
      <c r="S1791" t="n">
        <v>2</v>
      </c>
      <c r="T1791" t="n">
        <v>2</v>
      </c>
      <c r="U1791" t="inlineStr">
        <is>
          <t>1995-11-01</t>
        </is>
      </c>
      <c r="V1791" t="inlineStr">
        <is>
          <t>1995-11-01</t>
        </is>
      </c>
      <c r="W1791" t="inlineStr">
        <is>
          <t>1993-04-05</t>
        </is>
      </c>
      <c r="X1791" t="inlineStr">
        <is>
          <t>1993-04-05</t>
        </is>
      </c>
      <c r="Y1791" t="n">
        <v>229</v>
      </c>
      <c r="Z1791" t="n">
        <v>208</v>
      </c>
      <c r="AA1791" t="n">
        <v>907</v>
      </c>
      <c r="AB1791" t="n">
        <v>3</v>
      </c>
      <c r="AC1791" t="n">
        <v>10</v>
      </c>
      <c r="AD1791" t="n">
        <v>6</v>
      </c>
      <c r="AE1791" t="n">
        <v>26</v>
      </c>
      <c r="AF1791" t="n">
        <v>0</v>
      </c>
      <c r="AG1791" t="n">
        <v>8</v>
      </c>
      <c r="AH1791" t="n">
        <v>0</v>
      </c>
      <c r="AI1791" t="n">
        <v>4</v>
      </c>
      <c r="AJ1791" t="n">
        <v>4</v>
      </c>
      <c r="AK1791" t="n">
        <v>14</v>
      </c>
      <c r="AL1791" t="n">
        <v>2</v>
      </c>
      <c r="AM1791" t="n">
        <v>6</v>
      </c>
      <c r="AN1791" t="n">
        <v>0</v>
      </c>
      <c r="AO1791" t="n">
        <v>0</v>
      </c>
      <c r="AP1791" t="inlineStr">
        <is>
          <t>No</t>
        </is>
      </c>
      <c r="AQ1791" t="inlineStr">
        <is>
          <t>Yes</t>
        </is>
      </c>
      <c r="AR1791">
        <f>HYPERLINK("http://catalog.hathitrust.org/Record/000977592","HathiTrust Record")</f>
        <v/>
      </c>
      <c r="AS1791">
        <f>HYPERLINK("https://creighton-primo.hosted.exlibrisgroup.com/primo-explore/search?tab=default_tab&amp;search_scope=EVERYTHING&amp;vid=01CRU&amp;lang=en_US&amp;offset=0&amp;query=any,contains,991002029849702656","Catalog Record")</f>
        <v/>
      </c>
      <c r="AT1791">
        <f>HYPERLINK("http://www.worldcat.org/oclc/260056","WorldCat Record")</f>
        <v/>
      </c>
      <c r="AU1791" t="inlineStr">
        <is>
          <t>1482526:eng</t>
        </is>
      </c>
      <c r="AV1791" t="inlineStr">
        <is>
          <t>260056</t>
        </is>
      </c>
      <c r="AW1791" t="inlineStr">
        <is>
          <t>991002029849702656</t>
        </is>
      </c>
      <c r="AX1791" t="inlineStr">
        <is>
          <t>991002029849702656</t>
        </is>
      </c>
      <c r="AY1791" t="inlineStr">
        <is>
          <t>2266171010002656</t>
        </is>
      </c>
      <c r="AZ1791" t="inlineStr">
        <is>
          <t>BOOK</t>
        </is>
      </c>
      <c r="BC1791" t="inlineStr">
        <is>
          <t>32285001602548</t>
        </is>
      </c>
      <c r="BD1791" t="inlineStr">
        <is>
          <t>893697263</t>
        </is>
      </c>
    </row>
    <row r="1792">
      <c r="A1792" t="inlineStr">
        <is>
          <t>No</t>
        </is>
      </c>
      <c r="B1792" t="inlineStr">
        <is>
          <t>HQ734 .L25 1968</t>
        </is>
      </c>
      <c r="C1792" t="inlineStr">
        <is>
          <t>0                      HQ 0734000L  25          1968</t>
        </is>
      </c>
      <c r="D1792" t="inlineStr">
        <is>
          <t>Building a successful marriage / [by] Judson T. Landis [and] Mary G. Landis.</t>
        </is>
      </c>
      <c r="F1792" t="inlineStr">
        <is>
          <t>No</t>
        </is>
      </c>
      <c r="G1792" t="inlineStr">
        <is>
          <t>1</t>
        </is>
      </c>
      <c r="H1792" t="inlineStr">
        <is>
          <t>Yes</t>
        </is>
      </c>
      <c r="I1792" t="inlineStr">
        <is>
          <t>Yes</t>
        </is>
      </c>
      <c r="J1792" t="inlineStr">
        <is>
          <t>0</t>
        </is>
      </c>
      <c r="K1792" t="inlineStr">
        <is>
          <t>Landis, Judson T. (Judson Taylor), 1906-1982.</t>
        </is>
      </c>
      <c r="L1792" t="inlineStr">
        <is>
          <t>Englewood Cliffs, N.J. : Prentice-Hall, [1968]</t>
        </is>
      </c>
      <c r="M1792" t="inlineStr">
        <is>
          <t>1968</t>
        </is>
      </c>
      <c r="N1792" t="inlineStr">
        <is>
          <t>5th ed.</t>
        </is>
      </c>
      <c r="O1792" t="inlineStr">
        <is>
          <t>eng</t>
        </is>
      </c>
      <c r="P1792" t="inlineStr">
        <is>
          <t>nju</t>
        </is>
      </c>
      <c r="R1792" t="inlineStr">
        <is>
          <t xml:space="preserve">HQ </t>
        </is>
      </c>
      <c r="S1792" t="n">
        <v>6</v>
      </c>
      <c r="T1792" t="n">
        <v>9</v>
      </c>
      <c r="U1792" t="inlineStr">
        <is>
          <t>1996-11-14</t>
        </is>
      </c>
      <c r="V1792" t="inlineStr">
        <is>
          <t>2004-03-22</t>
        </is>
      </c>
      <c r="W1792" t="inlineStr">
        <is>
          <t>1993-03-25</t>
        </is>
      </c>
      <c r="X1792" t="inlineStr">
        <is>
          <t>1993-03-25</t>
        </is>
      </c>
      <c r="Y1792" t="n">
        <v>321</v>
      </c>
      <c r="Z1792" t="n">
        <v>272</v>
      </c>
      <c r="AA1792" t="n">
        <v>907</v>
      </c>
      <c r="AB1792" t="n">
        <v>3</v>
      </c>
      <c r="AC1792" t="n">
        <v>10</v>
      </c>
      <c r="AD1792" t="n">
        <v>7</v>
      </c>
      <c r="AE1792" t="n">
        <v>26</v>
      </c>
      <c r="AF1792" t="n">
        <v>1</v>
      </c>
      <c r="AG1792" t="n">
        <v>8</v>
      </c>
      <c r="AH1792" t="n">
        <v>1</v>
      </c>
      <c r="AI1792" t="n">
        <v>4</v>
      </c>
      <c r="AJ1792" t="n">
        <v>4</v>
      </c>
      <c r="AK1792" t="n">
        <v>14</v>
      </c>
      <c r="AL1792" t="n">
        <v>1</v>
      </c>
      <c r="AM1792" t="n">
        <v>6</v>
      </c>
      <c r="AN1792" t="n">
        <v>0</v>
      </c>
      <c r="AO1792" t="n">
        <v>0</v>
      </c>
      <c r="AP1792" t="inlineStr">
        <is>
          <t>No</t>
        </is>
      </c>
      <c r="AQ1792" t="inlineStr">
        <is>
          <t>Yes</t>
        </is>
      </c>
      <c r="AR1792">
        <f>HYPERLINK("http://catalog.hathitrust.org/Record/007406450","HathiTrust Record")</f>
        <v/>
      </c>
      <c r="AS1792">
        <f>HYPERLINK("https://creighton-primo.hosted.exlibrisgroup.com/primo-explore/search?tab=default_tab&amp;search_scope=EVERYTHING&amp;vid=01CRU&amp;lang=en_US&amp;offset=0&amp;query=any,contains,991001766469702656","Catalog Record")</f>
        <v/>
      </c>
      <c r="AT1792">
        <f>HYPERLINK("http://www.worldcat.org/oclc/414698","WorldCat Record")</f>
        <v/>
      </c>
      <c r="AU1792" t="inlineStr">
        <is>
          <t>1482526:eng</t>
        </is>
      </c>
      <c r="AV1792" t="inlineStr">
        <is>
          <t>414698</t>
        </is>
      </c>
      <c r="AW1792" t="inlineStr">
        <is>
          <t>991001766469702656</t>
        </is>
      </c>
      <c r="AX1792" t="inlineStr">
        <is>
          <t>991001766469702656</t>
        </is>
      </c>
      <c r="AY1792" t="inlineStr">
        <is>
          <t>2267800470002656</t>
        </is>
      </c>
      <c r="AZ1792" t="inlineStr">
        <is>
          <t>BOOK</t>
        </is>
      </c>
      <c r="BC1792" t="inlineStr">
        <is>
          <t>32285001590768</t>
        </is>
      </c>
      <c r="BD1792" t="inlineStr">
        <is>
          <t>893690893</t>
        </is>
      </c>
    </row>
    <row r="1793">
      <c r="A1793" t="inlineStr">
        <is>
          <t>No</t>
        </is>
      </c>
      <c r="B1793" t="inlineStr">
        <is>
          <t>HQ734 .L25 1973</t>
        </is>
      </c>
      <c r="C1793" t="inlineStr">
        <is>
          <t>0                      HQ 0734000L  25          1973</t>
        </is>
      </c>
      <c r="D1793" t="inlineStr">
        <is>
          <t>Building a successful marriage / [by] Judson T. Landis [and] Mary G. Landis.</t>
        </is>
      </c>
      <c r="F1793" t="inlineStr">
        <is>
          <t>No</t>
        </is>
      </c>
      <c r="G1793" t="inlineStr">
        <is>
          <t>1</t>
        </is>
      </c>
      <c r="H1793" t="inlineStr">
        <is>
          <t>No</t>
        </is>
      </c>
      <c r="I1793" t="inlineStr">
        <is>
          <t>Yes</t>
        </is>
      </c>
      <c r="J1793" t="inlineStr">
        <is>
          <t>0</t>
        </is>
      </c>
      <c r="K1793" t="inlineStr">
        <is>
          <t>Landis, Judson T. (Judson Taylor), 1906-1982.</t>
        </is>
      </c>
      <c r="L1793" t="inlineStr">
        <is>
          <t>Englewood Cliffs, N.J. : Prentice-Hall, [1973]</t>
        </is>
      </c>
      <c r="M1793" t="inlineStr">
        <is>
          <t>1973</t>
        </is>
      </c>
      <c r="N1793" t="inlineStr">
        <is>
          <t>6th ed.</t>
        </is>
      </c>
      <c r="O1793" t="inlineStr">
        <is>
          <t>eng</t>
        </is>
      </c>
      <c r="P1793" t="inlineStr">
        <is>
          <t>nju</t>
        </is>
      </c>
      <c r="R1793" t="inlineStr">
        <is>
          <t xml:space="preserve">HQ </t>
        </is>
      </c>
      <c r="S1793" t="n">
        <v>5</v>
      </c>
      <c r="T1793" t="n">
        <v>5</v>
      </c>
      <c r="U1793" t="inlineStr">
        <is>
          <t>1998-09-22</t>
        </is>
      </c>
      <c r="V1793" t="inlineStr">
        <is>
          <t>1998-09-22</t>
        </is>
      </c>
      <c r="W1793" t="inlineStr">
        <is>
          <t>1992-11-04</t>
        </is>
      </c>
      <c r="X1793" t="inlineStr">
        <is>
          <t>1992-11-04</t>
        </is>
      </c>
      <c r="Y1793" t="n">
        <v>314</v>
      </c>
      <c r="Z1793" t="n">
        <v>277</v>
      </c>
      <c r="AA1793" t="n">
        <v>907</v>
      </c>
      <c r="AB1793" t="n">
        <v>3</v>
      </c>
      <c r="AC1793" t="n">
        <v>10</v>
      </c>
      <c r="AD1793" t="n">
        <v>6</v>
      </c>
      <c r="AE1793" t="n">
        <v>26</v>
      </c>
      <c r="AF1793" t="n">
        <v>1</v>
      </c>
      <c r="AG1793" t="n">
        <v>8</v>
      </c>
      <c r="AH1793" t="n">
        <v>1</v>
      </c>
      <c r="AI1793" t="n">
        <v>4</v>
      </c>
      <c r="AJ1793" t="n">
        <v>4</v>
      </c>
      <c r="AK1793" t="n">
        <v>14</v>
      </c>
      <c r="AL1793" t="n">
        <v>1</v>
      </c>
      <c r="AM1793" t="n">
        <v>6</v>
      </c>
      <c r="AN1793" t="n">
        <v>0</v>
      </c>
      <c r="AO1793" t="n">
        <v>0</v>
      </c>
      <c r="AP1793" t="inlineStr">
        <is>
          <t>No</t>
        </is>
      </c>
      <c r="AQ1793" t="inlineStr">
        <is>
          <t>No</t>
        </is>
      </c>
      <c r="AS1793">
        <f>HYPERLINK("https://creighton-primo.hosted.exlibrisgroup.com/primo-explore/search?tab=default_tab&amp;search_scope=EVERYTHING&amp;vid=01CRU&amp;lang=en_US&amp;offset=0&amp;query=any,contains,991003007459702656","Catalog Record")</f>
        <v/>
      </c>
      <c r="AT1793">
        <f>HYPERLINK("http://www.worldcat.org/oclc/574354","WorldCat Record")</f>
        <v/>
      </c>
      <c r="AU1793" t="inlineStr">
        <is>
          <t>1482526:eng</t>
        </is>
      </c>
      <c r="AV1793" t="inlineStr">
        <is>
          <t>574354</t>
        </is>
      </c>
      <c r="AW1793" t="inlineStr">
        <is>
          <t>991003007459702656</t>
        </is>
      </c>
      <c r="AX1793" t="inlineStr">
        <is>
          <t>991003007459702656</t>
        </is>
      </c>
      <c r="AY1793" t="inlineStr">
        <is>
          <t>2271658250002656</t>
        </is>
      </c>
      <c r="AZ1793" t="inlineStr">
        <is>
          <t>BOOK</t>
        </is>
      </c>
      <c r="BB1793" t="inlineStr">
        <is>
          <t>9780130869913</t>
        </is>
      </c>
      <c r="BC1793" t="inlineStr">
        <is>
          <t>32285001380574</t>
        </is>
      </c>
      <c r="BD1793" t="inlineStr">
        <is>
          <t>893604332</t>
        </is>
      </c>
    </row>
    <row r="1794">
      <c r="A1794" t="inlineStr">
        <is>
          <t>No</t>
        </is>
      </c>
      <c r="B1794" t="inlineStr">
        <is>
          <t>HQ734 .L3363 1986</t>
        </is>
      </c>
      <c r="C1794" t="inlineStr">
        <is>
          <t>0                      HQ 0734000L  3363        1986</t>
        </is>
      </c>
      <c r="D1794" t="inlineStr">
        <is>
          <t>'Til death do us part : how couples stay together / Jeanette C. Lauer and Robert H. Lauer.</t>
        </is>
      </c>
      <c r="F1794" t="inlineStr">
        <is>
          <t>No</t>
        </is>
      </c>
      <c r="G1794" t="inlineStr">
        <is>
          <t>1</t>
        </is>
      </c>
      <c r="H1794" t="inlineStr">
        <is>
          <t>No</t>
        </is>
      </c>
      <c r="I1794" t="inlineStr">
        <is>
          <t>No</t>
        </is>
      </c>
      <c r="J1794" t="inlineStr">
        <is>
          <t>0</t>
        </is>
      </c>
      <c r="K1794" t="inlineStr">
        <is>
          <t>Lauer, Jeanette C.</t>
        </is>
      </c>
      <c r="L1794" t="inlineStr">
        <is>
          <t>New York : Haworth Press, c1986.</t>
        </is>
      </c>
      <c r="M1794" t="inlineStr">
        <is>
          <t>1986</t>
        </is>
      </c>
      <c r="O1794" t="inlineStr">
        <is>
          <t>eng</t>
        </is>
      </c>
      <c r="P1794" t="inlineStr">
        <is>
          <t>nyu</t>
        </is>
      </c>
      <c r="R1794" t="inlineStr">
        <is>
          <t xml:space="preserve">HQ </t>
        </is>
      </c>
      <c r="S1794" t="n">
        <v>14</v>
      </c>
      <c r="T1794" t="n">
        <v>14</v>
      </c>
      <c r="U1794" t="inlineStr">
        <is>
          <t>2004-02-17</t>
        </is>
      </c>
      <c r="V1794" t="inlineStr">
        <is>
          <t>2004-02-17</t>
        </is>
      </c>
      <c r="W1794" t="inlineStr">
        <is>
          <t>1992-04-14</t>
        </is>
      </c>
      <c r="X1794" t="inlineStr">
        <is>
          <t>1992-04-14</t>
        </is>
      </c>
      <c r="Y1794" t="n">
        <v>214</v>
      </c>
      <c r="Z1794" t="n">
        <v>157</v>
      </c>
      <c r="AA1794" t="n">
        <v>164</v>
      </c>
      <c r="AB1794" t="n">
        <v>3</v>
      </c>
      <c r="AC1794" t="n">
        <v>3</v>
      </c>
      <c r="AD1794" t="n">
        <v>7</v>
      </c>
      <c r="AE1794" t="n">
        <v>7</v>
      </c>
      <c r="AF1794" t="n">
        <v>3</v>
      </c>
      <c r="AG1794" t="n">
        <v>3</v>
      </c>
      <c r="AH1794" t="n">
        <v>1</v>
      </c>
      <c r="AI1794" t="n">
        <v>1</v>
      </c>
      <c r="AJ1794" t="n">
        <v>3</v>
      </c>
      <c r="AK1794" t="n">
        <v>3</v>
      </c>
      <c r="AL1794" t="n">
        <v>2</v>
      </c>
      <c r="AM1794" t="n">
        <v>2</v>
      </c>
      <c r="AN1794" t="n">
        <v>0</v>
      </c>
      <c r="AO1794" t="n">
        <v>0</v>
      </c>
      <c r="AP1794" t="inlineStr">
        <is>
          <t>No</t>
        </is>
      </c>
      <c r="AQ1794" t="inlineStr">
        <is>
          <t>Yes</t>
        </is>
      </c>
      <c r="AR1794">
        <f>HYPERLINK("http://catalog.hathitrust.org/Record/000867927","HathiTrust Record")</f>
        <v/>
      </c>
      <c r="AS1794">
        <f>HYPERLINK("https://creighton-primo.hosted.exlibrisgroup.com/primo-explore/search?tab=default_tab&amp;search_scope=EVERYTHING&amp;vid=01CRU&amp;lang=en_US&amp;offset=0&amp;query=any,contains,991000918059702656","Catalog Record")</f>
        <v/>
      </c>
      <c r="AT1794">
        <f>HYPERLINK("http://www.worldcat.org/oclc/14188072","WorldCat Record")</f>
        <v/>
      </c>
      <c r="AU1794" t="inlineStr">
        <is>
          <t>7771596:eng</t>
        </is>
      </c>
      <c r="AV1794" t="inlineStr">
        <is>
          <t>14188072</t>
        </is>
      </c>
      <c r="AW1794" t="inlineStr">
        <is>
          <t>991000918059702656</t>
        </is>
      </c>
      <c r="AX1794" t="inlineStr">
        <is>
          <t>991000918059702656</t>
        </is>
      </c>
      <c r="AY1794" t="inlineStr">
        <is>
          <t>2259757080002656</t>
        </is>
      </c>
      <c r="AZ1794" t="inlineStr">
        <is>
          <t>BOOK</t>
        </is>
      </c>
      <c r="BB1794" t="inlineStr">
        <is>
          <t>9780866566018</t>
        </is>
      </c>
      <c r="BC1794" t="inlineStr">
        <is>
          <t>32285001068112</t>
        </is>
      </c>
      <c r="BD1794" t="inlineStr">
        <is>
          <t>893321481</t>
        </is>
      </c>
    </row>
    <row r="1795">
      <c r="A1795" t="inlineStr">
        <is>
          <t>No</t>
        </is>
      </c>
      <c r="B1795" t="inlineStr">
        <is>
          <t>HQ734 .L379</t>
        </is>
      </c>
      <c r="C1795" t="inlineStr">
        <is>
          <t>0                      HQ 0734000L  379</t>
        </is>
      </c>
      <c r="D1795" t="inlineStr">
        <is>
          <t>Check list for marriage : a must for those contemplating marriage / by G. Frank Leedy. Foreword by Lee Meyerson and Nancy Kerr.</t>
        </is>
      </c>
      <c r="F1795" t="inlineStr">
        <is>
          <t>No</t>
        </is>
      </c>
      <c r="G1795" t="inlineStr">
        <is>
          <t>1</t>
        </is>
      </c>
      <c r="H1795" t="inlineStr">
        <is>
          <t>No</t>
        </is>
      </c>
      <c r="I1795" t="inlineStr">
        <is>
          <t>No</t>
        </is>
      </c>
      <c r="J1795" t="inlineStr">
        <is>
          <t>0</t>
        </is>
      </c>
      <c r="K1795" t="inlineStr">
        <is>
          <t>Leedy, G. Frank.</t>
        </is>
      </c>
      <c r="L1795" t="inlineStr">
        <is>
          <t>Roslyn Heights, N.Y.] : Libra Publishers, [c1971]</t>
        </is>
      </c>
      <c r="M1795" t="inlineStr">
        <is>
          <t>1971</t>
        </is>
      </c>
      <c r="N1795" t="inlineStr">
        <is>
          <t>[1st ed.</t>
        </is>
      </c>
      <c r="O1795" t="inlineStr">
        <is>
          <t>eng</t>
        </is>
      </c>
      <c r="P1795" t="inlineStr">
        <is>
          <t>nyu</t>
        </is>
      </c>
      <c r="R1795" t="inlineStr">
        <is>
          <t xml:space="preserve">HQ </t>
        </is>
      </c>
      <c r="S1795" t="n">
        <v>12</v>
      </c>
      <c r="T1795" t="n">
        <v>12</v>
      </c>
      <c r="U1795" t="inlineStr">
        <is>
          <t>1995-10-26</t>
        </is>
      </c>
      <c r="V1795" t="inlineStr">
        <is>
          <t>1995-10-26</t>
        </is>
      </c>
      <c r="W1795" t="inlineStr">
        <is>
          <t>1992-03-25</t>
        </is>
      </c>
      <c r="X1795" t="inlineStr">
        <is>
          <t>1992-03-25</t>
        </is>
      </c>
      <c r="Y1795" t="n">
        <v>45</v>
      </c>
      <c r="Z1795" t="n">
        <v>41</v>
      </c>
      <c r="AA1795" t="n">
        <v>41</v>
      </c>
      <c r="AB1795" t="n">
        <v>1</v>
      </c>
      <c r="AC1795" t="n">
        <v>1</v>
      </c>
      <c r="AD1795" t="n">
        <v>0</v>
      </c>
      <c r="AE1795" t="n">
        <v>0</v>
      </c>
      <c r="AF1795" t="n">
        <v>0</v>
      </c>
      <c r="AG1795" t="n">
        <v>0</v>
      </c>
      <c r="AH1795" t="n">
        <v>0</v>
      </c>
      <c r="AI1795" t="n">
        <v>0</v>
      </c>
      <c r="AJ1795" t="n">
        <v>0</v>
      </c>
      <c r="AK1795" t="n">
        <v>0</v>
      </c>
      <c r="AL1795" t="n">
        <v>0</v>
      </c>
      <c r="AM1795" t="n">
        <v>0</v>
      </c>
      <c r="AN1795" t="n">
        <v>0</v>
      </c>
      <c r="AO1795" t="n">
        <v>0</v>
      </c>
      <c r="AP1795" t="inlineStr">
        <is>
          <t>No</t>
        </is>
      </c>
      <c r="AQ1795" t="inlineStr">
        <is>
          <t>No</t>
        </is>
      </c>
      <c r="AS1795">
        <f>HYPERLINK("https://creighton-primo.hosted.exlibrisgroup.com/primo-explore/search?tab=default_tab&amp;search_scope=EVERYTHING&amp;vid=01CRU&amp;lang=en_US&amp;offset=0&amp;query=any,contains,991002259969702656","Catalog Record")</f>
        <v/>
      </c>
      <c r="AT1795">
        <f>HYPERLINK("http://www.worldcat.org/oclc/303787","WorldCat Record")</f>
        <v/>
      </c>
      <c r="AU1795" t="inlineStr">
        <is>
          <t>1351173:eng</t>
        </is>
      </c>
      <c r="AV1795" t="inlineStr">
        <is>
          <t>303787</t>
        </is>
      </c>
      <c r="AW1795" t="inlineStr">
        <is>
          <t>991002259969702656</t>
        </is>
      </c>
      <c r="AX1795" t="inlineStr">
        <is>
          <t>991002259969702656</t>
        </is>
      </c>
      <c r="AY1795" t="inlineStr">
        <is>
          <t>2272592950002656</t>
        </is>
      </c>
      <c r="AZ1795" t="inlineStr">
        <is>
          <t>BOOK</t>
        </is>
      </c>
      <c r="BC1795" t="inlineStr">
        <is>
          <t>32285001028496</t>
        </is>
      </c>
      <c r="BD1795" t="inlineStr">
        <is>
          <t>893785922</t>
        </is>
      </c>
    </row>
    <row r="1796">
      <c r="A1796" t="inlineStr">
        <is>
          <t>No</t>
        </is>
      </c>
      <c r="B1796" t="inlineStr">
        <is>
          <t>HQ734 .L568</t>
        </is>
      </c>
      <c r="C1796" t="inlineStr">
        <is>
          <t>0                      HQ 0734000L  568</t>
        </is>
      </c>
      <c r="D1796" t="inlineStr">
        <is>
          <t>A gift of love : marriage as a spiritual quest / Ann Linthorst.</t>
        </is>
      </c>
      <c r="F1796" t="inlineStr">
        <is>
          <t>No</t>
        </is>
      </c>
      <c r="G1796" t="inlineStr">
        <is>
          <t>1</t>
        </is>
      </c>
      <c r="H1796" t="inlineStr">
        <is>
          <t>No</t>
        </is>
      </c>
      <c r="I1796" t="inlineStr">
        <is>
          <t>No</t>
        </is>
      </c>
      <c r="J1796" t="inlineStr">
        <is>
          <t>0</t>
        </is>
      </c>
      <c r="K1796" t="inlineStr">
        <is>
          <t>Linthorst, Ann.</t>
        </is>
      </c>
      <c r="L1796" t="inlineStr">
        <is>
          <t>New York : Paulist Press, c1979.</t>
        </is>
      </c>
      <c r="M1796" t="inlineStr">
        <is>
          <t>1979</t>
        </is>
      </c>
      <c r="O1796" t="inlineStr">
        <is>
          <t>eng</t>
        </is>
      </c>
      <c r="P1796" t="inlineStr">
        <is>
          <t>nyu</t>
        </is>
      </c>
      <c r="R1796" t="inlineStr">
        <is>
          <t xml:space="preserve">HQ </t>
        </is>
      </c>
      <c r="S1796" t="n">
        <v>10</v>
      </c>
      <c r="T1796" t="n">
        <v>10</v>
      </c>
      <c r="U1796" t="inlineStr">
        <is>
          <t>2001-06-25</t>
        </is>
      </c>
      <c r="V1796" t="inlineStr">
        <is>
          <t>2001-06-25</t>
        </is>
      </c>
      <c r="W1796" t="inlineStr">
        <is>
          <t>1990-02-12</t>
        </is>
      </c>
      <c r="X1796" t="inlineStr">
        <is>
          <t>1990-02-12</t>
        </is>
      </c>
      <c r="Y1796" t="n">
        <v>92</v>
      </c>
      <c r="Z1796" t="n">
        <v>84</v>
      </c>
      <c r="AA1796" t="n">
        <v>84</v>
      </c>
      <c r="AB1796" t="n">
        <v>1</v>
      </c>
      <c r="AC1796" t="n">
        <v>1</v>
      </c>
      <c r="AD1796" t="n">
        <v>7</v>
      </c>
      <c r="AE1796" t="n">
        <v>7</v>
      </c>
      <c r="AF1796" t="n">
        <v>1</v>
      </c>
      <c r="AG1796" t="n">
        <v>1</v>
      </c>
      <c r="AH1796" t="n">
        <v>2</v>
      </c>
      <c r="AI1796" t="n">
        <v>2</v>
      </c>
      <c r="AJ1796" t="n">
        <v>6</v>
      </c>
      <c r="AK1796" t="n">
        <v>6</v>
      </c>
      <c r="AL1796" t="n">
        <v>0</v>
      </c>
      <c r="AM1796" t="n">
        <v>0</v>
      </c>
      <c r="AN1796" t="n">
        <v>0</v>
      </c>
      <c r="AO1796" t="n">
        <v>0</v>
      </c>
      <c r="AP1796" t="inlineStr">
        <is>
          <t>No</t>
        </is>
      </c>
      <c r="AQ1796" t="inlineStr">
        <is>
          <t>No</t>
        </is>
      </c>
      <c r="AS1796">
        <f>HYPERLINK("https://creighton-primo.hosted.exlibrisgroup.com/primo-explore/search?tab=default_tab&amp;search_scope=EVERYTHING&amp;vid=01CRU&amp;lang=en_US&amp;offset=0&amp;query=any,contains,991004904179702656","Catalog Record")</f>
        <v/>
      </c>
      <c r="AT1796">
        <f>HYPERLINK("http://www.worldcat.org/oclc/5943130","WorldCat Record")</f>
        <v/>
      </c>
      <c r="AU1796" t="inlineStr">
        <is>
          <t>48418126:eng</t>
        </is>
      </c>
      <c r="AV1796" t="inlineStr">
        <is>
          <t>5943130</t>
        </is>
      </c>
      <c r="AW1796" t="inlineStr">
        <is>
          <t>991004904179702656</t>
        </is>
      </c>
      <c r="AX1796" t="inlineStr">
        <is>
          <t>991004904179702656</t>
        </is>
      </c>
      <c r="AY1796" t="inlineStr">
        <is>
          <t>2269398980002656</t>
        </is>
      </c>
      <c r="AZ1796" t="inlineStr">
        <is>
          <t>BOOK</t>
        </is>
      </c>
      <c r="BB1796" t="inlineStr">
        <is>
          <t>9780809103027</t>
        </is>
      </c>
      <c r="BC1796" t="inlineStr">
        <is>
          <t>32285000045459</t>
        </is>
      </c>
      <c r="BD1796" t="inlineStr">
        <is>
          <t>893424324</t>
        </is>
      </c>
    </row>
    <row r="1797">
      <c r="A1797" t="inlineStr">
        <is>
          <t>No</t>
        </is>
      </c>
      <c r="B1797" t="inlineStr">
        <is>
          <t>HQ734 .M16</t>
        </is>
      </c>
      <c r="C1797" t="inlineStr">
        <is>
          <t>0                      HQ 0734000M  16</t>
        </is>
      </c>
      <c r="D1797" t="inlineStr">
        <is>
          <t>Freedom and growth in marriage / James Leslie McCary.</t>
        </is>
      </c>
      <c r="F1797" t="inlineStr">
        <is>
          <t>No</t>
        </is>
      </c>
      <c r="G1797" t="inlineStr">
        <is>
          <t>1</t>
        </is>
      </c>
      <c r="H1797" t="inlineStr">
        <is>
          <t>No</t>
        </is>
      </c>
      <c r="I1797" t="inlineStr">
        <is>
          <t>No</t>
        </is>
      </c>
      <c r="J1797" t="inlineStr">
        <is>
          <t>0</t>
        </is>
      </c>
      <c r="K1797" t="inlineStr">
        <is>
          <t>McCary, James Leslie.</t>
        </is>
      </c>
      <c r="L1797" t="inlineStr">
        <is>
          <t>Santa Barbara, Calif. : Hamilton Pub. Co., [1975]</t>
        </is>
      </c>
      <c r="M1797" t="inlineStr">
        <is>
          <t>1975</t>
        </is>
      </c>
      <c r="O1797" t="inlineStr">
        <is>
          <t>eng</t>
        </is>
      </c>
      <c r="P1797" t="inlineStr">
        <is>
          <t>cau</t>
        </is>
      </c>
      <c r="R1797" t="inlineStr">
        <is>
          <t xml:space="preserve">HQ </t>
        </is>
      </c>
      <c r="S1797" t="n">
        <v>2</v>
      </c>
      <c r="T1797" t="n">
        <v>2</v>
      </c>
      <c r="U1797" t="inlineStr">
        <is>
          <t>1993-03-19</t>
        </is>
      </c>
      <c r="V1797" t="inlineStr">
        <is>
          <t>1993-03-19</t>
        </is>
      </c>
      <c r="W1797" t="inlineStr">
        <is>
          <t>1991-12-13</t>
        </is>
      </c>
      <c r="X1797" t="inlineStr">
        <is>
          <t>1991-12-13</t>
        </is>
      </c>
      <c r="Y1797" t="n">
        <v>493</v>
      </c>
      <c r="Z1797" t="n">
        <v>430</v>
      </c>
      <c r="AA1797" t="n">
        <v>519</v>
      </c>
      <c r="AB1797" t="n">
        <v>5</v>
      </c>
      <c r="AC1797" t="n">
        <v>5</v>
      </c>
      <c r="AD1797" t="n">
        <v>17</v>
      </c>
      <c r="AE1797" t="n">
        <v>17</v>
      </c>
      <c r="AF1797" t="n">
        <v>7</v>
      </c>
      <c r="AG1797" t="n">
        <v>7</v>
      </c>
      <c r="AH1797" t="n">
        <v>3</v>
      </c>
      <c r="AI1797" t="n">
        <v>3</v>
      </c>
      <c r="AJ1797" t="n">
        <v>9</v>
      </c>
      <c r="AK1797" t="n">
        <v>9</v>
      </c>
      <c r="AL1797" t="n">
        <v>3</v>
      </c>
      <c r="AM1797" t="n">
        <v>3</v>
      </c>
      <c r="AN1797" t="n">
        <v>0</v>
      </c>
      <c r="AO1797" t="n">
        <v>0</v>
      </c>
      <c r="AP1797" t="inlineStr">
        <is>
          <t>No</t>
        </is>
      </c>
      <c r="AQ1797" t="inlineStr">
        <is>
          <t>Yes</t>
        </is>
      </c>
      <c r="AR1797">
        <f>HYPERLINK("http://catalog.hathitrust.org/Record/000035873","HathiTrust Record")</f>
        <v/>
      </c>
      <c r="AS1797">
        <f>HYPERLINK("https://creighton-primo.hosted.exlibrisgroup.com/primo-explore/search?tab=default_tab&amp;search_scope=EVERYTHING&amp;vid=01CRU&amp;lang=en_US&amp;offset=0&amp;query=any,contains,991003560299702656","Catalog Record")</f>
        <v/>
      </c>
      <c r="AT1797">
        <f>HYPERLINK("http://www.worldcat.org/oclc/1130181","WorldCat Record")</f>
        <v/>
      </c>
      <c r="AU1797" t="inlineStr">
        <is>
          <t>2044058:eng</t>
        </is>
      </c>
      <c r="AV1797" t="inlineStr">
        <is>
          <t>1130181</t>
        </is>
      </c>
      <c r="AW1797" t="inlineStr">
        <is>
          <t>991003560299702656</t>
        </is>
      </c>
      <c r="AX1797" t="inlineStr">
        <is>
          <t>991003560299702656</t>
        </is>
      </c>
      <c r="AY1797" t="inlineStr">
        <is>
          <t>2265562510002656</t>
        </is>
      </c>
      <c r="AZ1797" t="inlineStr">
        <is>
          <t>BOOK</t>
        </is>
      </c>
      <c r="BB1797" t="inlineStr">
        <is>
          <t>9780471581499</t>
        </is>
      </c>
      <c r="BC1797" t="inlineStr">
        <is>
          <t>32285000876481</t>
        </is>
      </c>
      <c r="BD1797" t="inlineStr">
        <is>
          <t>893699120</t>
        </is>
      </c>
    </row>
    <row r="1798">
      <c r="A1798" t="inlineStr">
        <is>
          <t>No</t>
        </is>
      </c>
      <c r="B1798" t="inlineStr">
        <is>
          <t>HQ734 .M837 1946</t>
        </is>
      </c>
      <c r="C1798" t="inlineStr">
        <is>
          <t>0                      HQ 0734000M  837         1946</t>
        </is>
      </c>
      <c r="D1798" t="inlineStr">
        <is>
          <t>God is its founder; a textbook on preparation for Catholic marriage intended for college classes [by] Bakewell Morrison...</t>
        </is>
      </c>
      <c r="F1798" t="inlineStr">
        <is>
          <t>No</t>
        </is>
      </c>
      <c r="G1798" t="inlineStr">
        <is>
          <t>1</t>
        </is>
      </c>
      <c r="H1798" t="inlineStr">
        <is>
          <t>No</t>
        </is>
      </c>
      <c r="I1798" t="inlineStr">
        <is>
          <t>No</t>
        </is>
      </c>
      <c r="J1798" t="inlineStr">
        <is>
          <t>0</t>
        </is>
      </c>
      <c r="K1798" t="inlineStr">
        <is>
          <t>Morrison, Bakewell, 1894-</t>
        </is>
      </c>
      <c r="L1798" t="inlineStr">
        <is>
          <t>Milwaukee, The Bruce publishing company [1946]</t>
        </is>
      </c>
      <c r="M1798" t="inlineStr">
        <is>
          <t>1946</t>
        </is>
      </c>
      <c r="O1798" t="inlineStr">
        <is>
          <t>eng</t>
        </is>
      </c>
      <c r="P1798" t="inlineStr">
        <is>
          <t xml:space="preserve">xx </t>
        </is>
      </c>
      <c r="R1798" t="inlineStr">
        <is>
          <t xml:space="preserve">HQ </t>
        </is>
      </c>
      <c r="S1798" t="n">
        <v>1</v>
      </c>
      <c r="T1798" t="n">
        <v>1</v>
      </c>
      <c r="U1798" t="inlineStr">
        <is>
          <t>2008-04-20</t>
        </is>
      </c>
      <c r="V1798" t="inlineStr">
        <is>
          <t>2008-04-20</t>
        </is>
      </c>
      <c r="W1798" t="inlineStr">
        <is>
          <t>1997-08-11</t>
        </is>
      </c>
      <c r="X1798" t="inlineStr">
        <is>
          <t>1997-08-11</t>
        </is>
      </c>
      <c r="Y1798" t="n">
        <v>71</v>
      </c>
      <c r="Z1798" t="n">
        <v>63</v>
      </c>
      <c r="AA1798" t="n">
        <v>63</v>
      </c>
      <c r="AB1798" t="n">
        <v>2</v>
      </c>
      <c r="AC1798" t="n">
        <v>2</v>
      </c>
      <c r="AD1798" t="n">
        <v>16</v>
      </c>
      <c r="AE1798" t="n">
        <v>16</v>
      </c>
      <c r="AF1798" t="n">
        <v>4</v>
      </c>
      <c r="AG1798" t="n">
        <v>4</v>
      </c>
      <c r="AH1798" t="n">
        <v>3</v>
      </c>
      <c r="AI1798" t="n">
        <v>3</v>
      </c>
      <c r="AJ1798" t="n">
        <v>15</v>
      </c>
      <c r="AK1798" t="n">
        <v>15</v>
      </c>
      <c r="AL1798" t="n">
        <v>0</v>
      </c>
      <c r="AM1798" t="n">
        <v>0</v>
      </c>
      <c r="AN1798" t="n">
        <v>0</v>
      </c>
      <c r="AO1798" t="n">
        <v>0</v>
      </c>
      <c r="AP1798" t="inlineStr">
        <is>
          <t>No</t>
        </is>
      </c>
      <c r="AQ1798" t="inlineStr">
        <is>
          <t>No</t>
        </is>
      </c>
      <c r="AS1798">
        <f>HYPERLINK("https://creighton-primo.hosted.exlibrisgroup.com/primo-explore/search?tab=default_tab&amp;search_scope=EVERYTHING&amp;vid=01CRU&amp;lang=en_US&amp;offset=0&amp;query=any,contains,991003384939702656","Catalog Record")</f>
        <v/>
      </c>
      <c r="AT1798">
        <f>HYPERLINK("http://www.worldcat.org/oclc/922052","WorldCat Record")</f>
        <v/>
      </c>
      <c r="AU1798" t="inlineStr">
        <is>
          <t>8913914172:eng</t>
        </is>
      </c>
      <c r="AV1798" t="inlineStr">
        <is>
          <t>922052</t>
        </is>
      </c>
      <c r="AW1798" t="inlineStr">
        <is>
          <t>991003384939702656</t>
        </is>
      </c>
      <c r="AX1798" t="inlineStr">
        <is>
          <t>991003384939702656</t>
        </is>
      </c>
      <c r="AY1798" t="inlineStr">
        <is>
          <t>2269743710002656</t>
        </is>
      </c>
      <c r="AZ1798" t="inlineStr">
        <is>
          <t>BOOK</t>
        </is>
      </c>
      <c r="BC1798" t="inlineStr">
        <is>
          <t>32285003089660</t>
        </is>
      </c>
      <c r="BD1798" t="inlineStr">
        <is>
          <t>893604746</t>
        </is>
      </c>
    </row>
    <row r="1799">
      <c r="A1799" t="inlineStr">
        <is>
          <t>No</t>
        </is>
      </c>
      <c r="B1799" t="inlineStr">
        <is>
          <t>HQ734 .O43</t>
        </is>
      </c>
      <c r="C1799" t="inlineStr">
        <is>
          <t>0                      HQ 0734000O  43</t>
        </is>
      </c>
      <c r="D1799" t="inlineStr">
        <is>
          <t>How to succeed in business and marriage/ Richard H. Ogden.</t>
        </is>
      </c>
      <c r="F1799" t="inlineStr">
        <is>
          <t>No</t>
        </is>
      </c>
      <c r="G1799" t="inlineStr">
        <is>
          <t>1</t>
        </is>
      </c>
      <c r="H1799" t="inlineStr">
        <is>
          <t>No</t>
        </is>
      </c>
      <c r="I1799" t="inlineStr">
        <is>
          <t>No</t>
        </is>
      </c>
      <c r="J1799" t="inlineStr">
        <is>
          <t>0</t>
        </is>
      </c>
      <c r="K1799" t="inlineStr">
        <is>
          <t>Ogden, Richard H.</t>
        </is>
      </c>
      <c r="L1799" t="inlineStr">
        <is>
          <t>New York : Amacom, 1978, c1979.</t>
        </is>
      </c>
      <c r="M1799" t="inlineStr">
        <is>
          <t>1978</t>
        </is>
      </c>
      <c r="O1799" t="inlineStr">
        <is>
          <t>eng</t>
        </is>
      </c>
      <c r="P1799" t="inlineStr">
        <is>
          <t>nyu</t>
        </is>
      </c>
      <c r="R1799" t="inlineStr">
        <is>
          <t xml:space="preserve">HQ </t>
        </is>
      </c>
      <c r="S1799" t="n">
        <v>4</v>
      </c>
      <c r="T1799" t="n">
        <v>4</v>
      </c>
      <c r="U1799" t="inlineStr">
        <is>
          <t>1994-09-20</t>
        </is>
      </c>
      <c r="V1799" t="inlineStr">
        <is>
          <t>1994-09-20</t>
        </is>
      </c>
      <c r="W1799" t="inlineStr">
        <is>
          <t>1992-02-12</t>
        </is>
      </c>
      <c r="X1799" t="inlineStr">
        <is>
          <t>1992-02-12</t>
        </is>
      </c>
      <c r="Y1799" t="n">
        <v>233</v>
      </c>
      <c r="Z1799" t="n">
        <v>215</v>
      </c>
      <c r="AA1799" t="n">
        <v>215</v>
      </c>
      <c r="AB1799" t="n">
        <v>2</v>
      </c>
      <c r="AC1799" t="n">
        <v>2</v>
      </c>
      <c r="AD1799" t="n">
        <v>10</v>
      </c>
      <c r="AE1799" t="n">
        <v>10</v>
      </c>
      <c r="AF1799" t="n">
        <v>4</v>
      </c>
      <c r="AG1799" t="n">
        <v>4</v>
      </c>
      <c r="AH1799" t="n">
        <v>2</v>
      </c>
      <c r="AI1799" t="n">
        <v>2</v>
      </c>
      <c r="AJ1799" t="n">
        <v>8</v>
      </c>
      <c r="AK1799" t="n">
        <v>8</v>
      </c>
      <c r="AL1799" t="n">
        <v>1</v>
      </c>
      <c r="AM1799" t="n">
        <v>1</v>
      </c>
      <c r="AN1799" t="n">
        <v>0</v>
      </c>
      <c r="AO1799" t="n">
        <v>0</v>
      </c>
      <c r="AP1799" t="inlineStr">
        <is>
          <t>No</t>
        </is>
      </c>
      <c r="AQ1799" t="inlineStr">
        <is>
          <t>No</t>
        </is>
      </c>
      <c r="AS1799">
        <f>HYPERLINK("https://creighton-primo.hosted.exlibrisgroup.com/primo-explore/search?tab=default_tab&amp;search_scope=EVERYTHING&amp;vid=01CRU&amp;lang=en_US&amp;offset=0&amp;query=any,contains,991004589789702656","Catalog Record")</f>
        <v/>
      </c>
      <c r="AT1799">
        <f>HYPERLINK("http://www.worldcat.org/oclc/4114484","WorldCat Record")</f>
        <v/>
      </c>
      <c r="AU1799" t="inlineStr">
        <is>
          <t>14522539:eng</t>
        </is>
      </c>
      <c r="AV1799" t="inlineStr">
        <is>
          <t>4114484</t>
        </is>
      </c>
      <c r="AW1799" t="inlineStr">
        <is>
          <t>991004589789702656</t>
        </is>
      </c>
      <c r="AX1799" t="inlineStr">
        <is>
          <t>991004589789702656</t>
        </is>
      </c>
      <c r="AY1799" t="inlineStr">
        <is>
          <t>2271905250002656</t>
        </is>
      </c>
      <c r="AZ1799" t="inlineStr">
        <is>
          <t>BOOK</t>
        </is>
      </c>
      <c r="BB1799" t="inlineStr">
        <is>
          <t>9780814454831</t>
        </is>
      </c>
      <c r="BC1799" t="inlineStr">
        <is>
          <t>32285000958099</t>
        </is>
      </c>
      <c r="BD1799" t="inlineStr">
        <is>
          <t>893876283</t>
        </is>
      </c>
    </row>
    <row r="1800">
      <c r="A1800" t="inlineStr">
        <is>
          <t>No</t>
        </is>
      </c>
      <c r="B1800" t="inlineStr">
        <is>
          <t>HQ734 .O59 1986</t>
        </is>
      </c>
      <c r="C1800" t="inlineStr">
        <is>
          <t>0                      HQ 0734000O  59          1986</t>
        </is>
      </c>
      <c r="D1800" t="inlineStr">
        <is>
          <t>Keeping our troth : staying in love through the five stages of marriage / James H. Olthuis.</t>
        </is>
      </c>
      <c r="F1800" t="inlineStr">
        <is>
          <t>No</t>
        </is>
      </c>
      <c r="G1800" t="inlineStr">
        <is>
          <t>1</t>
        </is>
      </c>
      <c r="H1800" t="inlineStr">
        <is>
          <t>No</t>
        </is>
      </c>
      <c r="I1800" t="inlineStr">
        <is>
          <t>No</t>
        </is>
      </c>
      <c r="J1800" t="inlineStr">
        <is>
          <t>0</t>
        </is>
      </c>
      <c r="K1800" t="inlineStr">
        <is>
          <t>Olthuis, James H.</t>
        </is>
      </c>
      <c r="L1800" t="inlineStr">
        <is>
          <t>San Francisco : Harper &amp; Row, c1986.</t>
        </is>
      </c>
      <c r="M1800" t="inlineStr">
        <is>
          <t>1986</t>
        </is>
      </c>
      <c r="N1800" t="inlineStr">
        <is>
          <t>1st ed.</t>
        </is>
      </c>
      <c r="O1800" t="inlineStr">
        <is>
          <t>eng</t>
        </is>
      </c>
      <c r="P1800" t="inlineStr">
        <is>
          <t>cau</t>
        </is>
      </c>
      <c r="R1800" t="inlineStr">
        <is>
          <t xml:space="preserve">HQ </t>
        </is>
      </c>
      <c r="S1800" t="n">
        <v>15</v>
      </c>
      <c r="T1800" t="n">
        <v>15</v>
      </c>
      <c r="U1800" t="inlineStr">
        <is>
          <t>2009-10-06</t>
        </is>
      </c>
      <c r="V1800" t="inlineStr">
        <is>
          <t>2009-10-06</t>
        </is>
      </c>
      <c r="W1800" t="inlineStr">
        <is>
          <t>2004-04-22</t>
        </is>
      </c>
      <c r="X1800" t="inlineStr">
        <is>
          <t>2004-04-22</t>
        </is>
      </c>
      <c r="Y1800" t="n">
        <v>127</v>
      </c>
      <c r="Z1800" t="n">
        <v>113</v>
      </c>
      <c r="AA1800" t="n">
        <v>117</v>
      </c>
      <c r="AB1800" t="n">
        <v>1</v>
      </c>
      <c r="AC1800" t="n">
        <v>1</v>
      </c>
      <c r="AD1800" t="n">
        <v>1</v>
      </c>
      <c r="AE1800" t="n">
        <v>1</v>
      </c>
      <c r="AF1800" t="n">
        <v>1</v>
      </c>
      <c r="AG1800" t="n">
        <v>1</v>
      </c>
      <c r="AH1800" t="n">
        <v>0</v>
      </c>
      <c r="AI1800" t="n">
        <v>0</v>
      </c>
      <c r="AJ1800" t="n">
        <v>1</v>
      </c>
      <c r="AK1800" t="n">
        <v>1</v>
      </c>
      <c r="AL1800" t="n">
        <v>0</v>
      </c>
      <c r="AM1800" t="n">
        <v>0</v>
      </c>
      <c r="AN1800" t="n">
        <v>0</v>
      </c>
      <c r="AO1800" t="n">
        <v>0</v>
      </c>
      <c r="AP1800" t="inlineStr">
        <is>
          <t>No</t>
        </is>
      </c>
      <c r="AQ1800" t="inlineStr">
        <is>
          <t>No</t>
        </is>
      </c>
      <c r="AS1800">
        <f>HYPERLINK("https://creighton-primo.hosted.exlibrisgroup.com/primo-explore/search?tab=default_tab&amp;search_scope=EVERYTHING&amp;vid=01CRU&amp;lang=en_US&amp;offset=0&amp;query=any,contains,991004282299702656","Catalog Record")</f>
        <v/>
      </c>
      <c r="AT1800">
        <f>HYPERLINK("http://www.worldcat.org/oclc/13560435","WorldCat Record")</f>
        <v/>
      </c>
      <c r="AU1800" t="inlineStr">
        <is>
          <t>10157308042:eng</t>
        </is>
      </c>
      <c r="AV1800" t="inlineStr">
        <is>
          <t>13560435</t>
        </is>
      </c>
      <c r="AW1800" t="inlineStr">
        <is>
          <t>991004282299702656</t>
        </is>
      </c>
      <c r="AX1800" t="inlineStr">
        <is>
          <t>991004282299702656</t>
        </is>
      </c>
      <c r="AY1800" t="inlineStr">
        <is>
          <t>2263555950002656</t>
        </is>
      </c>
      <c r="AZ1800" t="inlineStr">
        <is>
          <t>BOOK</t>
        </is>
      </c>
      <c r="BB1800" t="inlineStr">
        <is>
          <t>9780060663896</t>
        </is>
      </c>
      <c r="BC1800" t="inlineStr">
        <is>
          <t>32285004902366</t>
        </is>
      </c>
      <c r="BD1800" t="inlineStr">
        <is>
          <t>893229153</t>
        </is>
      </c>
    </row>
    <row r="1801">
      <c r="A1801" t="inlineStr">
        <is>
          <t>No</t>
        </is>
      </c>
      <c r="B1801" t="inlineStr">
        <is>
          <t>HQ734 .O716</t>
        </is>
      </c>
      <c r="C1801" t="inlineStr">
        <is>
          <t>0                      HQ 0734000O  716</t>
        </is>
      </c>
      <c r="D1801" t="inlineStr">
        <is>
          <t>Intimate relationships : an introduction to marriage &amp; the family / Dennis K. Orthner.</t>
        </is>
      </c>
      <c r="F1801" t="inlineStr">
        <is>
          <t>No</t>
        </is>
      </c>
      <c r="G1801" t="inlineStr">
        <is>
          <t>1</t>
        </is>
      </c>
      <c r="H1801" t="inlineStr">
        <is>
          <t>No</t>
        </is>
      </c>
      <c r="I1801" t="inlineStr">
        <is>
          <t>No</t>
        </is>
      </c>
      <c r="J1801" t="inlineStr">
        <is>
          <t>0</t>
        </is>
      </c>
      <c r="K1801" t="inlineStr">
        <is>
          <t>Orthner, Dennis K.</t>
        </is>
      </c>
      <c r="L1801" t="inlineStr">
        <is>
          <t>Reading, MA : Addison-Wesley Pub. Co., c1981.</t>
        </is>
      </c>
      <c r="M1801" t="inlineStr">
        <is>
          <t>1981</t>
        </is>
      </c>
      <c r="O1801" t="inlineStr">
        <is>
          <t>eng</t>
        </is>
      </c>
      <c r="P1801" t="inlineStr">
        <is>
          <t>mau</t>
        </is>
      </c>
      <c r="R1801" t="inlineStr">
        <is>
          <t xml:space="preserve">HQ </t>
        </is>
      </c>
      <c r="S1801" t="n">
        <v>14</v>
      </c>
      <c r="T1801" t="n">
        <v>14</v>
      </c>
      <c r="U1801" t="inlineStr">
        <is>
          <t>2004-02-17</t>
        </is>
      </c>
      <c r="V1801" t="inlineStr">
        <is>
          <t>2004-02-17</t>
        </is>
      </c>
      <c r="W1801" t="inlineStr">
        <is>
          <t>1990-03-28</t>
        </is>
      </c>
      <c r="X1801" t="inlineStr">
        <is>
          <t>1990-03-28</t>
        </is>
      </c>
      <c r="Y1801" t="n">
        <v>97</v>
      </c>
      <c r="Z1801" t="n">
        <v>73</v>
      </c>
      <c r="AA1801" t="n">
        <v>76</v>
      </c>
      <c r="AB1801" t="n">
        <v>2</v>
      </c>
      <c r="AC1801" t="n">
        <v>2</v>
      </c>
      <c r="AD1801" t="n">
        <v>1</v>
      </c>
      <c r="AE1801" t="n">
        <v>1</v>
      </c>
      <c r="AF1801" t="n">
        <v>0</v>
      </c>
      <c r="AG1801" t="n">
        <v>0</v>
      </c>
      <c r="AH1801" t="n">
        <v>0</v>
      </c>
      <c r="AI1801" t="n">
        <v>0</v>
      </c>
      <c r="AJ1801" t="n">
        <v>0</v>
      </c>
      <c r="AK1801" t="n">
        <v>0</v>
      </c>
      <c r="AL1801" t="n">
        <v>1</v>
      </c>
      <c r="AM1801" t="n">
        <v>1</v>
      </c>
      <c r="AN1801" t="n">
        <v>0</v>
      </c>
      <c r="AO1801" t="n">
        <v>0</v>
      </c>
      <c r="AP1801" t="inlineStr">
        <is>
          <t>No</t>
        </is>
      </c>
      <c r="AQ1801" t="inlineStr">
        <is>
          <t>Yes</t>
        </is>
      </c>
      <c r="AR1801">
        <f>HYPERLINK("http://catalog.hathitrust.org/Record/008377404","HathiTrust Record")</f>
        <v/>
      </c>
      <c r="AS1801">
        <f>HYPERLINK("https://creighton-primo.hosted.exlibrisgroup.com/primo-explore/search?tab=default_tab&amp;search_scope=EVERYTHING&amp;vid=01CRU&amp;lang=en_US&amp;offset=0&amp;query=any,contains,991005027629702656","Catalog Record")</f>
        <v/>
      </c>
      <c r="AT1801">
        <f>HYPERLINK("http://www.worldcat.org/oclc/6707566","WorldCat Record")</f>
        <v/>
      </c>
      <c r="AU1801" t="inlineStr">
        <is>
          <t>407050:eng</t>
        </is>
      </c>
      <c r="AV1801" t="inlineStr">
        <is>
          <t>6707566</t>
        </is>
      </c>
      <c r="AW1801" t="inlineStr">
        <is>
          <t>991005027629702656</t>
        </is>
      </c>
      <c r="AX1801" t="inlineStr">
        <is>
          <t>991005027629702656</t>
        </is>
      </c>
      <c r="AY1801" t="inlineStr">
        <is>
          <t>2257694340002656</t>
        </is>
      </c>
      <c r="AZ1801" t="inlineStr">
        <is>
          <t>BOOK</t>
        </is>
      </c>
      <c r="BB1801" t="inlineStr">
        <is>
          <t>9780201055191</t>
        </is>
      </c>
      <c r="BC1801" t="inlineStr">
        <is>
          <t>32285000099944</t>
        </is>
      </c>
      <c r="BD1801" t="inlineStr">
        <is>
          <t>893688487</t>
        </is>
      </c>
    </row>
    <row r="1802">
      <c r="A1802" t="inlineStr">
        <is>
          <t>No</t>
        </is>
      </c>
      <c r="B1802" t="inlineStr">
        <is>
          <t>HQ734 .P23</t>
        </is>
      </c>
      <c r="C1802" t="inlineStr">
        <is>
          <t>0                      HQ 0734000P  23</t>
        </is>
      </c>
      <c r="D1802" t="inlineStr">
        <is>
          <t>Family, socialization and interaction process, by Talcott Parsons and Robert F. Bales, in collaboration with James Olds [and others]</t>
        </is>
      </c>
      <c r="F1802" t="inlineStr">
        <is>
          <t>No</t>
        </is>
      </c>
      <c r="G1802" t="inlineStr">
        <is>
          <t>1</t>
        </is>
      </c>
      <c r="H1802" t="inlineStr">
        <is>
          <t>No</t>
        </is>
      </c>
      <c r="I1802" t="inlineStr">
        <is>
          <t>No</t>
        </is>
      </c>
      <c r="J1802" t="inlineStr">
        <is>
          <t>0</t>
        </is>
      </c>
      <c r="K1802" t="inlineStr">
        <is>
          <t>Parsons, Talcott, 1902-1979.</t>
        </is>
      </c>
      <c r="L1802" t="inlineStr">
        <is>
          <t>Glencoe, Ill., Free Press [1955]</t>
        </is>
      </c>
      <c r="M1802" t="inlineStr">
        <is>
          <t>1955</t>
        </is>
      </c>
      <c r="O1802" t="inlineStr">
        <is>
          <t>eng</t>
        </is>
      </c>
      <c r="P1802" t="inlineStr">
        <is>
          <t>ilu</t>
        </is>
      </c>
      <c r="R1802" t="inlineStr">
        <is>
          <t xml:space="preserve">HQ </t>
        </is>
      </c>
      <c r="S1802" t="n">
        <v>3</v>
      </c>
      <c r="T1802" t="n">
        <v>3</v>
      </c>
      <c r="U1802" t="inlineStr">
        <is>
          <t>2002-12-01</t>
        </is>
      </c>
      <c r="V1802" t="inlineStr">
        <is>
          <t>2002-12-01</t>
        </is>
      </c>
      <c r="W1802" t="inlineStr">
        <is>
          <t>1997-08-11</t>
        </is>
      </c>
      <c r="X1802" t="inlineStr">
        <is>
          <t>1997-08-11</t>
        </is>
      </c>
      <c r="Y1802" t="n">
        <v>954</v>
      </c>
      <c r="Z1802" t="n">
        <v>780</v>
      </c>
      <c r="AA1802" t="n">
        <v>859</v>
      </c>
      <c r="AB1802" t="n">
        <v>8</v>
      </c>
      <c r="AC1802" t="n">
        <v>8</v>
      </c>
      <c r="AD1802" t="n">
        <v>36</v>
      </c>
      <c r="AE1802" t="n">
        <v>37</v>
      </c>
      <c r="AF1802" t="n">
        <v>16</v>
      </c>
      <c r="AG1802" t="n">
        <v>16</v>
      </c>
      <c r="AH1802" t="n">
        <v>7</v>
      </c>
      <c r="AI1802" t="n">
        <v>7</v>
      </c>
      <c r="AJ1802" t="n">
        <v>18</v>
      </c>
      <c r="AK1802" t="n">
        <v>19</v>
      </c>
      <c r="AL1802" t="n">
        <v>6</v>
      </c>
      <c r="AM1802" t="n">
        <v>6</v>
      </c>
      <c r="AN1802" t="n">
        <v>0</v>
      </c>
      <c r="AO1802" t="n">
        <v>0</v>
      </c>
      <c r="AP1802" t="inlineStr">
        <is>
          <t>No</t>
        </is>
      </c>
      <c r="AQ1802" t="inlineStr">
        <is>
          <t>Yes</t>
        </is>
      </c>
      <c r="AR1802">
        <f>HYPERLINK("http://catalog.hathitrust.org/Record/001110006","HathiTrust Record")</f>
        <v/>
      </c>
      <c r="AS1802">
        <f>HYPERLINK("https://creighton-primo.hosted.exlibrisgroup.com/primo-explore/search?tab=default_tab&amp;search_scope=EVERYTHING&amp;vid=01CRU&amp;lang=en_US&amp;offset=0&amp;query=any,contains,991002027969702656","Catalog Record")</f>
        <v/>
      </c>
      <c r="AT1802">
        <f>HYPERLINK("http://www.worldcat.org/oclc/259911","WorldCat Record")</f>
        <v/>
      </c>
      <c r="AU1802" t="inlineStr">
        <is>
          <t>63530653:eng</t>
        </is>
      </c>
      <c r="AV1802" t="inlineStr">
        <is>
          <t>259911</t>
        </is>
      </c>
      <c r="AW1802" t="inlineStr">
        <is>
          <t>991002027969702656</t>
        </is>
      </c>
      <c r="AX1802" t="inlineStr">
        <is>
          <t>991002027969702656</t>
        </is>
      </c>
      <c r="AY1802" t="inlineStr">
        <is>
          <t>2270954890002656</t>
        </is>
      </c>
      <c r="AZ1802" t="inlineStr">
        <is>
          <t>BOOK</t>
        </is>
      </c>
      <c r="BC1802" t="inlineStr">
        <is>
          <t>32285003089736</t>
        </is>
      </c>
      <c r="BD1802" t="inlineStr">
        <is>
          <t>893510205</t>
        </is>
      </c>
    </row>
    <row r="1803">
      <c r="A1803" t="inlineStr">
        <is>
          <t>No</t>
        </is>
      </c>
      <c r="B1803" t="inlineStr">
        <is>
          <t>HQ734 .P472 2003</t>
        </is>
      </c>
      <c r="C1803" t="inlineStr">
        <is>
          <t>0                      HQ 0734000P  472         2003</t>
        </is>
      </c>
      <c r="D1803" t="inlineStr">
        <is>
          <t>Loving in flow : how the happiest couples get and stay that way / Susan K. Perry.</t>
        </is>
      </c>
      <c r="F1803" t="inlineStr">
        <is>
          <t>No</t>
        </is>
      </c>
      <c r="G1803" t="inlineStr">
        <is>
          <t>1</t>
        </is>
      </c>
      <c r="H1803" t="inlineStr">
        <is>
          <t>No</t>
        </is>
      </c>
      <c r="I1803" t="inlineStr">
        <is>
          <t>No</t>
        </is>
      </c>
      <c r="J1803" t="inlineStr">
        <is>
          <t>0</t>
        </is>
      </c>
      <c r="K1803" t="inlineStr">
        <is>
          <t>Perry, Susan K., 1946-</t>
        </is>
      </c>
      <c r="L1803" t="inlineStr">
        <is>
          <t>Naperville, Ill. : Sourcebooks Casablanca, c2003.</t>
        </is>
      </c>
      <c r="M1803" t="inlineStr">
        <is>
          <t>2003</t>
        </is>
      </c>
      <c r="O1803" t="inlineStr">
        <is>
          <t>eng</t>
        </is>
      </c>
      <c r="P1803" t="inlineStr">
        <is>
          <t>ilu</t>
        </is>
      </c>
      <c r="R1803" t="inlineStr">
        <is>
          <t xml:space="preserve">HQ </t>
        </is>
      </c>
      <c r="S1803" t="n">
        <v>12</v>
      </c>
      <c r="T1803" t="n">
        <v>12</v>
      </c>
      <c r="U1803" t="inlineStr">
        <is>
          <t>2009-04-27</t>
        </is>
      </c>
      <c r="V1803" t="inlineStr">
        <is>
          <t>2009-04-27</t>
        </is>
      </c>
      <c r="W1803" t="inlineStr">
        <is>
          <t>2003-09-11</t>
        </is>
      </c>
      <c r="X1803" t="inlineStr">
        <is>
          <t>2003-09-11</t>
        </is>
      </c>
      <c r="Y1803" t="n">
        <v>111</v>
      </c>
      <c r="Z1803" t="n">
        <v>102</v>
      </c>
      <c r="AA1803" t="n">
        <v>103</v>
      </c>
      <c r="AB1803" t="n">
        <v>1</v>
      </c>
      <c r="AC1803" t="n">
        <v>1</v>
      </c>
      <c r="AD1803" t="n">
        <v>0</v>
      </c>
      <c r="AE1803" t="n">
        <v>0</v>
      </c>
      <c r="AF1803" t="n">
        <v>0</v>
      </c>
      <c r="AG1803" t="n">
        <v>0</v>
      </c>
      <c r="AH1803" t="n">
        <v>0</v>
      </c>
      <c r="AI1803" t="n">
        <v>0</v>
      </c>
      <c r="AJ1803" t="n">
        <v>0</v>
      </c>
      <c r="AK1803" t="n">
        <v>0</v>
      </c>
      <c r="AL1803" t="n">
        <v>0</v>
      </c>
      <c r="AM1803" t="n">
        <v>0</v>
      </c>
      <c r="AN1803" t="n">
        <v>0</v>
      </c>
      <c r="AO1803" t="n">
        <v>0</v>
      </c>
      <c r="AP1803" t="inlineStr">
        <is>
          <t>No</t>
        </is>
      </c>
      <c r="AQ1803" t="inlineStr">
        <is>
          <t>No</t>
        </is>
      </c>
      <c r="AS1803">
        <f>HYPERLINK("https://creighton-primo.hosted.exlibrisgroup.com/primo-explore/search?tab=default_tab&amp;search_scope=EVERYTHING&amp;vid=01CRU&amp;lang=en_US&amp;offset=0&amp;query=any,contains,991004107029702656","Catalog Record")</f>
        <v/>
      </c>
      <c r="AT1803">
        <f>HYPERLINK("http://www.worldcat.org/oclc/50959077","WorldCat Record")</f>
        <v/>
      </c>
      <c r="AU1803" t="inlineStr">
        <is>
          <t>5319414083:eng</t>
        </is>
      </c>
      <c r="AV1803" t="inlineStr">
        <is>
          <t>50959077</t>
        </is>
      </c>
      <c r="AW1803" t="inlineStr">
        <is>
          <t>991004107029702656</t>
        </is>
      </c>
      <c r="AX1803" t="inlineStr">
        <is>
          <t>991004107029702656</t>
        </is>
      </c>
      <c r="AY1803" t="inlineStr">
        <is>
          <t>2255352620002656</t>
        </is>
      </c>
      <c r="AZ1803" t="inlineStr">
        <is>
          <t>BOOK</t>
        </is>
      </c>
      <c r="BB1803" t="inlineStr">
        <is>
          <t>9781402200656</t>
        </is>
      </c>
      <c r="BC1803" t="inlineStr">
        <is>
          <t>32285004782487</t>
        </is>
      </c>
      <c r="BD1803" t="inlineStr">
        <is>
          <t>893593279</t>
        </is>
      </c>
    </row>
    <row r="1804">
      <c r="A1804" t="inlineStr">
        <is>
          <t>No</t>
        </is>
      </c>
      <c r="B1804" t="inlineStr">
        <is>
          <t>HQ734 .P52 1964</t>
        </is>
      </c>
      <c r="C1804" t="inlineStr">
        <is>
          <t>0                      HQ 0734000P  52          1964</t>
        </is>
      </c>
      <c r="D1804" t="inlineStr">
        <is>
          <t>Education for marriage.</t>
        </is>
      </c>
      <c r="F1804" t="inlineStr">
        <is>
          <t>No</t>
        </is>
      </c>
      <c r="G1804" t="inlineStr">
        <is>
          <t>1</t>
        </is>
      </c>
      <c r="H1804" t="inlineStr">
        <is>
          <t>No</t>
        </is>
      </c>
      <c r="I1804" t="inlineStr">
        <is>
          <t>No</t>
        </is>
      </c>
      <c r="J1804" t="inlineStr">
        <is>
          <t>0</t>
        </is>
      </c>
      <c r="K1804" t="inlineStr">
        <is>
          <t>Peterson, James Alfred.</t>
        </is>
      </c>
      <c r="L1804" t="inlineStr">
        <is>
          <t>New York, Scribner [1964]</t>
        </is>
      </c>
      <c r="M1804" t="inlineStr">
        <is>
          <t>1964</t>
        </is>
      </c>
      <c r="N1804" t="inlineStr">
        <is>
          <t>2d ed.</t>
        </is>
      </c>
      <c r="O1804" t="inlineStr">
        <is>
          <t>eng</t>
        </is>
      </c>
      <c r="P1804" t="inlineStr">
        <is>
          <t xml:space="preserve">xx </t>
        </is>
      </c>
      <c r="R1804" t="inlineStr">
        <is>
          <t xml:space="preserve">HQ </t>
        </is>
      </c>
      <c r="S1804" t="n">
        <v>1</v>
      </c>
      <c r="T1804" t="n">
        <v>1</v>
      </c>
      <c r="U1804" t="inlineStr">
        <is>
          <t>1999-11-20</t>
        </is>
      </c>
      <c r="V1804" t="inlineStr">
        <is>
          <t>1999-11-20</t>
        </is>
      </c>
      <c r="W1804" t="inlineStr">
        <is>
          <t>1997-08-11</t>
        </is>
      </c>
      <c r="X1804" t="inlineStr">
        <is>
          <t>1997-08-11</t>
        </is>
      </c>
      <c r="Y1804" t="n">
        <v>314</v>
      </c>
      <c r="Z1804" t="n">
        <v>285</v>
      </c>
      <c r="AA1804" t="n">
        <v>445</v>
      </c>
      <c r="AB1804" t="n">
        <v>4</v>
      </c>
      <c r="AC1804" t="n">
        <v>4</v>
      </c>
      <c r="AD1804" t="n">
        <v>12</v>
      </c>
      <c r="AE1804" t="n">
        <v>13</v>
      </c>
      <c r="AF1804" t="n">
        <v>4</v>
      </c>
      <c r="AG1804" t="n">
        <v>4</v>
      </c>
      <c r="AH1804" t="n">
        <v>1</v>
      </c>
      <c r="AI1804" t="n">
        <v>2</v>
      </c>
      <c r="AJ1804" t="n">
        <v>7</v>
      </c>
      <c r="AK1804" t="n">
        <v>7</v>
      </c>
      <c r="AL1804" t="n">
        <v>2</v>
      </c>
      <c r="AM1804" t="n">
        <v>2</v>
      </c>
      <c r="AN1804" t="n">
        <v>0</v>
      </c>
      <c r="AO1804" t="n">
        <v>0</v>
      </c>
      <c r="AP1804" t="inlineStr">
        <is>
          <t>No</t>
        </is>
      </c>
      <c r="AQ1804" t="inlineStr">
        <is>
          <t>Yes</t>
        </is>
      </c>
      <c r="AR1804">
        <f>HYPERLINK("http://catalog.hathitrust.org/Record/001355073","HathiTrust Record")</f>
        <v/>
      </c>
      <c r="AS1804">
        <f>HYPERLINK("https://creighton-primo.hosted.exlibrisgroup.com/primo-explore/search?tab=default_tab&amp;search_scope=EVERYTHING&amp;vid=01CRU&amp;lang=en_US&amp;offset=0&amp;query=any,contains,991003688109702656","Catalog Record")</f>
        <v/>
      </c>
      <c r="AT1804">
        <f>HYPERLINK("http://www.worldcat.org/oclc/1317407","WorldCat Record")</f>
        <v/>
      </c>
      <c r="AU1804" t="inlineStr">
        <is>
          <t>2193230:eng</t>
        </is>
      </c>
      <c r="AV1804" t="inlineStr">
        <is>
          <t>1317407</t>
        </is>
      </c>
      <c r="AW1804" t="inlineStr">
        <is>
          <t>991003688109702656</t>
        </is>
      </c>
      <c r="AX1804" t="inlineStr">
        <is>
          <t>991003688109702656</t>
        </is>
      </c>
      <c r="AY1804" t="inlineStr">
        <is>
          <t>2269283950002656</t>
        </is>
      </c>
      <c r="AZ1804" t="inlineStr">
        <is>
          <t>BOOK</t>
        </is>
      </c>
      <c r="BC1804" t="inlineStr">
        <is>
          <t>32285003089744</t>
        </is>
      </c>
      <c r="BD1804" t="inlineStr">
        <is>
          <t>893623770</t>
        </is>
      </c>
    </row>
    <row r="1805">
      <c r="A1805" t="inlineStr">
        <is>
          <t>No</t>
        </is>
      </c>
      <c r="B1805" t="inlineStr">
        <is>
          <t>HQ734 .P72 2000</t>
        </is>
      </c>
      <c r="C1805" t="inlineStr">
        <is>
          <t>0                      HQ 0734000P  72          2000</t>
        </is>
      </c>
      <c r="D1805" t="inlineStr">
        <is>
          <t>The hard questions : 100 questions to ask before you say, "I do" / Susan Piver.</t>
        </is>
      </c>
      <c r="F1805" t="inlineStr">
        <is>
          <t>No</t>
        </is>
      </c>
      <c r="G1805" t="inlineStr">
        <is>
          <t>1</t>
        </is>
      </c>
      <c r="H1805" t="inlineStr">
        <is>
          <t>No</t>
        </is>
      </c>
      <c r="I1805" t="inlineStr">
        <is>
          <t>No</t>
        </is>
      </c>
      <c r="J1805" t="inlineStr">
        <is>
          <t>0</t>
        </is>
      </c>
      <c r="K1805" t="inlineStr">
        <is>
          <t>Piver, Susan, 1957-</t>
        </is>
      </c>
      <c r="L1805" t="inlineStr">
        <is>
          <t>New York : Jeremy P. Tarcher, c2000.</t>
        </is>
      </c>
      <c r="M1805" t="inlineStr">
        <is>
          <t>2000</t>
        </is>
      </c>
      <c r="O1805" t="inlineStr">
        <is>
          <t>eng</t>
        </is>
      </c>
      <c r="P1805" t="inlineStr">
        <is>
          <t>nyu</t>
        </is>
      </c>
      <c r="R1805" t="inlineStr">
        <is>
          <t xml:space="preserve">HQ </t>
        </is>
      </c>
      <c r="S1805" t="n">
        <v>11</v>
      </c>
      <c r="T1805" t="n">
        <v>11</v>
      </c>
      <c r="U1805" t="inlineStr">
        <is>
          <t>2009-11-02</t>
        </is>
      </c>
      <c r="V1805" t="inlineStr">
        <is>
          <t>2009-11-02</t>
        </is>
      </c>
      <c r="W1805" t="inlineStr">
        <is>
          <t>2003-08-06</t>
        </is>
      </c>
      <c r="X1805" t="inlineStr">
        <is>
          <t>2003-08-06</t>
        </is>
      </c>
      <c r="Y1805" t="n">
        <v>385</v>
      </c>
      <c r="Z1805" t="n">
        <v>369</v>
      </c>
      <c r="AA1805" t="n">
        <v>478</v>
      </c>
      <c r="AB1805" t="n">
        <v>6</v>
      </c>
      <c r="AC1805" t="n">
        <v>6</v>
      </c>
      <c r="AD1805" t="n">
        <v>1</v>
      </c>
      <c r="AE1805" t="n">
        <v>1</v>
      </c>
      <c r="AF1805" t="n">
        <v>0</v>
      </c>
      <c r="AG1805" t="n">
        <v>0</v>
      </c>
      <c r="AH1805" t="n">
        <v>0</v>
      </c>
      <c r="AI1805" t="n">
        <v>0</v>
      </c>
      <c r="AJ1805" t="n">
        <v>0</v>
      </c>
      <c r="AK1805" t="n">
        <v>0</v>
      </c>
      <c r="AL1805" t="n">
        <v>1</v>
      </c>
      <c r="AM1805" t="n">
        <v>1</v>
      </c>
      <c r="AN1805" t="n">
        <v>0</v>
      </c>
      <c r="AO1805" t="n">
        <v>0</v>
      </c>
      <c r="AP1805" t="inlineStr">
        <is>
          <t>No</t>
        </is>
      </c>
      <c r="AQ1805" t="inlineStr">
        <is>
          <t>No</t>
        </is>
      </c>
      <c r="AS1805">
        <f>HYPERLINK("https://creighton-primo.hosted.exlibrisgroup.com/primo-explore/search?tab=default_tab&amp;search_scope=EVERYTHING&amp;vid=01CRU&amp;lang=en_US&amp;offset=0&amp;query=any,contains,991004096429702656","Catalog Record")</f>
        <v/>
      </c>
      <c r="AT1805">
        <f>HYPERLINK("http://www.worldcat.org/oclc/42960508","WorldCat Record")</f>
        <v/>
      </c>
      <c r="AU1805" t="inlineStr">
        <is>
          <t>795738:eng</t>
        </is>
      </c>
      <c r="AV1805" t="inlineStr">
        <is>
          <t>42960508</t>
        </is>
      </c>
      <c r="AW1805" t="inlineStr">
        <is>
          <t>991004096429702656</t>
        </is>
      </c>
      <c r="AX1805" t="inlineStr">
        <is>
          <t>991004096429702656</t>
        </is>
      </c>
      <c r="AY1805" t="inlineStr">
        <is>
          <t>2264218430002656</t>
        </is>
      </c>
      <c r="AZ1805" t="inlineStr">
        <is>
          <t>BOOK</t>
        </is>
      </c>
      <c r="BB1805" t="inlineStr">
        <is>
          <t>9781585420049</t>
        </is>
      </c>
      <c r="BC1805" t="inlineStr">
        <is>
          <t>32285005147094</t>
        </is>
      </c>
      <c r="BD1805" t="inlineStr">
        <is>
          <t>893228929</t>
        </is>
      </c>
    </row>
    <row r="1806">
      <c r="A1806" t="inlineStr">
        <is>
          <t>No</t>
        </is>
      </c>
      <c r="B1806" t="inlineStr">
        <is>
          <t>HQ734 .R68</t>
        </is>
      </c>
      <c r="C1806" t="inlineStr">
        <is>
          <t>0                      HQ 0734000R  68</t>
        </is>
      </c>
      <c r="D1806" t="inlineStr">
        <is>
          <t>Marriage, family, and society : a reader.</t>
        </is>
      </c>
      <c r="F1806" t="inlineStr">
        <is>
          <t>No</t>
        </is>
      </c>
      <c r="G1806" t="inlineStr">
        <is>
          <t>1</t>
        </is>
      </c>
      <c r="H1806" t="inlineStr">
        <is>
          <t>No</t>
        </is>
      </c>
      <c r="I1806" t="inlineStr">
        <is>
          <t>No</t>
        </is>
      </c>
      <c r="J1806" t="inlineStr">
        <is>
          <t>0</t>
        </is>
      </c>
      <c r="K1806" t="inlineStr">
        <is>
          <t>Rodman, Hyman editor.</t>
        </is>
      </c>
      <c r="L1806" t="inlineStr">
        <is>
          <t>New York : Random House, [1965]</t>
        </is>
      </c>
      <c r="M1806" t="inlineStr">
        <is>
          <t>1965</t>
        </is>
      </c>
      <c r="O1806" t="inlineStr">
        <is>
          <t>eng</t>
        </is>
      </c>
      <c r="P1806" t="inlineStr">
        <is>
          <t>nyu</t>
        </is>
      </c>
      <c r="Q1806" t="inlineStr">
        <is>
          <t>Random House studies in sociology ; SS 26</t>
        </is>
      </c>
      <c r="R1806" t="inlineStr">
        <is>
          <t xml:space="preserve">HQ </t>
        </is>
      </c>
      <c r="S1806" t="n">
        <v>3</v>
      </c>
      <c r="T1806" t="n">
        <v>3</v>
      </c>
      <c r="U1806" t="inlineStr">
        <is>
          <t>1998-09-22</t>
        </is>
      </c>
      <c r="V1806" t="inlineStr">
        <is>
          <t>1998-09-22</t>
        </is>
      </c>
      <c r="W1806" t="inlineStr">
        <is>
          <t>1993-04-06</t>
        </is>
      </c>
      <c r="X1806" t="inlineStr">
        <is>
          <t>1993-04-06</t>
        </is>
      </c>
      <c r="Y1806" t="n">
        <v>532</v>
      </c>
      <c r="Z1806" t="n">
        <v>427</v>
      </c>
      <c r="AA1806" t="n">
        <v>435</v>
      </c>
      <c r="AB1806" t="n">
        <v>5</v>
      </c>
      <c r="AC1806" t="n">
        <v>5</v>
      </c>
      <c r="AD1806" t="n">
        <v>17</v>
      </c>
      <c r="AE1806" t="n">
        <v>17</v>
      </c>
      <c r="AF1806" t="n">
        <v>7</v>
      </c>
      <c r="AG1806" t="n">
        <v>7</v>
      </c>
      <c r="AH1806" t="n">
        <v>2</v>
      </c>
      <c r="AI1806" t="n">
        <v>2</v>
      </c>
      <c r="AJ1806" t="n">
        <v>10</v>
      </c>
      <c r="AK1806" t="n">
        <v>10</v>
      </c>
      <c r="AL1806" t="n">
        <v>3</v>
      </c>
      <c r="AM1806" t="n">
        <v>3</v>
      </c>
      <c r="AN1806" t="n">
        <v>0</v>
      </c>
      <c r="AO1806" t="n">
        <v>0</v>
      </c>
      <c r="AP1806" t="inlineStr">
        <is>
          <t>No</t>
        </is>
      </c>
      <c r="AQ1806" t="inlineStr">
        <is>
          <t>Yes</t>
        </is>
      </c>
      <c r="AR1806">
        <f>HYPERLINK("http://catalog.hathitrust.org/Record/000699035","HathiTrust Record")</f>
        <v/>
      </c>
      <c r="AS1806">
        <f>HYPERLINK("https://creighton-primo.hosted.exlibrisgroup.com/primo-explore/search?tab=default_tab&amp;search_scope=EVERYTHING&amp;vid=01CRU&amp;lang=en_US&amp;offset=0&amp;query=any,contains,991002027989702656","Catalog Record")</f>
        <v/>
      </c>
      <c r="AT1806">
        <f>HYPERLINK("http://www.worldcat.org/oclc/259913","WorldCat Record")</f>
        <v/>
      </c>
      <c r="AU1806" t="inlineStr">
        <is>
          <t>312162192:eng</t>
        </is>
      </c>
      <c r="AV1806" t="inlineStr">
        <is>
          <t>259913</t>
        </is>
      </c>
      <c r="AW1806" t="inlineStr">
        <is>
          <t>991002027989702656</t>
        </is>
      </c>
      <c r="AX1806" t="inlineStr">
        <is>
          <t>991002027989702656</t>
        </is>
      </c>
      <c r="AY1806" t="inlineStr">
        <is>
          <t>2270955120002656</t>
        </is>
      </c>
      <c r="AZ1806" t="inlineStr">
        <is>
          <t>BOOK</t>
        </is>
      </c>
      <c r="BC1806" t="inlineStr">
        <is>
          <t>32285001602530</t>
        </is>
      </c>
      <c r="BD1806" t="inlineStr">
        <is>
          <t>893427126</t>
        </is>
      </c>
    </row>
    <row r="1807">
      <c r="A1807" t="inlineStr">
        <is>
          <t>No</t>
        </is>
      </c>
      <c r="B1807" t="inlineStr">
        <is>
          <t>HQ734 .R69</t>
        </is>
      </c>
      <c r="C1807" t="inlineStr">
        <is>
          <t>0                      HQ 0734000R  69</t>
        </is>
      </c>
      <c r="D1807" t="inlineStr">
        <is>
          <t>Becoming partners : marriage and its alternatives / by Carl R. Rogers.</t>
        </is>
      </c>
      <c r="F1807" t="inlineStr">
        <is>
          <t>No</t>
        </is>
      </c>
      <c r="G1807" t="inlineStr">
        <is>
          <t>1</t>
        </is>
      </c>
      <c r="H1807" t="inlineStr">
        <is>
          <t>No</t>
        </is>
      </c>
      <c r="I1807" t="inlineStr">
        <is>
          <t>No</t>
        </is>
      </c>
      <c r="J1807" t="inlineStr">
        <is>
          <t>0</t>
        </is>
      </c>
      <c r="K1807" t="inlineStr">
        <is>
          <t>Rogers, Carl R. (Carl Ransom), 1902-1987.</t>
        </is>
      </c>
      <c r="L1807" t="inlineStr">
        <is>
          <t>New York : Delacorte Press, [1972]</t>
        </is>
      </c>
      <c r="M1807" t="inlineStr">
        <is>
          <t>1972</t>
        </is>
      </c>
      <c r="O1807" t="inlineStr">
        <is>
          <t>eng</t>
        </is>
      </c>
      <c r="P1807" t="inlineStr">
        <is>
          <t>nyu</t>
        </is>
      </c>
      <c r="R1807" t="inlineStr">
        <is>
          <t xml:space="preserve">HQ </t>
        </is>
      </c>
      <c r="S1807" t="n">
        <v>6</v>
      </c>
      <c r="T1807" t="n">
        <v>6</v>
      </c>
      <c r="U1807" t="inlineStr">
        <is>
          <t>1994-03-03</t>
        </is>
      </c>
      <c r="V1807" t="inlineStr">
        <is>
          <t>1994-03-03</t>
        </is>
      </c>
      <c r="W1807" t="inlineStr">
        <is>
          <t>1990-02-06</t>
        </is>
      </c>
      <c r="X1807" t="inlineStr">
        <is>
          <t>1990-02-06</t>
        </is>
      </c>
      <c r="Y1807" t="n">
        <v>1238</v>
      </c>
      <c r="Z1807" t="n">
        <v>1133</v>
      </c>
      <c r="AA1807" t="n">
        <v>1313</v>
      </c>
      <c r="AB1807" t="n">
        <v>7</v>
      </c>
      <c r="AC1807" t="n">
        <v>8</v>
      </c>
      <c r="AD1807" t="n">
        <v>36</v>
      </c>
      <c r="AE1807" t="n">
        <v>44</v>
      </c>
      <c r="AF1807" t="n">
        <v>15</v>
      </c>
      <c r="AG1807" t="n">
        <v>19</v>
      </c>
      <c r="AH1807" t="n">
        <v>5</v>
      </c>
      <c r="AI1807" t="n">
        <v>6</v>
      </c>
      <c r="AJ1807" t="n">
        <v>19</v>
      </c>
      <c r="AK1807" t="n">
        <v>22</v>
      </c>
      <c r="AL1807" t="n">
        <v>5</v>
      </c>
      <c r="AM1807" t="n">
        <v>6</v>
      </c>
      <c r="AN1807" t="n">
        <v>0</v>
      </c>
      <c r="AO1807" t="n">
        <v>0</v>
      </c>
      <c r="AP1807" t="inlineStr">
        <is>
          <t>No</t>
        </is>
      </c>
      <c r="AQ1807" t="inlineStr">
        <is>
          <t>Yes</t>
        </is>
      </c>
      <c r="AR1807">
        <f>HYPERLINK("http://catalog.hathitrust.org/Record/000004631","HathiTrust Record")</f>
        <v/>
      </c>
      <c r="AS1807">
        <f>HYPERLINK("https://creighton-primo.hosted.exlibrisgroup.com/primo-explore/search?tab=default_tab&amp;search_scope=EVERYTHING&amp;vid=01CRU&amp;lang=en_US&amp;offset=0&amp;query=any,contains,991002342919702656","Catalog Record")</f>
        <v/>
      </c>
      <c r="AT1807">
        <f>HYPERLINK("http://www.worldcat.org/oclc/323817","WorldCat Record")</f>
        <v/>
      </c>
      <c r="AU1807" t="inlineStr">
        <is>
          <t>58208301:eng</t>
        </is>
      </c>
      <c r="AV1807" t="inlineStr">
        <is>
          <t>323817</t>
        </is>
      </c>
      <c r="AW1807" t="inlineStr">
        <is>
          <t>991002342919702656</t>
        </is>
      </c>
      <c r="AX1807" t="inlineStr">
        <is>
          <t>991002342919702656</t>
        </is>
      </c>
      <c r="AY1807" t="inlineStr">
        <is>
          <t>2256529630002656</t>
        </is>
      </c>
      <c r="AZ1807" t="inlineStr">
        <is>
          <t>BOOK</t>
        </is>
      </c>
      <c r="BC1807" t="inlineStr">
        <is>
          <t>32285000038314</t>
        </is>
      </c>
      <c r="BD1807" t="inlineStr">
        <is>
          <t>893622176</t>
        </is>
      </c>
    </row>
    <row r="1808">
      <c r="A1808" t="inlineStr">
        <is>
          <t>No</t>
        </is>
      </c>
      <c r="B1808" t="inlineStr">
        <is>
          <t>HQ734 .S264 1989</t>
        </is>
      </c>
      <c r="C1808" t="inlineStr">
        <is>
          <t>0                      HQ 0734000S  264         1989</t>
        </is>
      </c>
      <c r="D1808" t="inlineStr">
        <is>
          <t>Love-centered marriage in a self-centered world / Irving Sarnoff and Suzanne Sarnoff.</t>
        </is>
      </c>
      <c r="F1808" t="inlineStr">
        <is>
          <t>No</t>
        </is>
      </c>
      <c r="G1808" t="inlineStr">
        <is>
          <t>1</t>
        </is>
      </c>
      <c r="H1808" t="inlineStr">
        <is>
          <t>No</t>
        </is>
      </c>
      <c r="I1808" t="inlineStr">
        <is>
          <t>No</t>
        </is>
      </c>
      <c r="J1808" t="inlineStr">
        <is>
          <t>0</t>
        </is>
      </c>
      <c r="K1808" t="inlineStr">
        <is>
          <t>Sarnoff, Irving, 1922-</t>
        </is>
      </c>
      <c r="L1808" t="inlineStr">
        <is>
          <t>New York : Hemisphere Pub. Corp., c1989.</t>
        </is>
      </c>
      <c r="M1808" t="inlineStr">
        <is>
          <t>1989</t>
        </is>
      </c>
      <c r="O1808" t="inlineStr">
        <is>
          <t>eng</t>
        </is>
      </c>
      <c r="P1808" t="inlineStr">
        <is>
          <t>nyu</t>
        </is>
      </c>
      <c r="R1808" t="inlineStr">
        <is>
          <t xml:space="preserve">HQ </t>
        </is>
      </c>
      <c r="S1808" t="n">
        <v>146</v>
      </c>
      <c r="T1808" t="n">
        <v>146</v>
      </c>
      <c r="U1808" t="inlineStr">
        <is>
          <t>2004-02-17</t>
        </is>
      </c>
      <c r="V1808" t="inlineStr">
        <is>
          <t>2004-02-17</t>
        </is>
      </c>
      <c r="W1808" t="inlineStr">
        <is>
          <t>1991-03-26</t>
        </is>
      </c>
      <c r="X1808" t="inlineStr">
        <is>
          <t>1991-03-26</t>
        </is>
      </c>
      <c r="Y1808" t="n">
        <v>302</v>
      </c>
      <c r="Z1808" t="n">
        <v>248</v>
      </c>
      <c r="AA1808" t="n">
        <v>254</v>
      </c>
      <c r="AB1808" t="n">
        <v>3</v>
      </c>
      <c r="AC1808" t="n">
        <v>3</v>
      </c>
      <c r="AD1808" t="n">
        <v>10</v>
      </c>
      <c r="AE1808" t="n">
        <v>10</v>
      </c>
      <c r="AF1808" t="n">
        <v>1</v>
      </c>
      <c r="AG1808" t="n">
        <v>1</v>
      </c>
      <c r="AH1808" t="n">
        <v>4</v>
      </c>
      <c r="AI1808" t="n">
        <v>4</v>
      </c>
      <c r="AJ1808" t="n">
        <v>4</v>
      </c>
      <c r="AK1808" t="n">
        <v>4</v>
      </c>
      <c r="AL1808" t="n">
        <v>2</v>
      </c>
      <c r="AM1808" t="n">
        <v>2</v>
      </c>
      <c r="AN1808" t="n">
        <v>0</v>
      </c>
      <c r="AO1808" t="n">
        <v>0</v>
      </c>
      <c r="AP1808" t="inlineStr">
        <is>
          <t>No</t>
        </is>
      </c>
      <c r="AQ1808" t="inlineStr">
        <is>
          <t>No</t>
        </is>
      </c>
      <c r="AS1808">
        <f>HYPERLINK("https://creighton-primo.hosted.exlibrisgroup.com/primo-explore/search?tab=default_tab&amp;search_scope=EVERYTHING&amp;vid=01CRU&amp;lang=en_US&amp;offset=0&amp;query=any,contains,991001482769702656","Catalog Record")</f>
        <v/>
      </c>
      <c r="AT1808">
        <f>HYPERLINK("http://www.worldcat.org/oclc/19628372","WorldCat Record")</f>
        <v/>
      </c>
      <c r="AU1808" t="inlineStr">
        <is>
          <t>351802437:eng</t>
        </is>
      </c>
      <c r="AV1808" t="inlineStr">
        <is>
          <t>19628372</t>
        </is>
      </c>
      <c r="AW1808" t="inlineStr">
        <is>
          <t>991001482769702656</t>
        </is>
      </c>
      <c r="AX1808" t="inlineStr">
        <is>
          <t>991001482769702656</t>
        </is>
      </c>
      <c r="AY1808" t="inlineStr">
        <is>
          <t>2265609290002656</t>
        </is>
      </c>
      <c r="AZ1808" t="inlineStr">
        <is>
          <t>BOOK</t>
        </is>
      </c>
      <c r="BB1808" t="inlineStr">
        <is>
          <t>9780891169390</t>
        </is>
      </c>
      <c r="BC1808" t="inlineStr">
        <is>
          <t>32285000513605</t>
        </is>
      </c>
      <c r="BD1808" t="inlineStr">
        <is>
          <t>893250269</t>
        </is>
      </c>
    </row>
    <row r="1809">
      <c r="A1809" t="inlineStr">
        <is>
          <t>No</t>
        </is>
      </c>
      <c r="B1809" t="inlineStr">
        <is>
          <t>HQ734 .S5765 1984</t>
        </is>
      </c>
      <c r="C1809" t="inlineStr">
        <is>
          <t>0                      HQ 0734000S  5765        1984</t>
        </is>
      </c>
      <c r="D1809" t="inlineStr">
        <is>
          <t>Love, marriage, and friendship in the Soviet Union : ideals and practices / by Vladimir Shlapentokh.</t>
        </is>
      </c>
      <c r="F1809" t="inlineStr">
        <is>
          <t>No</t>
        </is>
      </c>
      <c r="G1809" t="inlineStr">
        <is>
          <t>1</t>
        </is>
      </c>
      <c r="H1809" t="inlineStr">
        <is>
          <t>No</t>
        </is>
      </c>
      <c r="I1809" t="inlineStr">
        <is>
          <t>No</t>
        </is>
      </c>
      <c r="J1809" t="inlineStr">
        <is>
          <t>0</t>
        </is>
      </c>
      <c r="K1809" t="inlineStr">
        <is>
          <t>Shlapentokh, Vladimir.</t>
        </is>
      </c>
      <c r="L1809" t="inlineStr">
        <is>
          <t>New York : Praeger, 1984.</t>
        </is>
      </c>
      <c r="M1809" t="inlineStr">
        <is>
          <t>1984</t>
        </is>
      </c>
      <c r="O1809" t="inlineStr">
        <is>
          <t>eng</t>
        </is>
      </c>
      <c r="P1809" t="inlineStr">
        <is>
          <t>nyu</t>
        </is>
      </c>
      <c r="R1809" t="inlineStr">
        <is>
          <t xml:space="preserve">HQ </t>
        </is>
      </c>
      <c r="S1809" t="n">
        <v>4</v>
      </c>
      <c r="T1809" t="n">
        <v>4</v>
      </c>
      <c r="U1809" t="inlineStr">
        <is>
          <t>1997-11-07</t>
        </is>
      </c>
      <c r="V1809" t="inlineStr">
        <is>
          <t>1997-11-07</t>
        </is>
      </c>
      <c r="W1809" t="inlineStr">
        <is>
          <t>1992-10-30</t>
        </is>
      </c>
      <c r="X1809" t="inlineStr">
        <is>
          <t>1992-10-30</t>
        </is>
      </c>
      <c r="Y1809" t="n">
        <v>413</v>
      </c>
      <c r="Z1809" t="n">
        <v>339</v>
      </c>
      <c r="AA1809" t="n">
        <v>346</v>
      </c>
      <c r="AB1809" t="n">
        <v>3</v>
      </c>
      <c r="AC1809" t="n">
        <v>3</v>
      </c>
      <c r="AD1809" t="n">
        <v>17</v>
      </c>
      <c r="AE1809" t="n">
        <v>17</v>
      </c>
      <c r="AF1809" t="n">
        <v>8</v>
      </c>
      <c r="AG1809" t="n">
        <v>8</v>
      </c>
      <c r="AH1809" t="n">
        <v>3</v>
      </c>
      <c r="AI1809" t="n">
        <v>3</v>
      </c>
      <c r="AJ1809" t="n">
        <v>8</v>
      </c>
      <c r="AK1809" t="n">
        <v>8</v>
      </c>
      <c r="AL1809" t="n">
        <v>2</v>
      </c>
      <c r="AM1809" t="n">
        <v>2</v>
      </c>
      <c r="AN1809" t="n">
        <v>0</v>
      </c>
      <c r="AO1809" t="n">
        <v>0</v>
      </c>
      <c r="AP1809" t="inlineStr">
        <is>
          <t>No</t>
        </is>
      </c>
      <c r="AQ1809" t="inlineStr">
        <is>
          <t>Yes</t>
        </is>
      </c>
      <c r="AR1809">
        <f>HYPERLINK("http://catalog.hathitrust.org/Record/000335760","HathiTrust Record")</f>
        <v/>
      </c>
      <c r="AS1809">
        <f>HYPERLINK("https://creighton-primo.hosted.exlibrisgroup.com/primo-explore/search?tab=default_tab&amp;search_scope=EVERYTHING&amp;vid=01CRU&amp;lang=en_US&amp;offset=0&amp;query=any,contains,991000472599702656","Catalog Record")</f>
        <v/>
      </c>
      <c r="AT1809">
        <f>HYPERLINK("http://www.worldcat.org/oclc/10998694","WorldCat Record")</f>
        <v/>
      </c>
      <c r="AU1809" t="inlineStr">
        <is>
          <t>836673020:eng</t>
        </is>
      </c>
      <c r="AV1809" t="inlineStr">
        <is>
          <t>10998694</t>
        </is>
      </c>
      <c r="AW1809" t="inlineStr">
        <is>
          <t>991000472599702656</t>
        </is>
      </c>
      <c r="AX1809" t="inlineStr">
        <is>
          <t>991000472599702656</t>
        </is>
      </c>
      <c r="AY1809" t="inlineStr">
        <is>
          <t>2261333200002656</t>
        </is>
      </c>
      <c r="AZ1809" t="inlineStr">
        <is>
          <t>BOOK</t>
        </is>
      </c>
      <c r="BB1809" t="inlineStr">
        <is>
          <t>9780030715419</t>
        </is>
      </c>
      <c r="BC1809" t="inlineStr">
        <is>
          <t>32285001359396</t>
        </is>
      </c>
      <c r="BD1809" t="inlineStr">
        <is>
          <t>893345684</t>
        </is>
      </c>
    </row>
    <row r="1810">
      <c r="A1810" t="inlineStr">
        <is>
          <t>No</t>
        </is>
      </c>
      <c r="B1810" t="inlineStr">
        <is>
          <t>HQ734 .S593 1985</t>
        </is>
      </c>
      <c r="C1810" t="inlineStr">
        <is>
          <t>0                      HQ 0734000S  593         1985</t>
        </is>
      </c>
      <c r="D1810" t="inlineStr">
        <is>
          <t>Family communication : an integrated systems approach / Evelyn Sieburg.</t>
        </is>
      </c>
      <c r="F1810" t="inlineStr">
        <is>
          <t>No</t>
        </is>
      </c>
      <c r="G1810" t="inlineStr">
        <is>
          <t>1</t>
        </is>
      </c>
      <c r="H1810" t="inlineStr">
        <is>
          <t>No</t>
        </is>
      </c>
      <c r="I1810" t="inlineStr">
        <is>
          <t>No</t>
        </is>
      </c>
      <c r="J1810" t="inlineStr">
        <is>
          <t>0</t>
        </is>
      </c>
      <c r="K1810" t="inlineStr">
        <is>
          <t>Sieburg, Evelyn.</t>
        </is>
      </c>
      <c r="L1810" t="inlineStr">
        <is>
          <t>New York : Gardner Press, c1985.</t>
        </is>
      </c>
      <c r="M1810" t="inlineStr">
        <is>
          <t>1985</t>
        </is>
      </c>
      <c r="O1810" t="inlineStr">
        <is>
          <t>eng</t>
        </is>
      </c>
      <c r="P1810" t="inlineStr">
        <is>
          <t>nyu</t>
        </is>
      </c>
      <c r="R1810" t="inlineStr">
        <is>
          <t xml:space="preserve">HQ </t>
        </is>
      </c>
      <c r="S1810" t="n">
        <v>17</v>
      </c>
      <c r="T1810" t="n">
        <v>17</v>
      </c>
      <c r="U1810" t="inlineStr">
        <is>
          <t>2005-11-20</t>
        </is>
      </c>
      <c r="V1810" t="inlineStr">
        <is>
          <t>2005-11-20</t>
        </is>
      </c>
      <c r="W1810" t="inlineStr">
        <is>
          <t>1992-01-21</t>
        </is>
      </c>
      <c r="X1810" t="inlineStr">
        <is>
          <t>1992-01-21</t>
        </is>
      </c>
      <c r="Y1810" t="n">
        <v>190</v>
      </c>
      <c r="Z1810" t="n">
        <v>149</v>
      </c>
      <c r="AA1810" t="n">
        <v>157</v>
      </c>
      <c r="AB1810" t="n">
        <v>2</v>
      </c>
      <c r="AC1810" t="n">
        <v>2</v>
      </c>
      <c r="AD1810" t="n">
        <v>5</v>
      </c>
      <c r="AE1810" t="n">
        <v>5</v>
      </c>
      <c r="AF1810" t="n">
        <v>2</v>
      </c>
      <c r="AG1810" t="n">
        <v>2</v>
      </c>
      <c r="AH1810" t="n">
        <v>0</v>
      </c>
      <c r="AI1810" t="n">
        <v>0</v>
      </c>
      <c r="AJ1810" t="n">
        <v>3</v>
      </c>
      <c r="AK1810" t="n">
        <v>3</v>
      </c>
      <c r="AL1810" t="n">
        <v>1</v>
      </c>
      <c r="AM1810" t="n">
        <v>1</v>
      </c>
      <c r="AN1810" t="n">
        <v>0</v>
      </c>
      <c r="AO1810" t="n">
        <v>0</v>
      </c>
      <c r="AP1810" t="inlineStr">
        <is>
          <t>No</t>
        </is>
      </c>
      <c r="AQ1810" t="inlineStr">
        <is>
          <t>No</t>
        </is>
      </c>
      <c r="AS1810">
        <f>HYPERLINK("https://creighton-primo.hosted.exlibrisgroup.com/primo-explore/search?tab=default_tab&amp;search_scope=EVERYTHING&amp;vid=01CRU&amp;lang=en_US&amp;offset=0&amp;query=any,contains,991000660329702656","Catalog Record")</f>
        <v/>
      </c>
      <c r="AT1810">
        <f>HYPERLINK("http://www.worldcat.org/oclc/12237727","WorldCat Record")</f>
        <v/>
      </c>
      <c r="AU1810" t="inlineStr">
        <is>
          <t>889361730:eng</t>
        </is>
      </c>
      <c r="AV1810" t="inlineStr">
        <is>
          <t>12237727</t>
        </is>
      </c>
      <c r="AW1810" t="inlineStr">
        <is>
          <t>991000660329702656</t>
        </is>
      </c>
      <c r="AX1810" t="inlineStr">
        <is>
          <t>991000660329702656</t>
        </is>
      </c>
      <c r="AY1810" t="inlineStr">
        <is>
          <t>2268414030002656</t>
        </is>
      </c>
      <c r="AZ1810" t="inlineStr">
        <is>
          <t>BOOK</t>
        </is>
      </c>
      <c r="BB1810" t="inlineStr">
        <is>
          <t>9780898761092</t>
        </is>
      </c>
      <c r="BC1810" t="inlineStr">
        <is>
          <t>32285000916410</t>
        </is>
      </c>
      <c r="BD1810" t="inlineStr">
        <is>
          <t>893321234</t>
        </is>
      </c>
    </row>
    <row r="1811">
      <c r="A1811" t="inlineStr">
        <is>
          <t>No</t>
        </is>
      </c>
      <c r="B1811" t="inlineStr">
        <is>
          <t>HQ734 .S6</t>
        </is>
      </c>
      <c r="C1811" t="inlineStr">
        <is>
          <t>0                      HQ 0734000S  6</t>
        </is>
      </c>
      <c r="D1811" t="inlineStr">
        <is>
          <t>Living together : communication in the unmarried relationship / Joseph Simons.</t>
        </is>
      </c>
      <c r="F1811" t="inlineStr">
        <is>
          <t>No</t>
        </is>
      </c>
      <c r="G1811" t="inlineStr">
        <is>
          <t>1</t>
        </is>
      </c>
      <c r="H1811" t="inlineStr">
        <is>
          <t>No</t>
        </is>
      </c>
      <c r="I1811" t="inlineStr">
        <is>
          <t>No</t>
        </is>
      </c>
      <c r="J1811" t="inlineStr">
        <is>
          <t>0</t>
        </is>
      </c>
      <c r="K1811" t="inlineStr">
        <is>
          <t>Simons, Joseph B.</t>
        </is>
      </c>
      <c r="L1811" t="inlineStr">
        <is>
          <t>Chicago : Nelson-Hall, c1978.</t>
        </is>
      </c>
      <c r="M1811" t="inlineStr">
        <is>
          <t>1978</t>
        </is>
      </c>
      <c r="O1811" t="inlineStr">
        <is>
          <t>eng</t>
        </is>
      </c>
      <c r="P1811" t="inlineStr">
        <is>
          <t>ilu</t>
        </is>
      </c>
      <c r="R1811" t="inlineStr">
        <is>
          <t xml:space="preserve">HQ </t>
        </is>
      </c>
      <c r="S1811" t="n">
        <v>16</v>
      </c>
      <c r="T1811" t="n">
        <v>16</v>
      </c>
      <c r="U1811" t="inlineStr">
        <is>
          <t>2008-09-02</t>
        </is>
      </c>
      <c r="V1811" t="inlineStr">
        <is>
          <t>2008-09-02</t>
        </is>
      </c>
      <c r="W1811" t="inlineStr">
        <is>
          <t>1990-03-27</t>
        </is>
      </c>
      <c r="X1811" t="inlineStr">
        <is>
          <t>1990-03-27</t>
        </is>
      </c>
      <c r="Y1811" t="n">
        <v>212</v>
      </c>
      <c r="Z1811" t="n">
        <v>201</v>
      </c>
      <c r="AA1811" t="n">
        <v>201</v>
      </c>
      <c r="AB1811" t="n">
        <v>3</v>
      </c>
      <c r="AC1811" t="n">
        <v>3</v>
      </c>
      <c r="AD1811" t="n">
        <v>3</v>
      </c>
      <c r="AE1811" t="n">
        <v>3</v>
      </c>
      <c r="AF1811" t="n">
        <v>1</v>
      </c>
      <c r="AG1811" t="n">
        <v>1</v>
      </c>
      <c r="AH1811" t="n">
        <v>0</v>
      </c>
      <c r="AI1811" t="n">
        <v>0</v>
      </c>
      <c r="AJ1811" t="n">
        <v>1</v>
      </c>
      <c r="AK1811" t="n">
        <v>1</v>
      </c>
      <c r="AL1811" t="n">
        <v>1</v>
      </c>
      <c r="AM1811" t="n">
        <v>1</v>
      </c>
      <c r="AN1811" t="n">
        <v>0</v>
      </c>
      <c r="AO1811" t="n">
        <v>0</v>
      </c>
      <c r="AP1811" t="inlineStr">
        <is>
          <t>No</t>
        </is>
      </c>
      <c r="AQ1811" t="inlineStr">
        <is>
          <t>No</t>
        </is>
      </c>
      <c r="AS1811">
        <f>HYPERLINK("https://creighton-primo.hosted.exlibrisgroup.com/primo-explore/search?tab=default_tab&amp;search_scope=EVERYTHING&amp;vid=01CRU&amp;lang=en_US&amp;offset=0&amp;query=any,contains,991004480139702656","Catalog Record")</f>
        <v/>
      </c>
      <c r="AT1811">
        <f>HYPERLINK("http://www.worldcat.org/oclc/3627217","WorldCat Record")</f>
        <v/>
      </c>
      <c r="AU1811" t="inlineStr">
        <is>
          <t>373747262:eng</t>
        </is>
      </c>
      <c r="AV1811" t="inlineStr">
        <is>
          <t>3627217</t>
        </is>
      </c>
      <c r="AW1811" t="inlineStr">
        <is>
          <t>991004480139702656</t>
        </is>
      </c>
      <c r="AX1811" t="inlineStr">
        <is>
          <t>991004480139702656</t>
        </is>
      </c>
      <c r="AY1811" t="inlineStr">
        <is>
          <t>2269310850002656</t>
        </is>
      </c>
      <c r="AZ1811" t="inlineStr">
        <is>
          <t>BOOK</t>
        </is>
      </c>
      <c r="BB1811" t="inlineStr">
        <is>
          <t>9780882292748</t>
        </is>
      </c>
      <c r="BC1811" t="inlineStr">
        <is>
          <t>32285000097559</t>
        </is>
      </c>
      <c r="BD1811" t="inlineStr">
        <is>
          <t>893718950</t>
        </is>
      </c>
    </row>
    <row r="1812">
      <c r="A1812" t="inlineStr">
        <is>
          <t>No</t>
        </is>
      </c>
      <c r="B1812" t="inlineStr">
        <is>
          <t>HQ734 .S728</t>
        </is>
      </c>
      <c r="C1812" t="inlineStr">
        <is>
          <t>0                      HQ 0734000S  728</t>
        </is>
      </c>
      <c r="D1812" t="inlineStr">
        <is>
          <t>Beyond monogamy : recent studies of sexual alternatives in marriage / edited and with an introductory essay by James R. Smith and Lynn G. Smith.</t>
        </is>
      </c>
      <c r="F1812" t="inlineStr">
        <is>
          <t>No</t>
        </is>
      </c>
      <c r="G1812" t="inlineStr">
        <is>
          <t>1</t>
        </is>
      </c>
      <c r="H1812" t="inlineStr">
        <is>
          <t>No</t>
        </is>
      </c>
      <c r="I1812" t="inlineStr">
        <is>
          <t>No</t>
        </is>
      </c>
      <c r="J1812" t="inlineStr">
        <is>
          <t>0</t>
        </is>
      </c>
      <c r="K1812" t="inlineStr">
        <is>
          <t>Smith, James R., 1941-, compiler.</t>
        </is>
      </c>
      <c r="L1812" t="inlineStr">
        <is>
          <t>Baltimore : Johns Hopkins University Press, [1974]</t>
        </is>
      </c>
      <c r="M1812" t="inlineStr">
        <is>
          <t>1974</t>
        </is>
      </c>
      <c r="O1812" t="inlineStr">
        <is>
          <t>eng</t>
        </is>
      </c>
      <c r="P1812" t="inlineStr">
        <is>
          <t>mdu</t>
        </is>
      </c>
      <c r="R1812" t="inlineStr">
        <is>
          <t xml:space="preserve">HQ </t>
        </is>
      </c>
      <c r="S1812" t="n">
        <v>15</v>
      </c>
      <c r="T1812" t="n">
        <v>15</v>
      </c>
      <c r="U1812" t="inlineStr">
        <is>
          <t>2005-10-11</t>
        </is>
      </c>
      <c r="V1812" t="inlineStr">
        <is>
          <t>2005-10-11</t>
        </is>
      </c>
      <c r="W1812" t="inlineStr">
        <is>
          <t>1992-02-19</t>
        </is>
      </c>
      <c r="X1812" t="inlineStr">
        <is>
          <t>1992-02-19</t>
        </is>
      </c>
      <c r="Y1812" t="n">
        <v>904</v>
      </c>
      <c r="Z1812" t="n">
        <v>777</v>
      </c>
      <c r="AA1812" t="n">
        <v>788</v>
      </c>
      <c r="AB1812" t="n">
        <v>8</v>
      </c>
      <c r="AC1812" t="n">
        <v>8</v>
      </c>
      <c r="AD1812" t="n">
        <v>31</v>
      </c>
      <c r="AE1812" t="n">
        <v>32</v>
      </c>
      <c r="AF1812" t="n">
        <v>12</v>
      </c>
      <c r="AG1812" t="n">
        <v>13</v>
      </c>
      <c r="AH1812" t="n">
        <v>4</v>
      </c>
      <c r="AI1812" t="n">
        <v>4</v>
      </c>
      <c r="AJ1812" t="n">
        <v>14</v>
      </c>
      <c r="AK1812" t="n">
        <v>14</v>
      </c>
      <c r="AL1812" t="n">
        <v>7</v>
      </c>
      <c r="AM1812" t="n">
        <v>7</v>
      </c>
      <c r="AN1812" t="n">
        <v>0</v>
      </c>
      <c r="AO1812" t="n">
        <v>0</v>
      </c>
      <c r="AP1812" t="inlineStr">
        <is>
          <t>No</t>
        </is>
      </c>
      <c r="AQ1812" t="inlineStr">
        <is>
          <t>Yes</t>
        </is>
      </c>
      <c r="AR1812">
        <f>HYPERLINK("http://catalog.hathitrust.org/Record/001110008","HathiTrust Record")</f>
        <v/>
      </c>
      <c r="AS1812">
        <f>HYPERLINK("https://creighton-primo.hosted.exlibrisgroup.com/primo-explore/search?tab=default_tab&amp;search_scope=EVERYTHING&amp;vid=01CRU&amp;lang=en_US&amp;offset=0&amp;query=any,contains,991003316589702656","Catalog Record")</f>
        <v/>
      </c>
      <c r="AT1812">
        <f>HYPERLINK("http://www.worldcat.org/oclc/841343","WorldCat Record")</f>
        <v/>
      </c>
      <c r="AU1812" t="inlineStr">
        <is>
          <t>917103860:eng</t>
        </is>
      </c>
      <c r="AV1812" t="inlineStr">
        <is>
          <t>841343</t>
        </is>
      </c>
      <c r="AW1812" t="inlineStr">
        <is>
          <t>991003316589702656</t>
        </is>
      </c>
      <c r="AX1812" t="inlineStr">
        <is>
          <t>991003316589702656</t>
        </is>
      </c>
      <c r="AY1812" t="inlineStr">
        <is>
          <t>2265072930002656</t>
        </is>
      </c>
      <c r="AZ1812" t="inlineStr">
        <is>
          <t>BOOK</t>
        </is>
      </c>
      <c r="BB1812" t="inlineStr">
        <is>
          <t>9780801815775</t>
        </is>
      </c>
      <c r="BC1812" t="inlineStr">
        <is>
          <t>32285000970953</t>
        </is>
      </c>
      <c r="BD1812" t="inlineStr">
        <is>
          <t>893240085</t>
        </is>
      </c>
    </row>
    <row r="1813">
      <c r="A1813" t="inlineStr">
        <is>
          <t>No</t>
        </is>
      </c>
      <c r="B1813" t="inlineStr">
        <is>
          <t>HQ734 .S873</t>
        </is>
      </c>
      <c r="C1813" t="inlineStr">
        <is>
          <t>0                      HQ 0734000S  873</t>
        </is>
      </c>
      <c r="D1813" t="inlineStr">
        <is>
          <t>Relationships in marriage &amp; family / Nick Stinnett, James Walters.</t>
        </is>
      </c>
      <c r="F1813" t="inlineStr">
        <is>
          <t>No</t>
        </is>
      </c>
      <c r="G1813" t="inlineStr">
        <is>
          <t>1</t>
        </is>
      </c>
      <c r="H1813" t="inlineStr">
        <is>
          <t>No</t>
        </is>
      </c>
      <c r="I1813" t="inlineStr">
        <is>
          <t>No</t>
        </is>
      </c>
      <c r="J1813" t="inlineStr">
        <is>
          <t>0</t>
        </is>
      </c>
      <c r="K1813" t="inlineStr">
        <is>
          <t>Stinnett, Nick.</t>
        </is>
      </c>
      <c r="L1813" t="inlineStr">
        <is>
          <t>New York : Macmillan, c1977.</t>
        </is>
      </c>
      <c r="M1813" t="inlineStr">
        <is>
          <t>1977</t>
        </is>
      </c>
      <c r="O1813" t="inlineStr">
        <is>
          <t>eng</t>
        </is>
      </c>
      <c r="P1813" t="inlineStr">
        <is>
          <t>nyu</t>
        </is>
      </c>
      <c r="R1813" t="inlineStr">
        <is>
          <t xml:space="preserve">HQ </t>
        </is>
      </c>
      <c r="S1813" t="n">
        <v>9</v>
      </c>
      <c r="T1813" t="n">
        <v>9</v>
      </c>
      <c r="U1813" t="inlineStr">
        <is>
          <t>2003-04-22</t>
        </is>
      </c>
      <c r="V1813" t="inlineStr">
        <is>
          <t>2003-04-22</t>
        </is>
      </c>
      <c r="W1813" t="inlineStr">
        <is>
          <t>1993-04-06</t>
        </is>
      </c>
      <c r="X1813" t="inlineStr">
        <is>
          <t>1993-04-06</t>
        </is>
      </c>
      <c r="Y1813" t="n">
        <v>254</v>
      </c>
      <c r="Z1813" t="n">
        <v>197</v>
      </c>
      <c r="AA1813" t="n">
        <v>203</v>
      </c>
      <c r="AB1813" t="n">
        <v>4</v>
      </c>
      <c r="AC1813" t="n">
        <v>4</v>
      </c>
      <c r="AD1813" t="n">
        <v>7</v>
      </c>
      <c r="AE1813" t="n">
        <v>7</v>
      </c>
      <c r="AF1813" t="n">
        <v>3</v>
      </c>
      <c r="AG1813" t="n">
        <v>3</v>
      </c>
      <c r="AH1813" t="n">
        <v>0</v>
      </c>
      <c r="AI1813" t="n">
        <v>0</v>
      </c>
      <c r="AJ1813" t="n">
        <v>2</v>
      </c>
      <c r="AK1813" t="n">
        <v>2</v>
      </c>
      <c r="AL1813" t="n">
        <v>2</v>
      </c>
      <c r="AM1813" t="n">
        <v>2</v>
      </c>
      <c r="AN1813" t="n">
        <v>0</v>
      </c>
      <c r="AO1813" t="n">
        <v>0</v>
      </c>
      <c r="AP1813" t="inlineStr">
        <is>
          <t>No</t>
        </is>
      </c>
      <c r="AQ1813" t="inlineStr">
        <is>
          <t>Yes</t>
        </is>
      </c>
      <c r="AR1813">
        <f>HYPERLINK("http://catalog.hathitrust.org/Record/007572386","HathiTrust Record")</f>
        <v/>
      </c>
      <c r="AS1813">
        <f>HYPERLINK("https://creighton-primo.hosted.exlibrisgroup.com/primo-explore/search?tab=default_tab&amp;search_scope=EVERYTHING&amp;vid=01CRU&amp;lang=en_US&amp;offset=0&amp;query=any,contains,991004000659702656","Catalog Record")</f>
        <v/>
      </c>
      <c r="AT1813">
        <f>HYPERLINK("http://www.worldcat.org/oclc/2072892","WorldCat Record")</f>
        <v/>
      </c>
      <c r="AU1813" t="inlineStr">
        <is>
          <t>3856337337:eng</t>
        </is>
      </c>
      <c r="AV1813" t="inlineStr">
        <is>
          <t>2072892</t>
        </is>
      </c>
      <c r="AW1813" t="inlineStr">
        <is>
          <t>991004000659702656</t>
        </is>
      </c>
      <c r="AX1813" t="inlineStr">
        <is>
          <t>991004000659702656</t>
        </is>
      </c>
      <c r="AY1813" t="inlineStr">
        <is>
          <t>2254733710002656</t>
        </is>
      </c>
      <c r="AZ1813" t="inlineStr">
        <is>
          <t>BOOK</t>
        </is>
      </c>
      <c r="BB1813" t="inlineStr">
        <is>
          <t>9780024175304</t>
        </is>
      </c>
      <c r="BC1813" t="inlineStr">
        <is>
          <t>32285001602522</t>
        </is>
      </c>
      <c r="BD1813" t="inlineStr">
        <is>
          <t>893519139</t>
        </is>
      </c>
    </row>
    <row r="1814">
      <c r="A1814" t="inlineStr">
        <is>
          <t>No</t>
        </is>
      </c>
      <c r="B1814" t="inlineStr">
        <is>
          <t>HQ734 .S884</t>
        </is>
      </c>
      <c r="C1814" t="inlineStr">
        <is>
          <t>0                      HQ 0734000S  884</t>
        </is>
      </c>
      <c r="D1814" t="inlineStr">
        <is>
          <t>Married love in today's world / by Walter R. Stokes. Foreword by David R. Mace.</t>
        </is>
      </c>
      <c r="F1814" t="inlineStr">
        <is>
          <t>No</t>
        </is>
      </c>
      <c r="G1814" t="inlineStr">
        <is>
          <t>1</t>
        </is>
      </c>
      <c r="H1814" t="inlineStr">
        <is>
          <t>No</t>
        </is>
      </c>
      <c r="I1814" t="inlineStr">
        <is>
          <t>No</t>
        </is>
      </c>
      <c r="J1814" t="inlineStr">
        <is>
          <t>0</t>
        </is>
      </c>
      <c r="K1814" t="inlineStr">
        <is>
          <t>Stokes, Walter R. (Walter Raymond), 1898-1996.</t>
        </is>
      </c>
      <c r="L1814" t="inlineStr">
        <is>
          <t>New York : Citadel Press [1962]</t>
        </is>
      </c>
      <c r="M1814" t="inlineStr">
        <is>
          <t>1962</t>
        </is>
      </c>
      <c r="O1814" t="inlineStr">
        <is>
          <t>eng</t>
        </is>
      </c>
      <c r="P1814" t="inlineStr">
        <is>
          <t>nyu</t>
        </is>
      </c>
      <c r="R1814" t="inlineStr">
        <is>
          <t xml:space="preserve">HQ </t>
        </is>
      </c>
      <c r="S1814" t="n">
        <v>6</v>
      </c>
      <c r="T1814" t="n">
        <v>6</v>
      </c>
      <c r="U1814" t="inlineStr">
        <is>
          <t>1998-02-17</t>
        </is>
      </c>
      <c r="V1814" t="inlineStr">
        <is>
          <t>1998-02-17</t>
        </is>
      </c>
      <c r="W1814" t="inlineStr">
        <is>
          <t>1990-02-12</t>
        </is>
      </c>
      <c r="X1814" t="inlineStr">
        <is>
          <t>1990-02-12</t>
        </is>
      </c>
      <c r="Y1814" t="n">
        <v>61</v>
      </c>
      <c r="Z1814" t="n">
        <v>56</v>
      </c>
      <c r="AA1814" t="n">
        <v>57</v>
      </c>
      <c r="AB1814" t="n">
        <v>1</v>
      </c>
      <c r="AC1814" t="n">
        <v>1</v>
      </c>
      <c r="AD1814" t="n">
        <v>0</v>
      </c>
      <c r="AE1814" t="n">
        <v>0</v>
      </c>
      <c r="AF1814" t="n">
        <v>0</v>
      </c>
      <c r="AG1814" t="n">
        <v>0</v>
      </c>
      <c r="AH1814" t="n">
        <v>0</v>
      </c>
      <c r="AI1814" t="n">
        <v>0</v>
      </c>
      <c r="AJ1814" t="n">
        <v>0</v>
      </c>
      <c r="AK1814" t="n">
        <v>0</v>
      </c>
      <c r="AL1814" t="n">
        <v>0</v>
      </c>
      <c r="AM1814" t="n">
        <v>0</v>
      </c>
      <c r="AN1814" t="n">
        <v>0</v>
      </c>
      <c r="AO1814" t="n">
        <v>0</v>
      </c>
      <c r="AP1814" t="inlineStr">
        <is>
          <t>No</t>
        </is>
      </c>
      <c r="AQ1814" t="inlineStr">
        <is>
          <t>Yes</t>
        </is>
      </c>
      <c r="AR1814">
        <f>HYPERLINK("http://catalog.hathitrust.org/Record/100959981","HathiTrust Record")</f>
        <v/>
      </c>
      <c r="AS1814">
        <f>HYPERLINK("https://creighton-primo.hosted.exlibrisgroup.com/primo-explore/search?tab=default_tab&amp;search_scope=EVERYTHING&amp;vid=01CRU&amp;lang=en_US&amp;offset=0&amp;query=any,contains,991003916979702656","Catalog Record")</f>
        <v/>
      </c>
      <c r="AT1814">
        <f>HYPERLINK("http://www.worldcat.org/oclc/1862846","WorldCat Record")</f>
        <v/>
      </c>
      <c r="AU1814" t="inlineStr">
        <is>
          <t>2667058:eng</t>
        </is>
      </c>
      <c r="AV1814" t="inlineStr">
        <is>
          <t>1862846</t>
        </is>
      </c>
      <c r="AW1814" t="inlineStr">
        <is>
          <t>991003916979702656</t>
        </is>
      </c>
      <c r="AX1814" t="inlineStr">
        <is>
          <t>991003916979702656</t>
        </is>
      </c>
      <c r="AY1814" t="inlineStr">
        <is>
          <t>2260292820002656</t>
        </is>
      </c>
      <c r="AZ1814" t="inlineStr">
        <is>
          <t>BOOK</t>
        </is>
      </c>
      <c r="BC1814" t="inlineStr">
        <is>
          <t>32285000045467</t>
        </is>
      </c>
      <c r="BD1814" t="inlineStr">
        <is>
          <t>893888097</t>
        </is>
      </c>
    </row>
    <row r="1815">
      <c r="A1815" t="inlineStr">
        <is>
          <t>No</t>
        </is>
      </c>
      <c r="B1815" t="inlineStr">
        <is>
          <t>HQ734 .S973 1939</t>
        </is>
      </c>
      <c r="C1815" t="inlineStr">
        <is>
          <t>0                      HQ 0734000S  973         1939</t>
        </is>
      </c>
      <c r="D1815" t="inlineStr">
        <is>
          <t>Marriage; a great sacrament in Christ, instructions for the married and for those who contemplate marriage, by the Most Rev. Franz von Streng ... translated and edited by the Rev. Charles P. Bruehl, PH. D.</t>
        </is>
      </c>
      <c r="F1815" t="inlineStr">
        <is>
          <t>No</t>
        </is>
      </c>
      <c r="G1815" t="inlineStr">
        <is>
          <t>1</t>
        </is>
      </c>
      <c r="H1815" t="inlineStr">
        <is>
          <t>No</t>
        </is>
      </c>
      <c r="I1815" t="inlineStr">
        <is>
          <t>No</t>
        </is>
      </c>
      <c r="J1815" t="inlineStr">
        <is>
          <t>0</t>
        </is>
      </c>
      <c r="K1815" t="inlineStr">
        <is>
          <t>Streng, Franziskus von, 1884-</t>
        </is>
      </c>
      <c r="L1815" t="inlineStr">
        <is>
          <t>New York, Chicago [etc.] Benziger brothers, 1939.</t>
        </is>
      </c>
      <c r="M1815" t="inlineStr">
        <is>
          <t>1939</t>
        </is>
      </c>
      <c r="O1815" t="inlineStr">
        <is>
          <t>eng</t>
        </is>
      </c>
      <c r="P1815" t="inlineStr">
        <is>
          <t>nyu</t>
        </is>
      </c>
      <c r="R1815" t="inlineStr">
        <is>
          <t xml:space="preserve">HQ </t>
        </is>
      </c>
      <c r="S1815" t="n">
        <v>3</v>
      </c>
      <c r="T1815" t="n">
        <v>3</v>
      </c>
      <c r="U1815" t="inlineStr">
        <is>
          <t>2006-03-17</t>
        </is>
      </c>
      <c r="V1815" t="inlineStr">
        <is>
          <t>2006-03-17</t>
        </is>
      </c>
      <c r="W1815" t="inlineStr">
        <is>
          <t>1997-08-11</t>
        </is>
      </c>
      <c r="X1815" t="inlineStr">
        <is>
          <t>1997-08-11</t>
        </is>
      </c>
      <c r="Y1815" t="n">
        <v>63</v>
      </c>
      <c r="Z1815" t="n">
        <v>56</v>
      </c>
      <c r="AA1815" t="n">
        <v>83</v>
      </c>
      <c r="AB1815" t="n">
        <v>2</v>
      </c>
      <c r="AC1815" t="n">
        <v>2</v>
      </c>
      <c r="AD1815" t="n">
        <v>15</v>
      </c>
      <c r="AE1815" t="n">
        <v>21</v>
      </c>
      <c r="AF1815" t="n">
        <v>3</v>
      </c>
      <c r="AG1815" t="n">
        <v>4</v>
      </c>
      <c r="AH1815" t="n">
        <v>5</v>
      </c>
      <c r="AI1815" t="n">
        <v>9</v>
      </c>
      <c r="AJ1815" t="n">
        <v>10</v>
      </c>
      <c r="AK1815" t="n">
        <v>12</v>
      </c>
      <c r="AL1815" t="n">
        <v>0</v>
      </c>
      <c r="AM1815" t="n">
        <v>0</v>
      </c>
      <c r="AN1815" t="n">
        <v>0</v>
      </c>
      <c r="AO1815" t="n">
        <v>1</v>
      </c>
      <c r="AP1815" t="inlineStr">
        <is>
          <t>No</t>
        </is>
      </c>
      <c r="AQ1815" t="inlineStr">
        <is>
          <t>Yes</t>
        </is>
      </c>
      <c r="AR1815">
        <f>HYPERLINK("http://catalog.hathitrust.org/Record/007078422","HathiTrust Record")</f>
        <v/>
      </c>
      <c r="AS1815">
        <f>HYPERLINK("https://creighton-primo.hosted.exlibrisgroup.com/primo-explore/search?tab=default_tab&amp;search_scope=EVERYTHING&amp;vid=01CRU&amp;lang=en_US&amp;offset=0&amp;query=any,contains,991004727129702656","Catalog Record")</f>
        <v/>
      </c>
      <c r="AT1815">
        <f>HYPERLINK("http://www.worldcat.org/oclc/4820956","WorldCat Record")</f>
        <v/>
      </c>
      <c r="AU1815" t="inlineStr">
        <is>
          <t>890594872:eng</t>
        </is>
      </c>
      <c r="AV1815" t="inlineStr">
        <is>
          <t>4820956</t>
        </is>
      </c>
      <c r="AW1815" t="inlineStr">
        <is>
          <t>991004727129702656</t>
        </is>
      </c>
      <c r="AX1815" t="inlineStr">
        <is>
          <t>991004727129702656</t>
        </is>
      </c>
      <c r="AY1815" t="inlineStr">
        <is>
          <t>2266475070002656</t>
        </is>
      </c>
      <c r="AZ1815" t="inlineStr">
        <is>
          <t>BOOK</t>
        </is>
      </c>
      <c r="BC1815" t="inlineStr">
        <is>
          <t>32285003089793</t>
        </is>
      </c>
      <c r="BD1815" t="inlineStr">
        <is>
          <t>893719285</t>
        </is>
      </c>
    </row>
    <row r="1816">
      <c r="A1816" t="inlineStr">
        <is>
          <t>No</t>
        </is>
      </c>
      <c r="B1816" t="inlineStr">
        <is>
          <t>HQ734 .S9735 1983</t>
        </is>
      </c>
      <c r="C1816" t="inlineStr">
        <is>
          <t>0                      HQ 0734000S  9735        1983</t>
        </is>
      </c>
      <c r="D1816" t="inlineStr">
        <is>
          <t>Stress and the family / edited by Hamilton I. McCubbin &amp; Charles R. Figley.</t>
        </is>
      </c>
      <c r="E1816" t="inlineStr">
        <is>
          <t>V.2</t>
        </is>
      </c>
      <c r="F1816" t="inlineStr">
        <is>
          <t>Yes</t>
        </is>
      </c>
      <c r="G1816" t="inlineStr">
        <is>
          <t>1</t>
        </is>
      </c>
      <c r="H1816" t="inlineStr">
        <is>
          <t>Yes</t>
        </is>
      </c>
      <c r="I1816" t="inlineStr">
        <is>
          <t>No</t>
        </is>
      </c>
      <c r="J1816" t="inlineStr">
        <is>
          <t>0</t>
        </is>
      </c>
      <c r="L1816" t="inlineStr">
        <is>
          <t>New York : Brunner/Mazel, c1983.</t>
        </is>
      </c>
      <c r="M1816" t="inlineStr">
        <is>
          <t>1983</t>
        </is>
      </c>
      <c r="O1816" t="inlineStr">
        <is>
          <t>eng</t>
        </is>
      </c>
      <c r="P1816" t="inlineStr">
        <is>
          <t>nyu</t>
        </is>
      </c>
      <c r="R1816" t="inlineStr">
        <is>
          <t xml:space="preserve">HQ </t>
        </is>
      </c>
      <c r="S1816" t="n">
        <v>10</v>
      </c>
      <c r="T1816" t="n">
        <v>15</v>
      </c>
      <c r="U1816" t="inlineStr">
        <is>
          <t>1996-10-09</t>
        </is>
      </c>
      <c r="V1816" t="inlineStr">
        <is>
          <t>1996-11-18</t>
        </is>
      </c>
      <c r="W1816" t="inlineStr">
        <is>
          <t>1990-04-25</t>
        </is>
      </c>
      <c r="X1816" t="inlineStr">
        <is>
          <t>1992-10-30</t>
        </is>
      </c>
      <c r="Y1816" t="n">
        <v>908</v>
      </c>
      <c r="Z1816" t="n">
        <v>777</v>
      </c>
      <c r="AA1816" t="n">
        <v>793</v>
      </c>
      <c r="AB1816" t="n">
        <v>7</v>
      </c>
      <c r="AC1816" t="n">
        <v>7</v>
      </c>
      <c r="AD1816" t="n">
        <v>32</v>
      </c>
      <c r="AE1816" t="n">
        <v>32</v>
      </c>
      <c r="AF1816" t="n">
        <v>11</v>
      </c>
      <c r="AG1816" t="n">
        <v>11</v>
      </c>
      <c r="AH1816" t="n">
        <v>6</v>
      </c>
      <c r="AI1816" t="n">
        <v>6</v>
      </c>
      <c r="AJ1816" t="n">
        <v>16</v>
      </c>
      <c r="AK1816" t="n">
        <v>16</v>
      </c>
      <c r="AL1816" t="n">
        <v>5</v>
      </c>
      <c r="AM1816" t="n">
        <v>5</v>
      </c>
      <c r="AN1816" t="n">
        <v>0</v>
      </c>
      <c r="AO1816" t="n">
        <v>0</v>
      </c>
      <c r="AP1816" t="inlineStr">
        <is>
          <t>No</t>
        </is>
      </c>
      <c r="AQ1816" t="inlineStr">
        <is>
          <t>No</t>
        </is>
      </c>
      <c r="AS1816">
        <f>HYPERLINK("https://creighton-primo.hosted.exlibrisgroup.com/primo-explore/search?tab=default_tab&amp;search_scope=EVERYTHING&amp;vid=01CRU&amp;lang=en_US&amp;offset=0&amp;query=any,contains,991000184279702656","Catalog Record")</f>
        <v/>
      </c>
      <c r="AT1816">
        <f>HYPERLINK("http://www.worldcat.org/oclc/9393118","WorldCat Record")</f>
        <v/>
      </c>
      <c r="AU1816" t="inlineStr">
        <is>
          <t>3943782211:eng</t>
        </is>
      </c>
      <c r="AV1816" t="inlineStr">
        <is>
          <t>9393118</t>
        </is>
      </c>
      <c r="AW1816" t="inlineStr">
        <is>
          <t>991000184279702656</t>
        </is>
      </c>
      <c r="AX1816" t="inlineStr">
        <is>
          <t>991000184279702656</t>
        </is>
      </c>
      <c r="AY1816" t="inlineStr">
        <is>
          <t>2265908690002656</t>
        </is>
      </c>
      <c r="AZ1816" t="inlineStr">
        <is>
          <t>BOOK</t>
        </is>
      </c>
      <c r="BB1816" t="inlineStr">
        <is>
          <t>9780876303320</t>
        </is>
      </c>
      <c r="BC1816" t="inlineStr">
        <is>
          <t>32285000133057</t>
        </is>
      </c>
      <c r="BD1816" t="inlineStr">
        <is>
          <t>893708190</t>
        </is>
      </c>
    </row>
    <row r="1817">
      <c r="A1817" t="inlineStr">
        <is>
          <t>No</t>
        </is>
      </c>
      <c r="B1817" t="inlineStr">
        <is>
          <t>HQ734 .S9735 1983</t>
        </is>
      </c>
      <c r="C1817" t="inlineStr">
        <is>
          <t>0                      HQ 0734000S  9735        1983</t>
        </is>
      </c>
      <c r="D1817" t="inlineStr">
        <is>
          <t>Stress and the family / edited by Hamilton I. McCubbin &amp; Charles R. Figley.</t>
        </is>
      </c>
      <c r="E1817" t="inlineStr">
        <is>
          <t>V.1</t>
        </is>
      </c>
      <c r="F1817" t="inlineStr">
        <is>
          <t>Yes</t>
        </is>
      </c>
      <c r="G1817" t="inlineStr">
        <is>
          <t>1</t>
        </is>
      </c>
      <c r="H1817" t="inlineStr">
        <is>
          <t>Yes</t>
        </is>
      </c>
      <c r="I1817" t="inlineStr">
        <is>
          <t>No</t>
        </is>
      </c>
      <c r="J1817" t="inlineStr">
        <is>
          <t>0</t>
        </is>
      </c>
      <c r="L1817" t="inlineStr">
        <is>
          <t>New York : Brunner/Mazel, c1983.</t>
        </is>
      </c>
      <c r="M1817" t="inlineStr">
        <is>
          <t>1983</t>
        </is>
      </c>
      <c r="O1817" t="inlineStr">
        <is>
          <t>eng</t>
        </is>
      </c>
      <c r="P1817" t="inlineStr">
        <is>
          <t>nyu</t>
        </is>
      </c>
      <c r="R1817" t="inlineStr">
        <is>
          <t xml:space="preserve">HQ </t>
        </is>
      </c>
      <c r="S1817" t="n">
        <v>5</v>
      </c>
      <c r="T1817" t="n">
        <v>15</v>
      </c>
      <c r="U1817" t="inlineStr">
        <is>
          <t>1996-11-18</t>
        </is>
      </c>
      <c r="V1817" t="inlineStr">
        <is>
          <t>1996-11-18</t>
        </is>
      </c>
      <c r="W1817" t="inlineStr">
        <is>
          <t>1992-10-30</t>
        </is>
      </c>
      <c r="X1817" t="inlineStr">
        <is>
          <t>1992-10-30</t>
        </is>
      </c>
      <c r="Y1817" t="n">
        <v>908</v>
      </c>
      <c r="Z1817" t="n">
        <v>777</v>
      </c>
      <c r="AA1817" t="n">
        <v>793</v>
      </c>
      <c r="AB1817" t="n">
        <v>7</v>
      </c>
      <c r="AC1817" t="n">
        <v>7</v>
      </c>
      <c r="AD1817" t="n">
        <v>32</v>
      </c>
      <c r="AE1817" t="n">
        <v>32</v>
      </c>
      <c r="AF1817" t="n">
        <v>11</v>
      </c>
      <c r="AG1817" t="n">
        <v>11</v>
      </c>
      <c r="AH1817" t="n">
        <v>6</v>
      </c>
      <c r="AI1817" t="n">
        <v>6</v>
      </c>
      <c r="AJ1817" t="n">
        <v>16</v>
      </c>
      <c r="AK1817" t="n">
        <v>16</v>
      </c>
      <c r="AL1817" t="n">
        <v>5</v>
      </c>
      <c r="AM1817" t="n">
        <v>5</v>
      </c>
      <c r="AN1817" t="n">
        <v>0</v>
      </c>
      <c r="AO1817" t="n">
        <v>0</v>
      </c>
      <c r="AP1817" t="inlineStr">
        <is>
          <t>No</t>
        </is>
      </c>
      <c r="AQ1817" t="inlineStr">
        <is>
          <t>No</t>
        </is>
      </c>
      <c r="AS1817">
        <f>HYPERLINK("https://creighton-primo.hosted.exlibrisgroup.com/primo-explore/search?tab=default_tab&amp;search_scope=EVERYTHING&amp;vid=01CRU&amp;lang=en_US&amp;offset=0&amp;query=any,contains,991000184279702656","Catalog Record")</f>
        <v/>
      </c>
      <c r="AT1817">
        <f>HYPERLINK("http://www.worldcat.org/oclc/9393118","WorldCat Record")</f>
        <v/>
      </c>
      <c r="AU1817" t="inlineStr">
        <is>
          <t>3943782211:eng</t>
        </is>
      </c>
      <c r="AV1817" t="inlineStr">
        <is>
          <t>9393118</t>
        </is>
      </c>
      <c r="AW1817" t="inlineStr">
        <is>
          <t>991000184279702656</t>
        </is>
      </c>
      <c r="AX1817" t="inlineStr">
        <is>
          <t>991000184279702656</t>
        </is>
      </c>
      <c r="AY1817" t="inlineStr">
        <is>
          <t>2265908690002656</t>
        </is>
      </c>
      <c r="AZ1817" t="inlineStr">
        <is>
          <t>BOOK</t>
        </is>
      </c>
      <c r="BB1817" t="inlineStr">
        <is>
          <t>9780876303320</t>
        </is>
      </c>
      <c r="BC1817" t="inlineStr">
        <is>
          <t>32285001359420</t>
        </is>
      </c>
      <c r="BD1817" t="inlineStr">
        <is>
          <t>893708191</t>
        </is>
      </c>
    </row>
    <row r="1818">
      <c r="A1818" t="inlineStr">
        <is>
          <t>No</t>
        </is>
      </c>
      <c r="B1818" t="inlineStr">
        <is>
          <t>HQ734 .S9738 1986</t>
        </is>
      </c>
      <c r="C1818" t="inlineStr">
        <is>
          <t>0                      HQ 0734000S  9738        1986</t>
        </is>
      </c>
      <c r="D1818" t="inlineStr">
        <is>
          <t>The marriage and family experience / Bryan Strong, Christine DeVault.</t>
        </is>
      </c>
      <c r="F1818" t="inlineStr">
        <is>
          <t>No</t>
        </is>
      </c>
      <c r="G1818" t="inlineStr">
        <is>
          <t>1</t>
        </is>
      </c>
      <c r="H1818" t="inlineStr">
        <is>
          <t>No</t>
        </is>
      </c>
      <c r="I1818" t="inlineStr">
        <is>
          <t>No</t>
        </is>
      </c>
      <c r="J1818" t="inlineStr">
        <is>
          <t>0</t>
        </is>
      </c>
      <c r="K1818" t="inlineStr">
        <is>
          <t>Strong, Bryan.</t>
        </is>
      </c>
      <c r="L1818" t="inlineStr">
        <is>
          <t>St. Paul : West Pub. Co., c1986.</t>
        </is>
      </c>
      <c r="M1818" t="inlineStr">
        <is>
          <t>1986</t>
        </is>
      </c>
      <c r="N1818" t="inlineStr">
        <is>
          <t>3rd ed.</t>
        </is>
      </c>
      <c r="O1818" t="inlineStr">
        <is>
          <t>eng</t>
        </is>
      </c>
      <c r="P1818" t="inlineStr">
        <is>
          <t>mnu</t>
        </is>
      </c>
      <c r="R1818" t="inlineStr">
        <is>
          <t xml:space="preserve">HQ </t>
        </is>
      </c>
      <c r="S1818" t="n">
        <v>35</v>
      </c>
      <c r="T1818" t="n">
        <v>35</v>
      </c>
      <c r="U1818" t="inlineStr">
        <is>
          <t>2010-01-13</t>
        </is>
      </c>
      <c r="V1818" t="inlineStr">
        <is>
          <t>2010-01-13</t>
        </is>
      </c>
      <c r="W1818" t="inlineStr">
        <is>
          <t>1990-02-01</t>
        </is>
      </c>
      <c r="X1818" t="inlineStr">
        <is>
          <t>1990-02-01</t>
        </is>
      </c>
      <c r="Y1818" t="n">
        <v>97</v>
      </c>
      <c r="Z1818" t="n">
        <v>77</v>
      </c>
      <c r="AA1818" t="n">
        <v>336</v>
      </c>
      <c r="AB1818" t="n">
        <v>2</v>
      </c>
      <c r="AC1818" t="n">
        <v>5</v>
      </c>
      <c r="AD1818" t="n">
        <v>2</v>
      </c>
      <c r="AE1818" t="n">
        <v>10</v>
      </c>
      <c r="AF1818" t="n">
        <v>0</v>
      </c>
      <c r="AG1818" t="n">
        <v>3</v>
      </c>
      <c r="AH1818" t="n">
        <v>0</v>
      </c>
      <c r="AI1818" t="n">
        <v>1</v>
      </c>
      <c r="AJ1818" t="n">
        <v>1</v>
      </c>
      <c r="AK1818" t="n">
        <v>2</v>
      </c>
      <c r="AL1818" t="n">
        <v>1</v>
      </c>
      <c r="AM1818" t="n">
        <v>4</v>
      </c>
      <c r="AN1818" t="n">
        <v>0</v>
      </c>
      <c r="AO1818" t="n">
        <v>0</v>
      </c>
      <c r="AP1818" t="inlineStr">
        <is>
          <t>No</t>
        </is>
      </c>
      <c r="AQ1818" t="inlineStr">
        <is>
          <t>Yes</t>
        </is>
      </c>
      <c r="AR1818">
        <f>HYPERLINK("http://catalog.hathitrust.org/Record/007558998","HathiTrust Record")</f>
        <v/>
      </c>
      <c r="AS1818">
        <f>HYPERLINK("https://creighton-primo.hosted.exlibrisgroup.com/primo-explore/search?tab=default_tab&amp;search_scope=EVERYTHING&amp;vid=01CRU&amp;lang=en_US&amp;offset=0&amp;query=any,contains,991000749189702656","Catalog Record")</f>
        <v/>
      </c>
      <c r="AT1818">
        <f>HYPERLINK("http://www.worldcat.org/oclc/12906517","WorldCat Record")</f>
        <v/>
      </c>
      <c r="AU1818" t="inlineStr">
        <is>
          <t>3855446483:eng</t>
        </is>
      </c>
      <c r="AV1818" t="inlineStr">
        <is>
          <t>12906517</t>
        </is>
      </c>
      <c r="AW1818" t="inlineStr">
        <is>
          <t>991000749189702656</t>
        </is>
      </c>
      <c r="AX1818" t="inlineStr">
        <is>
          <t>991000749189702656</t>
        </is>
      </c>
      <c r="AY1818" t="inlineStr">
        <is>
          <t>2257452600002656</t>
        </is>
      </c>
      <c r="AZ1818" t="inlineStr">
        <is>
          <t>BOOK</t>
        </is>
      </c>
      <c r="BB1818" t="inlineStr">
        <is>
          <t>9780314954558</t>
        </is>
      </c>
      <c r="BC1818" t="inlineStr">
        <is>
          <t>32285000031798</t>
        </is>
      </c>
      <c r="BD1818" t="inlineStr">
        <is>
          <t>893602033</t>
        </is>
      </c>
    </row>
    <row r="1819">
      <c r="A1819" t="inlineStr">
        <is>
          <t>No</t>
        </is>
      </c>
      <c r="B1819" t="inlineStr">
        <is>
          <t>HQ734 .T44 1958</t>
        </is>
      </c>
      <c r="C1819" t="inlineStr">
        <is>
          <t>0                      HQ 0734000T  44          1958</t>
        </is>
      </c>
      <c r="D1819" t="inlineStr">
        <is>
          <t>The Catholic viewpoint on marriage and the family / John L. Thomas.</t>
        </is>
      </c>
      <c r="F1819" t="inlineStr">
        <is>
          <t>No</t>
        </is>
      </c>
      <c r="G1819" t="inlineStr">
        <is>
          <t>1</t>
        </is>
      </c>
      <c r="H1819" t="inlineStr">
        <is>
          <t>No</t>
        </is>
      </c>
      <c r="I1819" t="inlineStr">
        <is>
          <t>No</t>
        </is>
      </c>
      <c r="J1819" t="inlineStr">
        <is>
          <t>0</t>
        </is>
      </c>
      <c r="K1819" t="inlineStr">
        <is>
          <t>Thomas, John L. (John Lawrence), 1910-</t>
        </is>
      </c>
      <c r="L1819" t="inlineStr">
        <is>
          <t>Garden City, N.Y. : Hanover House, [1958]</t>
        </is>
      </c>
      <c r="M1819" t="inlineStr">
        <is>
          <t>1958</t>
        </is>
      </c>
      <c r="N1819" t="inlineStr">
        <is>
          <t>[1st ed.]</t>
        </is>
      </c>
      <c r="O1819" t="inlineStr">
        <is>
          <t>eng</t>
        </is>
      </c>
      <c r="P1819" t="inlineStr">
        <is>
          <t>___</t>
        </is>
      </c>
      <c r="Q1819" t="inlineStr">
        <is>
          <t>The Catholic viewpoint series</t>
        </is>
      </c>
      <c r="R1819" t="inlineStr">
        <is>
          <t xml:space="preserve">HQ </t>
        </is>
      </c>
      <c r="S1819" t="n">
        <v>8</v>
      </c>
      <c r="T1819" t="n">
        <v>8</v>
      </c>
      <c r="U1819" t="inlineStr">
        <is>
          <t>2006-03-17</t>
        </is>
      </c>
      <c r="V1819" t="inlineStr">
        <is>
          <t>2006-03-17</t>
        </is>
      </c>
      <c r="W1819" t="inlineStr">
        <is>
          <t>1990-04-18</t>
        </is>
      </c>
      <c r="X1819" t="inlineStr">
        <is>
          <t>1990-04-18</t>
        </is>
      </c>
      <c r="Y1819" t="n">
        <v>270</v>
      </c>
      <c r="Z1819" t="n">
        <v>238</v>
      </c>
      <c r="AA1819" t="n">
        <v>293</v>
      </c>
      <c r="AB1819" t="n">
        <v>3</v>
      </c>
      <c r="AC1819" t="n">
        <v>4</v>
      </c>
      <c r="AD1819" t="n">
        <v>24</v>
      </c>
      <c r="AE1819" t="n">
        <v>27</v>
      </c>
      <c r="AF1819" t="n">
        <v>7</v>
      </c>
      <c r="AG1819" t="n">
        <v>9</v>
      </c>
      <c r="AH1819" t="n">
        <v>5</v>
      </c>
      <c r="AI1819" t="n">
        <v>6</v>
      </c>
      <c r="AJ1819" t="n">
        <v>19</v>
      </c>
      <c r="AK1819" t="n">
        <v>20</v>
      </c>
      <c r="AL1819" t="n">
        <v>1</v>
      </c>
      <c r="AM1819" t="n">
        <v>1</v>
      </c>
      <c r="AN1819" t="n">
        <v>0</v>
      </c>
      <c r="AO1819" t="n">
        <v>0</v>
      </c>
      <c r="AP1819" t="inlineStr">
        <is>
          <t>No</t>
        </is>
      </c>
      <c r="AQ1819" t="inlineStr">
        <is>
          <t>Yes</t>
        </is>
      </c>
      <c r="AR1819">
        <f>HYPERLINK("http://catalog.hathitrust.org/Record/009078215","HathiTrust Record")</f>
        <v/>
      </c>
      <c r="AS1819">
        <f>HYPERLINK("https://creighton-primo.hosted.exlibrisgroup.com/primo-explore/search?tab=default_tab&amp;search_scope=EVERYTHING&amp;vid=01CRU&amp;lang=en_US&amp;offset=0&amp;query=any,contains,991003657279702656","Catalog Record")</f>
        <v/>
      </c>
      <c r="AT1819">
        <f>HYPERLINK("http://www.worldcat.org/oclc/1262912","WorldCat Record")</f>
        <v/>
      </c>
      <c r="AU1819" t="inlineStr">
        <is>
          <t>1540918:eng</t>
        </is>
      </c>
      <c r="AV1819" t="inlineStr">
        <is>
          <t>1262912</t>
        </is>
      </c>
      <c r="AW1819" t="inlineStr">
        <is>
          <t>991003657279702656</t>
        </is>
      </c>
      <c r="AX1819" t="inlineStr">
        <is>
          <t>991003657279702656</t>
        </is>
      </c>
      <c r="AY1819" t="inlineStr">
        <is>
          <t>2263394070002656</t>
        </is>
      </c>
      <c r="AZ1819" t="inlineStr">
        <is>
          <t>BOOK</t>
        </is>
      </c>
      <c r="BC1819" t="inlineStr">
        <is>
          <t>32285000117118</t>
        </is>
      </c>
      <c r="BD1819" t="inlineStr">
        <is>
          <t>893887715</t>
        </is>
      </c>
    </row>
    <row r="1820">
      <c r="A1820" t="inlineStr">
        <is>
          <t>No</t>
        </is>
      </c>
      <c r="B1820" t="inlineStr">
        <is>
          <t>HQ734 .U63 1995</t>
        </is>
      </c>
      <c r="C1820" t="inlineStr">
        <is>
          <t>0                      HQ 0734000U  63          1995</t>
        </is>
      </c>
      <c r="D1820" t="inlineStr">
        <is>
          <t>Understanding the family / edited by John Muncie ... [et al.]</t>
        </is>
      </c>
      <c r="F1820" t="inlineStr">
        <is>
          <t>No</t>
        </is>
      </c>
      <c r="G1820" t="inlineStr">
        <is>
          <t>1</t>
        </is>
      </c>
      <c r="H1820" t="inlineStr">
        <is>
          <t>No</t>
        </is>
      </c>
      <c r="I1820" t="inlineStr">
        <is>
          <t>No</t>
        </is>
      </c>
      <c r="J1820" t="inlineStr">
        <is>
          <t>0</t>
        </is>
      </c>
      <c r="L1820" t="inlineStr">
        <is>
          <t>London : Sage, 1995.</t>
        </is>
      </c>
      <c r="M1820" t="inlineStr">
        <is>
          <t>1995</t>
        </is>
      </c>
      <c r="N1820" t="inlineStr">
        <is>
          <t>[Rev. ed.]</t>
        </is>
      </c>
      <c r="O1820" t="inlineStr">
        <is>
          <t>eng</t>
        </is>
      </c>
      <c r="P1820" t="inlineStr">
        <is>
          <t>enk</t>
        </is>
      </c>
      <c r="R1820" t="inlineStr">
        <is>
          <t xml:space="preserve">HQ </t>
        </is>
      </c>
      <c r="S1820" t="n">
        <v>20</v>
      </c>
      <c r="T1820" t="n">
        <v>20</v>
      </c>
      <c r="U1820" t="inlineStr">
        <is>
          <t>2000-08-25</t>
        </is>
      </c>
      <c r="V1820" t="inlineStr">
        <is>
          <t>2000-08-25</t>
        </is>
      </c>
      <c r="W1820" t="inlineStr">
        <is>
          <t>1995-05-31</t>
        </is>
      </c>
      <c r="X1820" t="inlineStr">
        <is>
          <t>1995-05-31</t>
        </is>
      </c>
      <c r="Y1820" t="n">
        <v>221</v>
      </c>
      <c r="Z1820" t="n">
        <v>107</v>
      </c>
      <c r="AA1820" t="n">
        <v>145</v>
      </c>
      <c r="AB1820" t="n">
        <v>3</v>
      </c>
      <c r="AC1820" t="n">
        <v>3</v>
      </c>
      <c r="AD1820" t="n">
        <v>8</v>
      </c>
      <c r="AE1820" t="n">
        <v>9</v>
      </c>
      <c r="AF1820" t="n">
        <v>3</v>
      </c>
      <c r="AG1820" t="n">
        <v>3</v>
      </c>
      <c r="AH1820" t="n">
        <v>2</v>
      </c>
      <c r="AI1820" t="n">
        <v>2</v>
      </c>
      <c r="AJ1820" t="n">
        <v>3</v>
      </c>
      <c r="AK1820" t="n">
        <v>4</v>
      </c>
      <c r="AL1820" t="n">
        <v>2</v>
      </c>
      <c r="AM1820" t="n">
        <v>2</v>
      </c>
      <c r="AN1820" t="n">
        <v>0</v>
      </c>
      <c r="AO1820" t="n">
        <v>0</v>
      </c>
      <c r="AP1820" t="inlineStr">
        <is>
          <t>No</t>
        </is>
      </c>
      <c r="AQ1820" t="inlineStr">
        <is>
          <t>Yes</t>
        </is>
      </c>
      <c r="AR1820">
        <f>HYPERLINK("http://catalog.hathitrust.org/Record/002958717","HathiTrust Record")</f>
        <v/>
      </c>
      <c r="AS1820">
        <f>HYPERLINK("https://creighton-primo.hosted.exlibrisgroup.com/primo-explore/search?tab=default_tab&amp;search_scope=EVERYTHING&amp;vid=01CRU&amp;lang=en_US&amp;offset=0&amp;query=any,contains,991005420499702656","Catalog Record")</f>
        <v/>
      </c>
      <c r="AT1820">
        <f>HYPERLINK("http://www.worldcat.org/oclc/32666919","WorldCat Record")</f>
        <v/>
      </c>
      <c r="AU1820" t="inlineStr">
        <is>
          <t>55945077:eng</t>
        </is>
      </c>
      <c r="AV1820" t="inlineStr">
        <is>
          <t>32666919</t>
        </is>
      </c>
      <c r="AW1820" t="inlineStr">
        <is>
          <t>991005420499702656</t>
        </is>
      </c>
      <c r="AX1820" t="inlineStr">
        <is>
          <t>991005420499702656</t>
        </is>
      </c>
      <c r="AY1820" t="inlineStr">
        <is>
          <t>2261736120002656</t>
        </is>
      </c>
      <c r="AZ1820" t="inlineStr">
        <is>
          <t>BOOK</t>
        </is>
      </c>
      <c r="BB1820" t="inlineStr">
        <is>
          <t>9780803979543</t>
        </is>
      </c>
      <c r="BC1820" t="inlineStr">
        <is>
          <t>32285002048345</t>
        </is>
      </c>
      <c r="BD1820" t="inlineStr">
        <is>
          <t>893601193</t>
        </is>
      </c>
    </row>
    <row r="1821">
      <c r="A1821" t="inlineStr">
        <is>
          <t>No</t>
        </is>
      </c>
      <c r="B1821" t="inlineStr">
        <is>
          <t>HQ734 .V53 1974</t>
        </is>
      </c>
      <c r="C1821" t="inlineStr">
        <is>
          <t>0                      HQ 0734000V  53          1974</t>
        </is>
      </c>
      <c r="D1821" t="inlineStr">
        <is>
          <t>How to live with another person / by David Viscott.</t>
        </is>
      </c>
      <c r="F1821" t="inlineStr">
        <is>
          <t>No</t>
        </is>
      </c>
      <c r="G1821" t="inlineStr">
        <is>
          <t>1</t>
        </is>
      </c>
      <c r="H1821" t="inlineStr">
        <is>
          <t>No</t>
        </is>
      </c>
      <c r="I1821" t="inlineStr">
        <is>
          <t>No</t>
        </is>
      </c>
      <c r="J1821" t="inlineStr">
        <is>
          <t>0</t>
        </is>
      </c>
      <c r="K1821" t="inlineStr">
        <is>
          <t>Viscott, David S., 1938-</t>
        </is>
      </c>
      <c r="L1821" t="inlineStr">
        <is>
          <t>New York : Arbor House, [1974]</t>
        </is>
      </c>
      <c r="M1821" t="inlineStr">
        <is>
          <t>1974</t>
        </is>
      </c>
      <c r="O1821" t="inlineStr">
        <is>
          <t>eng</t>
        </is>
      </c>
      <c r="P1821" t="inlineStr">
        <is>
          <t>nyu</t>
        </is>
      </c>
      <c r="R1821" t="inlineStr">
        <is>
          <t xml:space="preserve">HQ </t>
        </is>
      </c>
      <c r="S1821" t="n">
        <v>8</v>
      </c>
      <c r="T1821" t="n">
        <v>8</v>
      </c>
      <c r="U1821" t="inlineStr">
        <is>
          <t>1999-10-05</t>
        </is>
      </c>
      <c r="V1821" t="inlineStr">
        <is>
          <t>1999-10-05</t>
        </is>
      </c>
      <c r="W1821" t="inlineStr">
        <is>
          <t>1994-11-29</t>
        </is>
      </c>
      <c r="X1821" t="inlineStr">
        <is>
          <t>1994-11-29</t>
        </is>
      </c>
      <c r="Y1821" t="n">
        <v>369</v>
      </c>
      <c r="Z1821" t="n">
        <v>354</v>
      </c>
      <c r="AA1821" t="n">
        <v>450</v>
      </c>
      <c r="AB1821" t="n">
        <v>4</v>
      </c>
      <c r="AC1821" t="n">
        <v>5</v>
      </c>
      <c r="AD1821" t="n">
        <v>5</v>
      </c>
      <c r="AE1821" t="n">
        <v>10</v>
      </c>
      <c r="AF1821" t="n">
        <v>0</v>
      </c>
      <c r="AG1821" t="n">
        <v>2</v>
      </c>
      <c r="AH1821" t="n">
        <v>0</v>
      </c>
      <c r="AI1821" t="n">
        <v>1</v>
      </c>
      <c r="AJ1821" t="n">
        <v>3</v>
      </c>
      <c r="AK1821" t="n">
        <v>5</v>
      </c>
      <c r="AL1821" t="n">
        <v>2</v>
      </c>
      <c r="AM1821" t="n">
        <v>3</v>
      </c>
      <c r="AN1821" t="n">
        <v>0</v>
      </c>
      <c r="AO1821" t="n">
        <v>0</v>
      </c>
      <c r="AP1821" t="inlineStr">
        <is>
          <t>No</t>
        </is>
      </c>
      <c r="AQ1821" t="inlineStr">
        <is>
          <t>Yes</t>
        </is>
      </c>
      <c r="AR1821">
        <f>HYPERLINK("http://catalog.hathitrust.org/Record/004398161","HathiTrust Record")</f>
        <v/>
      </c>
      <c r="AS1821">
        <f>HYPERLINK("https://creighton-primo.hosted.exlibrisgroup.com/primo-explore/search?tab=default_tab&amp;search_scope=EVERYTHING&amp;vid=01CRU&amp;lang=en_US&amp;offset=0&amp;query=any,contains,991003516839702656","Catalog Record")</f>
        <v/>
      </c>
      <c r="AT1821">
        <f>HYPERLINK("http://www.worldcat.org/oclc/1075182","WorldCat Record")</f>
        <v/>
      </c>
      <c r="AU1821" t="inlineStr">
        <is>
          <t>2034621:eng</t>
        </is>
      </c>
      <c r="AV1821" t="inlineStr">
        <is>
          <t>1075182</t>
        </is>
      </c>
      <c r="AW1821" t="inlineStr">
        <is>
          <t>991003516839702656</t>
        </is>
      </c>
      <c r="AX1821" t="inlineStr">
        <is>
          <t>991003516839702656</t>
        </is>
      </c>
      <c r="AY1821" t="inlineStr">
        <is>
          <t>2257922710002656</t>
        </is>
      </c>
      <c r="AZ1821" t="inlineStr">
        <is>
          <t>BOOK</t>
        </is>
      </c>
      <c r="BB1821" t="inlineStr">
        <is>
          <t>9780877950929</t>
        </is>
      </c>
      <c r="BC1821" t="inlineStr">
        <is>
          <t>32285001968873</t>
        </is>
      </c>
      <c r="BD1821" t="inlineStr">
        <is>
          <t>893352864</t>
        </is>
      </c>
    </row>
    <row r="1822">
      <c r="A1822" t="inlineStr">
        <is>
          <t>No</t>
        </is>
      </c>
      <c r="B1822" t="inlineStr">
        <is>
          <t>HQ734 .W319 1981</t>
        </is>
      </c>
      <c r="C1822" t="inlineStr">
        <is>
          <t>0                      HQ 0734000W  319         1981</t>
        </is>
      </c>
      <c r="D1822" t="inlineStr">
        <is>
          <t>Partners : how to have a loving relationship after women's liberation / Susan Washburn.</t>
        </is>
      </c>
      <c r="F1822" t="inlineStr">
        <is>
          <t>No</t>
        </is>
      </c>
      <c r="G1822" t="inlineStr">
        <is>
          <t>1</t>
        </is>
      </c>
      <c r="H1822" t="inlineStr">
        <is>
          <t>No</t>
        </is>
      </c>
      <c r="I1822" t="inlineStr">
        <is>
          <t>No</t>
        </is>
      </c>
      <c r="J1822" t="inlineStr">
        <is>
          <t>0</t>
        </is>
      </c>
      <c r="K1822" t="inlineStr">
        <is>
          <t>Washburn, Susan.</t>
        </is>
      </c>
      <c r="L1822" t="inlineStr">
        <is>
          <t>New York : Atheneum, 1981.</t>
        </is>
      </c>
      <c r="M1822" t="inlineStr">
        <is>
          <t>1981</t>
        </is>
      </c>
      <c r="N1822" t="inlineStr">
        <is>
          <t>1st ed.</t>
        </is>
      </c>
      <c r="O1822" t="inlineStr">
        <is>
          <t>eng</t>
        </is>
      </c>
      <c r="P1822" t="inlineStr">
        <is>
          <t>nyu</t>
        </is>
      </c>
      <c r="R1822" t="inlineStr">
        <is>
          <t xml:space="preserve">HQ </t>
        </is>
      </c>
      <c r="S1822" t="n">
        <v>5</v>
      </c>
      <c r="T1822" t="n">
        <v>5</v>
      </c>
      <c r="U1822" t="inlineStr">
        <is>
          <t>1994-09-20</t>
        </is>
      </c>
      <c r="V1822" t="inlineStr">
        <is>
          <t>1994-09-20</t>
        </is>
      </c>
      <c r="W1822" t="inlineStr">
        <is>
          <t>1992-02-19</t>
        </is>
      </c>
      <c r="X1822" t="inlineStr">
        <is>
          <t>1992-02-19</t>
        </is>
      </c>
      <c r="Y1822" t="n">
        <v>171</v>
      </c>
      <c r="Z1822" t="n">
        <v>162</v>
      </c>
      <c r="AA1822" t="n">
        <v>168</v>
      </c>
      <c r="AB1822" t="n">
        <v>1</v>
      </c>
      <c r="AC1822" t="n">
        <v>1</v>
      </c>
      <c r="AD1822" t="n">
        <v>0</v>
      </c>
      <c r="AE1822" t="n">
        <v>0</v>
      </c>
      <c r="AF1822" t="n">
        <v>0</v>
      </c>
      <c r="AG1822" t="n">
        <v>0</v>
      </c>
      <c r="AH1822" t="n">
        <v>0</v>
      </c>
      <c r="AI1822" t="n">
        <v>0</v>
      </c>
      <c r="AJ1822" t="n">
        <v>0</v>
      </c>
      <c r="AK1822" t="n">
        <v>0</v>
      </c>
      <c r="AL1822" t="n">
        <v>0</v>
      </c>
      <c r="AM1822" t="n">
        <v>0</v>
      </c>
      <c r="AN1822" t="n">
        <v>0</v>
      </c>
      <c r="AO1822" t="n">
        <v>0</v>
      </c>
      <c r="AP1822" t="inlineStr">
        <is>
          <t>No</t>
        </is>
      </c>
      <c r="AQ1822" t="inlineStr">
        <is>
          <t>Yes</t>
        </is>
      </c>
      <c r="AR1822">
        <f>HYPERLINK("http://catalog.hathitrust.org/Record/101948089","HathiTrust Record")</f>
        <v/>
      </c>
      <c r="AS1822">
        <f>HYPERLINK("https://creighton-primo.hosted.exlibrisgroup.com/primo-explore/search?tab=default_tab&amp;search_scope=EVERYTHING&amp;vid=01CRU&amp;lang=en_US&amp;offset=0&amp;query=any,contains,991005032609702656","Catalog Record")</f>
        <v/>
      </c>
      <c r="AT1822">
        <f>HYPERLINK("http://www.worldcat.org/oclc/6734765","WorldCat Record")</f>
        <v/>
      </c>
      <c r="AU1822" t="inlineStr">
        <is>
          <t>4222214519:eng</t>
        </is>
      </c>
      <c r="AV1822" t="inlineStr">
        <is>
          <t>6734765</t>
        </is>
      </c>
      <c r="AW1822" t="inlineStr">
        <is>
          <t>991005032609702656</t>
        </is>
      </c>
      <c r="AX1822" t="inlineStr">
        <is>
          <t>991005032609702656</t>
        </is>
      </c>
      <c r="AY1822" t="inlineStr">
        <is>
          <t>2268570020002656</t>
        </is>
      </c>
      <c r="AZ1822" t="inlineStr">
        <is>
          <t>BOOK</t>
        </is>
      </c>
      <c r="BB1822" t="inlineStr">
        <is>
          <t>9780689111037</t>
        </is>
      </c>
      <c r="BC1822" t="inlineStr">
        <is>
          <t>32285000981562</t>
        </is>
      </c>
      <c r="BD1822" t="inlineStr">
        <is>
          <t>893230122</t>
        </is>
      </c>
    </row>
    <row r="1823">
      <c r="A1823" t="inlineStr">
        <is>
          <t>No</t>
        </is>
      </c>
      <c r="B1823" t="inlineStr">
        <is>
          <t>HQ734 .W355</t>
        </is>
      </c>
      <c r="C1823" t="inlineStr">
        <is>
          <t>0                      HQ 0734000W  355</t>
        </is>
      </c>
      <c r="D1823" t="inlineStr">
        <is>
          <t>Morals and marriage : the Catholic background to sex / by T.G. Wayne [pseud.]</t>
        </is>
      </c>
      <c r="F1823" t="inlineStr">
        <is>
          <t>No</t>
        </is>
      </c>
      <c r="G1823" t="inlineStr">
        <is>
          <t>1</t>
        </is>
      </c>
      <c r="H1823" t="inlineStr">
        <is>
          <t>No</t>
        </is>
      </c>
      <c r="I1823" t="inlineStr">
        <is>
          <t>No</t>
        </is>
      </c>
      <c r="J1823" t="inlineStr">
        <is>
          <t>0</t>
        </is>
      </c>
      <c r="K1823" t="inlineStr">
        <is>
          <t>Gilby, Thomas, 1902-1975.</t>
        </is>
      </c>
      <c r="L1823" t="inlineStr">
        <is>
          <t>London ; New York : Longmans, Green, [1936]</t>
        </is>
      </c>
      <c r="M1823" t="inlineStr">
        <is>
          <t>1936</t>
        </is>
      </c>
      <c r="O1823" t="inlineStr">
        <is>
          <t>eng</t>
        </is>
      </c>
      <c r="P1823" t="inlineStr">
        <is>
          <t>enk</t>
        </is>
      </c>
      <c r="R1823" t="inlineStr">
        <is>
          <t xml:space="preserve">HQ </t>
        </is>
      </c>
      <c r="S1823" t="n">
        <v>9</v>
      </c>
      <c r="T1823" t="n">
        <v>9</v>
      </c>
      <c r="U1823" t="inlineStr">
        <is>
          <t>2003-10-30</t>
        </is>
      </c>
      <c r="V1823" t="inlineStr">
        <is>
          <t>2003-10-30</t>
        </is>
      </c>
      <c r="W1823" t="inlineStr">
        <is>
          <t>1995-07-12</t>
        </is>
      </c>
      <c r="X1823" t="inlineStr">
        <is>
          <t>1995-07-12</t>
        </is>
      </c>
      <c r="Y1823" t="n">
        <v>134</v>
      </c>
      <c r="Z1823" t="n">
        <v>116</v>
      </c>
      <c r="AA1823" t="n">
        <v>133</v>
      </c>
      <c r="AB1823" t="n">
        <v>3</v>
      </c>
      <c r="AC1823" t="n">
        <v>3</v>
      </c>
      <c r="AD1823" t="n">
        <v>22</v>
      </c>
      <c r="AE1823" t="n">
        <v>24</v>
      </c>
      <c r="AF1823" t="n">
        <v>8</v>
      </c>
      <c r="AG1823" t="n">
        <v>8</v>
      </c>
      <c r="AH1823" t="n">
        <v>5</v>
      </c>
      <c r="AI1823" t="n">
        <v>5</v>
      </c>
      <c r="AJ1823" t="n">
        <v>18</v>
      </c>
      <c r="AK1823" t="n">
        <v>20</v>
      </c>
      <c r="AL1823" t="n">
        <v>0</v>
      </c>
      <c r="AM1823" t="n">
        <v>0</v>
      </c>
      <c r="AN1823" t="n">
        <v>0</v>
      </c>
      <c r="AO1823" t="n">
        <v>0</v>
      </c>
      <c r="AP1823" t="inlineStr">
        <is>
          <t>No</t>
        </is>
      </c>
      <c r="AQ1823" t="inlineStr">
        <is>
          <t>No</t>
        </is>
      </c>
      <c r="AR1823">
        <f>HYPERLINK("http://catalog.hathitrust.org/Record/007078420","HathiTrust Record")</f>
        <v/>
      </c>
      <c r="AS1823">
        <f>HYPERLINK("https://creighton-primo.hosted.exlibrisgroup.com/primo-explore/search?tab=default_tab&amp;search_scope=EVERYTHING&amp;vid=01CRU&amp;lang=en_US&amp;offset=0&amp;query=any,contains,991000249879702656","Catalog Record")</f>
        <v/>
      </c>
      <c r="AT1823">
        <f>HYPERLINK("http://www.worldcat.org/oclc/9746595","WorldCat Record")</f>
        <v/>
      </c>
      <c r="AU1823" t="inlineStr">
        <is>
          <t>341546571:eng</t>
        </is>
      </c>
      <c r="AV1823" t="inlineStr">
        <is>
          <t>9746595</t>
        </is>
      </c>
      <c r="AW1823" t="inlineStr">
        <is>
          <t>991000249879702656</t>
        </is>
      </c>
      <c r="AX1823" t="inlineStr">
        <is>
          <t>991000249879702656</t>
        </is>
      </c>
      <c r="AY1823" t="inlineStr">
        <is>
          <t>2271660890002656</t>
        </is>
      </c>
      <c r="AZ1823" t="inlineStr">
        <is>
          <t>BOOK</t>
        </is>
      </c>
      <c r="BC1823" t="inlineStr">
        <is>
          <t>32285002029915</t>
        </is>
      </c>
      <c r="BD1823" t="inlineStr">
        <is>
          <t>893601616</t>
        </is>
      </c>
    </row>
    <row r="1824">
      <c r="A1824" t="inlineStr">
        <is>
          <t>No</t>
        </is>
      </c>
      <c r="B1824" t="inlineStr">
        <is>
          <t>HQ734 .W55</t>
        </is>
      </c>
      <c r="C1824" t="inlineStr">
        <is>
          <t>0                      HQ 0734000W  55</t>
        </is>
      </c>
      <c r="D1824" t="inlineStr">
        <is>
          <t>The compatibility test : how to choose the right partner and make your marriage a success / Charles M. Whipple, Jr., Dick Whittle.</t>
        </is>
      </c>
      <c r="F1824" t="inlineStr">
        <is>
          <t>No</t>
        </is>
      </c>
      <c r="G1824" t="inlineStr">
        <is>
          <t>1</t>
        </is>
      </c>
      <c r="H1824" t="inlineStr">
        <is>
          <t>No</t>
        </is>
      </c>
      <c r="I1824" t="inlineStr">
        <is>
          <t>No</t>
        </is>
      </c>
      <c r="J1824" t="inlineStr">
        <is>
          <t>0</t>
        </is>
      </c>
      <c r="K1824" t="inlineStr">
        <is>
          <t>Whipple, Charles M.</t>
        </is>
      </c>
      <c r="L1824" t="inlineStr">
        <is>
          <t>Englewood Cliffs, N.J. : Prentice-Hall, c1976.</t>
        </is>
      </c>
      <c r="M1824" t="inlineStr">
        <is>
          <t>1976</t>
        </is>
      </c>
      <c r="O1824" t="inlineStr">
        <is>
          <t>eng</t>
        </is>
      </c>
      <c r="P1824" t="inlineStr">
        <is>
          <t>nju</t>
        </is>
      </c>
      <c r="Q1824" t="inlineStr">
        <is>
          <t>A Spectrum book ; S-378</t>
        </is>
      </c>
      <c r="R1824" t="inlineStr">
        <is>
          <t xml:space="preserve">HQ </t>
        </is>
      </c>
      <c r="S1824" t="n">
        <v>18</v>
      </c>
      <c r="T1824" t="n">
        <v>18</v>
      </c>
      <c r="U1824" t="inlineStr">
        <is>
          <t>2001-10-15</t>
        </is>
      </c>
      <c r="V1824" t="inlineStr">
        <is>
          <t>2001-10-15</t>
        </is>
      </c>
      <c r="W1824" t="inlineStr">
        <is>
          <t>1992-03-25</t>
        </is>
      </c>
      <c r="X1824" t="inlineStr">
        <is>
          <t>1992-03-25</t>
        </is>
      </c>
      <c r="Y1824" t="n">
        <v>121</v>
      </c>
      <c r="Z1824" t="n">
        <v>100</v>
      </c>
      <c r="AA1824" t="n">
        <v>105</v>
      </c>
      <c r="AB1824" t="n">
        <v>2</v>
      </c>
      <c r="AC1824" t="n">
        <v>2</v>
      </c>
      <c r="AD1824" t="n">
        <v>2</v>
      </c>
      <c r="AE1824" t="n">
        <v>2</v>
      </c>
      <c r="AF1824" t="n">
        <v>0</v>
      </c>
      <c r="AG1824" t="n">
        <v>0</v>
      </c>
      <c r="AH1824" t="n">
        <v>0</v>
      </c>
      <c r="AI1824" t="n">
        <v>0</v>
      </c>
      <c r="AJ1824" t="n">
        <v>1</v>
      </c>
      <c r="AK1824" t="n">
        <v>1</v>
      </c>
      <c r="AL1824" t="n">
        <v>1</v>
      </c>
      <c r="AM1824" t="n">
        <v>1</v>
      </c>
      <c r="AN1824" t="n">
        <v>0</v>
      </c>
      <c r="AO1824" t="n">
        <v>0</v>
      </c>
      <c r="AP1824" t="inlineStr">
        <is>
          <t>No</t>
        </is>
      </c>
      <c r="AQ1824" t="inlineStr">
        <is>
          <t>No</t>
        </is>
      </c>
      <c r="AS1824">
        <f>HYPERLINK("https://creighton-primo.hosted.exlibrisgroup.com/primo-explore/search?tab=default_tab&amp;search_scope=EVERYTHING&amp;vid=01CRU&amp;lang=en_US&amp;offset=0&amp;query=any,contains,991003884639702656","Catalog Record")</f>
        <v/>
      </c>
      <c r="AT1824">
        <f>HYPERLINK("http://www.worldcat.org/oclc/1733725","WorldCat Record")</f>
        <v/>
      </c>
      <c r="AU1824" t="inlineStr">
        <is>
          <t>2708796:eng</t>
        </is>
      </c>
      <c r="AV1824" t="inlineStr">
        <is>
          <t>1733725</t>
        </is>
      </c>
      <c r="AW1824" t="inlineStr">
        <is>
          <t>991003884639702656</t>
        </is>
      </c>
      <c r="AX1824" t="inlineStr">
        <is>
          <t>991003884639702656</t>
        </is>
      </c>
      <c r="AY1824" t="inlineStr">
        <is>
          <t>2256754180002656</t>
        </is>
      </c>
      <c r="AZ1824" t="inlineStr">
        <is>
          <t>BOOK</t>
        </is>
      </c>
      <c r="BB1824" t="inlineStr">
        <is>
          <t>9780131540057</t>
        </is>
      </c>
      <c r="BC1824" t="inlineStr">
        <is>
          <t>32285001028488</t>
        </is>
      </c>
      <c r="BD1824" t="inlineStr">
        <is>
          <t>893228601</t>
        </is>
      </c>
    </row>
    <row r="1825">
      <c r="A1825" t="inlineStr">
        <is>
          <t>No</t>
        </is>
      </c>
      <c r="B1825" t="inlineStr">
        <is>
          <t>HQ734 .W7645 1985</t>
        </is>
      </c>
      <c r="C1825" t="inlineStr">
        <is>
          <t>0                      HQ 0734000W  7645        1985</t>
        </is>
      </c>
      <c r="D1825" t="inlineStr">
        <is>
          <t>Commuter marriage : living together, apart / Fairlee E. Winfield ; illustrations by Louise Waller.</t>
        </is>
      </c>
      <c r="F1825" t="inlineStr">
        <is>
          <t>No</t>
        </is>
      </c>
      <c r="G1825" t="inlineStr">
        <is>
          <t>1</t>
        </is>
      </c>
      <c r="H1825" t="inlineStr">
        <is>
          <t>No</t>
        </is>
      </c>
      <c r="I1825" t="inlineStr">
        <is>
          <t>No</t>
        </is>
      </c>
      <c r="J1825" t="inlineStr">
        <is>
          <t>0</t>
        </is>
      </c>
      <c r="K1825" t="inlineStr">
        <is>
          <t>Winfield, Fairlee E.</t>
        </is>
      </c>
      <c r="L1825" t="inlineStr">
        <is>
          <t>New York : Columbia University Press, 1985.</t>
        </is>
      </c>
      <c r="M1825" t="inlineStr">
        <is>
          <t>1985</t>
        </is>
      </c>
      <c r="O1825" t="inlineStr">
        <is>
          <t>eng</t>
        </is>
      </c>
      <c r="P1825" t="inlineStr">
        <is>
          <t>nyu</t>
        </is>
      </c>
      <c r="R1825" t="inlineStr">
        <is>
          <t xml:space="preserve">HQ </t>
        </is>
      </c>
      <c r="S1825" t="n">
        <v>16</v>
      </c>
      <c r="T1825" t="n">
        <v>16</v>
      </c>
      <c r="U1825" t="inlineStr">
        <is>
          <t>2005-09-14</t>
        </is>
      </c>
      <c r="V1825" t="inlineStr">
        <is>
          <t>2005-09-14</t>
        </is>
      </c>
      <c r="W1825" t="inlineStr">
        <is>
          <t>1992-10-30</t>
        </is>
      </c>
      <c r="X1825" t="inlineStr">
        <is>
          <t>1992-10-30</t>
        </is>
      </c>
      <c r="Y1825" t="n">
        <v>699</v>
      </c>
      <c r="Z1825" t="n">
        <v>634</v>
      </c>
      <c r="AA1825" t="n">
        <v>637</v>
      </c>
      <c r="AB1825" t="n">
        <v>4</v>
      </c>
      <c r="AC1825" t="n">
        <v>4</v>
      </c>
      <c r="AD1825" t="n">
        <v>22</v>
      </c>
      <c r="AE1825" t="n">
        <v>22</v>
      </c>
      <c r="AF1825" t="n">
        <v>8</v>
      </c>
      <c r="AG1825" t="n">
        <v>8</v>
      </c>
      <c r="AH1825" t="n">
        <v>6</v>
      </c>
      <c r="AI1825" t="n">
        <v>6</v>
      </c>
      <c r="AJ1825" t="n">
        <v>13</v>
      </c>
      <c r="AK1825" t="n">
        <v>13</v>
      </c>
      <c r="AL1825" t="n">
        <v>3</v>
      </c>
      <c r="AM1825" t="n">
        <v>3</v>
      </c>
      <c r="AN1825" t="n">
        <v>0</v>
      </c>
      <c r="AO1825" t="n">
        <v>0</v>
      </c>
      <c r="AP1825" t="inlineStr">
        <is>
          <t>No</t>
        </is>
      </c>
      <c r="AQ1825" t="inlineStr">
        <is>
          <t>Yes</t>
        </is>
      </c>
      <c r="AR1825">
        <f>HYPERLINK("http://catalog.hathitrust.org/Record/000605038","HathiTrust Record")</f>
        <v/>
      </c>
      <c r="AS1825">
        <f>HYPERLINK("https://creighton-primo.hosted.exlibrisgroup.com/primo-explore/search?tab=default_tab&amp;search_scope=EVERYTHING&amp;vid=01CRU&amp;lang=en_US&amp;offset=0&amp;query=any,contains,991005404449702656","Catalog Record")</f>
        <v/>
      </c>
      <c r="AT1825">
        <f>HYPERLINK("http://www.worldcat.org/oclc/11113642","WorldCat Record")</f>
        <v/>
      </c>
      <c r="AU1825" t="inlineStr">
        <is>
          <t>309054160:eng</t>
        </is>
      </c>
      <c r="AV1825" t="inlineStr">
        <is>
          <t>11113642</t>
        </is>
      </c>
      <c r="AW1825" t="inlineStr">
        <is>
          <t>991005404449702656</t>
        </is>
      </c>
      <c r="AX1825" t="inlineStr">
        <is>
          <t>991005404449702656</t>
        </is>
      </c>
      <c r="AY1825" t="inlineStr">
        <is>
          <t>2256359410002656</t>
        </is>
      </c>
      <c r="AZ1825" t="inlineStr">
        <is>
          <t>BOOK</t>
        </is>
      </c>
      <c r="BB1825" t="inlineStr">
        <is>
          <t>9780231059480</t>
        </is>
      </c>
      <c r="BC1825" t="inlineStr">
        <is>
          <t>32285001359438</t>
        </is>
      </c>
      <c r="BD1825" t="inlineStr">
        <is>
          <t>893345140</t>
        </is>
      </c>
    </row>
    <row r="1826">
      <c r="A1826" t="inlineStr">
        <is>
          <t>No</t>
        </is>
      </c>
      <c r="B1826" t="inlineStr">
        <is>
          <t>HQ737 .B33 1943</t>
        </is>
      </c>
      <c r="C1826" t="inlineStr">
        <is>
          <t>0                      HQ 0737000B  33          1943</t>
        </is>
      </c>
      <c r="D1826" t="inlineStr">
        <is>
          <t>The physiology of marriage / by Honoré de Balzac ; with a foreword by Manuel Komroff.</t>
        </is>
      </c>
      <c r="F1826" t="inlineStr">
        <is>
          <t>No</t>
        </is>
      </c>
      <c r="G1826" t="inlineStr">
        <is>
          <t>1</t>
        </is>
      </c>
      <c r="H1826" t="inlineStr">
        <is>
          <t>No</t>
        </is>
      </c>
      <c r="I1826" t="inlineStr">
        <is>
          <t>No</t>
        </is>
      </c>
      <c r="J1826" t="inlineStr">
        <is>
          <t>0</t>
        </is>
      </c>
      <c r="K1826" t="inlineStr">
        <is>
          <t>Balzac, Honoré de, 1799-1850.</t>
        </is>
      </c>
      <c r="L1826" t="inlineStr">
        <is>
          <t>New York : Liveright Pub. Corp., 1943, c1932.</t>
        </is>
      </c>
      <c r="M1826" t="inlineStr">
        <is>
          <t>1943</t>
        </is>
      </c>
      <c r="N1826" t="inlineStr">
        <is>
          <t>Black and gold ed.</t>
        </is>
      </c>
      <c r="O1826" t="inlineStr">
        <is>
          <t>eng</t>
        </is>
      </c>
      <c r="P1826" t="inlineStr">
        <is>
          <t>nyu</t>
        </is>
      </c>
      <c r="R1826" t="inlineStr">
        <is>
          <t xml:space="preserve">HQ </t>
        </is>
      </c>
      <c r="S1826" t="n">
        <v>1</v>
      </c>
      <c r="T1826" t="n">
        <v>1</v>
      </c>
      <c r="U1826" t="inlineStr">
        <is>
          <t>2007-04-09</t>
        </is>
      </c>
      <c r="V1826" t="inlineStr">
        <is>
          <t>2007-04-09</t>
        </is>
      </c>
      <c r="W1826" t="inlineStr">
        <is>
          <t>1995-10-16</t>
        </is>
      </c>
      <c r="X1826" t="inlineStr">
        <is>
          <t>1995-10-16</t>
        </is>
      </c>
      <c r="Y1826" t="n">
        <v>64</v>
      </c>
      <c r="Z1826" t="n">
        <v>58</v>
      </c>
      <c r="AA1826" t="n">
        <v>441</v>
      </c>
      <c r="AB1826" t="n">
        <v>1</v>
      </c>
      <c r="AC1826" t="n">
        <v>4</v>
      </c>
      <c r="AD1826" t="n">
        <v>3</v>
      </c>
      <c r="AE1826" t="n">
        <v>19</v>
      </c>
      <c r="AF1826" t="n">
        <v>2</v>
      </c>
      <c r="AG1826" t="n">
        <v>8</v>
      </c>
      <c r="AH1826" t="n">
        <v>0</v>
      </c>
      <c r="AI1826" t="n">
        <v>5</v>
      </c>
      <c r="AJ1826" t="n">
        <v>1</v>
      </c>
      <c r="AK1826" t="n">
        <v>7</v>
      </c>
      <c r="AL1826" t="n">
        <v>0</v>
      </c>
      <c r="AM1826" t="n">
        <v>3</v>
      </c>
      <c r="AN1826" t="n">
        <v>0</v>
      </c>
      <c r="AO1826" t="n">
        <v>0</v>
      </c>
      <c r="AP1826" t="inlineStr">
        <is>
          <t>No</t>
        </is>
      </c>
      <c r="AQ1826" t="inlineStr">
        <is>
          <t>No</t>
        </is>
      </c>
      <c r="AS1826">
        <f>HYPERLINK("https://creighton-primo.hosted.exlibrisgroup.com/primo-explore/search?tab=default_tab&amp;search_scope=EVERYTHING&amp;vid=01CRU&amp;lang=en_US&amp;offset=0&amp;query=any,contains,991004439389702656","Catalog Record")</f>
        <v/>
      </c>
      <c r="AT1826">
        <f>HYPERLINK("http://www.worldcat.org/oclc/3452279","WorldCat Record")</f>
        <v/>
      </c>
      <c r="AU1826" t="inlineStr">
        <is>
          <t>4867855:eng</t>
        </is>
      </c>
      <c r="AV1826" t="inlineStr">
        <is>
          <t>3452279</t>
        </is>
      </c>
      <c r="AW1826" t="inlineStr">
        <is>
          <t>991004439389702656</t>
        </is>
      </c>
      <c r="AX1826" t="inlineStr">
        <is>
          <t>991004439389702656</t>
        </is>
      </c>
      <c r="AY1826" t="inlineStr">
        <is>
          <t>2255718520002656</t>
        </is>
      </c>
      <c r="AZ1826" t="inlineStr">
        <is>
          <t>BOOK</t>
        </is>
      </c>
      <c r="BC1826" t="inlineStr">
        <is>
          <t>32285002096096</t>
        </is>
      </c>
      <c r="BD1826" t="inlineStr">
        <is>
          <t>893325389</t>
        </is>
      </c>
    </row>
    <row r="1827">
      <c r="A1827" t="inlineStr">
        <is>
          <t>No</t>
        </is>
      </c>
      <c r="B1827" t="inlineStr">
        <is>
          <t>HQ737 .B592</t>
        </is>
      </c>
      <c r="C1827" t="inlineStr">
        <is>
          <t>0                      HQ 0737000B  592</t>
        </is>
      </c>
      <c r="D1827" t="inlineStr">
        <is>
          <t>The choice of a husband / [by] Pierre Dufoyer [pseud. Translated by Elinor A. Paul]</t>
        </is>
      </c>
      <c r="F1827" t="inlineStr">
        <is>
          <t>No</t>
        </is>
      </c>
      <c r="G1827" t="inlineStr">
        <is>
          <t>1</t>
        </is>
      </c>
      <c r="H1827" t="inlineStr">
        <is>
          <t>No</t>
        </is>
      </c>
      <c r="I1827" t="inlineStr">
        <is>
          <t>No</t>
        </is>
      </c>
      <c r="J1827" t="inlineStr">
        <is>
          <t>0</t>
        </is>
      </c>
      <c r="K1827" t="inlineStr">
        <is>
          <t>Boigelot, René, 1898-1959.</t>
        </is>
      </c>
      <c r="L1827" t="inlineStr">
        <is>
          <t>Staten Island, N.Y. : Alba House, [1964]</t>
        </is>
      </c>
      <c r="M1827" t="inlineStr">
        <is>
          <t>1964</t>
        </is>
      </c>
      <c r="O1827" t="inlineStr">
        <is>
          <t>eng</t>
        </is>
      </c>
      <c r="P1827" t="inlineStr">
        <is>
          <t xml:space="preserve">xx </t>
        </is>
      </c>
      <c r="Q1827" t="inlineStr">
        <is>
          <t>The Cana series</t>
        </is>
      </c>
      <c r="R1827" t="inlineStr">
        <is>
          <t xml:space="preserve">HQ </t>
        </is>
      </c>
      <c r="S1827" t="n">
        <v>12</v>
      </c>
      <c r="T1827" t="n">
        <v>12</v>
      </c>
      <c r="U1827" t="inlineStr">
        <is>
          <t>2001-11-08</t>
        </is>
      </c>
      <c r="V1827" t="inlineStr">
        <is>
          <t>2001-11-08</t>
        </is>
      </c>
      <c r="W1827" t="inlineStr">
        <is>
          <t>1994-07-20</t>
        </is>
      </c>
      <c r="X1827" t="inlineStr">
        <is>
          <t>1994-07-20</t>
        </is>
      </c>
      <c r="Y1827" t="n">
        <v>55</v>
      </c>
      <c r="Z1827" t="n">
        <v>49</v>
      </c>
      <c r="AA1827" t="n">
        <v>49</v>
      </c>
      <c r="AB1827" t="n">
        <v>1</v>
      </c>
      <c r="AC1827" t="n">
        <v>1</v>
      </c>
      <c r="AD1827" t="n">
        <v>7</v>
      </c>
      <c r="AE1827" t="n">
        <v>7</v>
      </c>
      <c r="AF1827" t="n">
        <v>2</v>
      </c>
      <c r="AG1827" t="n">
        <v>2</v>
      </c>
      <c r="AH1827" t="n">
        <v>2</v>
      </c>
      <c r="AI1827" t="n">
        <v>2</v>
      </c>
      <c r="AJ1827" t="n">
        <v>4</v>
      </c>
      <c r="AK1827" t="n">
        <v>4</v>
      </c>
      <c r="AL1827" t="n">
        <v>0</v>
      </c>
      <c r="AM1827" t="n">
        <v>0</v>
      </c>
      <c r="AN1827" t="n">
        <v>0</v>
      </c>
      <c r="AO1827" t="n">
        <v>0</v>
      </c>
      <c r="AP1827" t="inlineStr">
        <is>
          <t>No</t>
        </is>
      </c>
      <c r="AQ1827" t="inlineStr">
        <is>
          <t>No</t>
        </is>
      </c>
      <c r="AS1827">
        <f>HYPERLINK("https://creighton-primo.hosted.exlibrisgroup.com/primo-explore/search?tab=default_tab&amp;search_scope=EVERYTHING&amp;vid=01CRU&amp;lang=en_US&amp;offset=0&amp;query=any,contains,991003260899702656","Catalog Record")</f>
        <v/>
      </c>
      <c r="AT1827">
        <f>HYPERLINK("http://www.worldcat.org/oclc/786994","WorldCat Record")</f>
        <v/>
      </c>
      <c r="AU1827" t="inlineStr">
        <is>
          <t>9415226436:eng</t>
        </is>
      </c>
      <c r="AV1827" t="inlineStr">
        <is>
          <t>786994</t>
        </is>
      </c>
      <c r="AW1827" t="inlineStr">
        <is>
          <t>991003260899702656</t>
        </is>
      </c>
      <c r="AX1827" t="inlineStr">
        <is>
          <t>991003260899702656</t>
        </is>
      </c>
      <c r="AY1827" t="inlineStr">
        <is>
          <t>2262635860002656</t>
        </is>
      </c>
      <c r="AZ1827" t="inlineStr">
        <is>
          <t>BOOK</t>
        </is>
      </c>
      <c r="BC1827" t="inlineStr">
        <is>
          <t>32285001936995</t>
        </is>
      </c>
      <c r="BD1827" t="inlineStr">
        <is>
          <t>893623318</t>
        </is>
      </c>
    </row>
    <row r="1828">
      <c r="A1828" t="inlineStr">
        <is>
          <t>No</t>
        </is>
      </c>
      <c r="B1828" t="inlineStr">
        <is>
          <t>HQ739 .V62</t>
        </is>
      </c>
      <c r="C1828" t="inlineStr">
        <is>
          <t>0                      HQ 0739000V  62</t>
        </is>
      </c>
      <c r="D1828" t="inlineStr">
        <is>
          <t>Marriage.</t>
        </is>
      </c>
      <c r="F1828" t="inlineStr">
        <is>
          <t>No</t>
        </is>
      </c>
      <c r="G1828" t="inlineStr">
        <is>
          <t>1</t>
        </is>
      </c>
      <c r="H1828" t="inlineStr">
        <is>
          <t>No</t>
        </is>
      </c>
      <c r="I1828" t="inlineStr">
        <is>
          <t>Yes</t>
        </is>
      </c>
      <c r="J1828" t="inlineStr">
        <is>
          <t>0</t>
        </is>
      </c>
      <c r="K1828" t="inlineStr">
        <is>
          <t>Von Hildebrand, Dietrich, 1889-1977.</t>
        </is>
      </c>
      <c r="L1828" t="inlineStr">
        <is>
          <t>London, New York, Longmans, Green, 1942.</t>
        </is>
      </c>
      <c r="M1828" t="inlineStr">
        <is>
          <t>1942</t>
        </is>
      </c>
      <c r="N1828" t="inlineStr">
        <is>
          <t>[1st ed.]</t>
        </is>
      </c>
      <c r="O1828" t="inlineStr">
        <is>
          <t>eng</t>
        </is>
      </c>
      <c r="P1828" t="inlineStr">
        <is>
          <t xml:space="preserve">xx </t>
        </is>
      </c>
      <c r="R1828" t="inlineStr">
        <is>
          <t xml:space="preserve">HQ </t>
        </is>
      </c>
      <c r="S1828" t="n">
        <v>2</v>
      </c>
      <c r="T1828" t="n">
        <v>2</v>
      </c>
      <c r="U1828" t="inlineStr">
        <is>
          <t>2005-06-27</t>
        </is>
      </c>
      <c r="V1828" t="inlineStr">
        <is>
          <t>2005-06-27</t>
        </is>
      </c>
      <c r="W1828" t="inlineStr">
        <is>
          <t>1997-02-07</t>
        </is>
      </c>
      <c r="X1828" t="inlineStr">
        <is>
          <t>1997-02-07</t>
        </is>
      </c>
      <c r="Y1828" t="n">
        <v>165</v>
      </c>
      <c r="Z1828" t="n">
        <v>151</v>
      </c>
      <c r="AA1828" t="n">
        <v>234</v>
      </c>
      <c r="AB1828" t="n">
        <v>1</v>
      </c>
      <c r="AC1828" t="n">
        <v>2</v>
      </c>
      <c r="AD1828" t="n">
        <v>24</v>
      </c>
      <c r="AE1828" t="n">
        <v>26</v>
      </c>
      <c r="AF1828" t="n">
        <v>8</v>
      </c>
      <c r="AG1828" t="n">
        <v>9</v>
      </c>
      <c r="AH1828" t="n">
        <v>5</v>
      </c>
      <c r="AI1828" t="n">
        <v>6</v>
      </c>
      <c r="AJ1828" t="n">
        <v>19</v>
      </c>
      <c r="AK1828" t="n">
        <v>19</v>
      </c>
      <c r="AL1828" t="n">
        <v>0</v>
      </c>
      <c r="AM1828" t="n">
        <v>0</v>
      </c>
      <c r="AN1828" t="n">
        <v>0</v>
      </c>
      <c r="AO1828" t="n">
        <v>0</v>
      </c>
      <c r="AP1828" t="inlineStr">
        <is>
          <t>No</t>
        </is>
      </c>
      <c r="AQ1828" t="inlineStr">
        <is>
          <t>No</t>
        </is>
      </c>
      <c r="AS1828">
        <f>HYPERLINK("https://creighton-primo.hosted.exlibrisgroup.com/primo-explore/search?tab=default_tab&amp;search_scope=EVERYTHING&amp;vid=01CRU&amp;lang=en_US&amp;offset=0&amp;query=any,contains,991003439559702656","Catalog Record")</f>
        <v/>
      </c>
      <c r="AT1828">
        <f>HYPERLINK("http://www.worldcat.org/oclc/975578","WorldCat Record")</f>
        <v/>
      </c>
      <c r="AU1828" t="inlineStr">
        <is>
          <t>30568916:eng</t>
        </is>
      </c>
      <c r="AV1828" t="inlineStr">
        <is>
          <t>975578</t>
        </is>
      </c>
      <c r="AW1828" t="inlineStr">
        <is>
          <t>991003439559702656</t>
        </is>
      </c>
      <c r="AX1828" t="inlineStr">
        <is>
          <t>991003439559702656</t>
        </is>
      </c>
      <c r="AY1828" t="inlineStr">
        <is>
          <t>2257143720002656</t>
        </is>
      </c>
      <c r="AZ1828" t="inlineStr">
        <is>
          <t>BOOK</t>
        </is>
      </c>
      <c r="BC1828" t="inlineStr">
        <is>
          <t>32285002424884</t>
        </is>
      </c>
      <c r="BD1828" t="inlineStr">
        <is>
          <t>893234163</t>
        </is>
      </c>
    </row>
    <row r="1829">
      <c r="A1829" t="inlineStr">
        <is>
          <t>No</t>
        </is>
      </c>
      <c r="B1829" t="inlineStr">
        <is>
          <t>HQ74 .B5 1991</t>
        </is>
      </c>
      <c r="C1829" t="inlineStr">
        <is>
          <t>0                      HQ 0074000B  5           1991</t>
        </is>
      </c>
      <c r="D1829" t="inlineStr">
        <is>
          <t>Bi any other name : bisexual people speak out / edited by Loraine Hutchins and Lani Kaahumanu.</t>
        </is>
      </c>
      <c r="F1829" t="inlineStr">
        <is>
          <t>No</t>
        </is>
      </c>
      <c r="G1829" t="inlineStr">
        <is>
          <t>1</t>
        </is>
      </c>
      <c r="H1829" t="inlineStr">
        <is>
          <t>No</t>
        </is>
      </c>
      <c r="I1829" t="inlineStr">
        <is>
          <t>No</t>
        </is>
      </c>
      <c r="J1829" t="inlineStr">
        <is>
          <t>0</t>
        </is>
      </c>
      <c r="L1829" t="inlineStr">
        <is>
          <t>Boston : Alyson Pub., 1991.</t>
        </is>
      </c>
      <c r="M1829" t="inlineStr">
        <is>
          <t>1991</t>
        </is>
      </c>
      <c r="N1829" t="inlineStr">
        <is>
          <t>1st ed.</t>
        </is>
      </c>
      <c r="O1829" t="inlineStr">
        <is>
          <t>eng</t>
        </is>
      </c>
      <c r="P1829" t="inlineStr">
        <is>
          <t>mau</t>
        </is>
      </c>
      <c r="R1829" t="inlineStr">
        <is>
          <t xml:space="preserve">HQ </t>
        </is>
      </c>
      <c r="S1829" t="n">
        <v>8</v>
      </c>
      <c r="T1829" t="n">
        <v>8</v>
      </c>
      <c r="U1829" t="inlineStr">
        <is>
          <t>2009-10-16</t>
        </is>
      </c>
      <c r="V1829" t="inlineStr">
        <is>
          <t>2009-10-16</t>
        </is>
      </c>
      <c r="W1829" t="inlineStr">
        <is>
          <t>1996-06-21</t>
        </is>
      </c>
      <c r="X1829" t="inlineStr">
        <is>
          <t>1996-06-21</t>
        </is>
      </c>
      <c r="Y1829" t="n">
        <v>522</v>
      </c>
      <c r="Z1829" t="n">
        <v>443</v>
      </c>
      <c r="AA1829" t="n">
        <v>478</v>
      </c>
      <c r="AB1829" t="n">
        <v>5</v>
      </c>
      <c r="AC1829" t="n">
        <v>5</v>
      </c>
      <c r="AD1829" t="n">
        <v>18</v>
      </c>
      <c r="AE1829" t="n">
        <v>18</v>
      </c>
      <c r="AF1829" t="n">
        <v>6</v>
      </c>
      <c r="AG1829" t="n">
        <v>6</v>
      </c>
      <c r="AH1829" t="n">
        <v>4</v>
      </c>
      <c r="AI1829" t="n">
        <v>4</v>
      </c>
      <c r="AJ1829" t="n">
        <v>7</v>
      </c>
      <c r="AK1829" t="n">
        <v>7</v>
      </c>
      <c r="AL1829" t="n">
        <v>4</v>
      </c>
      <c r="AM1829" t="n">
        <v>4</v>
      </c>
      <c r="AN1829" t="n">
        <v>0</v>
      </c>
      <c r="AO1829" t="n">
        <v>0</v>
      </c>
      <c r="AP1829" t="inlineStr">
        <is>
          <t>No</t>
        </is>
      </c>
      <c r="AQ1829" t="inlineStr">
        <is>
          <t>Yes</t>
        </is>
      </c>
      <c r="AR1829">
        <f>HYPERLINK("http://catalog.hathitrust.org/Record/002461088","HathiTrust Record")</f>
        <v/>
      </c>
      <c r="AS1829">
        <f>HYPERLINK("https://creighton-primo.hosted.exlibrisgroup.com/primo-explore/search?tab=default_tab&amp;search_scope=EVERYTHING&amp;vid=01CRU&amp;lang=en_US&amp;offset=0&amp;query=any,contains,991001761609702656","Catalog Record")</f>
        <v/>
      </c>
      <c r="AT1829">
        <f>HYPERLINK("http://www.worldcat.org/oclc/22275802","WorldCat Record")</f>
        <v/>
      </c>
      <c r="AU1829" t="inlineStr">
        <is>
          <t>892338251:eng</t>
        </is>
      </c>
      <c r="AV1829" t="inlineStr">
        <is>
          <t>22275802</t>
        </is>
      </c>
      <c r="AW1829" t="inlineStr">
        <is>
          <t>991001761609702656</t>
        </is>
      </c>
      <c r="AX1829" t="inlineStr">
        <is>
          <t>991001761609702656</t>
        </is>
      </c>
      <c r="AY1829" t="inlineStr">
        <is>
          <t>2262198410002656</t>
        </is>
      </c>
      <c r="AZ1829" t="inlineStr">
        <is>
          <t>BOOK</t>
        </is>
      </c>
      <c r="BB1829" t="inlineStr">
        <is>
          <t>9781555831745</t>
        </is>
      </c>
      <c r="BC1829" t="inlineStr">
        <is>
          <t>32285002171279</t>
        </is>
      </c>
      <c r="BD1829" t="inlineStr">
        <is>
          <t>893697011</t>
        </is>
      </c>
    </row>
    <row r="1830">
      <c r="A1830" t="inlineStr">
        <is>
          <t>No</t>
        </is>
      </c>
      <c r="B1830" t="inlineStr">
        <is>
          <t>HQ74 .B89 1991</t>
        </is>
      </c>
      <c r="C1830" t="inlineStr">
        <is>
          <t>0                      HQ 0074000B  89          1991</t>
        </is>
      </c>
      <c r="D1830" t="inlineStr">
        <is>
          <t>The other side of the closet : the coming-out crisis for straight spouses / by Amity Pierce Buxton.</t>
        </is>
      </c>
      <c r="F1830" t="inlineStr">
        <is>
          <t>No</t>
        </is>
      </c>
      <c r="G1830" t="inlineStr">
        <is>
          <t>1</t>
        </is>
      </c>
      <c r="H1830" t="inlineStr">
        <is>
          <t>No</t>
        </is>
      </c>
      <c r="I1830" t="inlineStr">
        <is>
          <t>No</t>
        </is>
      </c>
      <c r="J1830" t="inlineStr">
        <is>
          <t>0</t>
        </is>
      </c>
      <c r="K1830" t="inlineStr">
        <is>
          <t>Buxton, Amity.</t>
        </is>
      </c>
      <c r="L1830" t="inlineStr">
        <is>
          <t>Santa Monica, Calif. : IBS Press, c1991.</t>
        </is>
      </c>
      <c r="M1830" t="inlineStr">
        <is>
          <t>1991</t>
        </is>
      </c>
      <c r="O1830" t="inlineStr">
        <is>
          <t>eng</t>
        </is>
      </c>
      <c r="P1830" t="inlineStr">
        <is>
          <t>cau</t>
        </is>
      </c>
      <c r="R1830" t="inlineStr">
        <is>
          <t xml:space="preserve">HQ </t>
        </is>
      </c>
      <c r="S1830" t="n">
        <v>7</v>
      </c>
      <c r="T1830" t="n">
        <v>7</v>
      </c>
      <c r="U1830" t="inlineStr">
        <is>
          <t>2000-11-19</t>
        </is>
      </c>
      <c r="V1830" t="inlineStr">
        <is>
          <t>2000-11-19</t>
        </is>
      </c>
      <c r="W1830" t="inlineStr">
        <is>
          <t>1997-02-07</t>
        </is>
      </c>
      <c r="X1830" t="inlineStr">
        <is>
          <t>1997-02-07</t>
        </is>
      </c>
      <c r="Y1830" t="n">
        <v>207</v>
      </c>
      <c r="Z1830" t="n">
        <v>181</v>
      </c>
      <c r="AA1830" t="n">
        <v>472</v>
      </c>
      <c r="AB1830" t="n">
        <v>2</v>
      </c>
      <c r="AC1830" t="n">
        <v>4</v>
      </c>
      <c r="AD1830" t="n">
        <v>1</v>
      </c>
      <c r="AE1830" t="n">
        <v>7</v>
      </c>
      <c r="AF1830" t="n">
        <v>0</v>
      </c>
      <c r="AG1830" t="n">
        <v>0</v>
      </c>
      <c r="AH1830" t="n">
        <v>0</v>
      </c>
      <c r="AI1830" t="n">
        <v>2</v>
      </c>
      <c r="AJ1830" t="n">
        <v>0</v>
      </c>
      <c r="AK1830" t="n">
        <v>3</v>
      </c>
      <c r="AL1830" t="n">
        <v>1</v>
      </c>
      <c r="AM1830" t="n">
        <v>3</v>
      </c>
      <c r="AN1830" t="n">
        <v>0</v>
      </c>
      <c r="AO1830" t="n">
        <v>0</v>
      </c>
      <c r="AP1830" t="inlineStr">
        <is>
          <t>No</t>
        </is>
      </c>
      <c r="AQ1830" t="inlineStr">
        <is>
          <t>Yes</t>
        </is>
      </c>
      <c r="AR1830">
        <f>HYPERLINK("http://catalog.hathitrust.org/Record/002548142","HathiTrust Record")</f>
        <v/>
      </c>
      <c r="AS1830">
        <f>HYPERLINK("https://creighton-primo.hosted.exlibrisgroup.com/primo-explore/search?tab=default_tab&amp;search_scope=EVERYTHING&amp;vid=01CRU&amp;lang=en_US&amp;offset=0&amp;query=any,contains,991001841699702656","Catalog Record")</f>
        <v/>
      </c>
      <c r="AT1830">
        <f>HYPERLINK("http://www.worldcat.org/oclc/23141431","WorldCat Record")</f>
        <v/>
      </c>
      <c r="AU1830" t="inlineStr">
        <is>
          <t>2287262336:eng</t>
        </is>
      </c>
      <c r="AV1830" t="inlineStr">
        <is>
          <t>23141431</t>
        </is>
      </c>
      <c r="AW1830" t="inlineStr">
        <is>
          <t>991001841699702656</t>
        </is>
      </c>
      <c r="AX1830" t="inlineStr">
        <is>
          <t>991001841699702656</t>
        </is>
      </c>
      <c r="AY1830" t="inlineStr">
        <is>
          <t>2266710420002656</t>
        </is>
      </c>
      <c r="AZ1830" t="inlineStr">
        <is>
          <t>BOOK</t>
        </is>
      </c>
      <c r="BB1830" t="inlineStr">
        <is>
          <t>9781877880070</t>
        </is>
      </c>
      <c r="BC1830" t="inlineStr">
        <is>
          <t>32285002430105</t>
        </is>
      </c>
      <c r="BD1830" t="inlineStr">
        <is>
          <t>893420671</t>
        </is>
      </c>
    </row>
    <row r="1831">
      <c r="A1831" t="inlineStr">
        <is>
          <t>No</t>
        </is>
      </c>
      <c r="B1831" t="inlineStr">
        <is>
          <t>HQ74.2.U5 K56 2004</t>
        </is>
      </c>
      <c r="C1831" t="inlineStr">
        <is>
          <t>0                      HQ 0074200U  5                  K  56          2004</t>
        </is>
      </c>
      <c r="D1831" t="inlineStr">
        <is>
          <t>On the down low : a journey into the lives of "straight" Black men who sleep with men / J.L. King with Karen Hunter.</t>
        </is>
      </c>
      <c r="F1831" t="inlineStr">
        <is>
          <t>No</t>
        </is>
      </c>
      <c r="G1831" t="inlineStr">
        <is>
          <t>1</t>
        </is>
      </c>
      <c r="H1831" t="inlineStr">
        <is>
          <t>No</t>
        </is>
      </c>
      <c r="I1831" t="inlineStr">
        <is>
          <t>No</t>
        </is>
      </c>
      <c r="J1831" t="inlineStr">
        <is>
          <t>0</t>
        </is>
      </c>
      <c r="K1831" t="inlineStr">
        <is>
          <t>King, J. L.</t>
        </is>
      </c>
      <c r="L1831" t="inlineStr">
        <is>
          <t>New York : Broadway Books, 2004.</t>
        </is>
      </c>
      <c r="M1831" t="inlineStr">
        <is>
          <t>2004</t>
        </is>
      </c>
      <c r="N1831" t="inlineStr">
        <is>
          <t>1st ed.</t>
        </is>
      </c>
      <c r="O1831" t="inlineStr">
        <is>
          <t>eng</t>
        </is>
      </c>
      <c r="P1831" t="inlineStr">
        <is>
          <t>nyu</t>
        </is>
      </c>
      <c r="R1831" t="inlineStr">
        <is>
          <t xml:space="preserve">HQ </t>
        </is>
      </c>
      <c r="S1831" t="n">
        <v>3</v>
      </c>
      <c r="T1831" t="n">
        <v>3</v>
      </c>
      <c r="U1831" t="inlineStr">
        <is>
          <t>2009-11-24</t>
        </is>
      </c>
      <c r="V1831" t="inlineStr">
        <is>
          <t>2009-11-24</t>
        </is>
      </c>
      <c r="W1831" t="inlineStr">
        <is>
          <t>2004-06-07</t>
        </is>
      </c>
      <c r="X1831" t="inlineStr">
        <is>
          <t>2004-06-07</t>
        </is>
      </c>
      <c r="Y1831" t="n">
        <v>885</v>
      </c>
      <c r="Z1831" t="n">
        <v>868</v>
      </c>
      <c r="AA1831" t="n">
        <v>954</v>
      </c>
      <c r="AB1831" t="n">
        <v>4</v>
      </c>
      <c r="AC1831" t="n">
        <v>4</v>
      </c>
      <c r="AD1831" t="n">
        <v>13</v>
      </c>
      <c r="AE1831" t="n">
        <v>15</v>
      </c>
      <c r="AF1831" t="n">
        <v>5</v>
      </c>
      <c r="AG1831" t="n">
        <v>5</v>
      </c>
      <c r="AH1831" t="n">
        <v>4</v>
      </c>
      <c r="AI1831" t="n">
        <v>5</v>
      </c>
      <c r="AJ1831" t="n">
        <v>5</v>
      </c>
      <c r="AK1831" t="n">
        <v>7</v>
      </c>
      <c r="AL1831" t="n">
        <v>2</v>
      </c>
      <c r="AM1831" t="n">
        <v>2</v>
      </c>
      <c r="AN1831" t="n">
        <v>0</v>
      </c>
      <c r="AO1831" t="n">
        <v>0</v>
      </c>
      <c r="AP1831" t="inlineStr">
        <is>
          <t>No</t>
        </is>
      </c>
      <c r="AQ1831" t="inlineStr">
        <is>
          <t>No</t>
        </is>
      </c>
      <c r="AS1831">
        <f>HYPERLINK("https://creighton-primo.hosted.exlibrisgroup.com/primo-explore/search?tab=default_tab&amp;search_scope=EVERYTHING&amp;vid=01CRU&amp;lang=en_US&amp;offset=0&amp;query=any,contains,991004302849702656","Catalog Record")</f>
        <v/>
      </c>
      <c r="AT1831">
        <f>HYPERLINK("http://www.worldcat.org/oclc/52471574","WorldCat Record")</f>
        <v/>
      </c>
      <c r="AU1831" t="inlineStr">
        <is>
          <t>763275:eng</t>
        </is>
      </c>
      <c r="AV1831" t="inlineStr">
        <is>
          <t>52471574</t>
        </is>
      </c>
      <c r="AW1831" t="inlineStr">
        <is>
          <t>991004302849702656</t>
        </is>
      </c>
      <c r="AX1831" t="inlineStr">
        <is>
          <t>991004302849702656</t>
        </is>
      </c>
      <c r="AY1831" t="inlineStr">
        <is>
          <t>2258572830002656</t>
        </is>
      </c>
      <c r="AZ1831" t="inlineStr">
        <is>
          <t>BOOK</t>
        </is>
      </c>
      <c r="BB1831" t="inlineStr">
        <is>
          <t>9780767913980</t>
        </is>
      </c>
      <c r="BC1831" t="inlineStr">
        <is>
          <t>32285005552210</t>
        </is>
      </c>
      <c r="BD1831" t="inlineStr">
        <is>
          <t>893869564</t>
        </is>
      </c>
    </row>
    <row r="1832">
      <c r="A1832" t="inlineStr">
        <is>
          <t>No</t>
        </is>
      </c>
      <c r="B1832" t="inlineStr">
        <is>
          <t>HQ75.12.P37 B47 1995</t>
        </is>
      </c>
      <c r="C1832" t="inlineStr">
        <is>
          <t>0                      HQ 0075120P  37                 B  47          1995</t>
        </is>
      </c>
      <c r="D1832" t="inlineStr">
        <is>
          <t>Straight parents/gay children : keeping families together / Robert A. Bernstein.</t>
        </is>
      </c>
      <c r="F1832" t="inlineStr">
        <is>
          <t>No</t>
        </is>
      </c>
      <c r="G1832" t="inlineStr">
        <is>
          <t>1</t>
        </is>
      </c>
      <c r="H1832" t="inlineStr">
        <is>
          <t>No</t>
        </is>
      </c>
      <c r="I1832" t="inlineStr">
        <is>
          <t>No</t>
        </is>
      </c>
      <c r="J1832" t="inlineStr">
        <is>
          <t>0</t>
        </is>
      </c>
      <c r="K1832" t="inlineStr">
        <is>
          <t>Bernstein, Robert, 1926-</t>
        </is>
      </c>
      <c r="L1832" t="inlineStr">
        <is>
          <t>New York : Thunder's Mouth Press ; Emeryville, CA : Distributed by Publishers Group West, c1995.</t>
        </is>
      </c>
      <c r="M1832" t="inlineStr">
        <is>
          <t>1995</t>
        </is>
      </c>
      <c r="N1832" t="inlineStr">
        <is>
          <t>1st ed.</t>
        </is>
      </c>
      <c r="O1832" t="inlineStr">
        <is>
          <t>eng</t>
        </is>
      </c>
      <c r="P1832" t="inlineStr">
        <is>
          <t>nyu</t>
        </is>
      </c>
      <c r="R1832" t="inlineStr">
        <is>
          <t xml:space="preserve">HQ </t>
        </is>
      </c>
      <c r="S1832" t="n">
        <v>4</v>
      </c>
      <c r="T1832" t="n">
        <v>4</v>
      </c>
      <c r="U1832" t="inlineStr">
        <is>
          <t>2007-07-10</t>
        </is>
      </c>
      <c r="V1832" t="inlineStr">
        <is>
          <t>2007-07-10</t>
        </is>
      </c>
      <c r="W1832" t="inlineStr">
        <is>
          <t>2000-01-11</t>
        </is>
      </c>
      <c r="X1832" t="inlineStr">
        <is>
          <t>2000-01-11</t>
        </is>
      </c>
      <c r="Y1832" t="n">
        <v>409</v>
      </c>
      <c r="Z1832" t="n">
        <v>394</v>
      </c>
      <c r="AA1832" t="n">
        <v>592</v>
      </c>
      <c r="AB1832" t="n">
        <v>5</v>
      </c>
      <c r="AC1832" t="n">
        <v>6</v>
      </c>
      <c r="AD1832" t="n">
        <v>5</v>
      </c>
      <c r="AE1832" t="n">
        <v>6</v>
      </c>
      <c r="AF1832" t="n">
        <v>0</v>
      </c>
      <c r="AG1832" t="n">
        <v>1</v>
      </c>
      <c r="AH1832" t="n">
        <v>0</v>
      </c>
      <c r="AI1832" t="n">
        <v>0</v>
      </c>
      <c r="AJ1832" t="n">
        <v>1</v>
      </c>
      <c r="AK1832" t="n">
        <v>2</v>
      </c>
      <c r="AL1832" t="n">
        <v>4</v>
      </c>
      <c r="AM1832" t="n">
        <v>4</v>
      </c>
      <c r="AN1832" t="n">
        <v>0</v>
      </c>
      <c r="AO1832" t="n">
        <v>0</v>
      </c>
      <c r="AP1832" t="inlineStr">
        <is>
          <t>No</t>
        </is>
      </c>
      <c r="AQ1832" t="inlineStr">
        <is>
          <t>No</t>
        </is>
      </c>
      <c r="AS1832">
        <f>HYPERLINK("https://creighton-primo.hosted.exlibrisgroup.com/primo-explore/search?tab=default_tab&amp;search_scope=EVERYTHING&amp;vid=01CRU&amp;lang=en_US&amp;offset=0&amp;query=any,contains,991002452589702656","Catalog Record")</f>
        <v/>
      </c>
      <c r="AT1832">
        <f>HYPERLINK("http://www.worldcat.org/oclc/31971618","WorldCat Record")</f>
        <v/>
      </c>
      <c r="AU1832" t="inlineStr">
        <is>
          <t>9368880:eng</t>
        </is>
      </c>
      <c r="AV1832" t="inlineStr">
        <is>
          <t>31971618</t>
        </is>
      </c>
      <c r="AW1832" t="inlineStr">
        <is>
          <t>991002452589702656</t>
        </is>
      </c>
      <c r="AX1832" t="inlineStr">
        <is>
          <t>991002452589702656</t>
        </is>
      </c>
      <c r="AY1832" t="inlineStr">
        <is>
          <t>2267045120002656</t>
        </is>
      </c>
      <c r="AZ1832" t="inlineStr">
        <is>
          <t>BOOK</t>
        </is>
      </c>
      <c r="BB1832" t="inlineStr">
        <is>
          <t>9781560250852</t>
        </is>
      </c>
      <c r="BC1832" t="inlineStr">
        <is>
          <t>32285003639365</t>
        </is>
      </c>
      <c r="BD1832" t="inlineStr">
        <is>
          <t>893697798</t>
        </is>
      </c>
    </row>
    <row r="1833">
      <c r="A1833" t="inlineStr">
        <is>
          <t>No</t>
        </is>
      </c>
      <c r="B1833" t="inlineStr">
        <is>
          <t>HQ75.15 .L47 1996</t>
        </is>
      </c>
      <c r="C1833" t="inlineStr">
        <is>
          <t>0                      HQ 0075150L  47          1996</t>
        </is>
      </c>
      <c r="D1833" t="inlineStr">
        <is>
          <t>The new lesbian studies : into the twenty-first century / edited by Bonnie Zimmerman and Toni A. H. McNaron ; foreword by Margaret Cruikshank.</t>
        </is>
      </c>
      <c r="F1833" t="inlineStr">
        <is>
          <t>No</t>
        </is>
      </c>
      <c r="G1833" t="inlineStr">
        <is>
          <t>1</t>
        </is>
      </c>
      <c r="H1833" t="inlineStr">
        <is>
          <t>No</t>
        </is>
      </c>
      <c r="I1833" t="inlineStr">
        <is>
          <t>No</t>
        </is>
      </c>
      <c r="J1833" t="inlineStr">
        <is>
          <t>0</t>
        </is>
      </c>
      <c r="L1833" t="inlineStr">
        <is>
          <t>New York : Feminist Press at the City University of New York, 1996.</t>
        </is>
      </c>
      <c r="M1833" t="inlineStr">
        <is>
          <t>1996</t>
        </is>
      </c>
      <c r="N1833" t="inlineStr">
        <is>
          <t>1st ed.</t>
        </is>
      </c>
      <c r="O1833" t="inlineStr">
        <is>
          <t>eng</t>
        </is>
      </c>
      <c r="P1833" t="inlineStr">
        <is>
          <t>nyu</t>
        </is>
      </c>
      <c r="R1833" t="inlineStr">
        <is>
          <t xml:space="preserve">HQ </t>
        </is>
      </c>
      <c r="S1833" t="n">
        <v>10</v>
      </c>
      <c r="T1833" t="n">
        <v>10</v>
      </c>
      <c r="U1833" t="inlineStr">
        <is>
          <t>2001-12-08</t>
        </is>
      </c>
      <c r="V1833" t="inlineStr">
        <is>
          <t>2001-12-08</t>
        </is>
      </c>
      <c r="W1833" t="inlineStr">
        <is>
          <t>1997-04-15</t>
        </is>
      </c>
      <c r="X1833" t="inlineStr">
        <is>
          <t>1997-04-15</t>
        </is>
      </c>
      <c r="Y1833" t="n">
        <v>545</v>
      </c>
      <c r="Z1833" t="n">
        <v>463</v>
      </c>
      <c r="AA1833" t="n">
        <v>467</v>
      </c>
      <c r="AB1833" t="n">
        <v>4</v>
      </c>
      <c r="AC1833" t="n">
        <v>4</v>
      </c>
      <c r="AD1833" t="n">
        <v>22</v>
      </c>
      <c r="AE1833" t="n">
        <v>22</v>
      </c>
      <c r="AF1833" t="n">
        <v>9</v>
      </c>
      <c r="AG1833" t="n">
        <v>9</v>
      </c>
      <c r="AH1833" t="n">
        <v>4</v>
      </c>
      <c r="AI1833" t="n">
        <v>4</v>
      </c>
      <c r="AJ1833" t="n">
        <v>13</v>
      </c>
      <c r="AK1833" t="n">
        <v>13</v>
      </c>
      <c r="AL1833" t="n">
        <v>3</v>
      </c>
      <c r="AM1833" t="n">
        <v>3</v>
      </c>
      <c r="AN1833" t="n">
        <v>0</v>
      </c>
      <c r="AO1833" t="n">
        <v>0</v>
      </c>
      <c r="AP1833" t="inlineStr">
        <is>
          <t>No</t>
        </is>
      </c>
      <c r="AQ1833" t="inlineStr">
        <is>
          <t>No</t>
        </is>
      </c>
      <c r="AS1833">
        <f>HYPERLINK("https://creighton-primo.hosted.exlibrisgroup.com/primo-explore/search?tab=default_tab&amp;search_scope=EVERYTHING&amp;vid=01CRU&amp;lang=en_US&amp;offset=0&amp;query=any,contains,991002583299702656","Catalog Record")</f>
        <v/>
      </c>
      <c r="AT1833">
        <f>HYPERLINK("http://www.worldcat.org/oclc/33862963","WorldCat Record")</f>
        <v/>
      </c>
      <c r="AU1833" t="inlineStr">
        <is>
          <t>369335240:eng</t>
        </is>
      </c>
      <c r="AV1833" t="inlineStr">
        <is>
          <t>33862963</t>
        </is>
      </c>
      <c r="AW1833" t="inlineStr">
        <is>
          <t>991002583299702656</t>
        </is>
      </c>
      <c r="AX1833" t="inlineStr">
        <is>
          <t>991002583299702656</t>
        </is>
      </c>
      <c r="AY1833" t="inlineStr">
        <is>
          <t>2266898700002656</t>
        </is>
      </c>
      <c r="AZ1833" t="inlineStr">
        <is>
          <t>BOOK</t>
        </is>
      </c>
      <c r="BB1833" t="inlineStr">
        <is>
          <t>9781558611351</t>
        </is>
      </c>
      <c r="BC1833" t="inlineStr">
        <is>
          <t>32285002497302</t>
        </is>
      </c>
      <c r="BD1833" t="inlineStr">
        <is>
          <t>893239244</t>
        </is>
      </c>
    </row>
    <row r="1834">
      <c r="A1834" t="inlineStr">
        <is>
          <t>No</t>
        </is>
      </c>
      <c r="B1834" t="inlineStr">
        <is>
          <t>HQ75.15 .Q44 2001</t>
        </is>
      </c>
      <c r="C1834" t="inlineStr">
        <is>
          <t>0                      HQ 0075150Q  44          2001</t>
        </is>
      </c>
      <c r="D1834" t="inlineStr">
        <is>
          <t>Queer families, queer politics : challenging culture and the state / edited by Mary Bernstein and Renate Reimann.</t>
        </is>
      </c>
      <c r="F1834" t="inlineStr">
        <is>
          <t>No</t>
        </is>
      </c>
      <c r="G1834" t="inlineStr">
        <is>
          <t>1</t>
        </is>
      </c>
      <c r="H1834" t="inlineStr">
        <is>
          <t>No</t>
        </is>
      </c>
      <c r="I1834" t="inlineStr">
        <is>
          <t>No</t>
        </is>
      </c>
      <c r="J1834" t="inlineStr">
        <is>
          <t>0</t>
        </is>
      </c>
      <c r="L1834" t="inlineStr">
        <is>
          <t>New York : Columbia University Press, c2001.</t>
        </is>
      </c>
      <c r="M1834" t="inlineStr">
        <is>
          <t>2001</t>
        </is>
      </c>
      <c r="O1834" t="inlineStr">
        <is>
          <t>eng</t>
        </is>
      </c>
      <c r="P1834" t="inlineStr">
        <is>
          <t>nyu</t>
        </is>
      </c>
      <c r="Q1834" t="inlineStr">
        <is>
          <t>Between men--between women</t>
        </is>
      </c>
      <c r="R1834" t="inlineStr">
        <is>
          <t xml:space="preserve">HQ </t>
        </is>
      </c>
      <c r="S1834" t="n">
        <v>4</v>
      </c>
      <c r="T1834" t="n">
        <v>4</v>
      </c>
      <c r="U1834" t="inlineStr">
        <is>
          <t>2006-01-21</t>
        </is>
      </c>
      <c r="V1834" t="inlineStr">
        <is>
          <t>2006-01-21</t>
        </is>
      </c>
      <c r="W1834" t="inlineStr">
        <is>
          <t>2001-09-13</t>
        </is>
      </c>
      <c r="X1834" t="inlineStr">
        <is>
          <t>2001-09-13</t>
        </is>
      </c>
      <c r="Y1834" t="n">
        <v>393</v>
      </c>
      <c r="Z1834" t="n">
        <v>311</v>
      </c>
      <c r="AA1834" t="n">
        <v>620</v>
      </c>
      <c r="AB1834" t="n">
        <v>2</v>
      </c>
      <c r="AC1834" t="n">
        <v>3</v>
      </c>
      <c r="AD1834" t="n">
        <v>22</v>
      </c>
      <c r="AE1834" t="n">
        <v>24</v>
      </c>
      <c r="AF1834" t="n">
        <v>7</v>
      </c>
      <c r="AG1834" t="n">
        <v>8</v>
      </c>
      <c r="AH1834" t="n">
        <v>5</v>
      </c>
      <c r="AI1834" t="n">
        <v>5</v>
      </c>
      <c r="AJ1834" t="n">
        <v>11</v>
      </c>
      <c r="AK1834" t="n">
        <v>12</v>
      </c>
      <c r="AL1834" t="n">
        <v>1</v>
      </c>
      <c r="AM1834" t="n">
        <v>2</v>
      </c>
      <c r="AN1834" t="n">
        <v>3</v>
      </c>
      <c r="AO1834" t="n">
        <v>3</v>
      </c>
      <c r="AP1834" t="inlineStr">
        <is>
          <t>No</t>
        </is>
      </c>
      <c r="AQ1834" t="inlineStr">
        <is>
          <t>No</t>
        </is>
      </c>
      <c r="AS1834">
        <f>HYPERLINK("https://creighton-primo.hosted.exlibrisgroup.com/primo-explore/search?tab=default_tab&amp;search_scope=EVERYTHING&amp;vid=01CRU&amp;lang=en_US&amp;offset=0&amp;query=any,contains,991003605359702656","Catalog Record")</f>
        <v/>
      </c>
      <c r="AT1834">
        <f>HYPERLINK("http://www.worldcat.org/oclc/45356572","WorldCat Record")</f>
        <v/>
      </c>
      <c r="AU1834" t="inlineStr">
        <is>
          <t>801356514:eng</t>
        </is>
      </c>
      <c r="AV1834" t="inlineStr">
        <is>
          <t>45356572</t>
        </is>
      </c>
      <c r="AW1834" t="inlineStr">
        <is>
          <t>991003605359702656</t>
        </is>
      </c>
      <c r="AX1834" t="inlineStr">
        <is>
          <t>991003605359702656</t>
        </is>
      </c>
      <c r="AY1834" t="inlineStr">
        <is>
          <t>2263368450002656</t>
        </is>
      </c>
      <c r="AZ1834" t="inlineStr">
        <is>
          <t>BOOK</t>
        </is>
      </c>
      <c r="BB1834" t="inlineStr">
        <is>
          <t>9780231116909</t>
        </is>
      </c>
      <c r="BC1834" t="inlineStr">
        <is>
          <t>32285004391289</t>
        </is>
      </c>
      <c r="BD1834" t="inlineStr">
        <is>
          <t>893234345</t>
        </is>
      </c>
    </row>
    <row r="1835">
      <c r="A1835" t="inlineStr">
        <is>
          <t>No</t>
        </is>
      </c>
      <c r="B1835" t="inlineStr">
        <is>
          <t>HQ75.16.U6 S42 2000</t>
        </is>
      </c>
      <c r="C1835" t="inlineStr">
        <is>
          <t>0                      HQ 0075160U  6                  S  42          2000</t>
        </is>
      </c>
      <c r="D1835" t="inlineStr">
        <is>
          <t>A sea of stories : the shaping power of narrative in gay and lesbian cultures : a festschrift for John P. De Cecco / Sonya L. Jones, editor.</t>
        </is>
      </c>
      <c r="F1835" t="inlineStr">
        <is>
          <t>No</t>
        </is>
      </c>
      <c r="G1835" t="inlineStr">
        <is>
          <t>1</t>
        </is>
      </c>
      <c r="H1835" t="inlineStr">
        <is>
          <t>No</t>
        </is>
      </c>
      <c r="I1835" t="inlineStr">
        <is>
          <t>No</t>
        </is>
      </c>
      <c r="J1835" t="inlineStr">
        <is>
          <t>0</t>
        </is>
      </c>
      <c r="L1835" t="inlineStr">
        <is>
          <t>New York : Harrington Park Press, c2000.</t>
        </is>
      </c>
      <c r="M1835" t="inlineStr">
        <is>
          <t>2000</t>
        </is>
      </c>
      <c r="O1835" t="inlineStr">
        <is>
          <t>eng</t>
        </is>
      </c>
      <c r="P1835" t="inlineStr">
        <is>
          <t>nyu</t>
        </is>
      </c>
      <c r="R1835" t="inlineStr">
        <is>
          <t xml:space="preserve">HQ </t>
        </is>
      </c>
      <c r="S1835" t="n">
        <v>1</v>
      </c>
      <c r="T1835" t="n">
        <v>1</v>
      </c>
      <c r="U1835" t="inlineStr">
        <is>
          <t>2000-12-05</t>
        </is>
      </c>
      <c r="V1835" t="inlineStr">
        <is>
          <t>2000-12-05</t>
        </is>
      </c>
      <c r="W1835" t="inlineStr">
        <is>
          <t>2000-12-05</t>
        </is>
      </c>
      <c r="X1835" t="inlineStr">
        <is>
          <t>2000-12-05</t>
        </is>
      </c>
      <c r="Y1835" t="n">
        <v>135</v>
      </c>
      <c r="Z1835" t="n">
        <v>117</v>
      </c>
      <c r="AA1835" t="n">
        <v>148</v>
      </c>
      <c r="AB1835" t="n">
        <v>3</v>
      </c>
      <c r="AC1835" t="n">
        <v>3</v>
      </c>
      <c r="AD1835" t="n">
        <v>7</v>
      </c>
      <c r="AE1835" t="n">
        <v>7</v>
      </c>
      <c r="AF1835" t="n">
        <v>1</v>
      </c>
      <c r="AG1835" t="n">
        <v>1</v>
      </c>
      <c r="AH1835" t="n">
        <v>0</v>
      </c>
      <c r="AI1835" t="n">
        <v>0</v>
      </c>
      <c r="AJ1835" t="n">
        <v>4</v>
      </c>
      <c r="AK1835" t="n">
        <v>4</v>
      </c>
      <c r="AL1835" t="n">
        <v>2</v>
      </c>
      <c r="AM1835" t="n">
        <v>2</v>
      </c>
      <c r="AN1835" t="n">
        <v>0</v>
      </c>
      <c r="AO1835" t="n">
        <v>0</v>
      </c>
      <c r="AP1835" t="inlineStr">
        <is>
          <t>No</t>
        </is>
      </c>
      <c r="AQ1835" t="inlineStr">
        <is>
          <t>Yes</t>
        </is>
      </c>
      <c r="AR1835">
        <f>HYPERLINK("http://catalog.hathitrust.org/Record/004120612","HathiTrust Record")</f>
        <v/>
      </c>
      <c r="AS1835">
        <f>HYPERLINK("https://creighton-primo.hosted.exlibrisgroup.com/primo-explore/search?tab=default_tab&amp;search_scope=EVERYTHING&amp;vid=01CRU&amp;lang=en_US&amp;offset=0&amp;query=any,contains,991003329319702656","Catalog Record")</f>
        <v/>
      </c>
      <c r="AT1835">
        <f>HYPERLINK("http://www.worldcat.org/oclc/42771892","WorldCat Record")</f>
        <v/>
      </c>
      <c r="AU1835" t="inlineStr">
        <is>
          <t>819657625:eng</t>
        </is>
      </c>
      <c r="AV1835" t="inlineStr">
        <is>
          <t>42771892</t>
        </is>
      </c>
      <c r="AW1835" t="inlineStr">
        <is>
          <t>991003329319702656</t>
        </is>
      </c>
      <c r="AX1835" t="inlineStr">
        <is>
          <t>991003329319702656</t>
        </is>
      </c>
      <c r="AY1835" t="inlineStr">
        <is>
          <t>2272559870002656</t>
        </is>
      </c>
      <c r="AZ1835" t="inlineStr">
        <is>
          <t>BOOK</t>
        </is>
      </c>
      <c r="BB1835" t="inlineStr">
        <is>
          <t>9781560231554</t>
        </is>
      </c>
      <c r="BC1835" t="inlineStr">
        <is>
          <t>32285004269964</t>
        </is>
      </c>
      <c r="BD1835" t="inlineStr">
        <is>
          <t>893799607</t>
        </is>
      </c>
    </row>
    <row r="1836">
      <c r="A1836" t="inlineStr">
        <is>
          <t>No</t>
        </is>
      </c>
      <c r="B1836" t="inlineStr">
        <is>
          <t>HQ75.16.U6 S63 1998</t>
        </is>
      </c>
      <c r="C1836" t="inlineStr">
        <is>
          <t>0                      HQ 0075160U  6                  S  63          1998</t>
        </is>
      </c>
      <c r="D1836" t="inlineStr">
        <is>
          <t>Social perspectives in lesbian and gay studies : a reader / edited by Peter M. Nardi and Beth E. Schneider ; [with an afterword by Ken Plummer].</t>
        </is>
      </c>
      <c r="F1836" t="inlineStr">
        <is>
          <t>No</t>
        </is>
      </c>
      <c r="G1836" t="inlineStr">
        <is>
          <t>1</t>
        </is>
      </c>
      <c r="H1836" t="inlineStr">
        <is>
          <t>No</t>
        </is>
      </c>
      <c r="I1836" t="inlineStr">
        <is>
          <t>No</t>
        </is>
      </c>
      <c r="J1836" t="inlineStr">
        <is>
          <t>0</t>
        </is>
      </c>
      <c r="L1836" t="inlineStr">
        <is>
          <t>London ; New York : Routledge, 1998.</t>
        </is>
      </c>
      <c r="M1836" t="inlineStr">
        <is>
          <t>1998</t>
        </is>
      </c>
      <c r="O1836" t="inlineStr">
        <is>
          <t>eng</t>
        </is>
      </c>
      <c r="P1836" t="inlineStr">
        <is>
          <t>enk</t>
        </is>
      </c>
      <c r="R1836" t="inlineStr">
        <is>
          <t xml:space="preserve">HQ </t>
        </is>
      </c>
      <c r="S1836" t="n">
        <v>7</v>
      </c>
      <c r="T1836" t="n">
        <v>7</v>
      </c>
      <c r="U1836" t="inlineStr">
        <is>
          <t>2008-07-08</t>
        </is>
      </c>
      <c r="V1836" t="inlineStr">
        <is>
          <t>2008-07-08</t>
        </is>
      </c>
      <c r="W1836" t="inlineStr">
        <is>
          <t>1999-03-15</t>
        </is>
      </c>
      <c r="X1836" t="inlineStr">
        <is>
          <t>1999-03-15</t>
        </is>
      </c>
      <c r="Y1836" t="n">
        <v>359</v>
      </c>
      <c r="Z1836" t="n">
        <v>235</v>
      </c>
      <c r="AA1836" t="n">
        <v>256</v>
      </c>
      <c r="AB1836" t="n">
        <v>1</v>
      </c>
      <c r="AC1836" t="n">
        <v>1</v>
      </c>
      <c r="AD1836" t="n">
        <v>13</v>
      </c>
      <c r="AE1836" t="n">
        <v>13</v>
      </c>
      <c r="AF1836" t="n">
        <v>6</v>
      </c>
      <c r="AG1836" t="n">
        <v>6</v>
      </c>
      <c r="AH1836" t="n">
        <v>3</v>
      </c>
      <c r="AI1836" t="n">
        <v>3</v>
      </c>
      <c r="AJ1836" t="n">
        <v>6</v>
      </c>
      <c r="AK1836" t="n">
        <v>6</v>
      </c>
      <c r="AL1836" t="n">
        <v>0</v>
      </c>
      <c r="AM1836" t="n">
        <v>0</v>
      </c>
      <c r="AN1836" t="n">
        <v>0</v>
      </c>
      <c r="AO1836" t="n">
        <v>0</v>
      </c>
      <c r="AP1836" t="inlineStr">
        <is>
          <t>No</t>
        </is>
      </c>
      <c r="AQ1836" t="inlineStr">
        <is>
          <t>No</t>
        </is>
      </c>
      <c r="AS1836">
        <f>HYPERLINK("https://creighton-primo.hosted.exlibrisgroup.com/primo-explore/search?tab=default_tab&amp;search_scope=EVERYTHING&amp;vid=01CRU&amp;lang=en_US&amp;offset=0&amp;query=any,contains,991002774169702656","Catalog Record")</f>
        <v/>
      </c>
      <c r="AT1836">
        <f>HYPERLINK("http://www.worldcat.org/oclc/36430590","WorldCat Record")</f>
        <v/>
      </c>
      <c r="AU1836" t="inlineStr">
        <is>
          <t>837047638:eng</t>
        </is>
      </c>
      <c r="AV1836" t="inlineStr">
        <is>
          <t>36430590</t>
        </is>
      </c>
      <c r="AW1836" t="inlineStr">
        <is>
          <t>991002774169702656</t>
        </is>
      </c>
      <c r="AX1836" t="inlineStr">
        <is>
          <t>991002774169702656</t>
        </is>
      </c>
      <c r="AY1836" t="inlineStr">
        <is>
          <t>2267808510002656</t>
        </is>
      </c>
      <c r="AZ1836" t="inlineStr">
        <is>
          <t>BOOK</t>
        </is>
      </c>
      <c r="BB1836" t="inlineStr">
        <is>
          <t>9780415167086</t>
        </is>
      </c>
      <c r="BC1836" t="inlineStr">
        <is>
          <t>32285003531844</t>
        </is>
      </c>
      <c r="BD1836" t="inlineStr">
        <is>
          <t>893610270</t>
        </is>
      </c>
    </row>
    <row r="1837">
      <c r="A1837" t="inlineStr">
        <is>
          <t>No</t>
        </is>
      </c>
      <c r="B1837" t="inlineStr">
        <is>
          <t>HQ75.2 .C69 1996</t>
        </is>
      </c>
      <c r="C1837" t="inlineStr">
        <is>
          <t>0                      HQ 0075200C  69          1996</t>
        </is>
      </c>
      <c r="D1837" t="inlineStr">
        <is>
          <t>Gay men and women who enriched the world / Tom Cowan.</t>
        </is>
      </c>
      <c r="F1837" t="inlineStr">
        <is>
          <t>No</t>
        </is>
      </c>
      <c r="G1837" t="inlineStr">
        <is>
          <t>1</t>
        </is>
      </c>
      <c r="H1837" t="inlineStr">
        <is>
          <t>No</t>
        </is>
      </c>
      <c r="I1837" t="inlineStr">
        <is>
          <t>No</t>
        </is>
      </c>
      <c r="J1837" t="inlineStr">
        <is>
          <t>0</t>
        </is>
      </c>
      <c r="K1837" t="inlineStr">
        <is>
          <t>Cowan, Thomas Dale.</t>
        </is>
      </c>
      <c r="L1837" t="inlineStr">
        <is>
          <t>Los Angeles : Alyson Publications, 1996.</t>
        </is>
      </c>
      <c r="M1837" t="inlineStr">
        <is>
          <t>1996</t>
        </is>
      </c>
      <c r="N1837" t="inlineStr">
        <is>
          <t>2nd ed.</t>
        </is>
      </c>
      <c r="O1837" t="inlineStr">
        <is>
          <t>eng</t>
        </is>
      </c>
      <c r="P1837" t="inlineStr">
        <is>
          <t>cau</t>
        </is>
      </c>
      <c r="R1837" t="inlineStr">
        <is>
          <t xml:space="preserve">HQ </t>
        </is>
      </c>
      <c r="S1837" t="n">
        <v>10</v>
      </c>
      <c r="T1837" t="n">
        <v>10</v>
      </c>
      <c r="U1837" t="inlineStr">
        <is>
          <t>2001-02-06</t>
        </is>
      </c>
      <c r="V1837" t="inlineStr">
        <is>
          <t>2001-02-06</t>
        </is>
      </c>
      <c r="W1837" t="inlineStr">
        <is>
          <t>1997-04-15</t>
        </is>
      </c>
      <c r="X1837" t="inlineStr">
        <is>
          <t>1997-04-15</t>
        </is>
      </c>
      <c r="Y1837" t="n">
        <v>88</v>
      </c>
      <c r="Z1837" t="n">
        <v>81</v>
      </c>
      <c r="AA1837" t="n">
        <v>420</v>
      </c>
      <c r="AB1837" t="n">
        <v>3</v>
      </c>
      <c r="AC1837" t="n">
        <v>6</v>
      </c>
      <c r="AD1837" t="n">
        <v>2</v>
      </c>
      <c r="AE1837" t="n">
        <v>11</v>
      </c>
      <c r="AF1837" t="n">
        <v>0</v>
      </c>
      <c r="AG1837" t="n">
        <v>3</v>
      </c>
      <c r="AH1837" t="n">
        <v>0</v>
      </c>
      <c r="AI1837" t="n">
        <v>1</v>
      </c>
      <c r="AJ1837" t="n">
        <v>0</v>
      </c>
      <c r="AK1837" t="n">
        <v>3</v>
      </c>
      <c r="AL1837" t="n">
        <v>2</v>
      </c>
      <c r="AM1837" t="n">
        <v>5</v>
      </c>
      <c r="AN1837" t="n">
        <v>0</v>
      </c>
      <c r="AO1837" t="n">
        <v>0</v>
      </c>
      <c r="AP1837" t="inlineStr">
        <is>
          <t>No</t>
        </is>
      </c>
      <c r="AQ1837" t="inlineStr">
        <is>
          <t>No</t>
        </is>
      </c>
      <c r="AS1837">
        <f>HYPERLINK("https://creighton-primo.hosted.exlibrisgroup.com/primo-explore/search?tab=default_tab&amp;search_scope=EVERYTHING&amp;vid=01CRU&amp;lang=en_US&amp;offset=0&amp;query=any,contains,991002720919702656","Catalog Record")</f>
        <v/>
      </c>
      <c r="AT1837">
        <f>HYPERLINK("http://www.worldcat.org/oclc/35673533","WorldCat Record")</f>
        <v/>
      </c>
      <c r="AU1837" t="inlineStr">
        <is>
          <t>18171679:eng</t>
        </is>
      </c>
      <c r="AV1837" t="inlineStr">
        <is>
          <t>35673533</t>
        </is>
      </c>
      <c r="AW1837" t="inlineStr">
        <is>
          <t>991002720919702656</t>
        </is>
      </c>
      <c r="AX1837" t="inlineStr">
        <is>
          <t>991002720919702656</t>
        </is>
      </c>
      <c r="AY1837" t="inlineStr">
        <is>
          <t>2262786000002656</t>
        </is>
      </c>
      <c r="AZ1837" t="inlineStr">
        <is>
          <t>BOOK</t>
        </is>
      </c>
      <c r="BB1837" t="inlineStr">
        <is>
          <t>9781555833916</t>
        </is>
      </c>
      <c r="BC1837" t="inlineStr">
        <is>
          <t>32285002496791</t>
        </is>
      </c>
      <c r="BD1837" t="inlineStr">
        <is>
          <t>893792828</t>
        </is>
      </c>
    </row>
    <row r="1838">
      <c r="A1838" t="inlineStr">
        <is>
          <t>No</t>
        </is>
      </c>
      <c r="B1838" t="inlineStr">
        <is>
          <t>HQ75.2 .E53 1991</t>
        </is>
      </c>
      <c r="C1838" t="inlineStr">
        <is>
          <t>0                      HQ 0075200E  53          1991</t>
        </is>
      </c>
      <c r="D1838" t="inlineStr">
        <is>
          <t>Coming out : an act of love / Rob Eichberg.</t>
        </is>
      </c>
      <c r="F1838" t="inlineStr">
        <is>
          <t>No</t>
        </is>
      </c>
      <c r="G1838" t="inlineStr">
        <is>
          <t>1</t>
        </is>
      </c>
      <c r="H1838" t="inlineStr">
        <is>
          <t>No</t>
        </is>
      </c>
      <c r="I1838" t="inlineStr">
        <is>
          <t>No</t>
        </is>
      </c>
      <c r="J1838" t="inlineStr">
        <is>
          <t>0</t>
        </is>
      </c>
      <c r="K1838" t="inlineStr">
        <is>
          <t>Eichberg, Rob.</t>
        </is>
      </c>
      <c r="L1838" t="inlineStr">
        <is>
          <t>New York, N.Y., U.S.A. : Plume, 1991.</t>
        </is>
      </c>
      <c r="M1838" t="inlineStr">
        <is>
          <t>1991</t>
        </is>
      </c>
      <c r="O1838" t="inlineStr">
        <is>
          <t>eng</t>
        </is>
      </c>
      <c r="P1838" t="inlineStr">
        <is>
          <t>nyu</t>
        </is>
      </c>
      <c r="R1838" t="inlineStr">
        <is>
          <t xml:space="preserve">HQ </t>
        </is>
      </c>
      <c r="S1838" t="n">
        <v>17</v>
      </c>
      <c r="T1838" t="n">
        <v>17</v>
      </c>
      <c r="U1838" t="inlineStr">
        <is>
          <t>2000-04-04</t>
        </is>
      </c>
      <c r="V1838" t="inlineStr">
        <is>
          <t>2000-04-04</t>
        </is>
      </c>
      <c r="W1838" t="inlineStr">
        <is>
          <t>1996-03-15</t>
        </is>
      </c>
      <c r="X1838" t="inlineStr">
        <is>
          <t>1996-03-15</t>
        </is>
      </c>
      <c r="Y1838" t="n">
        <v>153</v>
      </c>
      <c r="Z1838" t="n">
        <v>131</v>
      </c>
      <c r="AA1838" t="n">
        <v>377</v>
      </c>
      <c r="AB1838" t="n">
        <v>4</v>
      </c>
      <c r="AC1838" t="n">
        <v>5</v>
      </c>
      <c r="AD1838" t="n">
        <v>5</v>
      </c>
      <c r="AE1838" t="n">
        <v>10</v>
      </c>
      <c r="AF1838" t="n">
        <v>1</v>
      </c>
      <c r="AG1838" t="n">
        <v>3</v>
      </c>
      <c r="AH1838" t="n">
        <v>0</v>
      </c>
      <c r="AI1838" t="n">
        <v>1</v>
      </c>
      <c r="AJ1838" t="n">
        <v>2</v>
      </c>
      <c r="AK1838" t="n">
        <v>4</v>
      </c>
      <c r="AL1838" t="n">
        <v>3</v>
      </c>
      <c r="AM1838" t="n">
        <v>4</v>
      </c>
      <c r="AN1838" t="n">
        <v>0</v>
      </c>
      <c r="AO1838" t="n">
        <v>0</v>
      </c>
      <c r="AP1838" t="inlineStr">
        <is>
          <t>No</t>
        </is>
      </c>
      <c r="AQ1838" t="inlineStr">
        <is>
          <t>No</t>
        </is>
      </c>
      <c r="AS1838">
        <f>HYPERLINK("https://creighton-primo.hosted.exlibrisgroup.com/primo-explore/search?tab=default_tab&amp;search_scope=EVERYTHING&amp;vid=01CRU&amp;lang=en_US&amp;offset=0&amp;query=any,contains,991001894249702656","Catalog Record")</f>
        <v/>
      </c>
      <c r="AT1838">
        <f>HYPERLINK("http://www.worldcat.org/oclc/23940055","WorldCat Record")</f>
        <v/>
      </c>
      <c r="AU1838" t="inlineStr">
        <is>
          <t>23310343:eng</t>
        </is>
      </c>
      <c r="AV1838" t="inlineStr">
        <is>
          <t>23940055</t>
        </is>
      </c>
      <c r="AW1838" t="inlineStr">
        <is>
          <t>991001894249702656</t>
        </is>
      </c>
      <c r="AX1838" t="inlineStr">
        <is>
          <t>991001894249702656</t>
        </is>
      </c>
      <c r="AY1838" t="inlineStr">
        <is>
          <t>2269990920002656</t>
        </is>
      </c>
      <c r="AZ1838" t="inlineStr">
        <is>
          <t>BOOK</t>
        </is>
      </c>
      <c r="BB1838" t="inlineStr">
        <is>
          <t>9780452266858</t>
        </is>
      </c>
      <c r="BC1838" t="inlineStr">
        <is>
          <t>32285002143377</t>
        </is>
      </c>
      <c r="BD1838" t="inlineStr">
        <is>
          <t>893340791</t>
        </is>
      </c>
    </row>
    <row r="1839">
      <c r="A1839" t="inlineStr">
        <is>
          <t>No</t>
        </is>
      </c>
      <c r="B1839" t="inlineStr">
        <is>
          <t>HQ75.2 .M37 1997</t>
        </is>
      </c>
      <c r="C1839" t="inlineStr">
        <is>
          <t>0                      HQ 0075200M  37          1997</t>
        </is>
      </c>
      <c r="D1839" t="inlineStr">
        <is>
          <t>The shared heart : portraits and stories celebrating lesbian, gay, and bisexual young people / photographs by Adam Mastoon.</t>
        </is>
      </c>
      <c r="F1839" t="inlineStr">
        <is>
          <t>No</t>
        </is>
      </c>
      <c r="G1839" t="inlineStr">
        <is>
          <t>1</t>
        </is>
      </c>
      <c r="H1839" t="inlineStr">
        <is>
          <t>No</t>
        </is>
      </c>
      <c r="I1839" t="inlineStr">
        <is>
          <t>No</t>
        </is>
      </c>
      <c r="J1839" t="inlineStr">
        <is>
          <t>0</t>
        </is>
      </c>
      <c r="K1839" t="inlineStr">
        <is>
          <t>Mastoon, Adam.</t>
        </is>
      </c>
      <c r="L1839" t="inlineStr">
        <is>
          <t>New York : William Morrow : Lothrop, Lee &amp; Shepard Books, c1997.</t>
        </is>
      </c>
      <c r="M1839" t="inlineStr">
        <is>
          <t>1997</t>
        </is>
      </c>
      <c r="N1839" t="inlineStr">
        <is>
          <t>1st ed.</t>
        </is>
      </c>
      <c r="O1839" t="inlineStr">
        <is>
          <t>eng</t>
        </is>
      </c>
      <c r="P1839" t="inlineStr">
        <is>
          <t>nyu</t>
        </is>
      </c>
      <c r="R1839" t="inlineStr">
        <is>
          <t xml:space="preserve">HQ </t>
        </is>
      </c>
      <c r="S1839" t="n">
        <v>4</v>
      </c>
      <c r="T1839" t="n">
        <v>4</v>
      </c>
      <c r="U1839" t="inlineStr">
        <is>
          <t>1998-04-20</t>
        </is>
      </c>
      <c r="V1839" t="inlineStr">
        <is>
          <t>1998-04-20</t>
        </is>
      </c>
      <c r="W1839" t="inlineStr">
        <is>
          <t>1998-03-30</t>
        </is>
      </c>
      <c r="X1839" t="inlineStr">
        <is>
          <t>1998-03-30</t>
        </is>
      </c>
      <c r="Y1839" t="n">
        <v>599</v>
      </c>
      <c r="Z1839" t="n">
        <v>585</v>
      </c>
      <c r="AA1839" t="n">
        <v>705</v>
      </c>
      <c r="AB1839" t="n">
        <v>7</v>
      </c>
      <c r="AC1839" t="n">
        <v>8</v>
      </c>
      <c r="AD1839" t="n">
        <v>15</v>
      </c>
      <c r="AE1839" t="n">
        <v>18</v>
      </c>
      <c r="AF1839" t="n">
        <v>4</v>
      </c>
      <c r="AG1839" t="n">
        <v>4</v>
      </c>
      <c r="AH1839" t="n">
        <v>3</v>
      </c>
      <c r="AI1839" t="n">
        <v>4</v>
      </c>
      <c r="AJ1839" t="n">
        <v>5</v>
      </c>
      <c r="AK1839" t="n">
        <v>7</v>
      </c>
      <c r="AL1839" t="n">
        <v>4</v>
      </c>
      <c r="AM1839" t="n">
        <v>5</v>
      </c>
      <c r="AN1839" t="n">
        <v>0</v>
      </c>
      <c r="AO1839" t="n">
        <v>0</v>
      </c>
      <c r="AP1839" t="inlineStr">
        <is>
          <t>No</t>
        </is>
      </c>
      <c r="AQ1839" t="inlineStr">
        <is>
          <t>No</t>
        </is>
      </c>
      <c r="AS1839">
        <f>HYPERLINK("https://creighton-primo.hosted.exlibrisgroup.com/primo-explore/search?tab=default_tab&amp;search_scope=EVERYTHING&amp;vid=01CRU&amp;lang=en_US&amp;offset=0&amp;query=any,contains,991002791839702656","Catalog Record")</f>
        <v/>
      </c>
      <c r="AT1839">
        <f>HYPERLINK("http://www.worldcat.org/oclc/36662833","WorldCat Record")</f>
        <v/>
      </c>
      <c r="AU1839" t="inlineStr">
        <is>
          <t>573964:eng</t>
        </is>
      </c>
      <c r="AV1839" t="inlineStr">
        <is>
          <t>36662833</t>
        </is>
      </c>
      <c r="AW1839" t="inlineStr">
        <is>
          <t>991002791839702656</t>
        </is>
      </c>
      <c r="AX1839" t="inlineStr">
        <is>
          <t>991002791839702656</t>
        </is>
      </c>
      <c r="AY1839" t="inlineStr">
        <is>
          <t>2258336320002656</t>
        </is>
      </c>
      <c r="AZ1839" t="inlineStr">
        <is>
          <t>BOOK</t>
        </is>
      </c>
      <c r="BB1839" t="inlineStr">
        <is>
          <t>9780688149314</t>
        </is>
      </c>
      <c r="BC1839" t="inlineStr">
        <is>
          <t>32285003381620</t>
        </is>
      </c>
      <c r="BD1839" t="inlineStr">
        <is>
          <t>893511196</t>
        </is>
      </c>
    </row>
    <row r="1840">
      <c r="A1840" t="inlineStr">
        <is>
          <t>No</t>
        </is>
      </c>
      <c r="B1840" t="inlineStr">
        <is>
          <t>HQ75.2 .U53 1994</t>
        </is>
      </c>
      <c r="C1840" t="inlineStr">
        <is>
          <t>0                      HQ 0075200U  53          1994</t>
        </is>
      </c>
      <c r="D1840" t="inlineStr">
        <is>
          <t>Uncommon heroes : a celebration of heroes and role models for gay and lesbian Americans / executive editor, Phillip Sherman, edited by Samuel Bernstein.</t>
        </is>
      </c>
      <c r="F1840" t="inlineStr">
        <is>
          <t>No</t>
        </is>
      </c>
      <c r="G1840" t="inlineStr">
        <is>
          <t>1</t>
        </is>
      </c>
      <c r="H1840" t="inlineStr">
        <is>
          <t>No</t>
        </is>
      </c>
      <c r="I1840" t="inlineStr">
        <is>
          <t>No</t>
        </is>
      </c>
      <c r="J1840" t="inlineStr">
        <is>
          <t>0</t>
        </is>
      </c>
      <c r="L1840" t="inlineStr">
        <is>
          <t>New York : Fletcher Press, c1994.</t>
        </is>
      </c>
      <c r="M1840" t="inlineStr">
        <is>
          <t>1994</t>
        </is>
      </c>
      <c r="O1840" t="inlineStr">
        <is>
          <t>eng</t>
        </is>
      </c>
      <c r="P1840" t="inlineStr">
        <is>
          <t>nyu</t>
        </is>
      </c>
      <c r="R1840" t="inlineStr">
        <is>
          <t xml:space="preserve">HQ </t>
        </is>
      </c>
      <c r="S1840" t="n">
        <v>5</v>
      </c>
      <c r="T1840" t="n">
        <v>5</v>
      </c>
      <c r="U1840" t="inlineStr">
        <is>
          <t>2007-03-30</t>
        </is>
      </c>
      <c r="V1840" t="inlineStr">
        <is>
          <t>2007-03-30</t>
        </is>
      </c>
      <c r="W1840" t="inlineStr">
        <is>
          <t>1996-12-19</t>
        </is>
      </c>
      <c r="X1840" t="inlineStr">
        <is>
          <t>1996-12-19</t>
        </is>
      </c>
      <c r="Y1840" t="n">
        <v>165</v>
      </c>
      <c r="Z1840" t="n">
        <v>159</v>
      </c>
      <c r="AA1840" t="n">
        <v>161</v>
      </c>
      <c r="AB1840" t="n">
        <v>3</v>
      </c>
      <c r="AC1840" t="n">
        <v>3</v>
      </c>
      <c r="AD1840" t="n">
        <v>3</v>
      </c>
      <c r="AE1840" t="n">
        <v>3</v>
      </c>
      <c r="AF1840" t="n">
        <v>0</v>
      </c>
      <c r="AG1840" t="n">
        <v>0</v>
      </c>
      <c r="AH1840" t="n">
        <v>0</v>
      </c>
      <c r="AI1840" t="n">
        <v>0</v>
      </c>
      <c r="AJ1840" t="n">
        <v>1</v>
      </c>
      <c r="AK1840" t="n">
        <v>1</v>
      </c>
      <c r="AL1840" t="n">
        <v>2</v>
      </c>
      <c r="AM1840" t="n">
        <v>2</v>
      </c>
      <c r="AN1840" t="n">
        <v>0</v>
      </c>
      <c r="AO1840" t="n">
        <v>0</v>
      </c>
      <c r="AP1840" t="inlineStr">
        <is>
          <t>No</t>
        </is>
      </c>
      <c r="AQ1840" t="inlineStr">
        <is>
          <t>No</t>
        </is>
      </c>
      <c r="AS1840">
        <f>HYPERLINK("https://creighton-primo.hosted.exlibrisgroup.com/primo-explore/search?tab=default_tab&amp;search_scope=EVERYTHING&amp;vid=01CRU&amp;lang=en_US&amp;offset=0&amp;query=any,contains,991002372049702656","Catalog Record")</f>
        <v/>
      </c>
      <c r="AT1840">
        <f>HYPERLINK("http://www.worldcat.org/oclc/30836315","WorldCat Record")</f>
        <v/>
      </c>
      <c r="AU1840" t="inlineStr">
        <is>
          <t>33183365:eng</t>
        </is>
      </c>
      <c r="AV1840" t="inlineStr">
        <is>
          <t>30836315</t>
        </is>
      </c>
      <c r="AW1840" t="inlineStr">
        <is>
          <t>991002372049702656</t>
        </is>
      </c>
      <c r="AX1840" t="inlineStr">
        <is>
          <t>991002372049702656</t>
        </is>
      </c>
      <c r="AY1840" t="inlineStr">
        <is>
          <t>2272083480002656</t>
        </is>
      </c>
      <c r="AZ1840" t="inlineStr">
        <is>
          <t>BOOK</t>
        </is>
      </c>
      <c r="BB1840" t="inlineStr">
        <is>
          <t>9780964177901</t>
        </is>
      </c>
      <c r="BC1840" t="inlineStr">
        <is>
          <t>32285002400611</t>
        </is>
      </c>
      <c r="BD1840" t="inlineStr">
        <is>
          <t>893721426</t>
        </is>
      </c>
    </row>
    <row r="1841">
      <c r="A1841" t="inlineStr">
        <is>
          <t>No</t>
        </is>
      </c>
      <c r="B1841" t="inlineStr">
        <is>
          <t>HQ75.25 .K38 1997</t>
        </is>
      </c>
      <c r="C1841" t="inlineStr">
        <is>
          <t>0                      HQ 0075250K  38          1997</t>
        </is>
      </c>
      <c r="D1841" t="inlineStr">
        <is>
          <t>Coming out of shame : transforming gay and lesbian lives / Gershen Kaufman and Lev Raphael.</t>
        </is>
      </c>
      <c r="F1841" t="inlineStr">
        <is>
          <t>No</t>
        </is>
      </c>
      <c r="G1841" t="inlineStr">
        <is>
          <t>1</t>
        </is>
      </c>
      <c r="H1841" t="inlineStr">
        <is>
          <t>No</t>
        </is>
      </c>
      <c r="I1841" t="inlineStr">
        <is>
          <t>No</t>
        </is>
      </c>
      <c r="J1841" t="inlineStr">
        <is>
          <t>0</t>
        </is>
      </c>
      <c r="K1841" t="inlineStr">
        <is>
          <t>Kaufman, Gershen.</t>
        </is>
      </c>
      <c r="L1841" t="inlineStr">
        <is>
          <t>New York : Main Street Books/Doubleday, 1997.</t>
        </is>
      </c>
      <c r="M1841" t="inlineStr">
        <is>
          <t>1997</t>
        </is>
      </c>
      <c r="O1841" t="inlineStr">
        <is>
          <t>eng</t>
        </is>
      </c>
      <c r="P1841" t="inlineStr">
        <is>
          <t>nyu</t>
        </is>
      </c>
      <c r="R1841" t="inlineStr">
        <is>
          <t xml:space="preserve">HQ </t>
        </is>
      </c>
      <c r="S1841" t="n">
        <v>5</v>
      </c>
      <c r="T1841" t="n">
        <v>5</v>
      </c>
      <c r="U1841" t="inlineStr">
        <is>
          <t>2000-11-07</t>
        </is>
      </c>
      <c r="V1841" t="inlineStr">
        <is>
          <t>2000-11-07</t>
        </is>
      </c>
      <c r="W1841" t="inlineStr">
        <is>
          <t>1997-04-15</t>
        </is>
      </c>
      <c r="X1841" t="inlineStr">
        <is>
          <t>1997-04-15</t>
        </is>
      </c>
      <c r="Y1841" t="n">
        <v>96</v>
      </c>
      <c r="Z1841" t="n">
        <v>85</v>
      </c>
      <c r="AA1841" t="n">
        <v>389</v>
      </c>
      <c r="AB1841" t="n">
        <v>1</v>
      </c>
      <c r="AC1841" t="n">
        <v>4</v>
      </c>
      <c r="AD1841" t="n">
        <v>2</v>
      </c>
      <c r="AE1841" t="n">
        <v>14</v>
      </c>
      <c r="AF1841" t="n">
        <v>2</v>
      </c>
      <c r="AG1841" t="n">
        <v>3</v>
      </c>
      <c r="AH1841" t="n">
        <v>0</v>
      </c>
      <c r="AI1841" t="n">
        <v>2</v>
      </c>
      <c r="AJ1841" t="n">
        <v>1</v>
      </c>
      <c r="AK1841" t="n">
        <v>10</v>
      </c>
      <c r="AL1841" t="n">
        <v>0</v>
      </c>
      <c r="AM1841" t="n">
        <v>3</v>
      </c>
      <c r="AN1841" t="n">
        <v>0</v>
      </c>
      <c r="AO1841" t="n">
        <v>0</v>
      </c>
      <c r="AP1841" t="inlineStr">
        <is>
          <t>No</t>
        </is>
      </c>
      <c r="AQ1841" t="inlineStr">
        <is>
          <t>No</t>
        </is>
      </c>
      <c r="AS1841">
        <f>HYPERLINK("https://creighton-primo.hosted.exlibrisgroup.com/primo-explore/search?tab=default_tab&amp;search_scope=EVERYTHING&amp;vid=01CRU&amp;lang=en_US&amp;offset=0&amp;query=any,contains,991002766029702656","Catalog Record")</f>
        <v/>
      </c>
      <c r="AT1841">
        <f>HYPERLINK("http://www.worldcat.org/oclc/36293055","WorldCat Record")</f>
        <v/>
      </c>
      <c r="AU1841" t="inlineStr">
        <is>
          <t>916542887:eng</t>
        </is>
      </c>
      <c r="AV1841" t="inlineStr">
        <is>
          <t>36293055</t>
        </is>
      </c>
      <c r="AW1841" t="inlineStr">
        <is>
          <t>991002766029702656</t>
        </is>
      </c>
      <c r="AX1841" t="inlineStr">
        <is>
          <t>991002766029702656</t>
        </is>
      </c>
      <c r="AY1841" t="inlineStr">
        <is>
          <t>2258928760002656</t>
        </is>
      </c>
      <c r="AZ1841" t="inlineStr">
        <is>
          <t>BOOK</t>
        </is>
      </c>
      <c r="BB1841" t="inlineStr">
        <is>
          <t>9780385477963</t>
        </is>
      </c>
      <c r="BC1841" t="inlineStr">
        <is>
          <t>32285002496866</t>
        </is>
      </c>
      <c r="BD1841" t="inlineStr">
        <is>
          <t>893517714</t>
        </is>
      </c>
    </row>
    <row r="1842">
      <c r="A1842" t="inlineStr">
        <is>
          <t>No</t>
        </is>
      </c>
      <c r="B1842" t="inlineStr">
        <is>
          <t>HQ75.3 .I58 1989</t>
        </is>
      </c>
      <c r="C1842" t="inlineStr">
        <is>
          <t>0                      HQ 0075300I  58          1989</t>
        </is>
      </c>
      <c r="D1842" t="inlineStr">
        <is>
          <t>Inventing ourselves : lesbian life stories / Hall Carpenter Archives, Lesbian Oral History Group.</t>
        </is>
      </c>
      <c r="F1842" t="inlineStr">
        <is>
          <t>No</t>
        </is>
      </c>
      <c r="G1842" t="inlineStr">
        <is>
          <t>1</t>
        </is>
      </c>
      <c r="H1842" t="inlineStr">
        <is>
          <t>No</t>
        </is>
      </c>
      <c r="I1842" t="inlineStr">
        <is>
          <t>No</t>
        </is>
      </c>
      <c r="J1842" t="inlineStr">
        <is>
          <t>0</t>
        </is>
      </c>
      <c r="L1842" t="inlineStr">
        <is>
          <t>London ; New York : Routledge, 1989.</t>
        </is>
      </c>
      <c r="M1842" t="inlineStr">
        <is>
          <t>1989</t>
        </is>
      </c>
      <c r="O1842" t="inlineStr">
        <is>
          <t>eng</t>
        </is>
      </c>
      <c r="P1842" t="inlineStr">
        <is>
          <t>enk</t>
        </is>
      </c>
      <c r="R1842" t="inlineStr">
        <is>
          <t xml:space="preserve">HQ </t>
        </is>
      </c>
      <c r="S1842" t="n">
        <v>7</v>
      </c>
      <c r="T1842" t="n">
        <v>7</v>
      </c>
      <c r="U1842" t="inlineStr">
        <is>
          <t>2001-09-05</t>
        </is>
      </c>
      <c r="V1842" t="inlineStr">
        <is>
          <t>2001-09-05</t>
        </is>
      </c>
      <c r="W1842" t="inlineStr">
        <is>
          <t>1996-12-17</t>
        </is>
      </c>
      <c r="X1842" t="inlineStr">
        <is>
          <t>1996-12-17</t>
        </is>
      </c>
      <c r="Y1842" t="n">
        <v>448</v>
      </c>
      <c r="Z1842" t="n">
        <v>322</v>
      </c>
      <c r="AA1842" t="n">
        <v>339</v>
      </c>
      <c r="AB1842" t="n">
        <v>3</v>
      </c>
      <c r="AC1842" t="n">
        <v>3</v>
      </c>
      <c r="AD1842" t="n">
        <v>9</v>
      </c>
      <c r="AE1842" t="n">
        <v>11</v>
      </c>
      <c r="AF1842" t="n">
        <v>1</v>
      </c>
      <c r="AG1842" t="n">
        <v>2</v>
      </c>
      <c r="AH1842" t="n">
        <v>3</v>
      </c>
      <c r="AI1842" t="n">
        <v>4</v>
      </c>
      <c r="AJ1842" t="n">
        <v>5</v>
      </c>
      <c r="AK1842" t="n">
        <v>5</v>
      </c>
      <c r="AL1842" t="n">
        <v>2</v>
      </c>
      <c r="AM1842" t="n">
        <v>2</v>
      </c>
      <c r="AN1842" t="n">
        <v>0</v>
      </c>
      <c r="AO1842" t="n">
        <v>0</v>
      </c>
      <c r="AP1842" t="inlineStr">
        <is>
          <t>No</t>
        </is>
      </c>
      <c r="AQ1842" t="inlineStr">
        <is>
          <t>Yes</t>
        </is>
      </c>
      <c r="AR1842">
        <f>HYPERLINK("http://catalog.hathitrust.org/Record/001830955","HathiTrust Record")</f>
        <v/>
      </c>
      <c r="AS1842">
        <f>HYPERLINK("https://creighton-primo.hosted.exlibrisgroup.com/primo-explore/search?tab=default_tab&amp;search_scope=EVERYTHING&amp;vid=01CRU&amp;lang=en_US&amp;offset=0&amp;query=any,contains,991001423999702656","Catalog Record")</f>
        <v/>
      </c>
      <c r="AT1842">
        <f>HYPERLINK("http://www.worldcat.org/oclc/18987098","WorldCat Record")</f>
        <v/>
      </c>
      <c r="AU1842" t="inlineStr">
        <is>
          <t>151236265:eng</t>
        </is>
      </c>
      <c r="AV1842" t="inlineStr">
        <is>
          <t>18987098</t>
        </is>
      </c>
      <c r="AW1842" t="inlineStr">
        <is>
          <t>991001423999702656</t>
        </is>
      </c>
      <c r="AX1842" t="inlineStr">
        <is>
          <t>991001423999702656</t>
        </is>
      </c>
      <c r="AY1842" t="inlineStr">
        <is>
          <t>2266698750002656</t>
        </is>
      </c>
      <c r="AZ1842" t="inlineStr">
        <is>
          <t>BOOK</t>
        </is>
      </c>
      <c r="BB1842" t="inlineStr">
        <is>
          <t>9780415029582</t>
        </is>
      </c>
      <c r="BC1842" t="inlineStr">
        <is>
          <t>32285002394681</t>
        </is>
      </c>
      <c r="BD1842" t="inlineStr">
        <is>
          <t>893503413</t>
        </is>
      </c>
    </row>
    <row r="1843">
      <c r="A1843" t="inlineStr">
        <is>
          <t>No</t>
        </is>
      </c>
      <c r="B1843" t="inlineStr">
        <is>
          <t>HQ75.3 .L475 1985</t>
        </is>
      </c>
      <c r="C1843" t="inlineStr">
        <is>
          <t>0                      HQ 0075300L  475         1985</t>
        </is>
      </c>
      <c r="D1843" t="inlineStr">
        <is>
          <t>The Lesbian path / edited by Margaret Cruikshank.</t>
        </is>
      </c>
      <c r="F1843" t="inlineStr">
        <is>
          <t>No</t>
        </is>
      </c>
      <c r="G1843" t="inlineStr">
        <is>
          <t>1</t>
        </is>
      </c>
      <c r="H1843" t="inlineStr">
        <is>
          <t>No</t>
        </is>
      </c>
      <c r="I1843" t="inlineStr">
        <is>
          <t>No</t>
        </is>
      </c>
      <c r="J1843" t="inlineStr">
        <is>
          <t>0</t>
        </is>
      </c>
      <c r="L1843" t="inlineStr">
        <is>
          <t>San Francisco : Grey Fox Press ; Eugene, OR (P.O. Box 10233, Eugene) : Distributed by Subterranean, 1985.</t>
        </is>
      </c>
      <c r="M1843" t="inlineStr">
        <is>
          <t>1985</t>
        </is>
      </c>
      <c r="N1843" t="inlineStr">
        <is>
          <t>Rev. and enl. ed.</t>
        </is>
      </c>
      <c r="O1843" t="inlineStr">
        <is>
          <t>eng</t>
        </is>
      </c>
      <c r="P1843" t="inlineStr">
        <is>
          <t>cau</t>
        </is>
      </c>
      <c r="R1843" t="inlineStr">
        <is>
          <t xml:space="preserve">HQ </t>
        </is>
      </c>
      <c r="S1843" t="n">
        <v>8</v>
      </c>
      <c r="T1843" t="n">
        <v>8</v>
      </c>
      <c r="U1843" t="inlineStr">
        <is>
          <t>2000-06-27</t>
        </is>
      </c>
      <c r="V1843" t="inlineStr">
        <is>
          <t>2000-06-27</t>
        </is>
      </c>
      <c r="W1843" t="inlineStr">
        <is>
          <t>1998-04-23</t>
        </is>
      </c>
      <c r="X1843" t="inlineStr">
        <is>
          <t>1998-04-23</t>
        </is>
      </c>
      <c r="Y1843" t="n">
        <v>246</v>
      </c>
      <c r="Z1843" t="n">
        <v>230</v>
      </c>
      <c r="AA1843" t="n">
        <v>273</v>
      </c>
      <c r="AB1843" t="n">
        <v>1</v>
      </c>
      <c r="AC1843" t="n">
        <v>2</v>
      </c>
      <c r="AD1843" t="n">
        <v>3</v>
      </c>
      <c r="AE1843" t="n">
        <v>4</v>
      </c>
      <c r="AF1843" t="n">
        <v>0</v>
      </c>
      <c r="AG1843" t="n">
        <v>0</v>
      </c>
      <c r="AH1843" t="n">
        <v>1</v>
      </c>
      <c r="AI1843" t="n">
        <v>1</v>
      </c>
      <c r="AJ1843" t="n">
        <v>2</v>
      </c>
      <c r="AK1843" t="n">
        <v>2</v>
      </c>
      <c r="AL1843" t="n">
        <v>0</v>
      </c>
      <c r="AM1843" t="n">
        <v>1</v>
      </c>
      <c r="AN1843" t="n">
        <v>0</v>
      </c>
      <c r="AO1843" t="n">
        <v>0</v>
      </c>
      <c r="AP1843" t="inlineStr">
        <is>
          <t>No</t>
        </is>
      </c>
      <c r="AQ1843" t="inlineStr">
        <is>
          <t>No</t>
        </is>
      </c>
      <c r="AS1843">
        <f>HYPERLINK("https://creighton-primo.hosted.exlibrisgroup.com/primo-explore/search?tab=default_tab&amp;search_scope=EVERYTHING&amp;vid=01CRU&amp;lang=en_US&amp;offset=0&amp;query=any,contains,991005405349702656","Catalog Record")</f>
        <v/>
      </c>
      <c r="AT1843">
        <f>HYPERLINK("http://www.worldcat.org/oclc/12134823","WorldCat Record")</f>
        <v/>
      </c>
      <c r="AU1843" t="inlineStr">
        <is>
          <t>54558210:eng</t>
        </is>
      </c>
      <c r="AV1843" t="inlineStr">
        <is>
          <t>12134823</t>
        </is>
      </c>
      <c r="AW1843" t="inlineStr">
        <is>
          <t>991005405349702656</t>
        </is>
      </c>
      <c r="AX1843" t="inlineStr">
        <is>
          <t>991005405349702656</t>
        </is>
      </c>
      <c r="AY1843" t="inlineStr">
        <is>
          <t>2263642370002656</t>
        </is>
      </c>
      <c r="AZ1843" t="inlineStr">
        <is>
          <t>BOOK</t>
        </is>
      </c>
      <c r="BB1843" t="inlineStr">
        <is>
          <t>9780912516967</t>
        </is>
      </c>
      <c r="BC1843" t="inlineStr">
        <is>
          <t>32285003377099</t>
        </is>
      </c>
      <c r="BD1843" t="inlineStr">
        <is>
          <t>893905442</t>
        </is>
      </c>
    </row>
    <row r="1844">
      <c r="A1844" t="inlineStr">
        <is>
          <t>No</t>
        </is>
      </c>
      <c r="B1844" t="inlineStr">
        <is>
          <t>HQ75.4.B47 A3 1998</t>
        </is>
      </c>
      <c r="C1844" t="inlineStr">
        <is>
          <t>0                      HQ 0075400B  47                 A  3           1998</t>
        </is>
      </c>
      <c r="D1844" t="inlineStr">
        <is>
          <t>The heart's progress : a memoir / Claudia Bepko.</t>
        </is>
      </c>
      <c r="F1844" t="inlineStr">
        <is>
          <t>No</t>
        </is>
      </c>
      <c r="G1844" t="inlineStr">
        <is>
          <t>1</t>
        </is>
      </c>
      <c r="H1844" t="inlineStr">
        <is>
          <t>No</t>
        </is>
      </c>
      <c r="I1844" t="inlineStr">
        <is>
          <t>No</t>
        </is>
      </c>
      <c r="J1844" t="inlineStr">
        <is>
          <t>0</t>
        </is>
      </c>
      <c r="K1844" t="inlineStr">
        <is>
          <t>Bepko, Claudia.</t>
        </is>
      </c>
      <c r="L1844" t="inlineStr">
        <is>
          <t>New York, N.Y. : Penguin Books, 1998.</t>
        </is>
      </c>
      <c r="M1844" t="inlineStr">
        <is>
          <t>1998</t>
        </is>
      </c>
      <c r="O1844" t="inlineStr">
        <is>
          <t>eng</t>
        </is>
      </c>
      <c r="P1844" t="inlineStr">
        <is>
          <t>nyu</t>
        </is>
      </c>
      <c r="R1844" t="inlineStr">
        <is>
          <t xml:space="preserve">HQ </t>
        </is>
      </c>
      <c r="S1844" t="n">
        <v>8</v>
      </c>
      <c r="T1844" t="n">
        <v>8</v>
      </c>
      <c r="U1844" t="inlineStr">
        <is>
          <t>2001-09-05</t>
        </is>
      </c>
      <c r="V1844" t="inlineStr">
        <is>
          <t>2001-09-05</t>
        </is>
      </c>
      <c r="W1844" t="inlineStr">
        <is>
          <t>1998-07-22</t>
        </is>
      </c>
      <c r="X1844" t="inlineStr">
        <is>
          <t>1998-07-22</t>
        </is>
      </c>
      <c r="Y1844" t="n">
        <v>28</v>
      </c>
      <c r="Z1844" t="n">
        <v>28</v>
      </c>
      <c r="AA1844" t="n">
        <v>183</v>
      </c>
      <c r="AB1844" t="n">
        <v>2</v>
      </c>
      <c r="AC1844" t="n">
        <v>3</v>
      </c>
      <c r="AD1844" t="n">
        <v>1</v>
      </c>
      <c r="AE1844" t="n">
        <v>4</v>
      </c>
      <c r="AF1844" t="n">
        <v>0</v>
      </c>
      <c r="AG1844" t="n">
        <v>0</v>
      </c>
      <c r="AH1844" t="n">
        <v>0</v>
      </c>
      <c r="AI1844" t="n">
        <v>2</v>
      </c>
      <c r="AJ1844" t="n">
        <v>0</v>
      </c>
      <c r="AK1844" t="n">
        <v>1</v>
      </c>
      <c r="AL1844" t="n">
        <v>1</v>
      </c>
      <c r="AM1844" t="n">
        <v>2</v>
      </c>
      <c r="AN1844" t="n">
        <v>0</v>
      </c>
      <c r="AO1844" t="n">
        <v>0</v>
      </c>
      <c r="AP1844" t="inlineStr">
        <is>
          <t>No</t>
        </is>
      </c>
      <c r="AQ1844" t="inlineStr">
        <is>
          <t>Yes</t>
        </is>
      </c>
      <c r="AR1844">
        <f>HYPERLINK("http://catalog.hathitrust.org/Record/009806522","HathiTrust Record")</f>
        <v/>
      </c>
      <c r="AS1844">
        <f>HYPERLINK("https://creighton-primo.hosted.exlibrisgroup.com/primo-explore/search?tab=default_tab&amp;search_scope=EVERYTHING&amp;vid=01CRU&amp;lang=en_US&amp;offset=0&amp;query=any,contains,991005429109702656","Catalog Record")</f>
        <v/>
      </c>
      <c r="AT1844">
        <f>HYPERLINK("http://www.worldcat.org/oclc/39475675","WorldCat Record")</f>
        <v/>
      </c>
      <c r="AU1844" t="inlineStr">
        <is>
          <t>41132135:eng</t>
        </is>
      </c>
      <c r="AV1844" t="inlineStr">
        <is>
          <t>39475675</t>
        </is>
      </c>
      <c r="AW1844" t="inlineStr">
        <is>
          <t>991005429109702656</t>
        </is>
      </c>
      <c r="AX1844" t="inlineStr">
        <is>
          <t>991005429109702656</t>
        </is>
      </c>
      <c r="AY1844" t="inlineStr">
        <is>
          <t>2256054230002656</t>
        </is>
      </c>
      <c r="AZ1844" t="inlineStr">
        <is>
          <t>BOOK</t>
        </is>
      </c>
      <c r="BB1844" t="inlineStr">
        <is>
          <t>9780140243666</t>
        </is>
      </c>
      <c r="BC1844" t="inlineStr">
        <is>
          <t>32285003434700</t>
        </is>
      </c>
      <c r="BD1844" t="inlineStr">
        <is>
          <t>893890223</t>
        </is>
      </c>
    </row>
    <row r="1845">
      <c r="A1845" t="inlineStr">
        <is>
          <t>No</t>
        </is>
      </c>
      <c r="B1845" t="inlineStr">
        <is>
          <t>HQ75.4.C55 A3 1999</t>
        </is>
      </c>
      <c r="C1845" t="inlineStr">
        <is>
          <t>0                      HQ 0075400C  55                 A  3           1999</t>
        </is>
      </c>
      <c r="D1845" t="inlineStr">
        <is>
          <t>Apples &amp; oranges : my journey through sexual identity / Jan Clausen.</t>
        </is>
      </c>
      <c r="F1845" t="inlineStr">
        <is>
          <t>No</t>
        </is>
      </c>
      <c r="G1845" t="inlineStr">
        <is>
          <t>1</t>
        </is>
      </c>
      <c r="H1845" t="inlineStr">
        <is>
          <t>No</t>
        </is>
      </c>
      <c r="I1845" t="inlineStr">
        <is>
          <t>No</t>
        </is>
      </c>
      <c r="J1845" t="inlineStr">
        <is>
          <t>0</t>
        </is>
      </c>
      <c r="K1845" t="inlineStr">
        <is>
          <t>Clausen, Jan, 1950-</t>
        </is>
      </c>
      <c r="L1845" t="inlineStr">
        <is>
          <t>Boston : Houghton Mifflin, 1999.</t>
        </is>
      </c>
      <c r="M1845" t="inlineStr">
        <is>
          <t>1999</t>
        </is>
      </c>
      <c r="O1845" t="inlineStr">
        <is>
          <t>eng</t>
        </is>
      </c>
      <c r="P1845" t="inlineStr">
        <is>
          <t>mau</t>
        </is>
      </c>
      <c r="R1845" t="inlineStr">
        <is>
          <t xml:space="preserve">HQ </t>
        </is>
      </c>
      <c r="S1845" t="n">
        <v>11</v>
      </c>
      <c r="T1845" t="n">
        <v>11</v>
      </c>
      <c r="U1845" t="inlineStr">
        <is>
          <t>2008-07-08</t>
        </is>
      </c>
      <c r="V1845" t="inlineStr">
        <is>
          <t>2008-07-08</t>
        </is>
      </c>
      <c r="W1845" t="inlineStr">
        <is>
          <t>1999-12-07</t>
        </is>
      </c>
      <c r="X1845" t="inlineStr">
        <is>
          <t>1999-12-07</t>
        </is>
      </c>
      <c r="Y1845" t="n">
        <v>316</v>
      </c>
      <c r="Z1845" t="n">
        <v>298</v>
      </c>
      <c r="AA1845" t="n">
        <v>332</v>
      </c>
      <c r="AB1845" t="n">
        <v>5</v>
      </c>
      <c r="AC1845" t="n">
        <v>5</v>
      </c>
      <c r="AD1845" t="n">
        <v>11</v>
      </c>
      <c r="AE1845" t="n">
        <v>11</v>
      </c>
      <c r="AF1845" t="n">
        <v>2</v>
      </c>
      <c r="AG1845" t="n">
        <v>2</v>
      </c>
      <c r="AH1845" t="n">
        <v>1</v>
      </c>
      <c r="AI1845" t="n">
        <v>1</v>
      </c>
      <c r="AJ1845" t="n">
        <v>6</v>
      </c>
      <c r="AK1845" t="n">
        <v>6</v>
      </c>
      <c r="AL1845" t="n">
        <v>3</v>
      </c>
      <c r="AM1845" t="n">
        <v>3</v>
      </c>
      <c r="AN1845" t="n">
        <v>0</v>
      </c>
      <c r="AO1845" t="n">
        <v>0</v>
      </c>
      <c r="AP1845" t="inlineStr">
        <is>
          <t>No</t>
        </is>
      </c>
      <c r="AQ1845" t="inlineStr">
        <is>
          <t>Yes</t>
        </is>
      </c>
      <c r="AR1845">
        <f>HYPERLINK("http://catalog.hathitrust.org/Record/005065409","HathiTrust Record")</f>
        <v/>
      </c>
      <c r="AS1845">
        <f>HYPERLINK("https://creighton-primo.hosted.exlibrisgroup.com/primo-explore/search?tab=default_tab&amp;search_scope=EVERYTHING&amp;vid=01CRU&amp;lang=en_US&amp;offset=0&amp;query=any,contains,991005429599702656","Catalog Record")</f>
        <v/>
      </c>
      <c r="AT1845">
        <f>HYPERLINK("http://www.worldcat.org/oclc/40124896","WorldCat Record")</f>
        <v/>
      </c>
      <c r="AU1845" t="inlineStr">
        <is>
          <t>25567624:eng</t>
        </is>
      </c>
      <c r="AV1845" t="inlineStr">
        <is>
          <t>40124896</t>
        </is>
      </c>
      <c r="AW1845" t="inlineStr">
        <is>
          <t>991005429599702656</t>
        </is>
      </c>
      <c r="AX1845" t="inlineStr">
        <is>
          <t>991005429599702656</t>
        </is>
      </c>
      <c r="AY1845" t="inlineStr">
        <is>
          <t>2267987770002656</t>
        </is>
      </c>
      <c r="AZ1845" t="inlineStr">
        <is>
          <t>BOOK</t>
        </is>
      </c>
      <c r="BB1845" t="inlineStr">
        <is>
          <t>9780395827529</t>
        </is>
      </c>
      <c r="BC1845" t="inlineStr">
        <is>
          <t>32285003628772</t>
        </is>
      </c>
      <c r="BD1845" t="inlineStr">
        <is>
          <t>893896450</t>
        </is>
      </c>
    </row>
    <row r="1846">
      <c r="A1846" t="inlineStr">
        <is>
          <t>No</t>
        </is>
      </c>
      <c r="B1846" t="inlineStr">
        <is>
          <t>HQ75.4.N47 A3 1987</t>
        </is>
      </c>
      <c r="C1846" t="inlineStr">
        <is>
          <t>0                      HQ 0075400N  47                 A  3           1987</t>
        </is>
      </c>
      <c r="D1846" t="inlineStr">
        <is>
          <t>A restricted country / by Joan Nestle.</t>
        </is>
      </c>
      <c r="F1846" t="inlineStr">
        <is>
          <t>No</t>
        </is>
      </c>
      <c r="G1846" t="inlineStr">
        <is>
          <t>1</t>
        </is>
      </c>
      <c r="H1846" t="inlineStr">
        <is>
          <t>No</t>
        </is>
      </c>
      <c r="I1846" t="inlineStr">
        <is>
          <t>No</t>
        </is>
      </c>
      <c r="J1846" t="inlineStr">
        <is>
          <t>0</t>
        </is>
      </c>
      <c r="K1846" t="inlineStr">
        <is>
          <t>Nestle, Joan, 1940-</t>
        </is>
      </c>
      <c r="L1846" t="inlineStr">
        <is>
          <t>Ithaca, N.Y. : Firebrand Books, c1987.</t>
        </is>
      </c>
      <c r="M1846" t="inlineStr">
        <is>
          <t>1987</t>
        </is>
      </c>
      <c r="O1846" t="inlineStr">
        <is>
          <t>eng</t>
        </is>
      </c>
      <c r="P1846" t="inlineStr">
        <is>
          <t>nyu</t>
        </is>
      </c>
      <c r="R1846" t="inlineStr">
        <is>
          <t xml:space="preserve">HQ </t>
        </is>
      </c>
      <c r="S1846" t="n">
        <v>1</v>
      </c>
      <c r="T1846" t="n">
        <v>1</v>
      </c>
      <c r="U1846" t="inlineStr">
        <is>
          <t>2008-02-25</t>
        </is>
      </c>
      <c r="V1846" t="inlineStr">
        <is>
          <t>2008-02-25</t>
        </is>
      </c>
      <c r="W1846" t="inlineStr">
        <is>
          <t>1997-03-20</t>
        </is>
      </c>
      <c r="X1846" t="inlineStr">
        <is>
          <t>1997-03-20</t>
        </is>
      </c>
      <c r="Y1846" t="n">
        <v>338</v>
      </c>
      <c r="Z1846" t="n">
        <v>296</v>
      </c>
      <c r="AA1846" t="n">
        <v>378</v>
      </c>
      <c r="AB1846" t="n">
        <v>4</v>
      </c>
      <c r="AC1846" t="n">
        <v>4</v>
      </c>
      <c r="AD1846" t="n">
        <v>8</v>
      </c>
      <c r="AE1846" t="n">
        <v>15</v>
      </c>
      <c r="AF1846" t="n">
        <v>3</v>
      </c>
      <c r="AG1846" t="n">
        <v>6</v>
      </c>
      <c r="AH1846" t="n">
        <v>1</v>
      </c>
      <c r="AI1846" t="n">
        <v>4</v>
      </c>
      <c r="AJ1846" t="n">
        <v>3</v>
      </c>
      <c r="AK1846" t="n">
        <v>5</v>
      </c>
      <c r="AL1846" t="n">
        <v>3</v>
      </c>
      <c r="AM1846" t="n">
        <v>3</v>
      </c>
      <c r="AN1846" t="n">
        <v>0</v>
      </c>
      <c r="AO1846" t="n">
        <v>0</v>
      </c>
      <c r="AP1846" t="inlineStr">
        <is>
          <t>No</t>
        </is>
      </c>
      <c r="AQ1846" t="inlineStr">
        <is>
          <t>Yes</t>
        </is>
      </c>
      <c r="AR1846">
        <f>HYPERLINK("http://catalog.hathitrust.org/Record/000922846","HathiTrust Record")</f>
        <v/>
      </c>
      <c r="AS1846">
        <f>HYPERLINK("https://creighton-primo.hosted.exlibrisgroup.com/primo-explore/search?tab=default_tab&amp;search_scope=EVERYTHING&amp;vid=01CRU&amp;lang=en_US&amp;offset=0&amp;query=any,contains,991001136009702656","Catalog Record")</f>
        <v/>
      </c>
      <c r="AT1846">
        <f>HYPERLINK("http://www.worldcat.org/oclc/16713256","WorldCat Record")</f>
        <v/>
      </c>
      <c r="AU1846" t="inlineStr">
        <is>
          <t>784271:eng</t>
        </is>
      </c>
      <c r="AV1846" t="inlineStr">
        <is>
          <t>16713256</t>
        </is>
      </c>
      <c r="AW1846" t="inlineStr">
        <is>
          <t>991001136009702656</t>
        </is>
      </c>
      <c r="AX1846" t="inlineStr">
        <is>
          <t>991001136009702656</t>
        </is>
      </c>
      <c r="AY1846" t="inlineStr">
        <is>
          <t>2263445220002656</t>
        </is>
      </c>
      <c r="AZ1846" t="inlineStr">
        <is>
          <t>BOOK</t>
        </is>
      </c>
      <c r="BB1846" t="inlineStr">
        <is>
          <t>9780932379375</t>
        </is>
      </c>
      <c r="BC1846" t="inlineStr">
        <is>
          <t>32285002444791</t>
        </is>
      </c>
      <c r="BD1846" t="inlineStr">
        <is>
          <t>893778585</t>
        </is>
      </c>
    </row>
    <row r="1847">
      <c r="A1847" t="inlineStr">
        <is>
          <t>No</t>
        </is>
      </c>
      <c r="B1847" t="inlineStr">
        <is>
          <t>HQ75.4.N53 A3 2008</t>
        </is>
      </c>
      <c r="C1847" t="inlineStr">
        <is>
          <t>0                      HQ 0075400N  53                 A  3           2008</t>
        </is>
      </c>
      <c r="D1847" t="inlineStr">
        <is>
          <t>Black bull, ancestors and me : my life as a lesbian sangoma / Nkunzi Zandile Nkabinde.</t>
        </is>
      </c>
      <c r="F1847" t="inlineStr">
        <is>
          <t>No</t>
        </is>
      </c>
      <c r="G1847" t="inlineStr">
        <is>
          <t>1</t>
        </is>
      </c>
      <c r="H1847" t="inlineStr">
        <is>
          <t>No</t>
        </is>
      </c>
      <c r="I1847" t="inlineStr">
        <is>
          <t>No</t>
        </is>
      </c>
      <c r="J1847" t="inlineStr">
        <is>
          <t>0</t>
        </is>
      </c>
      <c r="K1847" t="inlineStr">
        <is>
          <t>Nkabinde, Nkunzi Zandile.</t>
        </is>
      </c>
      <c r="L1847" t="inlineStr">
        <is>
          <t>Auckland Park, South Africa : Fanele, c2008.</t>
        </is>
      </c>
      <c r="M1847" t="inlineStr">
        <is>
          <t>2008</t>
        </is>
      </c>
      <c r="O1847" t="inlineStr">
        <is>
          <t>eng</t>
        </is>
      </c>
      <c r="P1847" t="inlineStr">
        <is>
          <t xml:space="preserve">sa </t>
        </is>
      </c>
      <c r="R1847" t="inlineStr">
        <is>
          <t xml:space="preserve">HQ </t>
        </is>
      </c>
      <c r="S1847" t="n">
        <v>1</v>
      </c>
      <c r="T1847" t="n">
        <v>1</v>
      </c>
      <c r="U1847" t="inlineStr">
        <is>
          <t>2010-08-30</t>
        </is>
      </c>
      <c r="V1847" t="inlineStr">
        <is>
          <t>2010-08-30</t>
        </is>
      </c>
      <c r="W1847" t="inlineStr">
        <is>
          <t>2010-08-30</t>
        </is>
      </c>
      <c r="X1847" t="inlineStr">
        <is>
          <t>2010-08-30</t>
        </is>
      </c>
      <c r="Y1847" t="n">
        <v>128</v>
      </c>
      <c r="Z1847" t="n">
        <v>97</v>
      </c>
      <c r="AA1847" t="n">
        <v>586</v>
      </c>
      <c r="AB1847" t="n">
        <v>1</v>
      </c>
      <c r="AC1847" t="n">
        <v>4</v>
      </c>
      <c r="AD1847" t="n">
        <v>3</v>
      </c>
      <c r="AE1847" t="n">
        <v>13</v>
      </c>
      <c r="AF1847" t="n">
        <v>1</v>
      </c>
      <c r="AG1847" t="n">
        <v>6</v>
      </c>
      <c r="AH1847" t="n">
        <v>2</v>
      </c>
      <c r="AI1847" t="n">
        <v>4</v>
      </c>
      <c r="AJ1847" t="n">
        <v>1</v>
      </c>
      <c r="AK1847" t="n">
        <v>4</v>
      </c>
      <c r="AL1847" t="n">
        <v>0</v>
      </c>
      <c r="AM1847" t="n">
        <v>3</v>
      </c>
      <c r="AN1847" t="n">
        <v>0</v>
      </c>
      <c r="AO1847" t="n">
        <v>0</v>
      </c>
      <c r="AP1847" t="inlineStr">
        <is>
          <t>No</t>
        </is>
      </c>
      <c r="AQ1847" t="inlineStr">
        <is>
          <t>No</t>
        </is>
      </c>
      <c r="AS1847">
        <f>HYPERLINK("https://creighton-primo.hosted.exlibrisgroup.com/primo-explore/search?tab=default_tab&amp;search_scope=EVERYTHING&amp;vid=01CRU&amp;lang=en_US&amp;offset=0&amp;query=any,contains,991000049759702656","Catalog Record")</f>
        <v/>
      </c>
      <c r="AT1847">
        <f>HYPERLINK("http://www.worldcat.org/oclc/244628532","WorldCat Record")</f>
        <v/>
      </c>
      <c r="AU1847" t="inlineStr">
        <is>
          <t>315510669:eng</t>
        </is>
      </c>
      <c r="AV1847" t="inlineStr">
        <is>
          <t>244628532</t>
        </is>
      </c>
      <c r="AW1847" t="inlineStr">
        <is>
          <t>991000049759702656</t>
        </is>
      </c>
      <c r="AX1847" t="inlineStr">
        <is>
          <t>991000049759702656</t>
        </is>
      </c>
      <c r="AY1847" t="inlineStr">
        <is>
          <t>2270402720002656</t>
        </is>
      </c>
      <c r="AZ1847" t="inlineStr">
        <is>
          <t>BOOK</t>
        </is>
      </c>
      <c r="BB1847" t="inlineStr">
        <is>
          <t>9781920196066</t>
        </is>
      </c>
      <c r="BC1847" t="inlineStr">
        <is>
          <t>32285005593115</t>
        </is>
      </c>
      <c r="BD1847" t="inlineStr">
        <is>
          <t>893607571</t>
        </is>
      </c>
    </row>
    <row r="1848">
      <c r="A1848" t="inlineStr">
        <is>
          <t>No</t>
        </is>
      </c>
      <c r="B1848" t="inlineStr">
        <is>
          <t>HQ75.5 .B69 1999</t>
        </is>
      </c>
      <c r="C1848" t="inlineStr">
        <is>
          <t>0                      HQ 0075500B  69          1999</t>
        </is>
      </c>
      <c r="D1848" t="inlineStr">
        <is>
          <t>My lesbian husband : landscapes of a marriage / Barrie Jean Borich.</t>
        </is>
      </c>
      <c r="F1848" t="inlineStr">
        <is>
          <t>No</t>
        </is>
      </c>
      <c r="G1848" t="inlineStr">
        <is>
          <t>1</t>
        </is>
      </c>
      <c r="H1848" t="inlineStr">
        <is>
          <t>No</t>
        </is>
      </c>
      <c r="I1848" t="inlineStr">
        <is>
          <t>No</t>
        </is>
      </c>
      <c r="J1848" t="inlineStr">
        <is>
          <t>0</t>
        </is>
      </c>
      <c r="K1848" t="inlineStr">
        <is>
          <t>Borich, Barrie Jean, 1959-</t>
        </is>
      </c>
      <c r="L1848" t="inlineStr">
        <is>
          <t>Saint Paul. Minn. : Greywolf Press, 1999.</t>
        </is>
      </c>
      <c r="M1848" t="inlineStr">
        <is>
          <t>1999</t>
        </is>
      </c>
      <c r="N1848" t="inlineStr">
        <is>
          <t>1st Greywolf printing</t>
        </is>
      </c>
      <c r="O1848" t="inlineStr">
        <is>
          <t>eng</t>
        </is>
      </c>
      <c r="P1848" t="inlineStr">
        <is>
          <t>mnu</t>
        </is>
      </c>
      <c r="R1848" t="inlineStr">
        <is>
          <t xml:space="preserve">HQ </t>
        </is>
      </c>
      <c r="S1848" t="n">
        <v>5</v>
      </c>
      <c r="T1848" t="n">
        <v>5</v>
      </c>
      <c r="U1848" t="inlineStr">
        <is>
          <t>2010-03-22</t>
        </is>
      </c>
      <c r="V1848" t="inlineStr">
        <is>
          <t>2010-03-22</t>
        </is>
      </c>
      <c r="W1848" t="inlineStr">
        <is>
          <t>2000-02-09</t>
        </is>
      </c>
      <c r="X1848" t="inlineStr">
        <is>
          <t>2000-02-09</t>
        </is>
      </c>
      <c r="Y1848" t="n">
        <v>383</v>
      </c>
      <c r="Z1848" t="n">
        <v>358</v>
      </c>
      <c r="AA1848" t="n">
        <v>370</v>
      </c>
      <c r="AB1848" t="n">
        <v>2</v>
      </c>
      <c r="AC1848" t="n">
        <v>2</v>
      </c>
      <c r="AD1848" t="n">
        <v>13</v>
      </c>
      <c r="AE1848" t="n">
        <v>13</v>
      </c>
      <c r="AF1848" t="n">
        <v>4</v>
      </c>
      <c r="AG1848" t="n">
        <v>4</v>
      </c>
      <c r="AH1848" t="n">
        <v>4</v>
      </c>
      <c r="AI1848" t="n">
        <v>4</v>
      </c>
      <c r="AJ1848" t="n">
        <v>7</v>
      </c>
      <c r="AK1848" t="n">
        <v>7</v>
      </c>
      <c r="AL1848" t="n">
        <v>1</v>
      </c>
      <c r="AM1848" t="n">
        <v>1</v>
      </c>
      <c r="AN1848" t="n">
        <v>0</v>
      </c>
      <c r="AO1848" t="n">
        <v>0</v>
      </c>
      <c r="AP1848" t="inlineStr">
        <is>
          <t>No</t>
        </is>
      </c>
      <c r="AQ1848" t="inlineStr">
        <is>
          <t>Yes</t>
        </is>
      </c>
      <c r="AR1848">
        <f>HYPERLINK("http://catalog.hathitrust.org/Record/004060589","HathiTrust Record")</f>
        <v/>
      </c>
      <c r="AS1848">
        <f>HYPERLINK("https://creighton-primo.hosted.exlibrisgroup.com/primo-explore/search?tab=default_tab&amp;search_scope=EVERYTHING&amp;vid=01CRU&amp;lang=en_US&amp;offset=0&amp;query=any,contains,991003043849702656","Catalog Record")</f>
        <v/>
      </c>
      <c r="AT1848">
        <f>HYPERLINK("http://www.worldcat.org/oclc/42386895","WorldCat Record")</f>
        <v/>
      </c>
      <c r="AU1848" t="inlineStr">
        <is>
          <t>44788093:eng</t>
        </is>
      </c>
      <c r="AV1848" t="inlineStr">
        <is>
          <t>42386895</t>
        </is>
      </c>
      <c r="AW1848" t="inlineStr">
        <is>
          <t>991003043849702656</t>
        </is>
      </c>
      <c r="AX1848" t="inlineStr">
        <is>
          <t>991003043849702656</t>
        </is>
      </c>
      <c r="AY1848" t="inlineStr">
        <is>
          <t>2266966730002656</t>
        </is>
      </c>
      <c r="AZ1848" t="inlineStr">
        <is>
          <t>BOOK</t>
        </is>
      </c>
      <c r="BB1848" t="inlineStr">
        <is>
          <t>9781555972929</t>
        </is>
      </c>
      <c r="BC1848" t="inlineStr">
        <is>
          <t>32285003660346</t>
        </is>
      </c>
      <c r="BD1848" t="inlineStr">
        <is>
          <t>893805375</t>
        </is>
      </c>
    </row>
    <row r="1849">
      <c r="A1849" t="inlineStr">
        <is>
          <t>No</t>
        </is>
      </c>
      <c r="B1849" t="inlineStr">
        <is>
          <t>HQ75.5 .C53 1997</t>
        </is>
      </c>
      <c r="C1849" t="inlineStr">
        <is>
          <t>0                      HQ 0075500C  53          1997</t>
        </is>
      </c>
      <c r="D1849" t="inlineStr">
        <is>
          <t>Classics in lesbian studies / Esther D. Rothblum, editor.</t>
        </is>
      </c>
      <c r="F1849" t="inlineStr">
        <is>
          <t>No</t>
        </is>
      </c>
      <c r="G1849" t="inlineStr">
        <is>
          <t>1</t>
        </is>
      </c>
      <c r="H1849" t="inlineStr">
        <is>
          <t>No</t>
        </is>
      </c>
      <c r="I1849" t="inlineStr">
        <is>
          <t>No</t>
        </is>
      </c>
      <c r="J1849" t="inlineStr">
        <is>
          <t>0</t>
        </is>
      </c>
      <c r="L1849" t="inlineStr">
        <is>
          <t>New York : Harrington Park Press, c1997.</t>
        </is>
      </c>
      <c r="M1849" t="inlineStr">
        <is>
          <t>1997</t>
        </is>
      </c>
      <c r="O1849" t="inlineStr">
        <is>
          <t>eng</t>
        </is>
      </c>
      <c r="P1849" t="inlineStr">
        <is>
          <t>nyu</t>
        </is>
      </c>
      <c r="R1849" t="inlineStr">
        <is>
          <t xml:space="preserve">HQ </t>
        </is>
      </c>
      <c r="S1849" t="n">
        <v>6</v>
      </c>
      <c r="T1849" t="n">
        <v>6</v>
      </c>
      <c r="U1849" t="inlineStr">
        <is>
          <t>1998-01-28</t>
        </is>
      </c>
      <c r="V1849" t="inlineStr">
        <is>
          <t>1998-01-28</t>
        </is>
      </c>
      <c r="W1849" t="inlineStr">
        <is>
          <t>1997-04-28</t>
        </is>
      </c>
      <c r="X1849" t="inlineStr">
        <is>
          <t>1997-04-28</t>
        </is>
      </c>
      <c r="Y1849" t="n">
        <v>189</v>
      </c>
      <c r="Z1849" t="n">
        <v>152</v>
      </c>
      <c r="AA1849" t="n">
        <v>207</v>
      </c>
      <c r="AB1849" t="n">
        <v>2</v>
      </c>
      <c r="AC1849" t="n">
        <v>2</v>
      </c>
      <c r="AD1849" t="n">
        <v>5</v>
      </c>
      <c r="AE1849" t="n">
        <v>5</v>
      </c>
      <c r="AF1849" t="n">
        <v>2</v>
      </c>
      <c r="AG1849" t="n">
        <v>2</v>
      </c>
      <c r="AH1849" t="n">
        <v>2</v>
      </c>
      <c r="AI1849" t="n">
        <v>2</v>
      </c>
      <c r="AJ1849" t="n">
        <v>2</v>
      </c>
      <c r="AK1849" t="n">
        <v>2</v>
      </c>
      <c r="AL1849" t="n">
        <v>1</v>
      </c>
      <c r="AM1849" t="n">
        <v>1</v>
      </c>
      <c r="AN1849" t="n">
        <v>0</v>
      </c>
      <c r="AO1849" t="n">
        <v>0</v>
      </c>
      <c r="AP1849" t="inlineStr">
        <is>
          <t>No</t>
        </is>
      </c>
      <c r="AQ1849" t="inlineStr">
        <is>
          <t>Yes</t>
        </is>
      </c>
      <c r="AR1849">
        <f>HYPERLINK("http://catalog.hathitrust.org/Record/007133824","HathiTrust Record")</f>
        <v/>
      </c>
      <c r="AS1849">
        <f>HYPERLINK("https://creighton-primo.hosted.exlibrisgroup.com/primo-explore/search?tab=default_tab&amp;search_scope=EVERYTHING&amp;vid=01CRU&amp;lang=en_US&amp;offset=0&amp;query=any,contains,991002702369702656","Catalog Record")</f>
        <v/>
      </c>
      <c r="AT1849">
        <f>HYPERLINK("http://www.worldcat.org/oclc/35280706","WorldCat Record")</f>
        <v/>
      </c>
      <c r="AU1849" t="inlineStr">
        <is>
          <t>56100362:eng</t>
        </is>
      </c>
      <c r="AV1849" t="inlineStr">
        <is>
          <t>35280706</t>
        </is>
      </c>
      <c r="AW1849" t="inlineStr">
        <is>
          <t>991002702369702656</t>
        </is>
      </c>
      <c r="AX1849" t="inlineStr">
        <is>
          <t>991002702369702656</t>
        </is>
      </c>
      <c r="AY1849" t="inlineStr">
        <is>
          <t>2255038520002656</t>
        </is>
      </c>
      <c r="AZ1849" t="inlineStr">
        <is>
          <t>BOOK</t>
        </is>
      </c>
      <c r="BB1849" t="inlineStr">
        <is>
          <t>9780789000149</t>
        </is>
      </c>
      <c r="BC1849" t="inlineStr">
        <is>
          <t>32285002541596</t>
        </is>
      </c>
      <c r="BD1849" t="inlineStr">
        <is>
          <t>893873886</t>
        </is>
      </c>
    </row>
    <row r="1850">
      <c r="A1850" t="inlineStr">
        <is>
          <t>No</t>
        </is>
      </c>
      <c r="B1850" t="inlineStr">
        <is>
          <t>HQ75.5 .D45 1994</t>
        </is>
      </c>
      <c r="C1850" t="inlineStr">
        <is>
          <t>0                      HQ 0075500D  45          1994</t>
        </is>
      </c>
      <c r="D1850" t="inlineStr">
        <is>
          <t>The practice of love : lesbian sexuality and perverse desire / Teresa de Lauretis.</t>
        </is>
      </c>
      <c r="F1850" t="inlineStr">
        <is>
          <t>No</t>
        </is>
      </c>
      <c r="G1850" t="inlineStr">
        <is>
          <t>1</t>
        </is>
      </c>
      <c r="H1850" t="inlineStr">
        <is>
          <t>No</t>
        </is>
      </c>
      <c r="I1850" t="inlineStr">
        <is>
          <t>No</t>
        </is>
      </c>
      <c r="J1850" t="inlineStr">
        <is>
          <t>0</t>
        </is>
      </c>
      <c r="K1850" t="inlineStr">
        <is>
          <t>De Lauretis, Teresa.</t>
        </is>
      </c>
      <c r="L1850" t="inlineStr">
        <is>
          <t>Bloomington : Indiana University Press, c1994.</t>
        </is>
      </c>
      <c r="M1850" t="inlineStr">
        <is>
          <t>1994</t>
        </is>
      </c>
      <c r="O1850" t="inlineStr">
        <is>
          <t>eng</t>
        </is>
      </c>
      <c r="P1850" t="inlineStr">
        <is>
          <t>inu</t>
        </is>
      </c>
      <c r="R1850" t="inlineStr">
        <is>
          <t xml:space="preserve">HQ </t>
        </is>
      </c>
      <c r="S1850" t="n">
        <v>11</v>
      </c>
      <c r="T1850" t="n">
        <v>11</v>
      </c>
      <c r="U1850" t="inlineStr">
        <is>
          <t>2008-04-28</t>
        </is>
      </c>
      <c r="V1850" t="inlineStr">
        <is>
          <t>2008-04-28</t>
        </is>
      </c>
      <c r="W1850" t="inlineStr">
        <is>
          <t>1994-11-14</t>
        </is>
      </c>
      <c r="X1850" t="inlineStr">
        <is>
          <t>1994-11-14</t>
        </is>
      </c>
      <c r="Y1850" t="n">
        <v>530</v>
      </c>
      <c r="Z1850" t="n">
        <v>369</v>
      </c>
      <c r="AA1850" t="n">
        <v>375</v>
      </c>
      <c r="AB1850" t="n">
        <v>2</v>
      </c>
      <c r="AC1850" t="n">
        <v>2</v>
      </c>
      <c r="AD1850" t="n">
        <v>16</v>
      </c>
      <c r="AE1850" t="n">
        <v>16</v>
      </c>
      <c r="AF1850" t="n">
        <v>2</v>
      </c>
      <c r="AG1850" t="n">
        <v>2</v>
      </c>
      <c r="AH1850" t="n">
        <v>5</v>
      </c>
      <c r="AI1850" t="n">
        <v>5</v>
      </c>
      <c r="AJ1850" t="n">
        <v>12</v>
      </c>
      <c r="AK1850" t="n">
        <v>12</v>
      </c>
      <c r="AL1850" t="n">
        <v>1</v>
      </c>
      <c r="AM1850" t="n">
        <v>1</v>
      </c>
      <c r="AN1850" t="n">
        <v>0</v>
      </c>
      <c r="AO1850" t="n">
        <v>0</v>
      </c>
      <c r="AP1850" t="inlineStr">
        <is>
          <t>No</t>
        </is>
      </c>
      <c r="AQ1850" t="inlineStr">
        <is>
          <t>No</t>
        </is>
      </c>
      <c r="AS1850">
        <f>HYPERLINK("https://creighton-primo.hosted.exlibrisgroup.com/primo-explore/search?tab=default_tab&amp;search_scope=EVERYTHING&amp;vid=01CRU&amp;lang=en_US&amp;offset=0&amp;query=any,contains,991002268769702656","Catalog Record")</f>
        <v/>
      </c>
      <c r="AT1850">
        <f>HYPERLINK("http://www.worldcat.org/oclc/29429226","WorldCat Record")</f>
        <v/>
      </c>
      <c r="AU1850" t="inlineStr">
        <is>
          <t>20733752:eng</t>
        </is>
      </c>
      <c r="AV1850" t="inlineStr">
        <is>
          <t>29429226</t>
        </is>
      </c>
      <c r="AW1850" t="inlineStr">
        <is>
          <t>991002268769702656</t>
        </is>
      </c>
      <c r="AX1850" t="inlineStr">
        <is>
          <t>991002268769702656</t>
        </is>
      </c>
      <c r="AY1850" t="inlineStr">
        <is>
          <t>2271055750002656</t>
        </is>
      </c>
      <c r="AZ1850" t="inlineStr">
        <is>
          <t>BOOK</t>
        </is>
      </c>
      <c r="BB1850" t="inlineStr">
        <is>
          <t>9780253208781</t>
        </is>
      </c>
      <c r="BC1850" t="inlineStr">
        <is>
          <t>32285001957553</t>
        </is>
      </c>
      <c r="BD1850" t="inlineStr">
        <is>
          <t>893427408</t>
        </is>
      </c>
    </row>
    <row r="1851">
      <c r="A1851" t="inlineStr">
        <is>
          <t>No</t>
        </is>
      </c>
      <c r="B1851" t="inlineStr">
        <is>
          <t>HQ75.5 .F33 1981</t>
        </is>
      </c>
      <c r="C1851" t="inlineStr">
        <is>
          <t>0                      HQ 0075500F  33          1981</t>
        </is>
      </c>
      <c r="D1851" t="inlineStr">
        <is>
          <t>Surpassing the love of men : romantic friendship and love between women from the Renaissance to the present / Lillian Faderman.</t>
        </is>
      </c>
      <c r="F1851" t="inlineStr">
        <is>
          <t>No</t>
        </is>
      </c>
      <c r="G1851" t="inlineStr">
        <is>
          <t>1</t>
        </is>
      </c>
      <c r="H1851" t="inlineStr">
        <is>
          <t>No</t>
        </is>
      </c>
      <c r="I1851" t="inlineStr">
        <is>
          <t>No</t>
        </is>
      </c>
      <c r="J1851" t="inlineStr">
        <is>
          <t>0</t>
        </is>
      </c>
      <c r="K1851" t="inlineStr">
        <is>
          <t>Faderman, Lillian.</t>
        </is>
      </c>
      <c r="L1851" t="inlineStr">
        <is>
          <t>New York : Quill, c1981.</t>
        </is>
      </c>
      <c r="M1851" t="inlineStr">
        <is>
          <t>1981</t>
        </is>
      </c>
      <c r="O1851" t="inlineStr">
        <is>
          <t>eng</t>
        </is>
      </c>
      <c r="P1851" t="inlineStr">
        <is>
          <t>nyu</t>
        </is>
      </c>
      <c r="R1851" t="inlineStr">
        <is>
          <t xml:space="preserve">HQ </t>
        </is>
      </c>
      <c r="S1851" t="n">
        <v>3</v>
      </c>
      <c r="T1851" t="n">
        <v>3</v>
      </c>
      <c r="U1851" t="inlineStr">
        <is>
          <t>2002-03-05</t>
        </is>
      </c>
      <c r="V1851" t="inlineStr">
        <is>
          <t>2002-03-05</t>
        </is>
      </c>
      <c r="W1851" t="inlineStr">
        <is>
          <t>1997-01-16</t>
        </is>
      </c>
      <c r="X1851" t="inlineStr">
        <is>
          <t>1997-01-16</t>
        </is>
      </c>
      <c r="Y1851" t="n">
        <v>40</v>
      </c>
      <c r="Z1851" t="n">
        <v>32</v>
      </c>
      <c r="AA1851" t="n">
        <v>948</v>
      </c>
      <c r="AB1851" t="n">
        <v>2</v>
      </c>
      <c r="AC1851" t="n">
        <v>10</v>
      </c>
      <c r="AD1851" t="n">
        <v>3</v>
      </c>
      <c r="AE1851" t="n">
        <v>43</v>
      </c>
      <c r="AF1851" t="n">
        <v>1</v>
      </c>
      <c r="AG1851" t="n">
        <v>17</v>
      </c>
      <c r="AH1851" t="n">
        <v>0</v>
      </c>
      <c r="AI1851" t="n">
        <v>8</v>
      </c>
      <c r="AJ1851" t="n">
        <v>1</v>
      </c>
      <c r="AK1851" t="n">
        <v>20</v>
      </c>
      <c r="AL1851" t="n">
        <v>1</v>
      </c>
      <c r="AM1851" t="n">
        <v>8</v>
      </c>
      <c r="AN1851" t="n">
        <v>0</v>
      </c>
      <c r="AO1851" t="n">
        <v>0</v>
      </c>
      <c r="AP1851" t="inlineStr">
        <is>
          <t>No</t>
        </is>
      </c>
      <c r="AQ1851" t="inlineStr">
        <is>
          <t>No</t>
        </is>
      </c>
      <c r="AS1851">
        <f>HYPERLINK("https://creighton-primo.hosted.exlibrisgroup.com/primo-explore/search?tab=default_tab&amp;search_scope=EVERYTHING&amp;vid=01CRU&amp;lang=en_US&amp;offset=0&amp;query=any,contains,991002471249702656","Catalog Record")</f>
        <v/>
      </c>
      <c r="AT1851">
        <f>HYPERLINK("http://www.worldcat.org/oclc/32181079","WorldCat Record")</f>
        <v/>
      </c>
      <c r="AU1851" t="inlineStr">
        <is>
          <t>20515994:eng</t>
        </is>
      </c>
      <c r="AV1851" t="inlineStr">
        <is>
          <t>32181079</t>
        </is>
      </c>
      <c r="AW1851" t="inlineStr">
        <is>
          <t>991002471249702656</t>
        </is>
      </c>
      <c r="AX1851" t="inlineStr">
        <is>
          <t>991002471249702656</t>
        </is>
      </c>
      <c r="AY1851" t="inlineStr">
        <is>
          <t>2264602720002656</t>
        </is>
      </c>
      <c r="AZ1851" t="inlineStr">
        <is>
          <t>BOOK</t>
        </is>
      </c>
      <c r="BB1851" t="inlineStr">
        <is>
          <t>9780688133306</t>
        </is>
      </c>
      <c r="BC1851" t="inlineStr">
        <is>
          <t>32285002408606</t>
        </is>
      </c>
      <c r="BD1851" t="inlineStr">
        <is>
          <t>893691651</t>
        </is>
      </c>
    </row>
    <row r="1852">
      <c r="A1852" t="inlineStr">
        <is>
          <t>No</t>
        </is>
      </c>
      <c r="B1852" t="inlineStr">
        <is>
          <t>HQ75.5 .F56 1990</t>
        </is>
      </c>
      <c r="C1852" t="inlineStr">
        <is>
          <t>0                      HQ 0075500F  56          1990</t>
        </is>
      </c>
      <c r="D1852" t="inlineStr">
        <is>
          <t>Finding the lesbians : personal accounts from around the world / edited by Julia Penelope &amp; Sarah Valentine ; with a foreword by Alix Dobkin.</t>
        </is>
      </c>
      <c r="F1852" t="inlineStr">
        <is>
          <t>No</t>
        </is>
      </c>
      <c r="G1852" t="inlineStr">
        <is>
          <t>1</t>
        </is>
      </c>
      <c r="H1852" t="inlineStr">
        <is>
          <t>No</t>
        </is>
      </c>
      <c r="I1852" t="inlineStr">
        <is>
          <t>No</t>
        </is>
      </c>
      <c r="J1852" t="inlineStr">
        <is>
          <t>0</t>
        </is>
      </c>
      <c r="L1852" t="inlineStr">
        <is>
          <t>Freedom, CA : Crossing Press, c1990.</t>
        </is>
      </c>
      <c r="M1852" t="inlineStr">
        <is>
          <t>1990</t>
        </is>
      </c>
      <c r="O1852" t="inlineStr">
        <is>
          <t>eng</t>
        </is>
      </c>
      <c r="P1852" t="inlineStr">
        <is>
          <t>cau</t>
        </is>
      </c>
      <c r="R1852" t="inlineStr">
        <is>
          <t xml:space="preserve">HQ </t>
        </is>
      </c>
      <c r="S1852" t="n">
        <v>7</v>
      </c>
      <c r="T1852" t="n">
        <v>7</v>
      </c>
      <c r="U1852" t="inlineStr">
        <is>
          <t>2003-08-26</t>
        </is>
      </c>
      <c r="V1852" t="inlineStr">
        <is>
          <t>2003-08-26</t>
        </is>
      </c>
      <c r="W1852" t="inlineStr">
        <is>
          <t>1996-10-30</t>
        </is>
      </c>
      <c r="X1852" t="inlineStr">
        <is>
          <t>1996-10-30</t>
        </is>
      </c>
      <c r="Y1852" t="n">
        <v>170</v>
      </c>
      <c r="Z1852" t="n">
        <v>149</v>
      </c>
      <c r="AA1852" t="n">
        <v>165</v>
      </c>
      <c r="AB1852" t="n">
        <v>2</v>
      </c>
      <c r="AC1852" t="n">
        <v>2</v>
      </c>
      <c r="AD1852" t="n">
        <v>3</v>
      </c>
      <c r="AE1852" t="n">
        <v>4</v>
      </c>
      <c r="AF1852" t="n">
        <v>0</v>
      </c>
      <c r="AG1852" t="n">
        <v>1</v>
      </c>
      <c r="AH1852" t="n">
        <v>2</v>
      </c>
      <c r="AI1852" t="n">
        <v>2</v>
      </c>
      <c r="AJ1852" t="n">
        <v>0</v>
      </c>
      <c r="AK1852" t="n">
        <v>0</v>
      </c>
      <c r="AL1852" t="n">
        <v>1</v>
      </c>
      <c r="AM1852" t="n">
        <v>1</v>
      </c>
      <c r="AN1852" t="n">
        <v>0</v>
      </c>
      <c r="AO1852" t="n">
        <v>0</v>
      </c>
      <c r="AP1852" t="inlineStr">
        <is>
          <t>No</t>
        </is>
      </c>
      <c r="AQ1852" t="inlineStr">
        <is>
          <t>Yes</t>
        </is>
      </c>
      <c r="AR1852">
        <f>HYPERLINK("http://catalog.hathitrust.org/Record/002224661","HathiTrust Record")</f>
        <v/>
      </c>
      <c r="AS1852">
        <f>HYPERLINK("https://creighton-primo.hosted.exlibrisgroup.com/primo-explore/search?tab=default_tab&amp;search_scope=EVERYTHING&amp;vid=01CRU&amp;lang=en_US&amp;offset=0&amp;query=any,contains,991001632749702656","Catalog Record")</f>
        <v/>
      </c>
      <c r="AT1852">
        <f>HYPERLINK("http://www.worldcat.org/oclc/20932089","WorldCat Record")</f>
        <v/>
      </c>
      <c r="AU1852" t="inlineStr">
        <is>
          <t>422844829:eng</t>
        </is>
      </c>
      <c r="AV1852" t="inlineStr">
        <is>
          <t>20932089</t>
        </is>
      </c>
      <c r="AW1852" t="inlineStr">
        <is>
          <t>991001632749702656</t>
        </is>
      </c>
      <c r="AX1852" t="inlineStr">
        <is>
          <t>991001632749702656</t>
        </is>
      </c>
      <c r="AY1852" t="inlineStr">
        <is>
          <t>2265632250002656</t>
        </is>
      </c>
      <c r="AZ1852" t="inlineStr">
        <is>
          <t>BOOK</t>
        </is>
      </c>
      <c r="BB1852" t="inlineStr">
        <is>
          <t>9780895944269</t>
        </is>
      </c>
      <c r="BC1852" t="inlineStr">
        <is>
          <t>32285002379997</t>
        </is>
      </c>
      <c r="BD1852" t="inlineStr">
        <is>
          <t>893696866</t>
        </is>
      </c>
    </row>
    <row r="1853">
      <c r="A1853" t="inlineStr">
        <is>
          <t>No</t>
        </is>
      </c>
      <c r="B1853" t="inlineStr">
        <is>
          <t>HQ75.5 .J444 2003</t>
        </is>
      </c>
      <c r="C1853" t="inlineStr">
        <is>
          <t>0                      HQ 0075500J  444         2003</t>
        </is>
      </c>
      <c r="D1853" t="inlineStr">
        <is>
          <t>Unpacking queer politics : a lesbian feminist perspective / Sheila Jeffreys.</t>
        </is>
      </c>
      <c r="F1853" t="inlineStr">
        <is>
          <t>No</t>
        </is>
      </c>
      <c r="G1853" t="inlineStr">
        <is>
          <t>1</t>
        </is>
      </c>
      <c r="H1853" t="inlineStr">
        <is>
          <t>No</t>
        </is>
      </c>
      <c r="I1853" t="inlineStr">
        <is>
          <t>No</t>
        </is>
      </c>
      <c r="J1853" t="inlineStr">
        <is>
          <t>0</t>
        </is>
      </c>
      <c r="K1853" t="inlineStr">
        <is>
          <t>Jeffreys, Sheila.</t>
        </is>
      </c>
      <c r="L1853" t="inlineStr">
        <is>
          <t>Cambridge ; Malden, MA : Polity Press in association with Blackwell Pub., 2003.</t>
        </is>
      </c>
      <c r="M1853" t="inlineStr">
        <is>
          <t>2003</t>
        </is>
      </c>
      <c r="O1853" t="inlineStr">
        <is>
          <t>eng</t>
        </is>
      </c>
      <c r="P1853" t="inlineStr">
        <is>
          <t>enk</t>
        </is>
      </c>
      <c r="R1853" t="inlineStr">
        <is>
          <t xml:space="preserve">HQ </t>
        </is>
      </c>
      <c r="S1853" t="n">
        <v>1</v>
      </c>
      <c r="T1853" t="n">
        <v>1</v>
      </c>
      <c r="U1853" t="inlineStr">
        <is>
          <t>2004-02-03</t>
        </is>
      </c>
      <c r="V1853" t="inlineStr">
        <is>
          <t>2004-02-03</t>
        </is>
      </c>
      <c r="W1853" t="inlineStr">
        <is>
          <t>2004-02-03</t>
        </is>
      </c>
      <c r="X1853" t="inlineStr">
        <is>
          <t>2004-02-03</t>
        </is>
      </c>
      <c r="Y1853" t="n">
        <v>363</v>
      </c>
      <c r="Z1853" t="n">
        <v>257</v>
      </c>
      <c r="AA1853" t="n">
        <v>264</v>
      </c>
      <c r="AB1853" t="n">
        <v>2</v>
      </c>
      <c r="AC1853" t="n">
        <v>2</v>
      </c>
      <c r="AD1853" t="n">
        <v>13</v>
      </c>
      <c r="AE1853" t="n">
        <v>13</v>
      </c>
      <c r="AF1853" t="n">
        <v>6</v>
      </c>
      <c r="AG1853" t="n">
        <v>6</v>
      </c>
      <c r="AH1853" t="n">
        <v>3</v>
      </c>
      <c r="AI1853" t="n">
        <v>3</v>
      </c>
      <c r="AJ1853" t="n">
        <v>5</v>
      </c>
      <c r="AK1853" t="n">
        <v>5</v>
      </c>
      <c r="AL1853" t="n">
        <v>1</v>
      </c>
      <c r="AM1853" t="n">
        <v>1</v>
      </c>
      <c r="AN1853" t="n">
        <v>0</v>
      </c>
      <c r="AO1853" t="n">
        <v>0</v>
      </c>
      <c r="AP1853" t="inlineStr">
        <is>
          <t>No</t>
        </is>
      </c>
      <c r="AQ1853" t="inlineStr">
        <is>
          <t>No</t>
        </is>
      </c>
      <c r="AS1853">
        <f>HYPERLINK("https://creighton-primo.hosted.exlibrisgroup.com/primo-explore/search?tab=default_tab&amp;search_scope=EVERYTHING&amp;vid=01CRU&amp;lang=en_US&amp;offset=0&amp;query=any,contains,991004213249702656","Catalog Record")</f>
        <v/>
      </c>
      <c r="AT1853">
        <f>HYPERLINK("http://www.worldcat.org/oclc/49805467","WorldCat Record")</f>
        <v/>
      </c>
      <c r="AU1853" t="inlineStr">
        <is>
          <t>838545027:eng</t>
        </is>
      </c>
      <c r="AV1853" t="inlineStr">
        <is>
          <t>49805467</t>
        </is>
      </c>
      <c r="AW1853" t="inlineStr">
        <is>
          <t>991004213249702656</t>
        </is>
      </c>
      <c r="AX1853" t="inlineStr">
        <is>
          <t>991004213249702656</t>
        </is>
      </c>
      <c r="AY1853" t="inlineStr">
        <is>
          <t>2264039470002656</t>
        </is>
      </c>
      <c r="AZ1853" t="inlineStr">
        <is>
          <t>BOOK</t>
        </is>
      </c>
      <c r="BB1853" t="inlineStr">
        <is>
          <t>9780745628370</t>
        </is>
      </c>
      <c r="BC1853" t="inlineStr">
        <is>
          <t>32285004636717</t>
        </is>
      </c>
      <c r="BD1853" t="inlineStr">
        <is>
          <t>893247299</t>
        </is>
      </c>
    </row>
    <row r="1854">
      <c r="A1854" t="inlineStr">
        <is>
          <t>No</t>
        </is>
      </c>
      <c r="B1854" t="inlineStr">
        <is>
          <t>HQ75.5 .K58 1987</t>
        </is>
      </c>
      <c r="C1854" t="inlineStr">
        <is>
          <t>0                      HQ 0075500K  58          1987</t>
        </is>
      </c>
      <c r="D1854" t="inlineStr">
        <is>
          <t>The social construction of lesbianism / Celia Kitzinger.</t>
        </is>
      </c>
      <c r="F1854" t="inlineStr">
        <is>
          <t>No</t>
        </is>
      </c>
      <c r="G1854" t="inlineStr">
        <is>
          <t>1</t>
        </is>
      </c>
      <c r="H1854" t="inlineStr">
        <is>
          <t>No</t>
        </is>
      </c>
      <c r="I1854" t="inlineStr">
        <is>
          <t>No</t>
        </is>
      </c>
      <c r="J1854" t="inlineStr">
        <is>
          <t>0</t>
        </is>
      </c>
      <c r="K1854" t="inlineStr">
        <is>
          <t>Kitzinger, Celia.</t>
        </is>
      </c>
      <c r="L1854" t="inlineStr">
        <is>
          <t>London ; Newbury Park, Calif. : Sage Publications, 1987.</t>
        </is>
      </c>
      <c r="M1854" t="inlineStr">
        <is>
          <t>1987</t>
        </is>
      </c>
      <c r="O1854" t="inlineStr">
        <is>
          <t>eng</t>
        </is>
      </c>
      <c r="P1854" t="inlineStr">
        <is>
          <t>enk</t>
        </is>
      </c>
      <c r="Q1854" t="inlineStr">
        <is>
          <t>Inquiries in social construction</t>
        </is>
      </c>
      <c r="R1854" t="inlineStr">
        <is>
          <t xml:space="preserve">HQ </t>
        </is>
      </c>
      <c r="S1854" t="n">
        <v>21</v>
      </c>
      <c r="T1854" t="n">
        <v>21</v>
      </c>
      <c r="U1854" t="inlineStr">
        <is>
          <t>2009-11-11</t>
        </is>
      </c>
      <c r="V1854" t="inlineStr">
        <is>
          <t>2009-11-11</t>
        </is>
      </c>
      <c r="W1854" t="inlineStr">
        <is>
          <t>1992-09-15</t>
        </is>
      </c>
      <c r="X1854" t="inlineStr">
        <is>
          <t>1992-09-15</t>
        </is>
      </c>
      <c r="Y1854" t="n">
        <v>698</v>
      </c>
      <c r="Z1854" t="n">
        <v>513</v>
      </c>
      <c r="AA1854" t="n">
        <v>514</v>
      </c>
      <c r="AB1854" t="n">
        <v>3</v>
      </c>
      <c r="AC1854" t="n">
        <v>3</v>
      </c>
      <c r="AD1854" t="n">
        <v>24</v>
      </c>
      <c r="AE1854" t="n">
        <v>24</v>
      </c>
      <c r="AF1854" t="n">
        <v>9</v>
      </c>
      <c r="AG1854" t="n">
        <v>9</v>
      </c>
      <c r="AH1854" t="n">
        <v>9</v>
      </c>
      <c r="AI1854" t="n">
        <v>9</v>
      </c>
      <c r="AJ1854" t="n">
        <v>10</v>
      </c>
      <c r="AK1854" t="n">
        <v>10</v>
      </c>
      <c r="AL1854" t="n">
        <v>2</v>
      </c>
      <c r="AM1854" t="n">
        <v>2</v>
      </c>
      <c r="AN1854" t="n">
        <v>1</v>
      </c>
      <c r="AO1854" t="n">
        <v>1</v>
      </c>
      <c r="AP1854" t="inlineStr">
        <is>
          <t>No</t>
        </is>
      </c>
      <c r="AQ1854" t="inlineStr">
        <is>
          <t>No</t>
        </is>
      </c>
      <c r="AS1854">
        <f>HYPERLINK("https://creighton-primo.hosted.exlibrisgroup.com/primo-explore/search?tab=default_tab&amp;search_scope=EVERYTHING&amp;vid=01CRU&amp;lang=en_US&amp;offset=0&amp;query=any,contains,991001342429702656","Catalog Record")</f>
        <v/>
      </c>
      <c r="AT1854">
        <f>HYPERLINK("http://www.worldcat.org/oclc/18388282","WorldCat Record")</f>
        <v/>
      </c>
      <c r="AU1854" t="inlineStr">
        <is>
          <t>17940762:eng</t>
        </is>
      </c>
      <c r="AV1854" t="inlineStr">
        <is>
          <t>18388282</t>
        </is>
      </c>
      <c r="AW1854" t="inlineStr">
        <is>
          <t>991001342429702656</t>
        </is>
      </c>
      <c r="AX1854" t="inlineStr">
        <is>
          <t>991001342429702656</t>
        </is>
      </c>
      <c r="AY1854" t="inlineStr">
        <is>
          <t>2269181300002656</t>
        </is>
      </c>
      <c r="AZ1854" t="inlineStr">
        <is>
          <t>BOOK</t>
        </is>
      </c>
      <c r="BB1854" t="inlineStr">
        <is>
          <t>9780803981171</t>
        </is>
      </c>
      <c r="BC1854" t="inlineStr">
        <is>
          <t>32285001300770</t>
        </is>
      </c>
      <c r="BD1854" t="inlineStr">
        <is>
          <t>893785041</t>
        </is>
      </c>
    </row>
    <row r="1855">
      <c r="A1855" t="inlineStr">
        <is>
          <t>No</t>
        </is>
      </c>
      <c r="B1855" t="inlineStr">
        <is>
          <t>HQ75.5 .M37 1996</t>
        </is>
      </c>
      <c r="C1855" t="inlineStr">
        <is>
          <t>0                      HQ 0075500M  37          1996</t>
        </is>
      </c>
      <c r="D1855" t="inlineStr">
        <is>
          <t>Redefining the self : coming out as lesbian / Laura A. Markowe.</t>
        </is>
      </c>
      <c r="F1855" t="inlineStr">
        <is>
          <t>No</t>
        </is>
      </c>
      <c r="G1855" t="inlineStr">
        <is>
          <t>1</t>
        </is>
      </c>
      <c r="H1855" t="inlineStr">
        <is>
          <t>No</t>
        </is>
      </c>
      <c r="I1855" t="inlineStr">
        <is>
          <t>No</t>
        </is>
      </c>
      <c r="J1855" t="inlineStr">
        <is>
          <t>0</t>
        </is>
      </c>
      <c r="K1855" t="inlineStr">
        <is>
          <t>Markowe, Laura A.</t>
        </is>
      </c>
      <c r="L1855" t="inlineStr">
        <is>
          <t>Cambridge, UK : Polity Press ; Cambridge, MA : Blackwell, 1996.</t>
        </is>
      </c>
      <c r="M1855" t="inlineStr">
        <is>
          <t>1996</t>
        </is>
      </c>
      <c r="O1855" t="inlineStr">
        <is>
          <t>eng</t>
        </is>
      </c>
      <c r="P1855" t="inlineStr">
        <is>
          <t>enk</t>
        </is>
      </c>
      <c r="R1855" t="inlineStr">
        <is>
          <t xml:space="preserve">HQ </t>
        </is>
      </c>
      <c r="S1855" t="n">
        <v>2</v>
      </c>
      <c r="T1855" t="n">
        <v>2</v>
      </c>
      <c r="U1855" t="inlineStr">
        <is>
          <t>2007-10-23</t>
        </is>
      </c>
      <c r="V1855" t="inlineStr">
        <is>
          <t>2007-10-23</t>
        </is>
      </c>
      <c r="W1855" t="inlineStr">
        <is>
          <t>1997-05-07</t>
        </is>
      </c>
      <c r="X1855" t="inlineStr">
        <is>
          <t>1997-05-07</t>
        </is>
      </c>
      <c r="Y1855" t="n">
        <v>223</v>
      </c>
      <c r="Z1855" t="n">
        <v>151</v>
      </c>
      <c r="AA1855" t="n">
        <v>151</v>
      </c>
      <c r="AB1855" t="n">
        <v>3</v>
      </c>
      <c r="AC1855" t="n">
        <v>3</v>
      </c>
      <c r="AD1855" t="n">
        <v>13</v>
      </c>
      <c r="AE1855" t="n">
        <v>13</v>
      </c>
      <c r="AF1855" t="n">
        <v>4</v>
      </c>
      <c r="AG1855" t="n">
        <v>4</v>
      </c>
      <c r="AH1855" t="n">
        <v>4</v>
      </c>
      <c r="AI1855" t="n">
        <v>4</v>
      </c>
      <c r="AJ1855" t="n">
        <v>8</v>
      </c>
      <c r="AK1855" t="n">
        <v>8</v>
      </c>
      <c r="AL1855" t="n">
        <v>2</v>
      </c>
      <c r="AM1855" t="n">
        <v>2</v>
      </c>
      <c r="AN1855" t="n">
        <v>0</v>
      </c>
      <c r="AO1855" t="n">
        <v>0</v>
      </c>
      <c r="AP1855" t="inlineStr">
        <is>
          <t>No</t>
        </is>
      </c>
      <c r="AQ1855" t="inlineStr">
        <is>
          <t>No</t>
        </is>
      </c>
      <c r="AS1855">
        <f>HYPERLINK("https://creighton-primo.hosted.exlibrisgroup.com/primo-explore/search?tab=default_tab&amp;search_scope=EVERYTHING&amp;vid=01CRU&amp;lang=en_US&amp;offset=0&amp;query=any,contains,991002611099702656","Catalog Record")</f>
        <v/>
      </c>
      <c r="AT1855">
        <f>HYPERLINK("http://www.worldcat.org/oclc/34194142","WorldCat Record")</f>
        <v/>
      </c>
      <c r="AU1855" t="inlineStr">
        <is>
          <t>837060225:eng</t>
        </is>
      </c>
      <c r="AV1855" t="inlineStr">
        <is>
          <t>34194142</t>
        </is>
      </c>
      <c r="AW1855" t="inlineStr">
        <is>
          <t>991002611099702656</t>
        </is>
      </c>
      <c r="AX1855" t="inlineStr">
        <is>
          <t>991002611099702656</t>
        </is>
      </c>
      <c r="AY1855" t="inlineStr">
        <is>
          <t>2258425950002656</t>
        </is>
      </c>
      <c r="AZ1855" t="inlineStr">
        <is>
          <t>BOOK</t>
        </is>
      </c>
      <c r="BB1855" t="inlineStr">
        <is>
          <t>9780745611280</t>
        </is>
      </c>
      <c r="BC1855" t="inlineStr">
        <is>
          <t>32285002605797</t>
        </is>
      </c>
      <c r="BD1855" t="inlineStr">
        <is>
          <t>893698003</t>
        </is>
      </c>
    </row>
    <row r="1856">
      <c r="A1856" t="inlineStr">
        <is>
          <t>No</t>
        </is>
      </c>
      <c r="B1856" t="inlineStr">
        <is>
          <t>HQ75.5 .P76 1999</t>
        </is>
      </c>
      <c r="C1856" t="inlineStr">
        <is>
          <t>0                      HQ 0075500P  76          1999</t>
        </is>
      </c>
      <c r="D1856" t="inlineStr">
        <is>
          <t>A professional's guide to understanding gay and lesbian domestic violence : understanding practice interventions / edited by Joan C. McClennen and John Gunther.</t>
        </is>
      </c>
      <c r="F1856" t="inlineStr">
        <is>
          <t>No</t>
        </is>
      </c>
      <c r="G1856" t="inlineStr">
        <is>
          <t>1</t>
        </is>
      </c>
      <c r="H1856" t="inlineStr">
        <is>
          <t>No</t>
        </is>
      </c>
      <c r="I1856" t="inlineStr">
        <is>
          <t>No</t>
        </is>
      </c>
      <c r="J1856" t="inlineStr">
        <is>
          <t>0</t>
        </is>
      </c>
      <c r="L1856" t="inlineStr">
        <is>
          <t>Lewiston, NY : E. Mellen, c1999.</t>
        </is>
      </c>
      <c r="M1856" t="inlineStr">
        <is>
          <t>1999</t>
        </is>
      </c>
      <c r="O1856" t="inlineStr">
        <is>
          <t>eng</t>
        </is>
      </c>
      <c r="P1856" t="inlineStr">
        <is>
          <t>nyu</t>
        </is>
      </c>
      <c r="Q1856" t="inlineStr">
        <is>
          <t>Symposium series ; v. 56</t>
        </is>
      </c>
      <c r="R1856" t="inlineStr">
        <is>
          <t xml:space="preserve">HQ </t>
        </is>
      </c>
      <c r="S1856" t="n">
        <v>2</v>
      </c>
      <c r="T1856" t="n">
        <v>2</v>
      </c>
      <c r="U1856" t="inlineStr">
        <is>
          <t>2009-02-26</t>
        </is>
      </c>
      <c r="V1856" t="inlineStr">
        <is>
          <t>2009-02-26</t>
        </is>
      </c>
      <c r="W1856" t="inlineStr">
        <is>
          <t>2001-10-01</t>
        </is>
      </c>
      <c r="X1856" t="inlineStr">
        <is>
          <t>2001-10-01</t>
        </is>
      </c>
      <c r="Y1856" t="n">
        <v>182</v>
      </c>
      <c r="Z1856" t="n">
        <v>147</v>
      </c>
      <c r="AA1856" t="n">
        <v>149</v>
      </c>
      <c r="AB1856" t="n">
        <v>3</v>
      </c>
      <c r="AC1856" t="n">
        <v>3</v>
      </c>
      <c r="AD1856" t="n">
        <v>6</v>
      </c>
      <c r="AE1856" t="n">
        <v>6</v>
      </c>
      <c r="AF1856" t="n">
        <v>1</v>
      </c>
      <c r="AG1856" t="n">
        <v>1</v>
      </c>
      <c r="AH1856" t="n">
        <v>0</v>
      </c>
      <c r="AI1856" t="n">
        <v>0</v>
      </c>
      <c r="AJ1856" t="n">
        <v>3</v>
      </c>
      <c r="AK1856" t="n">
        <v>3</v>
      </c>
      <c r="AL1856" t="n">
        <v>2</v>
      </c>
      <c r="AM1856" t="n">
        <v>2</v>
      </c>
      <c r="AN1856" t="n">
        <v>1</v>
      </c>
      <c r="AO1856" t="n">
        <v>1</v>
      </c>
      <c r="AP1856" t="inlineStr">
        <is>
          <t>No</t>
        </is>
      </c>
      <c r="AQ1856" t="inlineStr">
        <is>
          <t>Yes</t>
        </is>
      </c>
      <c r="AR1856">
        <f>HYPERLINK("http://catalog.hathitrust.org/Record/003565429","HathiTrust Record")</f>
        <v/>
      </c>
      <c r="AS1856">
        <f>HYPERLINK("https://creighton-primo.hosted.exlibrisgroup.com/primo-explore/search?tab=default_tab&amp;search_scope=EVERYTHING&amp;vid=01CRU&amp;lang=en_US&amp;offset=0&amp;query=any,contains,991003622929702656","Catalog Record")</f>
        <v/>
      </c>
      <c r="AT1856">
        <f>HYPERLINK("http://www.worldcat.org/oclc/42296543","WorldCat Record")</f>
        <v/>
      </c>
      <c r="AU1856" t="inlineStr">
        <is>
          <t>836949523:eng</t>
        </is>
      </c>
      <c r="AV1856" t="inlineStr">
        <is>
          <t>42296543</t>
        </is>
      </c>
      <c r="AW1856" t="inlineStr">
        <is>
          <t>991003622929702656</t>
        </is>
      </c>
      <c r="AX1856" t="inlineStr">
        <is>
          <t>991003622929702656</t>
        </is>
      </c>
      <c r="AY1856" t="inlineStr">
        <is>
          <t>2255640250002656</t>
        </is>
      </c>
      <c r="AZ1856" t="inlineStr">
        <is>
          <t>BOOK</t>
        </is>
      </c>
      <c r="BB1856" t="inlineStr">
        <is>
          <t>9780773478923</t>
        </is>
      </c>
      <c r="BC1856" t="inlineStr">
        <is>
          <t>32285004394424</t>
        </is>
      </c>
      <c r="BD1856" t="inlineStr">
        <is>
          <t>893592699</t>
        </is>
      </c>
    </row>
    <row r="1857">
      <c r="A1857" t="inlineStr">
        <is>
          <t>No</t>
        </is>
      </c>
      <c r="B1857" t="inlineStr">
        <is>
          <t>HQ75.5 .R87 2009</t>
        </is>
      </c>
      <c r="C1857" t="inlineStr">
        <is>
          <t>0                      HQ 0075500R  87          2009</t>
        </is>
      </c>
      <c r="D1857" t="inlineStr">
        <is>
          <t>Sapphistries : a global history of love between women / Leila J. Rupp.</t>
        </is>
      </c>
      <c r="F1857" t="inlineStr">
        <is>
          <t>No</t>
        </is>
      </c>
      <c r="G1857" t="inlineStr">
        <is>
          <t>1</t>
        </is>
      </c>
      <c r="H1857" t="inlineStr">
        <is>
          <t>No</t>
        </is>
      </c>
      <c r="I1857" t="inlineStr">
        <is>
          <t>No</t>
        </is>
      </c>
      <c r="J1857" t="inlineStr">
        <is>
          <t>0</t>
        </is>
      </c>
      <c r="K1857" t="inlineStr">
        <is>
          <t>Rupp, Leila J., 1950-</t>
        </is>
      </c>
      <c r="L1857" t="inlineStr">
        <is>
          <t>New York : New York University Press, c2009.</t>
        </is>
      </c>
      <c r="M1857" t="inlineStr">
        <is>
          <t>2009</t>
        </is>
      </c>
      <c r="O1857" t="inlineStr">
        <is>
          <t>eng</t>
        </is>
      </c>
      <c r="P1857" t="inlineStr">
        <is>
          <t>nyu</t>
        </is>
      </c>
      <c r="Q1857" t="inlineStr">
        <is>
          <t>Intersections</t>
        </is>
      </c>
      <c r="R1857" t="inlineStr">
        <is>
          <t xml:space="preserve">HQ </t>
        </is>
      </c>
      <c r="S1857" t="n">
        <v>1</v>
      </c>
      <c r="T1857" t="n">
        <v>1</v>
      </c>
      <c r="U1857" t="inlineStr">
        <is>
          <t>2010-08-11</t>
        </is>
      </c>
      <c r="V1857" t="inlineStr">
        <is>
          <t>2010-08-11</t>
        </is>
      </c>
      <c r="W1857" t="inlineStr">
        <is>
          <t>2010-08-11</t>
        </is>
      </c>
      <c r="X1857" t="inlineStr">
        <is>
          <t>2010-08-11</t>
        </is>
      </c>
      <c r="Y1857" t="n">
        <v>679</v>
      </c>
      <c r="Z1857" t="n">
        <v>618</v>
      </c>
      <c r="AA1857" t="n">
        <v>1001</v>
      </c>
      <c r="AB1857" t="n">
        <v>4</v>
      </c>
      <c r="AC1857" t="n">
        <v>7</v>
      </c>
      <c r="AD1857" t="n">
        <v>23</v>
      </c>
      <c r="AE1857" t="n">
        <v>40</v>
      </c>
      <c r="AF1857" t="n">
        <v>13</v>
      </c>
      <c r="AG1857" t="n">
        <v>20</v>
      </c>
      <c r="AH1857" t="n">
        <v>4</v>
      </c>
      <c r="AI1857" t="n">
        <v>7</v>
      </c>
      <c r="AJ1857" t="n">
        <v>9</v>
      </c>
      <c r="AK1857" t="n">
        <v>15</v>
      </c>
      <c r="AL1857" t="n">
        <v>3</v>
      </c>
      <c r="AM1857" t="n">
        <v>6</v>
      </c>
      <c r="AN1857" t="n">
        <v>0</v>
      </c>
      <c r="AO1857" t="n">
        <v>1</v>
      </c>
      <c r="AP1857" t="inlineStr">
        <is>
          <t>No</t>
        </is>
      </c>
      <c r="AQ1857" t="inlineStr">
        <is>
          <t>No</t>
        </is>
      </c>
      <c r="AS1857">
        <f>HYPERLINK("https://creighton-primo.hosted.exlibrisgroup.com/primo-explore/search?tab=default_tab&amp;search_scope=EVERYTHING&amp;vid=01CRU&amp;lang=en_US&amp;offset=0&amp;query=any,contains,991000036929702656","Catalog Record")</f>
        <v/>
      </c>
      <c r="AT1857">
        <f>HYPERLINK("http://www.worldcat.org/oclc/326466225","WorldCat Record")</f>
        <v/>
      </c>
      <c r="AU1857" t="inlineStr">
        <is>
          <t>407671976:eng</t>
        </is>
      </c>
      <c r="AV1857" t="inlineStr">
        <is>
          <t>326466225</t>
        </is>
      </c>
      <c r="AW1857" t="inlineStr">
        <is>
          <t>991000036929702656</t>
        </is>
      </c>
      <c r="AX1857" t="inlineStr">
        <is>
          <t>991000036929702656</t>
        </is>
      </c>
      <c r="AY1857" t="inlineStr">
        <is>
          <t>2268960290002656</t>
        </is>
      </c>
      <c r="AZ1857" t="inlineStr">
        <is>
          <t>BOOK</t>
        </is>
      </c>
      <c r="BB1857" t="inlineStr">
        <is>
          <t>9780814775929</t>
        </is>
      </c>
      <c r="BC1857" t="inlineStr">
        <is>
          <t>32285005592257</t>
        </is>
      </c>
      <c r="BD1857" t="inlineStr">
        <is>
          <t>893701780</t>
        </is>
      </c>
    </row>
    <row r="1858">
      <c r="A1858" t="inlineStr">
        <is>
          <t>No</t>
        </is>
      </c>
      <c r="B1858" t="inlineStr">
        <is>
          <t>HQ75.5 .S25 2001</t>
        </is>
      </c>
      <c r="C1858" t="inlineStr">
        <is>
          <t>0                      HQ 0075500S  25          2001</t>
        </is>
      </c>
      <c r="D1858" t="inlineStr">
        <is>
          <t>Same sex love and desire among women in the Middle Ages / edited by Francesca Canadé Sautman and Pamela Sheingorn.</t>
        </is>
      </c>
      <c r="F1858" t="inlineStr">
        <is>
          <t>No</t>
        </is>
      </c>
      <c r="G1858" t="inlineStr">
        <is>
          <t>1</t>
        </is>
      </c>
      <c r="H1858" t="inlineStr">
        <is>
          <t>No</t>
        </is>
      </c>
      <c r="I1858" t="inlineStr">
        <is>
          <t>No</t>
        </is>
      </c>
      <c r="J1858" t="inlineStr">
        <is>
          <t>0</t>
        </is>
      </c>
      <c r="L1858" t="inlineStr">
        <is>
          <t>New York : Palgrave, 2001.</t>
        </is>
      </c>
      <c r="M1858" t="inlineStr">
        <is>
          <t>2001</t>
        </is>
      </c>
      <c r="N1858" t="inlineStr">
        <is>
          <t>1st ed.</t>
        </is>
      </c>
      <c r="O1858" t="inlineStr">
        <is>
          <t>eng</t>
        </is>
      </c>
      <c r="P1858" t="inlineStr">
        <is>
          <t>nyu</t>
        </is>
      </c>
      <c r="Q1858" t="inlineStr">
        <is>
          <t>The new Middle Ages</t>
        </is>
      </c>
      <c r="R1858" t="inlineStr">
        <is>
          <t xml:space="preserve">HQ </t>
        </is>
      </c>
      <c r="S1858" t="n">
        <v>3</v>
      </c>
      <c r="T1858" t="n">
        <v>3</v>
      </c>
      <c r="U1858" t="inlineStr">
        <is>
          <t>2005-04-13</t>
        </is>
      </c>
      <c r="V1858" t="inlineStr">
        <is>
          <t>2005-04-13</t>
        </is>
      </c>
      <c r="W1858" t="inlineStr">
        <is>
          <t>2003-10-27</t>
        </is>
      </c>
      <c r="X1858" t="inlineStr">
        <is>
          <t>2003-10-27</t>
        </is>
      </c>
      <c r="Y1858" t="n">
        <v>335</v>
      </c>
      <c r="Z1858" t="n">
        <v>254</v>
      </c>
      <c r="AA1858" t="n">
        <v>254</v>
      </c>
      <c r="AB1858" t="n">
        <v>3</v>
      </c>
      <c r="AC1858" t="n">
        <v>3</v>
      </c>
      <c r="AD1858" t="n">
        <v>15</v>
      </c>
      <c r="AE1858" t="n">
        <v>15</v>
      </c>
      <c r="AF1858" t="n">
        <v>3</v>
      </c>
      <c r="AG1858" t="n">
        <v>3</v>
      </c>
      <c r="AH1858" t="n">
        <v>5</v>
      </c>
      <c r="AI1858" t="n">
        <v>5</v>
      </c>
      <c r="AJ1858" t="n">
        <v>9</v>
      </c>
      <c r="AK1858" t="n">
        <v>9</v>
      </c>
      <c r="AL1858" t="n">
        <v>2</v>
      </c>
      <c r="AM1858" t="n">
        <v>2</v>
      </c>
      <c r="AN1858" t="n">
        <v>0</v>
      </c>
      <c r="AO1858" t="n">
        <v>0</v>
      </c>
      <c r="AP1858" t="inlineStr">
        <is>
          <t>No</t>
        </is>
      </c>
      <c r="AQ1858" t="inlineStr">
        <is>
          <t>No</t>
        </is>
      </c>
      <c r="AS1858">
        <f>HYPERLINK("https://creighton-primo.hosted.exlibrisgroup.com/primo-explore/search?tab=default_tab&amp;search_scope=EVERYTHING&amp;vid=01CRU&amp;lang=en_US&amp;offset=0&amp;query=any,contains,991004153129702656","Catalog Record")</f>
        <v/>
      </c>
      <c r="AT1858">
        <f>HYPERLINK("http://www.worldcat.org/oclc/46809097","WorldCat Record")</f>
        <v/>
      </c>
      <c r="AU1858" t="inlineStr">
        <is>
          <t>355687149:eng</t>
        </is>
      </c>
      <c r="AV1858" t="inlineStr">
        <is>
          <t>46809097</t>
        </is>
      </c>
      <c r="AW1858" t="inlineStr">
        <is>
          <t>991004153129702656</t>
        </is>
      </c>
      <c r="AX1858" t="inlineStr">
        <is>
          <t>991004153129702656</t>
        </is>
      </c>
      <c r="AY1858" t="inlineStr">
        <is>
          <t>2269784450002656</t>
        </is>
      </c>
      <c r="AZ1858" t="inlineStr">
        <is>
          <t>BOOK</t>
        </is>
      </c>
      <c r="BB1858" t="inlineStr">
        <is>
          <t>9780312210564</t>
        </is>
      </c>
      <c r="BC1858" t="inlineStr">
        <is>
          <t>32285004790548</t>
        </is>
      </c>
      <c r="BD1858" t="inlineStr">
        <is>
          <t>893894626</t>
        </is>
      </c>
    </row>
    <row r="1859">
      <c r="A1859" t="inlineStr">
        <is>
          <t>No</t>
        </is>
      </c>
      <c r="B1859" t="inlineStr">
        <is>
          <t>HQ75.5 .S39 1998</t>
        </is>
      </c>
      <c r="C1859" t="inlineStr">
        <is>
          <t>0                      HQ 0075500S  39          1998</t>
        </is>
      </c>
      <c r="D1859" t="inlineStr">
        <is>
          <t>Sexual subjects : lesbians, gender, and psychoanalysis / Adria E. Schwartz.</t>
        </is>
      </c>
      <c r="F1859" t="inlineStr">
        <is>
          <t>No</t>
        </is>
      </c>
      <c r="G1859" t="inlineStr">
        <is>
          <t>1</t>
        </is>
      </c>
      <c r="H1859" t="inlineStr">
        <is>
          <t>No</t>
        </is>
      </c>
      <c r="I1859" t="inlineStr">
        <is>
          <t>No</t>
        </is>
      </c>
      <c r="J1859" t="inlineStr">
        <is>
          <t>0</t>
        </is>
      </c>
      <c r="K1859" t="inlineStr">
        <is>
          <t>Schwartz, Adria E., 1946-</t>
        </is>
      </c>
      <c r="L1859" t="inlineStr">
        <is>
          <t>New York : Routledge, 1998.</t>
        </is>
      </c>
      <c r="M1859" t="inlineStr">
        <is>
          <t>1998</t>
        </is>
      </c>
      <c r="O1859" t="inlineStr">
        <is>
          <t>eng</t>
        </is>
      </c>
      <c r="P1859" t="inlineStr">
        <is>
          <t>nyu</t>
        </is>
      </c>
      <c r="R1859" t="inlineStr">
        <is>
          <t xml:space="preserve">HQ </t>
        </is>
      </c>
      <c r="S1859" t="n">
        <v>4</v>
      </c>
      <c r="T1859" t="n">
        <v>4</v>
      </c>
      <c r="U1859" t="inlineStr">
        <is>
          <t>2010-04-14</t>
        </is>
      </c>
      <c r="V1859" t="inlineStr">
        <is>
          <t>2010-04-14</t>
        </is>
      </c>
      <c r="W1859" t="inlineStr">
        <is>
          <t>1998-09-08</t>
        </is>
      </c>
      <c r="X1859" t="inlineStr">
        <is>
          <t>1998-09-08</t>
        </is>
      </c>
      <c r="Y1859" t="n">
        <v>249</v>
      </c>
      <c r="Z1859" t="n">
        <v>197</v>
      </c>
      <c r="AA1859" t="n">
        <v>221</v>
      </c>
      <c r="AB1859" t="n">
        <v>3</v>
      </c>
      <c r="AC1859" t="n">
        <v>3</v>
      </c>
      <c r="AD1859" t="n">
        <v>7</v>
      </c>
      <c r="AE1859" t="n">
        <v>8</v>
      </c>
      <c r="AF1859" t="n">
        <v>1</v>
      </c>
      <c r="AG1859" t="n">
        <v>2</v>
      </c>
      <c r="AH1859" t="n">
        <v>3</v>
      </c>
      <c r="AI1859" t="n">
        <v>3</v>
      </c>
      <c r="AJ1859" t="n">
        <v>4</v>
      </c>
      <c r="AK1859" t="n">
        <v>4</v>
      </c>
      <c r="AL1859" t="n">
        <v>2</v>
      </c>
      <c r="AM1859" t="n">
        <v>2</v>
      </c>
      <c r="AN1859" t="n">
        <v>0</v>
      </c>
      <c r="AO1859" t="n">
        <v>0</v>
      </c>
      <c r="AP1859" t="inlineStr">
        <is>
          <t>No</t>
        </is>
      </c>
      <c r="AQ1859" t="inlineStr">
        <is>
          <t>No</t>
        </is>
      </c>
      <c r="AS1859">
        <f>HYPERLINK("https://creighton-primo.hosted.exlibrisgroup.com/primo-explore/search?tab=default_tab&amp;search_scope=EVERYTHING&amp;vid=01CRU&amp;lang=en_US&amp;offset=0&amp;query=any,contains,991002817119702656","Catalog Record")</f>
        <v/>
      </c>
      <c r="AT1859">
        <f>HYPERLINK("http://www.worldcat.org/oclc/37004435","WorldCat Record")</f>
        <v/>
      </c>
      <c r="AU1859" t="inlineStr">
        <is>
          <t>891882485:eng</t>
        </is>
      </c>
      <c r="AV1859" t="inlineStr">
        <is>
          <t>37004435</t>
        </is>
      </c>
      <c r="AW1859" t="inlineStr">
        <is>
          <t>991002817119702656</t>
        </is>
      </c>
      <c r="AX1859" t="inlineStr">
        <is>
          <t>991002817119702656</t>
        </is>
      </c>
      <c r="AY1859" t="inlineStr">
        <is>
          <t>2272792750002656</t>
        </is>
      </c>
      <c r="AZ1859" t="inlineStr">
        <is>
          <t>BOOK</t>
        </is>
      </c>
      <c r="BB1859" t="inlineStr">
        <is>
          <t>9780415910927</t>
        </is>
      </c>
      <c r="BC1859" t="inlineStr">
        <is>
          <t>32285003466264</t>
        </is>
      </c>
      <c r="BD1859" t="inlineStr">
        <is>
          <t>893524082</t>
        </is>
      </c>
    </row>
    <row r="1860">
      <c r="A1860" t="inlineStr">
        <is>
          <t>No</t>
        </is>
      </c>
      <c r="B1860" t="inlineStr">
        <is>
          <t>HQ75.5 .T55 1994</t>
        </is>
      </c>
      <c r="C1860" t="inlineStr">
        <is>
          <t>0                      HQ 0075500T  55          1994</t>
        </is>
      </c>
      <c r="D1860" t="inlineStr">
        <is>
          <t>Tilting the tower : lesbians, teaching, queer subjects / edited by Linda Garber.</t>
        </is>
      </c>
      <c r="F1860" t="inlineStr">
        <is>
          <t>No</t>
        </is>
      </c>
      <c r="G1860" t="inlineStr">
        <is>
          <t>1</t>
        </is>
      </c>
      <c r="H1860" t="inlineStr">
        <is>
          <t>No</t>
        </is>
      </c>
      <c r="I1860" t="inlineStr">
        <is>
          <t>No</t>
        </is>
      </c>
      <c r="J1860" t="inlineStr">
        <is>
          <t>0</t>
        </is>
      </c>
      <c r="L1860" t="inlineStr">
        <is>
          <t>New York : Routledge, 1994.</t>
        </is>
      </c>
      <c r="M1860" t="inlineStr">
        <is>
          <t>1994</t>
        </is>
      </c>
      <c r="O1860" t="inlineStr">
        <is>
          <t>eng</t>
        </is>
      </c>
      <c r="P1860" t="inlineStr">
        <is>
          <t>nyu</t>
        </is>
      </c>
      <c r="R1860" t="inlineStr">
        <is>
          <t xml:space="preserve">HQ </t>
        </is>
      </c>
      <c r="S1860" t="n">
        <v>3</v>
      </c>
      <c r="T1860" t="n">
        <v>3</v>
      </c>
      <c r="U1860" t="inlineStr">
        <is>
          <t>2006-02-16</t>
        </is>
      </c>
      <c r="V1860" t="inlineStr">
        <is>
          <t>2006-02-16</t>
        </is>
      </c>
      <c r="W1860" t="inlineStr">
        <is>
          <t>1997-02-19</t>
        </is>
      </c>
      <c r="X1860" t="inlineStr">
        <is>
          <t>1997-02-19</t>
        </is>
      </c>
      <c r="Y1860" t="n">
        <v>364</v>
      </c>
      <c r="Z1860" t="n">
        <v>281</v>
      </c>
      <c r="AA1860" t="n">
        <v>288</v>
      </c>
      <c r="AB1860" t="n">
        <v>3</v>
      </c>
      <c r="AC1860" t="n">
        <v>3</v>
      </c>
      <c r="AD1860" t="n">
        <v>14</v>
      </c>
      <c r="AE1860" t="n">
        <v>14</v>
      </c>
      <c r="AF1860" t="n">
        <v>2</v>
      </c>
      <c r="AG1860" t="n">
        <v>2</v>
      </c>
      <c r="AH1860" t="n">
        <v>3</v>
      </c>
      <c r="AI1860" t="n">
        <v>3</v>
      </c>
      <c r="AJ1860" t="n">
        <v>10</v>
      </c>
      <c r="AK1860" t="n">
        <v>10</v>
      </c>
      <c r="AL1860" t="n">
        <v>2</v>
      </c>
      <c r="AM1860" t="n">
        <v>2</v>
      </c>
      <c r="AN1860" t="n">
        <v>0</v>
      </c>
      <c r="AO1860" t="n">
        <v>0</v>
      </c>
      <c r="AP1860" t="inlineStr">
        <is>
          <t>No</t>
        </is>
      </c>
      <c r="AQ1860" t="inlineStr">
        <is>
          <t>Yes</t>
        </is>
      </c>
      <c r="AR1860">
        <f>HYPERLINK("http://catalog.hathitrust.org/Record/002858591","HathiTrust Record")</f>
        <v/>
      </c>
      <c r="AS1860">
        <f>HYPERLINK("https://creighton-primo.hosted.exlibrisgroup.com/primo-explore/search?tab=default_tab&amp;search_scope=EVERYTHING&amp;vid=01CRU&amp;lang=en_US&amp;offset=0&amp;query=any,contains,991002319449702656","Catalog Record")</f>
        <v/>
      </c>
      <c r="AT1860">
        <f>HYPERLINK("http://www.worldcat.org/oclc/30079038","WorldCat Record")</f>
        <v/>
      </c>
      <c r="AU1860" t="inlineStr">
        <is>
          <t>836827013:eng</t>
        </is>
      </c>
      <c r="AV1860" t="inlineStr">
        <is>
          <t>30079038</t>
        </is>
      </c>
      <c r="AW1860" t="inlineStr">
        <is>
          <t>991002319449702656</t>
        </is>
      </c>
      <c r="AX1860" t="inlineStr">
        <is>
          <t>991002319449702656</t>
        </is>
      </c>
      <c r="AY1860" t="inlineStr">
        <is>
          <t>2258629830002656</t>
        </is>
      </c>
      <c r="AZ1860" t="inlineStr">
        <is>
          <t>BOOK</t>
        </is>
      </c>
      <c r="BB1860" t="inlineStr">
        <is>
          <t>9780415908405</t>
        </is>
      </c>
      <c r="BC1860" t="inlineStr">
        <is>
          <t>32285002431681</t>
        </is>
      </c>
      <c r="BD1860" t="inlineStr">
        <is>
          <t>893798440</t>
        </is>
      </c>
    </row>
    <row r="1861">
      <c r="A1861" t="inlineStr">
        <is>
          <t>No</t>
        </is>
      </c>
      <c r="B1861" t="inlineStr">
        <is>
          <t>HQ75.5 E85 1997</t>
        </is>
      </c>
      <c r="C1861" t="inlineStr">
        <is>
          <t>0                      HQ 0075500E  85          1997</t>
        </is>
      </c>
      <c r="D1861" t="inlineStr">
        <is>
          <t>Lesbian and bisexual identities : constructing communities, constructing selves / Kristin G. Esterberg.</t>
        </is>
      </c>
      <c r="F1861" t="inlineStr">
        <is>
          <t>No</t>
        </is>
      </c>
      <c r="G1861" t="inlineStr">
        <is>
          <t>1</t>
        </is>
      </c>
      <c r="H1861" t="inlineStr">
        <is>
          <t>No</t>
        </is>
      </c>
      <c r="I1861" t="inlineStr">
        <is>
          <t>No</t>
        </is>
      </c>
      <c r="J1861" t="inlineStr">
        <is>
          <t>0</t>
        </is>
      </c>
      <c r="K1861" t="inlineStr">
        <is>
          <t>Esterberg, Kristin G.</t>
        </is>
      </c>
      <c r="L1861" t="inlineStr">
        <is>
          <t>Philadelphia : Temple University Press, 1997.</t>
        </is>
      </c>
      <c r="M1861" t="inlineStr">
        <is>
          <t>1997</t>
        </is>
      </c>
      <c r="O1861" t="inlineStr">
        <is>
          <t>eng</t>
        </is>
      </c>
      <c r="P1861" t="inlineStr">
        <is>
          <t>pau</t>
        </is>
      </c>
      <c r="R1861" t="inlineStr">
        <is>
          <t xml:space="preserve">HQ </t>
        </is>
      </c>
      <c r="S1861" t="n">
        <v>18</v>
      </c>
      <c r="T1861" t="n">
        <v>18</v>
      </c>
      <c r="U1861" t="inlineStr">
        <is>
          <t>2009-02-11</t>
        </is>
      </c>
      <c r="V1861" t="inlineStr">
        <is>
          <t>2009-02-11</t>
        </is>
      </c>
      <c r="W1861" t="inlineStr">
        <is>
          <t>1997-05-07</t>
        </is>
      </c>
      <c r="X1861" t="inlineStr">
        <is>
          <t>1997-05-07</t>
        </is>
      </c>
      <c r="Y1861" t="n">
        <v>453</v>
      </c>
      <c r="Z1861" t="n">
        <v>400</v>
      </c>
      <c r="AA1861" t="n">
        <v>453</v>
      </c>
      <c r="AB1861" t="n">
        <v>2</v>
      </c>
      <c r="AC1861" t="n">
        <v>3</v>
      </c>
      <c r="AD1861" t="n">
        <v>21</v>
      </c>
      <c r="AE1861" t="n">
        <v>22</v>
      </c>
      <c r="AF1861" t="n">
        <v>9</v>
      </c>
      <c r="AG1861" t="n">
        <v>9</v>
      </c>
      <c r="AH1861" t="n">
        <v>5</v>
      </c>
      <c r="AI1861" t="n">
        <v>5</v>
      </c>
      <c r="AJ1861" t="n">
        <v>14</v>
      </c>
      <c r="AK1861" t="n">
        <v>14</v>
      </c>
      <c r="AL1861" t="n">
        <v>1</v>
      </c>
      <c r="AM1861" t="n">
        <v>2</v>
      </c>
      <c r="AN1861" t="n">
        <v>0</v>
      </c>
      <c r="AO1861" t="n">
        <v>0</v>
      </c>
      <c r="AP1861" t="inlineStr">
        <is>
          <t>No</t>
        </is>
      </c>
      <c r="AQ1861" t="inlineStr">
        <is>
          <t>No</t>
        </is>
      </c>
      <c r="AS1861">
        <f>HYPERLINK("https://creighton-primo.hosted.exlibrisgroup.com/primo-explore/search?tab=default_tab&amp;search_scope=EVERYTHING&amp;vid=01CRU&amp;lang=en_US&amp;offset=0&amp;query=any,contains,991002697879702656","Catalog Record")</f>
        <v/>
      </c>
      <c r="AT1861">
        <f>HYPERLINK("http://www.worldcat.org/oclc/35223139","WorldCat Record")</f>
        <v/>
      </c>
      <c r="AU1861" t="inlineStr">
        <is>
          <t>198598685:eng</t>
        </is>
      </c>
      <c r="AV1861" t="inlineStr">
        <is>
          <t>35223139</t>
        </is>
      </c>
      <c r="AW1861" t="inlineStr">
        <is>
          <t>991002697879702656</t>
        </is>
      </c>
      <c r="AX1861" t="inlineStr">
        <is>
          <t>991002697879702656</t>
        </is>
      </c>
      <c r="AY1861" t="inlineStr">
        <is>
          <t>2258880610002656</t>
        </is>
      </c>
      <c r="AZ1861" t="inlineStr">
        <is>
          <t>BOOK</t>
        </is>
      </c>
      <c r="BB1861" t="inlineStr">
        <is>
          <t>9781566395090</t>
        </is>
      </c>
      <c r="BC1861" t="inlineStr">
        <is>
          <t>32285002605722</t>
        </is>
      </c>
      <c r="BD1861" t="inlineStr">
        <is>
          <t>893445309</t>
        </is>
      </c>
    </row>
    <row r="1862">
      <c r="A1862" t="inlineStr">
        <is>
          <t>No</t>
        </is>
      </c>
      <c r="B1862" t="inlineStr">
        <is>
          <t>HQ75.53 .C58 1995</t>
        </is>
      </c>
      <c r="C1862" t="inlineStr">
        <is>
          <t>0                      HQ 0075530C  58          1995</t>
        </is>
      </c>
      <c r="D1862" t="inlineStr">
        <is>
          <t>The lesbian parenting book : a guide to creating families and raising children / D. Merilee Clunis, G. Dorsey Green.</t>
        </is>
      </c>
      <c r="F1862" t="inlineStr">
        <is>
          <t>No</t>
        </is>
      </c>
      <c r="G1862" t="inlineStr">
        <is>
          <t>1</t>
        </is>
      </c>
      <c r="H1862" t="inlineStr">
        <is>
          <t>No</t>
        </is>
      </c>
      <c r="I1862" t="inlineStr">
        <is>
          <t>No</t>
        </is>
      </c>
      <c r="J1862" t="inlineStr">
        <is>
          <t>0</t>
        </is>
      </c>
      <c r="K1862" t="inlineStr">
        <is>
          <t>Clunis, D. Merilee.</t>
        </is>
      </c>
      <c r="L1862" t="inlineStr">
        <is>
          <t>Seattle, Wash. : Seal Press, c1995.</t>
        </is>
      </c>
      <c r="M1862" t="inlineStr">
        <is>
          <t>1995</t>
        </is>
      </c>
      <c r="O1862" t="inlineStr">
        <is>
          <t>eng</t>
        </is>
      </c>
      <c r="P1862" t="inlineStr">
        <is>
          <t>wau</t>
        </is>
      </c>
      <c r="R1862" t="inlineStr">
        <is>
          <t xml:space="preserve">HQ </t>
        </is>
      </c>
      <c r="S1862" t="n">
        <v>9</v>
      </c>
      <c r="T1862" t="n">
        <v>9</v>
      </c>
      <c r="U1862" t="inlineStr">
        <is>
          <t>2005-11-13</t>
        </is>
      </c>
      <c r="V1862" t="inlineStr">
        <is>
          <t>2005-11-13</t>
        </is>
      </c>
      <c r="W1862" t="inlineStr">
        <is>
          <t>1999-01-11</t>
        </is>
      </c>
      <c r="X1862" t="inlineStr">
        <is>
          <t>1999-01-11</t>
        </is>
      </c>
      <c r="Y1862" t="n">
        <v>192</v>
      </c>
      <c r="Z1862" t="n">
        <v>175</v>
      </c>
      <c r="AA1862" t="n">
        <v>352</v>
      </c>
      <c r="AB1862" t="n">
        <v>1</v>
      </c>
      <c r="AC1862" t="n">
        <v>1</v>
      </c>
      <c r="AD1862" t="n">
        <v>0</v>
      </c>
      <c r="AE1862" t="n">
        <v>0</v>
      </c>
      <c r="AF1862" t="n">
        <v>0</v>
      </c>
      <c r="AG1862" t="n">
        <v>0</v>
      </c>
      <c r="AH1862" t="n">
        <v>0</v>
      </c>
      <c r="AI1862" t="n">
        <v>0</v>
      </c>
      <c r="AJ1862" t="n">
        <v>0</v>
      </c>
      <c r="AK1862" t="n">
        <v>0</v>
      </c>
      <c r="AL1862" t="n">
        <v>0</v>
      </c>
      <c r="AM1862" t="n">
        <v>0</v>
      </c>
      <c r="AN1862" t="n">
        <v>0</v>
      </c>
      <c r="AO1862" t="n">
        <v>0</v>
      </c>
      <c r="AP1862" t="inlineStr">
        <is>
          <t>No</t>
        </is>
      </c>
      <c r="AQ1862" t="inlineStr">
        <is>
          <t>No</t>
        </is>
      </c>
      <c r="AS1862">
        <f>HYPERLINK("https://creighton-primo.hosted.exlibrisgroup.com/primo-explore/search?tab=default_tab&amp;search_scope=EVERYTHING&amp;vid=01CRU&amp;lang=en_US&amp;offset=0&amp;query=any,contains,991002488229702656","Catalog Record")</f>
        <v/>
      </c>
      <c r="AT1862">
        <f>HYPERLINK("http://www.worldcat.org/oclc/32388722","WorldCat Record")</f>
        <v/>
      </c>
      <c r="AU1862" t="inlineStr">
        <is>
          <t>789211:eng</t>
        </is>
      </c>
      <c r="AV1862" t="inlineStr">
        <is>
          <t>32388722</t>
        </is>
      </c>
      <c r="AW1862" t="inlineStr">
        <is>
          <t>991002488229702656</t>
        </is>
      </c>
      <c r="AX1862" t="inlineStr">
        <is>
          <t>991002488229702656</t>
        </is>
      </c>
      <c r="AY1862" t="inlineStr">
        <is>
          <t>2258490100002656</t>
        </is>
      </c>
      <c r="AZ1862" t="inlineStr">
        <is>
          <t>BOOK</t>
        </is>
      </c>
      <c r="BB1862" t="inlineStr">
        <is>
          <t>9781878067685</t>
        </is>
      </c>
      <c r="BC1862" t="inlineStr">
        <is>
          <t>32285003511390</t>
        </is>
      </c>
      <c r="BD1862" t="inlineStr">
        <is>
          <t>893233034</t>
        </is>
      </c>
    </row>
    <row r="1863">
      <c r="A1863" t="inlineStr">
        <is>
          <t>No</t>
        </is>
      </c>
      <c r="B1863" t="inlineStr">
        <is>
          <t>HQ75.53 .W75 1998</t>
        </is>
      </c>
      <c r="C1863" t="inlineStr">
        <is>
          <t>0                      HQ 0075530W  75          1998</t>
        </is>
      </c>
      <c r="D1863" t="inlineStr">
        <is>
          <t>Lesbian step families : an ethnography of love / Janet M. Wright.</t>
        </is>
      </c>
      <c r="F1863" t="inlineStr">
        <is>
          <t>No</t>
        </is>
      </c>
      <c r="G1863" t="inlineStr">
        <is>
          <t>1</t>
        </is>
      </c>
      <c r="H1863" t="inlineStr">
        <is>
          <t>No</t>
        </is>
      </c>
      <c r="I1863" t="inlineStr">
        <is>
          <t>No</t>
        </is>
      </c>
      <c r="J1863" t="inlineStr">
        <is>
          <t>0</t>
        </is>
      </c>
      <c r="K1863" t="inlineStr">
        <is>
          <t>Wright, Janet M.</t>
        </is>
      </c>
      <c r="L1863" t="inlineStr">
        <is>
          <t>New York : Haworth Press, c1998.</t>
        </is>
      </c>
      <c r="M1863" t="inlineStr">
        <is>
          <t>1998</t>
        </is>
      </c>
      <c r="O1863" t="inlineStr">
        <is>
          <t>eng</t>
        </is>
      </c>
      <c r="P1863" t="inlineStr">
        <is>
          <t>nyu</t>
        </is>
      </c>
      <c r="Q1863" t="inlineStr">
        <is>
          <t>Haworth innovations in feminist studies</t>
        </is>
      </c>
      <c r="R1863" t="inlineStr">
        <is>
          <t xml:space="preserve">HQ </t>
        </is>
      </c>
      <c r="S1863" t="n">
        <v>4</v>
      </c>
      <c r="T1863" t="n">
        <v>4</v>
      </c>
      <c r="U1863" t="inlineStr">
        <is>
          <t>2006-03-12</t>
        </is>
      </c>
      <c r="V1863" t="inlineStr">
        <is>
          <t>2006-03-12</t>
        </is>
      </c>
      <c r="W1863" t="inlineStr">
        <is>
          <t>1998-10-08</t>
        </is>
      </c>
      <c r="X1863" t="inlineStr">
        <is>
          <t>1998-10-08</t>
        </is>
      </c>
      <c r="Y1863" t="n">
        <v>363</v>
      </c>
      <c r="Z1863" t="n">
        <v>313</v>
      </c>
      <c r="AA1863" t="n">
        <v>348</v>
      </c>
      <c r="AB1863" t="n">
        <v>5</v>
      </c>
      <c r="AC1863" t="n">
        <v>5</v>
      </c>
      <c r="AD1863" t="n">
        <v>17</v>
      </c>
      <c r="AE1863" t="n">
        <v>17</v>
      </c>
      <c r="AF1863" t="n">
        <v>5</v>
      </c>
      <c r="AG1863" t="n">
        <v>5</v>
      </c>
      <c r="AH1863" t="n">
        <v>4</v>
      </c>
      <c r="AI1863" t="n">
        <v>4</v>
      </c>
      <c r="AJ1863" t="n">
        <v>8</v>
      </c>
      <c r="AK1863" t="n">
        <v>8</v>
      </c>
      <c r="AL1863" t="n">
        <v>4</v>
      </c>
      <c r="AM1863" t="n">
        <v>4</v>
      </c>
      <c r="AN1863" t="n">
        <v>0</v>
      </c>
      <c r="AO1863" t="n">
        <v>0</v>
      </c>
      <c r="AP1863" t="inlineStr">
        <is>
          <t>No</t>
        </is>
      </c>
      <c r="AQ1863" t="inlineStr">
        <is>
          <t>Yes</t>
        </is>
      </c>
      <c r="AR1863">
        <f>HYPERLINK("http://catalog.hathitrust.org/Record/004013754","HathiTrust Record")</f>
        <v/>
      </c>
      <c r="AS1863">
        <f>HYPERLINK("https://creighton-primo.hosted.exlibrisgroup.com/primo-explore/search?tab=default_tab&amp;search_scope=EVERYTHING&amp;vid=01CRU&amp;lang=en_US&amp;offset=0&amp;query=any,contains,991002897169702656","Catalog Record")</f>
        <v/>
      </c>
      <c r="AT1863">
        <f>HYPERLINK("http://www.worldcat.org/oclc/38179878","WorldCat Record")</f>
        <v/>
      </c>
      <c r="AU1863" t="inlineStr">
        <is>
          <t>198602762:eng</t>
        </is>
      </c>
      <c r="AV1863" t="inlineStr">
        <is>
          <t>38179878</t>
        </is>
      </c>
      <c r="AW1863" t="inlineStr">
        <is>
          <t>991002897169702656</t>
        </is>
      </c>
      <c r="AX1863" t="inlineStr">
        <is>
          <t>991002897169702656</t>
        </is>
      </c>
      <c r="AY1863" t="inlineStr">
        <is>
          <t>2265166040002656</t>
        </is>
      </c>
      <c r="AZ1863" t="inlineStr">
        <is>
          <t>BOOK</t>
        </is>
      </c>
      <c r="BB1863" t="inlineStr">
        <is>
          <t>9780789004369</t>
        </is>
      </c>
      <c r="BC1863" t="inlineStr">
        <is>
          <t>32285003474037</t>
        </is>
      </c>
      <c r="BD1863" t="inlineStr">
        <is>
          <t>893793075</t>
        </is>
      </c>
    </row>
    <row r="1864">
      <c r="A1864" t="inlineStr">
        <is>
          <t>No</t>
        </is>
      </c>
      <c r="B1864" t="inlineStr">
        <is>
          <t>HQ75.6.C2 D83 2010</t>
        </is>
      </c>
      <c r="C1864" t="inlineStr">
        <is>
          <t>0                      HQ 0075600C  2                  D  83          2010</t>
        </is>
      </c>
      <c r="D1864" t="inlineStr">
        <is>
          <t>Awfully devoted women : lesbian lives in Canada, 1900-65 / Cameron Duder.</t>
        </is>
      </c>
      <c r="F1864" t="inlineStr">
        <is>
          <t>No</t>
        </is>
      </c>
      <c r="G1864" t="inlineStr">
        <is>
          <t>1</t>
        </is>
      </c>
      <c r="H1864" t="inlineStr">
        <is>
          <t>No</t>
        </is>
      </c>
      <c r="I1864" t="inlineStr">
        <is>
          <t>No</t>
        </is>
      </c>
      <c r="J1864" t="inlineStr">
        <is>
          <t>0</t>
        </is>
      </c>
      <c r="K1864" t="inlineStr">
        <is>
          <t>Duder, Cameron, 1962-</t>
        </is>
      </c>
      <c r="L1864" t="inlineStr">
        <is>
          <t>Vancouver : UBC Press, c2010.</t>
        </is>
      </c>
      <c r="M1864" t="inlineStr">
        <is>
          <t>2010</t>
        </is>
      </c>
      <c r="O1864" t="inlineStr">
        <is>
          <t>eng</t>
        </is>
      </c>
      <c r="P1864" t="inlineStr">
        <is>
          <t>bcc</t>
        </is>
      </c>
      <c r="Q1864" t="inlineStr">
        <is>
          <t>Sexuality studies series, 1706-9940</t>
        </is>
      </c>
      <c r="R1864" t="inlineStr">
        <is>
          <t xml:space="preserve">HQ </t>
        </is>
      </c>
      <c r="S1864" t="n">
        <v>1</v>
      </c>
      <c r="T1864" t="n">
        <v>1</v>
      </c>
      <c r="U1864" t="inlineStr">
        <is>
          <t>2010-11-29</t>
        </is>
      </c>
      <c r="V1864" t="inlineStr">
        <is>
          <t>2010-11-29</t>
        </is>
      </c>
      <c r="W1864" t="inlineStr">
        <is>
          <t>2010-11-29</t>
        </is>
      </c>
      <c r="X1864" t="inlineStr">
        <is>
          <t>2010-11-29</t>
        </is>
      </c>
      <c r="Y1864" t="n">
        <v>198</v>
      </c>
      <c r="Z1864" t="n">
        <v>113</v>
      </c>
      <c r="AA1864" t="n">
        <v>152</v>
      </c>
      <c r="AB1864" t="n">
        <v>2</v>
      </c>
      <c r="AC1864" t="n">
        <v>2</v>
      </c>
      <c r="AD1864" t="n">
        <v>5</v>
      </c>
      <c r="AE1864" t="n">
        <v>5</v>
      </c>
      <c r="AF1864" t="n">
        <v>0</v>
      </c>
      <c r="AG1864" t="n">
        <v>0</v>
      </c>
      <c r="AH1864" t="n">
        <v>2</v>
      </c>
      <c r="AI1864" t="n">
        <v>2</v>
      </c>
      <c r="AJ1864" t="n">
        <v>2</v>
      </c>
      <c r="AK1864" t="n">
        <v>2</v>
      </c>
      <c r="AL1864" t="n">
        <v>1</v>
      </c>
      <c r="AM1864" t="n">
        <v>1</v>
      </c>
      <c r="AN1864" t="n">
        <v>0</v>
      </c>
      <c r="AO1864" t="n">
        <v>0</v>
      </c>
      <c r="AP1864" t="inlineStr">
        <is>
          <t>No</t>
        </is>
      </c>
      <c r="AQ1864" t="inlineStr">
        <is>
          <t>No</t>
        </is>
      </c>
      <c r="AS1864">
        <f>HYPERLINK("https://creighton-primo.hosted.exlibrisgroup.com/primo-explore/search?tab=default_tab&amp;search_scope=EVERYTHING&amp;vid=01CRU&amp;lang=en_US&amp;offset=0&amp;query=any,contains,991000224199702656","Catalog Record")</f>
        <v/>
      </c>
      <c r="AT1864">
        <f>HYPERLINK("http://www.worldcat.org/oclc/471042829","WorldCat Record")</f>
        <v/>
      </c>
      <c r="AU1864" t="inlineStr">
        <is>
          <t>796142626:eng</t>
        </is>
      </c>
      <c r="AV1864" t="inlineStr">
        <is>
          <t>471042829</t>
        </is>
      </c>
      <c r="AW1864" t="inlineStr">
        <is>
          <t>991000224199702656</t>
        </is>
      </c>
      <c r="AX1864" t="inlineStr">
        <is>
          <t>991000224199702656</t>
        </is>
      </c>
      <c r="AY1864" t="inlineStr">
        <is>
          <t>2255259960002656</t>
        </is>
      </c>
      <c r="AZ1864" t="inlineStr">
        <is>
          <t>BOOK</t>
        </is>
      </c>
      <c r="BB1864" t="inlineStr">
        <is>
          <t>9780774817387</t>
        </is>
      </c>
      <c r="BC1864" t="inlineStr">
        <is>
          <t>32285005607477</t>
        </is>
      </c>
      <c r="BD1864" t="inlineStr">
        <is>
          <t>893339402</t>
        </is>
      </c>
    </row>
    <row r="1865">
      <c r="A1865" t="inlineStr">
        <is>
          <t>No</t>
        </is>
      </c>
      <c r="B1865" t="inlineStr">
        <is>
          <t>HQ75.6.G3 S36313 1996</t>
        </is>
      </c>
      <c r="C1865" t="inlineStr">
        <is>
          <t>0                      HQ 0075600G  3                  S  36313       1996</t>
        </is>
      </c>
      <c r="D1865" t="inlineStr">
        <is>
          <t>Days of masquerade : life stories of lesbians during the Third Reich / Claudia Schoppmann ; translated by Allison Brown.</t>
        </is>
      </c>
      <c r="F1865" t="inlineStr">
        <is>
          <t>No</t>
        </is>
      </c>
      <c r="G1865" t="inlineStr">
        <is>
          <t>1</t>
        </is>
      </c>
      <c r="H1865" t="inlineStr">
        <is>
          <t>No</t>
        </is>
      </c>
      <c r="I1865" t="inlineStr">
        <is>
          <t>No</t>
        </is>
      </c>
      <c r="J1865" t="inlineStr">
        <is>
          <t>0</t>
        </is>
      </c>
      <c r="K1865" t="inlineStr">
        <is>
          <t>Schoppmann, Claudia.</t>
        </is>
      </c>
      <c r="L1865" t="inlineStr">
        <is>
          <t>New York : Columbia University Press, c1996.</t>
        </is>
      </c>
      <c r="M1865" t="inlineStr">
        <is>
          <t>1996</t>
        </is>
      </c>
      <c r="O1865" t="inlineStr">
        <is>
          <t>eng</t>
        </is>
      </c>
      <c r="P1865" t="inlineStr">
        <is>
          <t>nyu</t>
        </is>
      </c>
      <c r="Q1865" t="inlineStr">
        <is>
          <t>Between men--between women</t>
        </is>
      </c>
      <c r="R1865" t="inlineStr">
        <is>
          <t xml:space="preserve">HQ </t>
        </is>
      </c>
      <c r="S1865" t="n">
        <v>3</v>
      </c>
      <c r="T1865" t="n">
        <v>3</v>
      </c>
      <c r="U1865" t="inlineStr">
        <is>
          <t>1998-06-12</t>
        </is>
      </c>
      <c r="V1865" t="inlineStr">
        <is>
          <t>1998-06-12</t>
        </is>
      </c>
      <c r="W1865" t="inlineStr">
        <is>
          <t>1996-12-17</t>
        </is>
      </c>
      <c r="X1865" t="inlineStr">
        <is>
          <t>1996-12-17</t>
        </is>
      </c>
      <c r="Y1865" t="n">
        <v>335</v>
      </c>
      <c r="Z1865" t="n">
        <v>272</v>
      </c>
      <c r="AA1865" t="n">
        <v>272</v>
      </c>
      <c r="AB1865" t="n">
        <v>3</v>
      </c>
      <c r="AC1865" t="n">
        <v>3</v>
      </c>
      <c r="AD1865" t="n">
        <v>12</v>
      </c>
      <c r="AE1865" t="n">
        <v>12</v>
      </c>
      <c r="AF1865" t="n">
        <v>5</v>
      </c>
      <c r="AG1865" t="n">
        <v>5</v>
      </c>
      <c r="AH1865" t="n">
        <v>3</v>
      </c>
      <c r="AI1865" t="n">
        <v>3</v>
      </c>
      <c r="AJ1865" t="n">
        <v>6</v>
      </c>
      <c r="AK1865" t="n">
        <v>6</v>
      </c>
      <c r="AL1865" t="n">
        <v>2</v>
      </c>
      <c r="AM1865" t="n">
        <v>2</v>
      </c>
      <c r="AN1865" t="n">
        <v>0</v>
      </c>
      <c r="AO1865" t="n">
        <v>0</v>
      </c>
      <c r="AP1865" t="inlineStr">
        <is>
          <t>No</t>
        </is>
      </c>
      <c r="AQ1865" t="inlineStr">
        <is>
          <t>No</t>
        </is>
      </c>
      <c r="AS1865">
        <f>HYPERLINK("https://creighton-primo.hosted.exlibrisgroup.com/primo-explore/search?tab=default_tab&amp;search_scope=EVERYTHING&amp;vid=01CRU&amp;lang=en_US&amp;offset=0&amp;query=any,contains,991002586729702656","Catalog Record")</f>
        <v/>
      </c>
      <c r="AT1865">
        <f>HYPERLINK("http://www.worldcat.org/oclc/33898311","WorldCat Record")</f>
        <v/>
      </c>
      <c r="AU1865" t="inlineStr">
        <is>
          <t>1151813519:eng</t>
        </is>
      </c>
      <c r="AV1865" t="inlineStr">
        <is>
          <t>33898311</t>
        </is>
      </c>
      <c r="AW1865" t="inlineStr">
        <is>
          <t>991002586729702656</t>
        </is>
      </c>
      <c r="AX1865" t="inlineStr">
        <is>
          <t>991002586729702656</t>
        </is>
      </c>
      <c r="AY1865" t="inlineStr">
        <is>
          <t>2271061550002656</t>
        </is>
      </c>
      <c r="AZ1865" t="inlineStr">
        <is>
          <t>BOOK</t>
        </is>
      </c>
      <c r="BB1865" t="inlineStr">
        <is>
          <t>9780231102209</t>
        </is>
      </c>
      <c r="BC1865" t="inlineStr">
        <is>
          <t>32285002394525</t>
        </is>
      </c>
      <c r="BD1865" t="inlineStr">
        <is>
          <t>893685515</t>
        </is>
      </c>
    </row>
    <row r="1866">
      <c r="A1866" t="inlineStr">
        <is>
          <t>No</t>
        </is>
      </c>
      <c r="B1866" t="inlineStr">
        <is>
          <t>HQ75.6.U5 F35 1999</t>
        </is>
      </c>
      <c r="C1866" t="inlineStr">
        <is>
          <t>0                      HQ 0075600U  5                  F  35          1999</t>
        </is>
      </c>
      <c r="D1866" t="inlineStr">
        <is>
          <t>To believe in women : what lesbians have done for America--a history / Lillian Faderman.</t>
        </is>
      </c>
      <c r="F1866" t="inlineStr">
        <is>
          <t>No</t>
        </is>
      </c>
      <c r="G1866" t="inlineStr">
        <is>
          <t>1</t>
        </is>
      </c>
      <c r="H1866" t="inlineStr">
        <is>
          <t>No</t>
        </is>
      </c>
      <c r="I1866" t="inlineStr">
        <is>
          <t>No</t>
        </is>
      </c>
      <c r="J1866" t="inlineStr">
        <is>
          <t>0</t>
        </is>
      </c>
      <c r="K1866" t="inlineStr">
        <is>
          <t>Faderman, Lillian.</t>
        </is>
      </c>
      <c r="L1866" t="inlineStr">
        <is>
          <t>Boston : Houghton Mifflin, 1999.</t>
        </is>
      </c>
      <c r="M1866" t="inlineStr">
        <is>
          <t>1999</t>
        </is>
      </c>
      <c r="O1866" t="inlineStr">
        <is>
          <t>eng</t>
        </is>
      </c>
      <c r="P1866" t="inlineStr">
        <is>
          <t>mau</t>
        </is>
      </c>
      <c r="R1866" t="inlineStr">
        <is>
          <t xml:space="preserve">HQ </t>
        </is>
      </c>
      <c r="S1866" t="n">
        <v>1</v>
      </c>
      <c r="T1866" t="n">
        <v>1</v>
      </c>
      <c r="U1866" t="inlineStr">
        <is>
          <t>2008-12-12</t>
        </is>
      </c>
      <c r="V1866" t="inlineStr">
        <is>
          <t>2008-12-12</t>
        </is>
      </c>
      <c r="W1866" t="inlineStr">
        <is>
          <t>1999-11-15</t>
        </is>
      </c>
      <c r="X1866" t="inlineStr">
        <is>
          <t>1999-11-15</t>
        </is>
      </c>
      <c r="Y1866" t="n">
        <v>1013</v>
      </c>
      <c r="Z1866" t="n">
        <v>948</v>
      </c>
      <c r="AA1866" t="n">
        <v>986</v>
      </c>
      <c r="AB1866" t="n">
        <v>6</v>
      </c>
      <c r="AC1866" t="n">
        <v>6</v>
      </c>
      <c r="AD1866" t="n">
        <v>34</v>
      </c>
      <c r="AE1866" t="n">
        <v>34</v>
      </c>
      <c r="AF1866" t="n">
        <v>13</v>
      </c>
      <c r="AG1866" t="n">
        <v>13</v>
      </c>
      <c r="AH1866" t="n">
        <v>6</v>
      </c>
      <c r="AI1866" t="n">
        <v>6</v>
      </c>
      <c r="AJ1866" t="n">
        <v>19</v>
      </c>
      <c r="AK1866" t="n">
        <v>19</v>
      </c>
      <c r="AL1866" t="n">
        <v>4</v>
      </c>
      <c r="AM1866" t="n">
        <v>4</v>
      </c>
      <c r="AN1866" t="n">
        <v>0</v>
      </c>
      <c r="AO1866" t="n">
        <v>0</v>
      </c>
      <c r="AP1866" t="inlineStr">
        <is>
          <t>No</t>
        </is>
      </c>
      <c r="AQ1866" t="inlineStr">
        <is>
          <t>No</t>
        </is>
      </c>
      <c r="AS1866">
        <f>HYPERLINK("https://creighton-primo.hosted.exlibrisgroup.com/primo-explore/search?tab=default_tab&amp;search_scope=EVERYTHING&amp;vid=01CRU&amp;lang=en_US&amp;offset=0&amp;query=any,contains,991003017299702656","Catalog Record")</f>
        <v/>
      </c>
      <c r="AT1866">
        <f>HYPERLINK("http://www.worldcat.org/oclc/41049726","WorldCat Record")</f>
        <v/>
      </c>
      <c r="AU1866" t="inlineStr">
        <is>
          <t>917854619:eng</t>
        </is>
      </c>
      <c r="AV1866" t="inlineStr">
        <is>
          <t>41049726</t>
        </is>
      </c>
      <c r="AW1866" t="inlineStr">
        <is>
          <t>991003017299702656</t>
        </is>
      </c>
      <c r="AX1866" t="inlineStr">
        <is>
          <t>991003017299702656</t>
        </is>
      </c>
      <c r="AY1866" t="inlineStr">
        <is>
          <t>2259343750002656</t>
        </is>
      </c>
      <c r="AZ1866" t="inlineStr">
        <is>
          <t>BOOK</t>
        </is>
      </c>
      <c r="BB1866" t="inlineStr">
        <is>
          <t>9780395850107</t>
        </is>
      </c>
      <c r="BC1866" t="inlineStr">
        <is>
          <t>32285003621884</t>
        </is>
      </c>
      <c r="BD1866" t="inlineStr">
        <is>
          <t>893598168</t>
        </is>
      </c>
    </row>
    <row r="1867">
      <c r="A1867" t="inlineStr">
        <is>
          <t>No</t>
        </is>
      </c>
      <c r="B1867" t="inlineStr">
        <is>
          <t>HQ75.6.U5 G36 2006</t>
        </is>
      </c>
      <c r="C1867" t="inlineStr">
        <is>
          <t>0                      HQ 0075600U  5                  G  36          2006</t>
        </is>
      </c>
      <c r="D1867" t="inlineStr">
        <is>
          <t>Different daughters : a history of the Daughters of Bilitis and the rise of the lesbian rights movement / Marcia M. Gallo.</t>
        </is>
      </c>
      <c r="F1867" t="inlineStr">
        <is>
          <t>No</t>
        </is>
      </c>
      <c r="G1867" t="inlineStr">
        <is>
          <t>1</t>
        </is>
      </c>
      <c r="H1867" t="inlineStr">
        <is>
          <t>No</t>
        </is>
      </c>
      <c r="I1867" t="inlineStr">
        <is>
          <t>No</t>
        </is>
      </c>
      <c r="J1867" t="inlineStr">
        <is>
          <t>0</t>
        </is>
      </c>
      <c r="K1867" t="inlineStr">
        <is>
          <t>Gallo, Marcia M.</t>
        </is>
      </c>
      <c r="L1867" t="inlineStr">
        <is>
          <t>New York : Carroll &amp; Graf Publishers, 2006.</t>
        </is>
      </c>
      <c r="M1867" t="inlineStr">
        <is>
          <t>2006</t>
        </is>
      </c>
      <c r="N1867" t="inlineStr">
        <is>
          <t>1st Carroll &amp; Graf ed.</t>
        </is>
      </c>
      <c r="O1867" t="inlineStr">
        <is>
          <t>eng</t>
        </is>
      </c>
      <c r="P1867" t="inlineStr">
        <is>
          <t>nyu</t>
        </is>
      </c>
      <c r="R1867" t="inlineStr">
        <is>
          <t xml:space="preserve">HQ </t>
        </is>
      </c>
      <c r="S1867" t="n">
        <v>1</v>
      </c>
      <c r="T1867" t="n">
        <v>1</v>
      </c>
      <c r="U1867" t="inlineStr">
        <is>
          <t>2007-06-20</t>
        </is>
      </c>
      <c r="V1867" t="inlineStr">
        <is>
          <t>2007-06-20</t>
        </is>
      </c>
      <c r="W1867" t="inlineStr">
        <is>
          <t>2007-06-20</t>
        </is>
      </c>
      <c r="X1867" t="inlineStr">
        <is>
          <t>2007-06-20</t>
        </is>
      </c>
      <c r="Y1867" t="n">
        <v>627</v>
      </c>
      <c r="Z1867" t="n">
        <v>589</v>
      </c>
      <c r="AA1867" t="n">
        <v>634</v>
      </c>
      <c r="AB1867" t="n">
        <v>2</v>
      </c>
      <c r="AC1867" t="n">
        <v>3</v>
      </c>
      <c r="AD1867" t="n">
        <v>22</v>
      </c>
      <c r="AE1867" t="n">
        <v>24</v>
      </c>
      <c r="AF1867" t="n">
        <v>7</v>
      </c>
      <c r="AG1867" t="n">
        <v>8</v>
      </c>
      <c r="AH1867" t="n">
        <v>6</v>
      </c>
      <c r="AI1867" t="n">
        <v>7</v>
      </c>
      <c r="AJ1867" t="n">
        <v>12</v>
      </c>
      <c r="AK1867" t="n">
        <v>12</v>
      </c>
      <c r="AL1867" t="n">
        <v>1</v>
      </c>
      <c r="AM1867" t="n">
        <v>2</v>
      </c>
      <c r="AN1867" t="n">
        <v>1</v>
      </c>
      <c r="AO1867" t="n">
        <v>1</v>
      </c>
      <c r="AP1867" t="inlineStr">
        <is>
          <t>No</t>
        </is>
      </c>
      <c r="AQ1867" t="inlineStr">
        <is>
          <t>No</t>
        </is>
      </c>
      <c r="AS1867">
        <f>HYPERLINK("https://creighton-primo.hosted.exlibrisgroup.com/primo-explore/search?tab=default_tab&amp;search_scope=EVERYTHING&amp;vid=01CRU&amp;lang=en_US&amp;offset=0&amp;query=any,contains,991005089139702656","Catalog Record")</f>
        <v/>
      </c>
      <c r="AT1867">
        <f>HYPERLINK("http://www.worldcat.org/oclc/72002732","WorldCat Record")</f>
        <v/>
      </c>
      <c r="AU1867" t="inlineStr">
        <is>
          <t>198183613:eng</t>
        </is>
      </c>
      <c r="AV1867" t="inlineStr">
        <is>
          <t>72002732</t>
        </is>
      </c>
      <c r="AW1867" t="inlineStr">
        <is>
          <t>991005089139702656</t>
        </is>
      </c>
      <c r="AX1867" t="inlineStr">
        <is>
          <t>991005089139702656</t>
        </is>
      </c>
      <c r="AY1867" t="inlineStr">
        <is>
          <t>2272648320002656</t>
        </is>
      </c>
      <c r="AZ1867" t="inlineStr">
        <is>
          <t>BOOK</t>
        </is>
      </c>
      <c r="BB1867" t="inlineStr">
        <is>
          <t>9780786716340</t>
        </is>
      </c>
      <c r="BC1867" t="inlineStr">
        <is>
          <t>32285005318166</t>
        </is>
      </c>
      <c r="BD1867" t="inlineStr">
        <is>
          <t>893606808</t>
        </is>
      </c>
    </row>
    <row r="1868">
      <c r="A1868" t="inlineStr">
        <is>
          <t>No</t>
        </is>
      </c>
      <c r="B1868" t="inlineStr">
        <is>
          <t>HQ75.6.U5 G39 1998</t>
        </is>
      </c>
      <c r="C1868" t="inlineStr">
        <is>
          <t>0                      HQ 0075600U  5                  G  39          1998</t>
        </is>
      </c>
      <c r="D1868" t="inlineStr">
        <is>
          <t>Gay old girls / by Zsa Zsa Gershick.</t>
        </is>
      </c>
      <c r="F1868" t="inlineStr">
        <is>
          <t>No</t>
        </is>
      </c>
      <c r="G1868" t="inlineStr">
        <is>
          <t>1</t>
        </is>
      </c>
      <c r="H1868" t="inlineStr">
        <is>
          <t>No</t>
        </is>
      </c>
      <c r="I1868" t="inlineStr">
        <is>
          <t>No</t>
        </is>
      </c>
      <c r="J1868" t="inlineStr">
        <is>
          <t>0</t>
        </is>
      </c>
      <c r="L1868" t="inlineStr">
        <is>
          <t>Los Angeles : Alyson Publications, 1998.</t>
        </is>
      </c>
      <c r="M1868" t="inlineStr">
        <is>
          <t>1998</t>
        </is>
      </c>
      <c r="N1868" t="inlineStr">
        <is>
          <t>1st ed.</t>
        </is>
      </c>
      <c r="O1868" t="inlineStr">
        <is>
          <t>eng</t>
        </is>
      </c>
      <c r="P1868" t="inlineStr">
        <is>
          <t>cau</t>
        </is>
      </c>
      <c r="R1868" t="inlineStr">
        <is>
          <t xml:space="preserve">HQ </t>
        </is>
      </c>
      <c r="S1868" t="n">
        <v>5</v>
      </c>
      <c r="T1868" t="n">
        <v>5</v>
      </c>
      <c r="U1868" t="inlineStr">
        <is>
          <t>2008-12-12</t>
        </is>
      </c>
      <c r="V1868" t="inlineStr">
        <is>
          <t>2008-12-12</t>
        </is>
      </c>
      <c r="W1868" t="inlineStr">
        <is>
          <t>1999-12-15</t>
        </is>
      </c>
      <c r="X1868" t="inlineStr">
        <is>
          <t>1999-12-15</t>
        </is>
      </c>
      <c r="Y1868" t="n">
        <v>153</v>
      </c>
      <c r="Z1868" t="n">
        <v>140</v>
      </c>
      <c r="AA1868" t="n">
        <v>147</v>
      </c>
      <c r="AB1868" t="n">
        <v>3</v>
      </c>
      <c r="AC1868" t="n">
        <v>3</v>
      </c>
      <c r="AD1868" t="n">
        <v>6</v>
      </c>
      <c r="AE1868" t="n">
        <v>6</v>
      </c>
      <c r="AF1868" t="n">
        <v>1</v>
      </c>
      <c r="AG1868" t="n">
        <v>1</v>
      </c>
      <c r="AH1868" t="n">
        <v>1</v>
      </c>
      <c r="AI1868" t="n">
        <v>1</v>
      </c>
      <c r="AJ1868" t="n">
        <v>3</v>
      </c>
      <c r="AK1868" t="n">
        <v>3</v>
      </c>
      <c r="AL1868" t="n">
        <v>2</v>
      </c>
      <c r="AM1868" t="n">
        <v>2</v>
      </c>
      <c r="AN1868" t="n">
        <v>0</v>
      </c>
      <c r="AO1868" t="n">
        <v>0</v>
      </c>
      <c r="AP1868" t="inlineStr">
        <is>
          <t>No</t>
        </is>
      </c>
      <c r="AQ1868" t="inlineStr">
        <is>
          <t>Yes</t>
        </is>
      </c>
      <c r="AR1868">
        <f>HYPERLINK("http://catalog.hathitrust.org/Record/004301333","HathiTrust Record")</f>
        <v/>
      </c>
      <c r="AS1868">
        <f>HYPERLINK("https://creighton-primo.hosted.exlibrisgroup.com/primo-explore/search?tab=default_tab&amp;search_scope=EVERYTHING&amp;vid=01CRU&amp;lang=en_US&amp;offset=0&amp;query=any,contains,991002945649702656","Catalog Record")</f>
        <v/>
      </c>
      <c r="AT1868">
        <f>HYPERLINK("http://www.worldcat.org/oclc/39223574","WorldCat Record")</f>
        <v/>
      </c>
      <c r="AU1868" t="inlineStr">
        <is>
          <t>544389:eng</t>
        </is>
      </c>
      <c r="AV1868" t="inlineStr">
        <is>
          <t>39223574</t>
        </is>
      </c>
      <c r="AW1868" t="inlineStr">
        <is>
          <t>991002945649702656</t>
        </is>
      </c>
      <c r="AX1868" t="inlineStr">
        <is>
          <t>991002945649702656</t>
        </is>
      </c>
      <c r="AY1868" t="inlineStr">
        <is>
          <t>2270663730002656</t>
        </is>
      </c>
      <c r="AZ1868" t="inlineStr">
        <is>
          <t>BOOK</t>
        </is>
      </c>
      <c r="BB1868" t="inlineStr">
        <is>
          <t>9781555834760</t>
        </is>
      </c>
      <c r="BC1868" t="inlineStr">
        <is>
          <t>32285003633749</t>
        </is>
      </c>
      <c r="BD1868" t="inlineStr">
        <is>
          <t>893342060</t>
        </is>
      </c>
    </row>
    <row r="1869">
      <c r="A1869" t="inlineStr">
        <is>
          <t>No</t>
        </is>
      </c>
      <c r="B1869" t="inlineStr">
        <is>
          <t>HQ75.6.U5 H65 2000</t>
        </is>
      </c>
      <c r="C1869" t="inlineStr">
        <is>
          <t>0                      HQ 0075600U  5                  H  65          2000</t>
        </is>
      </c>
      <c r="D1869" t="inlineStr">
        <is>
          <t>My dangerous desires : a queer girl dreaming her way home / Amber L. Hollibaugh ; foreword by Dorothy Allison.</t>
        </is>
      </c>
      <c r="F1869" t="inlineStr">
        <is>
          <t>No</t>
        </is>
      </c>
      <c r="G1869" t="inlineStr">
        <is>
          <t>1</t>
        </is>
      </c>
      <c r="H1869" t="inlineStr">
        <is>
          <t>No</t>
        </is>
      </c>
      <c r="I1869" t="inlineStr">
        <is>
          <t>No</t>
        </is>
      </c>
      <c r="J1869" t="inlineStr">
        <is>
          <t>0</t>
        </is>
      </c>
      <c r="K1869" t="inlineStr">
        <is>
          <t>Hollibaugh, Amber L., 1946-</t>
        </is>
      </c>
      <c r="L1869" t="inlineStr">
        <is>
          <t>Durham, NC : Duke University Press, 2000.</t>
        </is>
      </c>
      <c r="M1869" t="inlineStr">
        <is>
          <t>2000</t>
        </is>
      </c>
      <c r="O1869" t="inlineStr">
        <is>
          <t>eng</t>
        </is>
      </c>
      <c r="P1869" t="inlineStr">
        <is>
          <t>ncu</t>
        </is>
      </c>
      <c r="Q1869" t="inlineStr">
        <is>
          <t>Series Q</t>
        </is>
      </c>
      <c r="R1869" t="inlineStr">
        <is>
          <t xml:space="preserve">HQ </t>
        </is>
      </c>
      <c r="S1869" t="n">
        <v>2</v>
      </c>
      <c r="T1869" t="n">
        <v>2</v>
      </c>
      <c r="U1869" t="inlineStr">
        <is>
          <t>2001-05-16</t>
        </is>
      </c>
      <c r="V1869" t="inlineStr">
        <is>
          <t>2001-05-16</t>
        </is>
      </c>
      <c r="W1869" t="inlineStr">
        <is>
          <t>2001-01-04</t>
        </is>
      </c>
      <c r="X1869" t="inlineStr">
        <is>
          <t>2001-01-04</t>
        </is>
      </c>
      <c r="Y1869" t="n">
        <v>425</v>
      </c>
      <c r="Z1869" t="n">
        <v>371</v>
      </c>
      <c r="AA1869" t="n">
        <v>378</v>
      </c>
      <c r="AB1869" t="n">
        <v>2</v>
      </c>
      <c r="AC1869" t="n">
        <v>2</v>
      </c>
      <c r="AD1869" t="n">
        <v>16</v>
      </c>
      <c r="AE1869" t="n">
        <v>16</v>
      </c>
      <c r="AF1869" t="n">
        <v>6</v>
      </c>
      <c r="AG1869" t="n">
        <v>6</v>
      </c>
      <c r="AH1869" t="n">
        <v>6</v>
      </c>
      <c r="AI1869" t="n">
        <v>6</v>
      </c>
      <c r="AJ1869" t="n">
        <v>9</v>
      </c>
      <c r="AK1869" t="n">
        <v>9</v>
      </c>
      <c r="AL1869" t="n">
        <v>1</v>
      </c>
      <c r="AM1869" t="n">
        <v>1</v>
      </c>
      <c r="AN1869" t="n">
        <v>0</v>
      </c>
      <c r="AO1869" t="n">
        <v>0</v>
      </c>
      <c r="AP1869" t="inlineStr">
        <is>
          <t>No</t>
        </is>
      </c>
      <c r="AQ1869" t="inlineStr">
        <is>
          <t>Yes</t>
        </is>
      </c>
      <c r="AR1869">
        <f>HYPERLINK("http://catalog.hathitrust.org/Record/004138096","HathiTrust Record")</f>
        <v/>
      </c>
      <c r="AS1869">
        <f>HYPERLINK("https://creighton-primo.hosted.exlibrisgroup.com/primo-explore/search?tab=default_tab&amp;search_scope=EVERYTHING&amp;vid=01CRU&amp;lang=en_US&amp;offset=0&amp;query=any,contains,991003329269702656","Catalog Record")</f>
        <v/>
      </c>
      <c r="AT1869">
        <f>HYPERLINK("http://www.worldcat.org/oclc/43885668","WorldCat Record")</f>
        <v/>
      </c>
      <c r="AU1869" t="inlineStr">
        <is>
          <t>836676148:eng</t>
        </is>
      </c>
      <c r="AV1869" t="inlineStr">
        <is>
          <t>43885668</t>
        </is>
      </c>
      <c r="AW1869" t="inlineStr">
        <is>
          <t>991003329269702656</t>
        </is>
      </c>
      <c r="AX1869" t="inlineStr">
        <is>
          <t>991003329269702656</t>
        </is>
      </c>
      <c r="AY1869" t="inlineStr">
        <is>
          <t>2255543970002656</t>
        </is>
      </c>
      <c r="AZ1869" t="inlineStr">
        <is>
          <t>BOOK</t>
        </is>
      </c>
      <c r="BB1869" t="inlineStr">
        <is>
          <t>9780822326199</t>
        </is>
      </c>
      <c r="BC1869" t="inlineStr">
        <is>
          <t>32285004279641</t>
        </is>
      </c>
      <c r="BD1869" t="inlineStr">
        <is>
          <t>893604681</t>
        </is>
      </c>
    </row>
    <row r="1870">
      <c r="A1870" t="inlineStr">
        <is>
          <t>No</t>
        </is>
      </c>
      <c r="B1870" t="inlineStr">
        <is>
          <t>HQ75.6.U5 I56 1996</t>
        </is>
      </c>
      <c r="C1870" t="inlineStr">
        <is>
          <t>0                      HQ 0075600U  5                  I  56          1996</t>
        </is>
      </c>
      <c r="D1870" t="inlineStr">
        <is>
          <t>Inventing lesbian cultures in America / edited by Ellen Lewin.</t>
        </is>
      </c>
      <c r="F1870" t="inlineStr">
        <is>
          <t>No</t>
        </is>
      </c>
      <c r="G1870" t="inlineStr">
        <is>
          <t>1</t>
        </is>
      </c>
      <c r="H1870" t="inlineStr">
        <is>
          <t>No</t>
        </is>
      </c>
      <c r="I1870" t="inlineStr">
        <is>
          <t>No</t>
        </is>
      </c>
      <c r="J1870" t="inlineStr">
        <is>
          <t>0</t>
        </is>
      </c>
      <c r="L1870" t="inlineStr">
        <is>
          <t>Boston, Mass. : Beacon Press, c1996.</t>
        </is>
      </c>
      <c r="M1870" t="inlineStr">
        <is>
          <t>1996</t>
        </is>
      </c>
      <c r="O1870" t="inlineStr">
        <is>
          <t>eng</t>
        </is>
      </c>
      <c r="P1870" t="inlineStr">
        <is>
          <t>mau</t>
        </is>
      </c>
      <c r="R1870" t="inlineStr">
        <is>
          <t xml:space="preserve">HQ </t>
        </is>
      </c>
      <c r="S1870" t="n">
        <v>7</v>
      </c>
      <c r="T1870" t="n">
        <v>7</v>
      </c>
      <c r="U1870" t="inlineStr">
        <is>
          <t>1997-09-14</t>
        </is>
      </c>
      <c r="V1870" t="inlineStr">
        <is>
          <t>1997-09-14</t>
        </is>
      </c>
      <c r="W1870" t="inlineStr">
        <is>
          <t>1997-02-13</t>
        </is>
      </c>
      <c r="X1870" t="inlineStr">
        <is>
          <t>1997-02-13</t>
        </is>
      </c>
      <c r="Y1870" t="n">
        <v>299</v>
      </c>
      <c r="Z1870" t="n">
        <v>256</v>
      </c>
      <c r="AA1870" t="n">
        <v>264</v>
      </c>
      <c r="AB1870" t="n">
        <v>2</v>
      </c>
      <c r="AC1870" t="n">
        <v>2</v>
      </c>
      <c r="AD1870" t="n">
        <v>11</v>
      </c>
      <c r="AE1870" t="n">
        <v>11</v>
      </c>
      <c r="AF1870" t="n">
        <v>2</v>
      </c>
      <c r="AG1870" t="n">
        <v>2</v>
      </c>
      <c r="AH1870" t="n">
        <v>2</v>
      </c>
      <c r="AI1870" t="n">
        <v>2</v>
      </c>
      <c r="AJ1870" t="n">
        <v>8</v>
      </c>
      <c r="AK1870" t="n">
        <v>8</v>
      </c>
      <c r="AL1870" t="n">
        <v>1</v>
      </c>
      <c r="AM1870" t="n">
        <v>1</v>
      </c>
      <c r="AN1870" t="n">
        <v>0</v>
      </c>
      <c r="AO1870" t="n">
        <v>0</v>
      </c>
      <c r="AP1870" t="inlineStr">
        <is>
          <t>No</t>
        </is>
      </c>
      <c r="AQ1870" t="inlineStr">
        <is>
          <t>Yes</t>
        </is>
      </c>
      <c r="AR1870">
        <f>HYPERLINK("http://catalog.hathitrust.org/Record/101980462","HathiTrust Record")</f>
        <v/>
      </c>
      <c r="AS1870">
        <f>HYPERLINK("https://creighton-primo.hosted.exlibrisgroup.com/primo-explore/search?tab=default_tab&amp;search_scope=EVERYTHING&amp;vid=01CRU&amp;lang=en_US&amp;offset=0&amp;query=any,contains,991002622139702656","Catalog Record")</f>
        <v/>
      </c>
      <c r="AT1870">
        <f>HYPERLINK("http://www.worldcat.org/oclc/34355897","WorldCat Record")</f>
        <v/>
      </c>
      <c r="AU1870" t="inlineStr">
        <is>
          <t>39264219:eng</t>
        </is>
      </c>
      <c r="AV1870" t="inlineStr">
        <is>
          <t>34355897</t>
        </is>
      </c>
      <c r="AW1870" t="inlineStr">
        <is>
          <t>991002622139702656</t>
        </is>
      </c>
      <c r="AX1870" t="inlineStr">
        <is>
          <t>991002622139702656</t>
        </is>
      </c>
      <c r="AY1870" t="inlineStr">
        <is>
          <t>2266644980002656</t>
        </is>
      </c>
      <c r="AZ1870" t="inlineStr">
        <is>
          <t>BOOK</t>
        </is>
      </c>
      <c r="BB1870" t="inlineStr">
        <is>
          <t>9780807079423</t>
        </is>
      </c>
      <c r="BC1870" t="inlineStr">
        <is>
          <t>32285002430725</t>
        </is>
      </c>
      <c r="BD1870" t="inlineStr">
        <is>
          <t>893773823</t>
        </is>
      </c>
    </row>
    <row r="1871">
      <c r="A1871" t="inlineStr">
        <is>
          <t>No</t>
        </is>
      </c>
      <c r="B1871" t="inlineStr">
        <is>
          <t>HQ75.6.U5 K47 1994</t>
        </is>
      </c>
      <c r="C1871" t="inlineStr">
        <is>
          <t>0                      HQ 0075600U  5                  K  47          1994</t>
        </is>
      </c>
      <c r="D1871" t="inlineStr">
        <is>
          <t>Boots of leather, slippers of gold : the history of a lesbian community / Elizabeth Lapovsky Kennedy, Madeline D. Davis.</t>
        </is>
      </c>
      <c r="F1871" t="inlineStr">
        <is>
          <t>No</t>
        </is>
      </c>
      <c r="G1871" t="inlineStr">
        <is>
          <t>1</t>
        </is>
      </c>
      <c r="H1871" t="inlineStr">
        <is>
          <t>No</t>
        </is>
      </c>
      <c r="I1871" t="inlineStr">
        <is>
          <t>No</t>
        </is>
      </c>
      <c r="J1871" t="inlineStr">
        <is>
          <t>0</t>
        </is>
      </c>
      <c r="K1871" t="inlineStr">
        <is>
          <t>Kennedy, Elizabeth Lapovsky, 1939-</t>
        </is>
      </c>
      <c r="L1871" t="inlineStr">
        <is>
          <t>New York : Penguin Books, c1994.</t>
        </is>
      </c>
      <c r="M1871" t="inlineStr">
        <is>
          <t>1994</t>
        </is>
      </c>
      <c r="O1871" t="inlineStr">
        <is>
          <t>eng</t>
        </is>
      </c>
      <c r="P1871" t="inlineStr">
        <is>
          <t>nyu</t>
        </is>
      </c>
      <c r="R1871" t="inlineStr">
        <is>
          <t xml:space="preserve">HQ </t>
        </is>
      </c>
      <c r="S1871" t="n">
        <v>3</v>
      </c>
      <c r="T1871" t="n">
        <v>3</v>
      </c>
      <c r="U1871" t="inlineStr">
        <is>
          <t>2004-10-13</t>
        </is>
      </c>
      <c r="V1871" t="inlineStr">
        <is>
          <t>2004-10-13</t>
        </is>
      </c>
      <c r="W1871" t="inlineStr">
        <is>
          <t>1996-11-13</t>
        </is>
      </c>
      <c r="X1871" t="inlineStr">
        <is>
          <t>1996-11-13</t>
        </is>
      </c>
      <c r="Y1871" t="n">
        <v>197</v>
      </c>
      <c r="Z1871" t="n">
        <v>165</v>
      </c>
      <c r="AA1871" t="n">
        <v>694</v>
      </c>
      <c r="AB1871" t="n">
        <v>2</v>
      </c>
      <c r="AC1871" t="n">
        <v>4</v>
      </c>
      <c r="AD1871" t="n">
        <v>6</v>
      </c>
      <c r="AE1871" t="n">
        <v>27</v>
      </c>
      <c r="AF1871" t="n">
        <v>4</v>
      </c>
      <c r="AG1871" t="n">
        <v>11</v>
      </c>
      <c r="AH1871" t="n">
        <v>1</v>
      </c>
      <c r="AI1871" t="n">
        <v>8</v>
      </c>
      <c r="AJ1871" t="n">
        <v>2</v>
      </c>
      <c r="AK1871" t="n">
        <v>14</v>
      </c>
      <c r="AL1871" t="n">
        <v>1</v>
      </c>
      <c r="AM1871" t="n">
        <v>3</v>
      </c>
      <c r="AN1871" t="n">
        <v>0</v>
      </c>
      <c r="AO1871" t="n">
        <v>0</v>
      </c>
      <c r="AP1871" t="inlineStr">
        <is>
          <t>No</t>
        </is>
      </c>
      <c r="AQ1871" t="inlineStr">
        <is>
          <t>No</t>
        </is>
      </c>
      <c r="AS1871">
        <f>HYPERLINK("https://creighton-primo.hosted.exlibrisgroup.com/primo-explore/search?tab=default_tab&amp;search_scope=EVERYTHING&amp;vid=01CRU&amp;lang=en_US&amp;offset=0&amp;query=any,contains,991002344559702656","Catalog Record")</f>
        <v/>
      </c>
      <c r="AT1871">
        <f>HYPERLINK("http://www.worldcat.org/oclc/30518515","WorldCat Record")</f>
        <v/>
      </c>
      <c r="AU1871" t="inlineStr">
        <is>
          <t>795693703:eng</t>
        </is>
      </c>
      <c r="AV1871" t="inlineStr">
        <is>
          <t>30518515</t>
        </is>
      </c>
      <c r="AW1871" t="inlineStr">
        <is>
          <t>991002344559702656</t>
        </is>
      </c>
      <c r="AX1871" t="inlineStr">
        <is>
          <t>991002344559702656</t>
        </is>
      </c>
      <c r="AY1871" t="inlineStr">
        <is>
          <t>2267378070002656</t>
        </is>
      </c>
      <c r="AZ1871" t="inlineStr">
        <is>
          <t>BOOK</t>
        </is>
      </c>
      <c r="BB1871" t="inlineStr">
        <is>
          <t>9780140235500</t>
        </is>
      </c>
      <c r="BC1871" t="inlineStr">
        <is>
          <t>32285002372364</t>
        </is>
      </c>
      <c r="BD1871" t="inlineStr">
        <is>
          <t>893591246</t>
        </is>
      </c>
    </row>
    <row r="1872">
      <c r="A1872" t="inlineStr">
        <is>
          <t>No</t>
        </is>
      </c>
      <c r="B1872" t="inlineStr">
        <is>
          <t>HQ75.6.U5 N48 1996</t>
        </is>
      </c>
      <c r="C1872" t="inlineStr">
        <is>
          <t>0                      HQ 0075600U  5                  N  48          1996</t>
        </is>
      </c>
      <c r="D1872" t="inlineStr">
        <is>
          <t>The new our right to love : a lesbian resource book / Ginny Vida, editor ; Karol D. Lightner, assistant editor, Tanya Viger, assistant editor.</t>
        </is>
      </c>
      <c r="F1872" t="inlineStr">
        <is>
          <t>No</t>
        </is>
      </c>
      <c r="G1872" t="inlineStr">
        <is>
          <t>1</t>
        </is>
      </c>
      <c r="H1872" t="inlineStr">
        <is>
          <t>No</t>
        </is>
      </c>
      <c r="I1872" t="inlineStr">
        <is>
          <t>No</t>
        </is>
      </c>
      <c r="J1872" t="inlineStr">
        <is>
          <t>0</t>
        </is>
      </c>
      <c r="L1872" t="inlineStr">
        <is>
          <t>New York, N.Y. : Touchstone Book, c1996.</t>
        </is>
      </c>
      <c r="M1872" t="inlineStr">
        <is>
          <t>1996</t>
        </is>
      </c>
      <c r="O1872" t="inlineStr">
        <is>
          <t>eng</t>
        </is>
      </c>
      <c r="P1872" t="inlineStr">
        <is>
          <t>nyu</t>
        </is>
      </c>
      <c r="R1872" t="inlineStr">
        <is>
          <t xml:space="preserve">HQ </t>
        </is>
      </c>
      <c r="S1872" t="n">
        <v>6</v>
      </c>
      <c r="T1872" t="n">
        <v>6</v>
      </c>
      <c r="U1872" t="inlineStr">
        <is>
          <t>1999-06-07</t>
        </is>
      </c>
      <c r="V1872" t="inlineStr">
        <is>
          <t>1999-06-07</t>
        </is>
      </c>
      <c r="W1872" t="inlineStr">
        <is>
          <t>1997-01-09</t>
        </is>
      </c>
      <c r="X1872" t="inlineStr">
        <is>
          <t>1997-01-09</t>
        </is>
      </c>
      <c r="Y1872" t="n">
        <v>293</v>
      </c>
      <c r="Z1872" t="n">
        <v>267</v>
      </c>
      <c r="AA1872" t="n">
        <v>292</v>
      </c>
      <c r="AB1872" t="n">
        <v>1</v>
      </c>
      <c r="AC1872" t="n">
        <v>1</v>
      </c>
      <c r="AD1872" t="n">
        <v>1</v>
      </c>
      <c r="AE1872" t="n">
        <v>1</v>
      </c>
      <c r="AF1872" t="n">
        <v>0</v>
      </c>
      <c r="AG1872" t="n">
        <v>0</v>
      </c>
      <c r="AH1872" t="n">
        <v>0</v>
      </c>
      <c r="AI1872" t="n">
        <v>0</v>
      </c>
      <c r="AJ1872" t="n">
        <v>1</v>
      </c>
      <c r="AK1872" t="n">
        <v>1</v>
      </c>
      <c r="AL1872" t="n">
        <v>0</v>
      </c>
      <c r="AM1872" t="n">
        <v>0</v>
      </c>
      <c r="AN1872" t="n">
        <v>0</v>
      </c>
      <c r="AO1872" t="n">
        <v>0</v>
      </c>
      <c r="AP1872" t="inlineStr">
        <is>
          <t>No</t>
        </is>
      </c>
      <c r="AQ1872" t="inlineStr">
        <is>
          <t>Yes</t>
        </is>
      </c>
      <c r="AR1872">
        <f>HYPERLINK("http://catalog.hathitrust.org/Record/003062845","HathiTrust Record")</f>
        <v/>
      </c>
      <c r="AS1872">
        <f>HYPERLINK("https://creighton-primo.hosted.exlibrisgroup.com/primo-explore/search?tab=default_tab&amp;search_scope=EVERYTHING&amp;vid=01CRU&amp;lang=en_US&amp;offset=0&amp;query=any,contains,991002607939702656","Catalog Record")</f>
        <v/>
      </c>
      <c r="AT1872">
        <f>HYPERLINK("http://www.worldcat.org/oclc/34151424","WorldCat Record")</f>
        <v/>
      </c>
      <c r="AU1872" t="inlineStr">
        <is>
          <t>341668839:eng</t>
        </is>
      </c>
      <c r="AV1872" t="inlineStr">
        <is>
          <t>34151424</t>
        </is>
      </c>
      <c r="AW1872" t="inlineStr">
        <is>
          <t>991002607939702656</t>
        </is>
      </c>
      <c r="AX1872" t="inlineStr">
        <is>
          <t>991002607939702656</t>
        </is>
      </c>
      <c r="AY1872" t="inlineStr">
        <is>
          <t>2261778930002656</t>
        </is>
      </c>
      <c r="AZ1872" t="inlineStr">
        <is>
          <t>BOOK</t>
        </is>
      </c>
      <c r="BB1872" t="inlineStr">
        <is>
          <t>9780684806822</t>
        </is>
      </c>
      <c r="BC1872" t="inlineStr">
        <is>
          <t>32285002405784</t>
        </is>
      </c>
      <c r="BD1872" t="inlineStr">
        <is>
          <t>893804801</t>
        </is>
      </c>
    </row>
    <row r="1873">
      <c r="A1873" t="inlineStr">
        <is>
          <t>No</t>
        </is>
      </c>
      <c r="B1873" t="inlineStr">
        <is>
          <t>HQ75.6.U5 R63 2008</t>
        </is>
      </c>
      <c r="C1873" t="inlineStr">
        <is>
          <t>0                      HQ 0075600U  5                  R  63          2008</t>
        </is>
      </c>
      <c r="D1873" t="inlineStr">
        <is>
          <t>The web : social control in a lesbian community / Christine M. Robinson.</t>
        </is>
      </c>
      <c r="F1873" t="inlineStr">
        <is>
          <t>No</t>
        </is>
      </c>
      <c r="G1873" t="inlineStr">
        <is>
          <t>1</t>
        </is>
      </c>
      <c r="H1873" t="inlineStr">
        <is>
          <t>No</t>
        </is>
      </c>
      <c r="I1873" t="inlineStr">
        <is>
          <t>No</t>
        </is>
      </c>
      <c r="J1873" t="inlineStr">
        <is>
          <t>0</t>
        </is>
      </c>
      <c r="K1873" t="inlineStr">
        <is>
          <t>Robinson, Christine M.</t>
        </is>
      </c>
      <c r="L1873" t="inlineStr">
        <is>
          <t>Lanham : University Press of America, c2008.</t>
        </is>
      </c>
      <c r="M1873" t="inlineStr">
        <is>
          <t>2008</t>
        </is>
      </c>
      <c r="O1873" t="inlineStr">
        <is>
          <t>eng</t>
        </is>
      </c>
      <c r="P1873" t="inlineStr">
        <is>
          <t>mdu</t>
        </is>
      </c>
      <c r="R1873" t="inlineStr">
        <is>
          <t xml:space="preserve">HQ </t>
        </is>
      </c>
      <c r="S1873" t="n">
        <v>1</v>
      </c>
      <c r="T1873" t="n">
        <v>1</v>
      </c>
      <c r="U1873" t="inlineStr">
        <is>
          <t>2009-02-17</t>
        </is>
      </c>
      <c r="V1873" t="inlineStr">
        <is>
          <t>2009-02-17</t>
        </is>
      </c>
      <c r="W1873" t="inlineStr">
        <is>
          <t>2009-02-17</t>
        </is>
      </c>
      <c r="X1873" t="inlineStr">
        <is>
          <t>2009-02-17</t>
        </is>
      </c>
      <c r="Y1873" t="n">
        <v>196</v>
      </c>
      <c r="Z1873" t="n">
        <v>164</v>
      </c>
      <c r="AA1873" t="n">
        <v>167</v>
      </c>
      <c r="AB1873" t="n">
        <v>2</v>
      </c>
      <c r="AC1873" t="n">
        <v>2</v>
      </c>
      <c r="AD1873" t="n">
        <v>9</v>
      </c>
      <c r="AE1873" t="n">
        <v>9</v>
      </c>
      <c r="AF1873" t="n">
        <v>2</v>
      </c>
      <c r="AG1873" t="n">
        <v>2</v>
      </c>
      <c r="AH1873" t="n">
        <v>3</v>
      </c>
      <c r="AI1873" t="n">
        <v>3</v>
      </c>
      <c r="AJ1873" t="n">
        <v>5</v>
      </c>
      <c r="AK1873" t="n">
        <v>5</v>
      </c>
      <c r="AL1873" t="n">
        <v>1</v>
      </c>
      <c r="AM1873" t="n">
        <v>1</v>
      </c>
      <c r="AN1873" t="n">
        <v>0</v>
      </c>
      <c r="AO1873" t="n">
        <v>0</v>
      </c>
      <c r="AP1873" t="inlineStr">
        <is>
          <t>No</t>
        </is>
      </c>
      <c r="AQ1873" t="inlineStr">
        <is>
          <t>Yes</t>
        </is>
      </c>
      <c r="AR1873">
        <f>HYPERLINK("http://catalog.hathitrust.org/Record/005669775","HathiTrust Record")</f>
        <v/>
      </c>
      <c r="AS1873">
        <f>HYPERLINK("https://creighton-primo.hosted.exlibrisgroup.com/primo-explore/search?tab=default_tab&amp;search_scope=EVERYTHING&amp;vid=01CRU&amp;lang=en_US&amp;offset=0&amp;query=any,contains,991005296209702656","Catalog Record")</f>
        <v/>
      </c>
      <c r="AT1873">
        <f>HYPERLINK("http://www.worldcat.org/oclc/214934125","WorldCat Record")</f>
        <v/>
      </c>
      <c r="AU1873" t="inlineStr">
        <is>
          <t>195996838:eng</t>
        </is>
      </c>
      <c r="AV1873" t="inlineStr">
        <is>
          <t>214934125</t>
        </is>
      </c>
      <c r="AW1873" t="inlineStr">
        <is>
          <t>991005296209702656</t>
        </is>
      </c>
      <c r="AX1873" t="inlineStr">
        <is>
          <t>991005296209702656</t>
        </is>
      </c>
      <c r="AY1873" t="inlineStr">
        <is>
          <t>2270923210002656</t>
        </is>
      </c>
      <c r="AZ1873" t="inlineStr">
        <is>
          <t>BOOK</t>
        </is>
      </c>
      <c r="BB1873" t="inlineStr">
        <is>
          <t>9780761839019</t>
        </is>
      </c>
      <c r="BC1873" t="inlineStr">
        <is>
          <t>32285005505184</t>
        </is>
      </c>
      <c r="BD1873" t="inlineStr">
        <is>
          <t>893777175</t>
        </is>
      </c>
    </row>
    <row r="1874">
      <c r="A1874" t="inlineStr">
        <is>
          <t>No</t>
        </is>
      </c>
      <c r="B1874" t="inlineStr">
        <is>
          <t>HQ75.6.U5 V35 1996</t>
        </is>
      </c>
      <c r="C1874" t="inlineStr">
        <is>
          <t>0                      HQ 0075600U  5                  V  35          1996</t>
        </is>
      </c>
      <c r="D1874" t="inlineStr">
        <is>
          <t>The girls next door : into the heart of lesbian America / Lindsy Van Gelder, Pamela Robin Brandt.</t>
        </is>
      </c>
      <c r="F1874" t="inlineStr">
        <is>
          <t>No</t>
        </is>
      </c>
      <c r="G1874" t="inlineStr">
        <is>
          <t>1</t>
        </is>
      </c>
      <c r="H1874" t="inlineStr">
        <is>
          <t>No</t>
        </is>
      </c>
      <c r="I1874" t="inlineStr">
        <is>
          <t>No</t>
        </is>
      </c>
      <c r="J1874" t="inlineStr">
        <is>
          <t>0</t>
        </is>
      </c>
      <c r="K1874" t="inlineStr">
        <is>
          <t>Van Gelder, Lindsy.</t>
        </is>
      </c>
      <c r="L1874" t="inlineStr">
        <is>
          <t>New York, NY : Simon &amp; Schuster, c1996.</t>
        </is>
      </c>
      <c r="M1874" t="inlineStr">
        <is>
          <t>1996</t>
        </is>
      </c>
      <c r="O1874" t="inlineStr">
        <is>
          <t>eng</t>
        </is>
      </c>
      <c r="P1874" t="inlineStr">
        <is>
          <t>nyu</t>
        </is>
      </c>
      <c r="R1874" t="inlineStr">
        <is>
          <t xml:space="preserve">HQ </t>
        </is>
      </c>
      <c r="S1874" t="n">
        <v>4</v>
      </c>
      <c r="T1874" t="n">
        <v>4</v>
      </c>
      <c r="U1874" t="inlineStr">
        <is>
          <t>1997-10-09</t>
        </is>
      </c>
      <c r="V1874" t="inlineStr">
        <is>
          <t>1997-10-09</t>
        </is>
      </c>
      <c r="W1874" t="inlineStr">
        <is>
          <t>1996-09-24</t>
        </is>
      </c>
      <c r="X1874" t="inlineStr">
        <is>
          <t>1996-09-24</t>
        </is>
      </c>
      <c r="Y1874" t="n">
        <v>477</v>
      </c>
      <c r="Z1874" t="n">
        <v>440</v>
      </c>
      <c r="AA1874" t="n">
        <v>504</v>
      </c>
      <c r="AB1874" t="n">
        <v>5</v>
      </c>
      <c r="AC1874" t="n">
        <v>5</v>
      </c>
      <c r="AD1874" t="n">
        <v>13</v>
      </c>
      <c r="AE1874" t="n">
        <v>15</v>
      </c>
      <c r="AF1874" t="n">
        <v>4</v>
      </c>
      <c r="AG1874" t="n">
        <v>4</v>
      </c>
      <c r="AH1874" t="n">
        <v>1</v>
      </c>
      <c r="AI1874" t="n">
        <v>3</v>
      </c>
      <c r="AJ1874" t="n">
        <v>8</v>
      </c>
      <c r="AK1874" t="n">
        <v>9</v>
      </c>
      <c r="AL1874" t="n">
        <v>3</v>
      </c>
      <c r="AM1874" t="n">
        <v>3</v>
      </c>
      <c r="AN1874" t="n">
        <v>0</v>
      </c>
      <c r="AO1874" t="n">
        <v>0</v>
      </c>
      <c r="AP1874" t="inlineStr">
        <is>
          <t>No</t>
        </is>
      </c>
      <c r="AQ1874" t="inlineStr">
        <is>
          <t>Yes</t>
        </is>
      </c>
      <c r="AR1874">
        <f>HYPERLINK("http://catalog.hathitrust.org/Record/003065751","HathiTrust Record")</f>
        <v/>
      </c>
      <c r="AS1874">
        <f>HYPERLINK("https://creighton-primo.hosted.exlibrisgroup.com/primo-explore/search?tab=default_tab&amp;search_scope=EVERYTHING&amp;vid=01CRU&amp;lang=en_US&amp;offset=0&amp;query=any,contains,991002626279702656","Catalog Record")</f>
        <v/>
      </c>
      <c r="AT1874">
        <f>HYPERLINK("http://www.worldcat.org/oclc/34412987","WorldCat Record")</f>
        <v/>
      </c>
      <c r="AU1874" t="inlineStr">
        <is>
          <t>572779:eng</t>
        </is>
      </c>
      <c r="AV1874" t="inlineStr">
        <is>
          <t>34412987</t>
        </is>
      </c>
      <c r="AW1874" t="inlineStr">
        <is>
          <t>991002626279702656</t>
        </is>
      </c>
      <c r="AX1874" t="inlineStr">
        <is>
          <t>991002626279702656</t>
        </is>
      </c>
      <c r="AY1874" t="inlineStr">
        <is>
          <t>2260661730002656</t>
        </is>
      </c>
      <c r="AZ1874" t="inlineStr">
        <is>
          <t>BOOK</t>
        </is>
      </c>
      <c r="BB1874" t="inlineStr">
        <is>
          <t>9780684811185</t>
        </is>
      </c>
      <c r="BC1874" t="inlineStr">
        <is>
          <t>32285002318748</t>
        </is>
      </c>
      <c r="BD1874" t="inlineStr">
        <is>
          <t>893440334</t>
        </is>
      </c>
    </row>
    <row r="1875">
      <c r="A1875" t="inlineStr">
        <is>
          <t>No</t>
        </is>
      </c>
      <c r="B1875" t="inlineStr">
        <is>
          <t>HQ75.7 .B69 1996</t>
        </is>
      </c>
      <c r="C1875" t="inlineStr">
        <is>
          <t>0                      HQ 0075700B  69          1996</t>
        </is>
      </c>
      <c r="D1875" t="inlineStr">
        <is>
          <t>Boys like us : gay writers tell their coming out stories / edited by Patrick Merla.</t>
        </is>
      </c>
      <c r="F1875" t="inlineStr">
        <is>
          <t>No</t>
        </is>
      </c>
      <c r="G1875" t="inlineStr">
        <is>
          <t>1</t>
        </is>
      </c>
      <c r="H1875" t="inlineStr">
        <is>
          <t>No</t>
        </is>
      </c>
      <c r="I1875" t="inlineStr">
        <is>
          <t>No</t>
        </is>
      </c>
      <c r="J1875" t="inlineStr">
        <is>
          <t>0</t>
        </is>
      </c>
      <c r="L1875" t="inlineStr">
        <is>
          <t>New York : Avon Books, c1996.</t>
        </is>
      </c>
      <c r="M1875" t="inlineStr">
        <is>
          <t>1996</t>
        </is>
      </c>
      <c r="N1875" t="inlineStr">
        <is>
          <t>1st ed.</t>
        </is>
      </c>
      <c r="O1875" t="inlineStr">
        <is>
          <t>eng</t>
        </is>
      </c>
      <c r="P1875" t="inlineStr">
        <is>
          <t>nyu</t>
        </is>
      </c>
      <c r="R1875" t="inlineStr">
        <is>
          <t xml:space="preserve">HQ </t>
        </is>
      </c>
      <c r="S1875" t="n">
        <v>6</v>
      </c>
      <c r="T1875" t="n">
        <v>6</v>
      </c>
      <c r="U1875" t="inlineStr">
        <is>
          <t>2000-04-04</t>
        </is>
      </c>
      <c r="V1875" t="inlineStr">
        <is>
          <t>2000-04-04</t>
        </is>
      </c>
      <c r="W1875" t="inlineStr">
        <is>
          <t>1997-04-28</t>
        </is>
      </c>
      <c r="X1875" t="inlineStr">
        <is>
          <t>1997-04-28</t>
        </is>
      </c>
      <c r="Y1875" t="n">
        <v>433</v>
      </c>
      <c r="Z1875" t="n">
        <v>399</v>
      </c>
      <c r="AA1875" t="n">
        <v>405</v>
      </c>
      <c r="AB1875" t="n">
        <v>6</v>
      </c>
      <c r="AC1875" t="n">
        <v>6</v>
      </c>
      <c r="AD1875" t="n">
        <v>12</v>
      </c>
      <c r="AE1875" t="n">
        <v>12</v>
      </c>
      <c r="AF1875" t="n">
        <v>2</v>
      </c>
      <c r="AG1875" t="n">
        <v>2</v>
      </c>
      <c r="AH1875" t="n">
        <v>2</v>
      </c>
      <c r="AI1875" t="n">
        <v>2</v>
      </c>
      <c r="AJ1875" t="n">
        <v>8</v>
      </c>
      <c r="AK1875" t="n">
        <v>8</v>
      </c>
      <c r="AL1875" t="n">
        <v>3</v>
      </c>
      <c r="AM1875" t="n">
        <v>3</v>
      </c>
      <c r="AN1875" t="n">
        <v>0</v>
      </c>
      <c r="AO1875" t="n">
        <v>0</v>
      </c>
      <c r="AP1875" t="inlineStr">
        <is>
          <t>No</t>
        </is>
      </c>
      <c r="AQ1875" t="inlineStr">
        <is>
          <t>Yes</t>
        </is>
      </c>
      <c r="AR1875">
        <f>HYPERLINK("http://catalog.hathitrust.org/Record/003110560","HathiTrust Record")</f>
        <v/>
      </c>
      <c r="AS1875">
        <f>HYPERLINK("https://creighton-primo.hosted.exlibrisgroup.com/primo-explore/search?tab=default_tab&amp;search_scope=EVERYTHING&amp;vid=01CRU&amp;lang=en_US&amp;offset=0&amp;query=any,contains,991002662189702656","Catalog Record")</f>
        <v/>
      </c>
      <c r="AT1875">
        <f>HYPERLINK("http://www.worldcat.org/oclc/34788643","WorldCat Record")</f>
        <v/>
      </c>
      <c r="AU1875" t="inlineStr">
        <is>
          <t>375322291:eng</t>
        </is>
      </c>
      <c r="AV1875" t="inlineStr">
        <is>
          <t>34788643</t>
        </is>
      </c>
      <c r="AW1875" t="inlineStr">
        <is>
          <t>991002662189702656</t>
        </is>
      </c>
      <c r="AX1875" t="inlineStr">
        <is>
          <t>991002662189702656</t>
        </is>
      </c>
      <c r="AY1875" t="inlineStr">
        <is>
          <t>2261119800002656</t>
        </is>
      </c>
      <c r="AZ1875" t="inlineStr">
        <is>
          <t>BOOK</t>
        </is>
      </c>
      <c r="BB1875" t="inlineStr">
        <is>
          <t>9780380973408</t>
        </is>
      </c>
      <c r="BC1875" t="inlineStr">
        <is>
          <t>32285002541455</t>
        </is>
      </c>
      <c r="BD1875" t="inlineStr">
        <is>
          <t>893899043</t>
        </is>
      </c>
    </row>
    <row r="1876">
      <c r="A1876" t="inlineStr">
        <is>
          <t>No</t>
        </is>
      </c>
      <c r="B1876" t="inlineStr">
        <is>
          <t>HQ75.7 .L66 1999</t>
        </is>
      </c>
      <c r="C1876" t="inlineStr">
        <is>
          <t>0                      HQ 0075700L  66          1999</t>
        </is>
      </c>
      <c r="D1876" t="inlineStr">
        <is>
          <t>Longtime companions : autobiographies of gay male fidelity / Alfred Lees, Ronald Nelson, editors.</t>
        </is>
      </c>
      <c r="F1876" t="inlineStr">
        <is>
          <t>No</t>
        </is>
      </c>
      <c r="G1876" t="inlineStr">
        <is>
          <t>1</t>
        </is>
      </c>
      <c r="H1876" t="inlineStr">
        <is>
          <t>No</t>
        </is>
      </c>
      <c r="I1876" t="inlineStr">
        <is>
          <t>No</t>
        </is>
      </c>
      <c r="J1876" t="inlineStr">
        <is>
          <t>0</t>
        </is>
      </c>
      <c r="L1876" t="inlineStr">
        <is>
          <t>New York : Haworth Press, c1999.</t>
        </is>
      </c>
      <c r="M1876" t="inlineStr">
        <is>
          <t>1999</t>
        </is>
      </c>
      <c r="O1876" t="inlineStr">
        <is>
          <t>eng</t>
        </is>
      </c>
      <c r="P1876" t="inlineStr">
        <is>
          <t>nyu</t>
        </is>
      </c>
      <c r="Q1876" t="inlineStr">
        <is>
          <t>Haworth gay &amp; lesbian studies</t>
        </is>
      </c>
      <c r="R1876" t="inlineStr">
        <is>
          <t xml:space="preserve">HQ </t>
        </is>
      </c>
      <c r="S1876" t="n">
        <v>5</v>
      </c>
      <c r="T1876" t="n">
        <v>5</v>
      </c>
      <c r="U1876" t="inlineStr">
        <is>
          <t>2000-05-26</t>
        </is>
      </c>
      <c r="V1876" t="inlineStr">
        <is>
          <t>2000-05-26</t>
        </is>
      </c>
      <c r="W1876" t="inlineStr">
        <is>
          <t>1999-12-13</t>
        </is>
      </c>
      <c r="X1876" t="inlineStr">
        <is>
          <t>1999-12-13</t>
        </is>
      </c>
      <c r="Y1876" t="n">
        <v>123</v>
      </c>
      <c r="Z1876" t="n">
        <v>116</v>
      </c>
      <c r="AA1876" t="n">
        <v>156</v>
      </c>
      <c r="AB1876" t="n">
        <v>3</v>
      </c>
      <c r="AC1876" t="n">
        <v>3</v>
      </c>
      <c r="AD1876" t="n">
        <v>8</v>
      </c>
      <c r="AE1876" t="n">
        <v>8</v>
      </c>
      <c r="AF1876" t="n">
        <v>1</v>
      </c>
      <c r="AG1876" t="n">
        <v>1</v>
      </c>
      <c r="AH1876" t="n">
        <v>2</v>
      </c>
      <c r="AI1876" t="n">
        <v>2</v>
      </c>
      <c r="AJ1876" t="n">
        <v>4</v>
      </c>
      <c r="AK1876" t="n">
        <v>4</v>
      </c>
      <c r="AL1876" t="n">
        <v>2</v>
      </c>
      <c r="AM1876" t="n">
        <v>2</v>
      </c>
      <c r="AN1876" t="n">
        <v>0</v>
      </c>
      <c r="AO1876" t="n">
        <v>0</v>
      </c>
      <c r="AP1876" t="inlineStr">
        <is>
          <t>No</t>
        </is>
      </c>
      <c r="AQ1876" t="inlineStr">
        <is>
          <t>No</t>
        </is>
      </c>
      <c r="AS1876">
        <f>HYPERLINK("https://creighton-primo.hosted.exlibrisgroup.com/primo-explore/search?tab=default_tab&amp;search_scope=EVERYTHING&amp;vid=01CRU&amp;lang=en_US&amp;offset=0&amp;query=any,contains,991005429499702656","Catalog Record")</f>
        <v/>
      </c>
      <c r="AT1876">
        <f>HYPERLINK("http://www.worldcat.org/oclc/39951784","WorldCat Record")</f>
        <v/>
      </c>
      <c r="AU1876" t="inlineStr">
        <is>
          <t>836978525:eng</t>
        </is>
      </c>
      <c r="AV1876" t="inlineStr">
        <is>
          <t>39951784</t>
        </is>
      </c>
      <c r="AW1876" t="inlineStr">
        <is>
          <t>991005429499702656</t>
        </is>
      </c>
      <c r="AX1876" t="inlineStr">
        <is>
          <t>991005429499702656</t>
        </is>
      </c>
      <c r="AY1876" t="inlineStr">
        <is>
          <t>2267196070002656</t>
        </is>
      </c>
      <c r="AZ1876" t="inlineStr">
        <is>
          <t>BOOK</t>
        </is>
      </c>
      <c r="BB1876" t="inlineStr">
        <is>
          <t>9780789006417</t>
        </is>
      </c>
      <c r="BC1876" t="inlineStr">
        <is>
          <t>32285003632527</t>
        </is>
      </c>
      <c r="BD1876" t="inlineStr">
        <is>
          <t>893431497</t>
        </is>
      </c>
    </row>
    <row r="1877">
      <c r="A1877" t="inlineStr">
        <is>
          <t>No</t>
        </is>
      </c>
      <c r="B1877" t="inlineStr">
        <is>
          <t>HQ75.7 .M37 1982</t>
        </is>
      </c>
      <c r="C1877" t="inlineStr">
        <is>
          <t>0                      HQ 0075700M  37          1982</t>
        </is>
      </c>
      <c r="D1877" t="inlineStr">
        <is>
          <t>Sons of Harvard : gay men from the class of 1967 / Toby Marotta.</t>
        </is>
      </c>
      <c r="F1877" t="inlineStr">
        <is>
          <t>No</t>
        </is>
      </c>
      <c r="G1877" t="inlineStr">
        <is>
          <t>1</t>
        </is>
      </c>
      <c r="H1877" t="inlineStr">
        <is>
          <t>No</t>
        </is>
      </c>
      <c r="I1877" t="inlineStr">
        <is>
          <t>No</t>
        </is>
      </c>
      <c r="J1877" t="inlineStr">
        <is>
          <t>0</t>
        </is>
      </c>
      <c r="K1877" t="inlineStr">
        <is>
          <t>Marotta, Toby.</t>
        </is>
      </c>
      <c r="L1877" t="inlineStr">
        <is>
          <t>New York : Morrow, 1982.</t>
        </is>
      </c>
      <c r="M1877" t="inlineStr">
        <is>
          <t>1982</t>
        </is>
      </c>
      <c r="N1877" t="inlineStr">
        <is>
          <t>1st ed.</t>
        </is>
      </c>
      <c r="O1877" t="inlineStr">
        <is>
          <t>eng</t>
        </is>
      </c>
      <c r="P1877" t="inlineStr">
        <is>
          <t>nyu</t>
        </is>
      </c>
      <c r="R1877" t="inlineStr">
        <is>
          <t xml:space="preserve">HQ </t>
        </is>
      </c>
      <c r="S1877" t="n">
        <v>3</v>
      </c>
      <c r="T1877" t="n">
        <v>3</v>
      </c>
      <c r="U1877" t="inlineStr">
        <is>
          <t>2003-04-29</t>
        </is>
      </c>
      <c r="V1877" t="inlineStr">
        <is>
          <t>2003-04-29</t>
        </is>
      </c>
      <c r="W1877" t="inlineStr">
        <is>
          <t>1992-10-22</t>
        </is>
      </c>
      <c r="X1877" t="inlineStr">
        <is>
          <t>1992-10-22</t>
        </is>
      </c>
      <c r="Y1877" t="n">
        <v>198</v>
      </c>
      <c r="Z1877" t="n">
        <v>183</v>
      </c>
      <c r="AA1877" t="n">
        <v>235</v>
      </c>
      <c r="AB1877" t="n">
        <v>3</v>
      </c>
      <c r="AC1877" t="n">
        <v>3</v>
      </c>
      <c r="AD1877" t="n">
        <v>6</v>
      </c>
      <c r="AE1877" t="n">
        <v>10</v>
      </c>
      <c r="AF1877" t="n">
        <v>1</v>
      </c>
      <c r="AG1877" t="n">
        <v>3</v>
      </c>
      <c r="AH1877" t="n">
        <v>1</v>
      </c>
      <c r="AI1877" t="n">
        <v>2</v>
      </c>
      <c r="AJ1877" t="n">
        <v>4</v>
      </c>
      <c r="AK1877" t="n">
        <v>4</v>
      </c>
      <c r="AL1877" t="n">
        <v>2</v>
      </c>
      <c r="AM1877" t="n">
        <v>2</v>
      </c>
      <c r="AN1877" t="n">
        <v>0</v>
      </c>
      <c r="AO1877" t="n">
        <v>1</v>
      </c>
      <c r="AP1877" t="inlineStr">
        <is>
          <t>No</t>
        </is>
      </c>
      <c r="AQ1877" t="inlineStr">
        <is>
          <t>Yes</t>
        </is>
      </c>
      <c r="AR1877">
        <f>HYPERLINK("http://catalog.hathitrust.org/Record/000762655","HathiTrust Record")</f>
        <v/>
      </c>
      <c r="AS1877">
        <f>HYPERLINK("https://creighton-primo.hosted.exlibrisgroup.com/primo-explore/search?tab=default_tab&amp;search_scope=EVERYTHING&amp;vid=01CRU&amp;lang=en_US&amp;offset=0&amp;query=any,contains,991005176149702656","Catalog Record")</f>
        <v/>
      </c>
      <c r="AT1877">
        <f>HYPERLINK("http://www.worldcat.org/oclc/7923297","WorldCat Record")</f>
        <v/>
      </c>
      <c r="AU1877" t="inlineStr">
        <is>
          <t>30266895:eng</t>
        </is>
      </c>
      <c r="AV1877" t="inlineStr">
        <is>
          <t>7923297</t>
        </is>
      </c>
      <c r="AW1877" t="inlineStr">
        <is>
          <t>991005176149702656</t>
        </is>
      </c>
      <c r="AX1877" t="inlineStr">
        <is>
          <t>991005176149702656</t>
        </is>
      </c>
      <c r="AY1877" t="inlineStr">
        <is>
          <t>2269271510002656</t>
        </is>
      </c>
      <c r="AZ1877" t="inlineStr">
        <is>
          <t>BOOK</t>
        </is>
      </c>
      <c r="BB1877" t="inlineStr">
        <is>
          <t>9780688010201</t>
        </is>
      </c>
      <c r="BC1877" t="inlineStr">
        <is>
          <t>32285001358273</t>
        </is>
      </c>
      <c r="BD1877" t="inlineStr">
        <is>
          <t>893260674</t>
        </is>
      </c>
    </row>
    <row r="1878">
      <c r="A1878" t="inlineStr">
        <is>
          <t>No</t>
        </is>
      </c>
      <c r="B1878" t="inlineStr">
        <is>
          <t>HQ75.8.B38 A3 1986</t>
        </is>
      </c>
      <c r="C1878" t="inlineStr">
        <is>
          <t>0                      HQ 0075800B  38                 A  3           1986</t>
        </is>
      </c>
      <c r="D1878" t="inlineStr">
        <is>
          <t>The gentleman from Maryland : the conscience of a gay conservative / by Robert E. Bauman.</t>
        </is>
      </c>
      <c r="F1878" t="inlineStr">
        <is>
          <t>No</t>
        </is>
      </c>
      <c r="G1878" t="inlineStr">
        <is>
          <t>1</t>
        </is>
      </c>
      <c r="H1878" t="inlineStr">
        <is>
          <t>No</t>
        </is>
      </c>
      <c r="I1878" t="inlineStr">
        <is>
          <t>No</t>
        </is>
      </c>
      <c r="J1878" t="inlineStr">
        <is>
          <t>0</t>
        </is>
      </c>
      <c r="K1878" t="inlineStr">
        <is>
          <t>Bauman, Robert, 1937-</t>
        </is>
      </c>
      <c r="L1878" t="inlineStr">
        <is>
          <t>New York : Arbor House, c1986.</t>
        </is>
      </c>
      <c r="M1878" t="inlineStr">
        <is>
          <t>1986</t>
        </is>
      </c>
      <c r="O1878" t="inlineStr">
        <is>
          <t>eng</t>
        </is>
      </c>
      <c r="P1878" t="inlineStr">
        <is>
          <t>nyu</t>
        </is>
      </c>
      <c r="R1878" t="inlineStr">
        <is>
          <t xml:space="preserve">HQ </t>
        </is>
      </c>
      <c r="S1878" t="n">
        <v>8</v>
      </c>
      <c r="T1878" t="n">
        <v>8</v>
      </c>
      <c r="U1878" t="inlineStr">
        <is>
          <t>1995-11-11</t>
        </is>
      </c>
      <c r="V1878" t="inlineStr">
        <is>
          <t>1995-11-11</t>
        </is>
      </c>
      <c r="W1878" t="inlineStr">
        <is>
          <t>1992-07-08</t>
        </is>
      </c>
      <c r="X1878" t="inlineStr">
        <is>
          <t>1992-07-08</t>
        </is>
      </c>
      <c r="Y1878" t="n">
        <v>375</v>
      </c>
      <c r="Z1878" t="n">
        <v>359</v>
      </c>
      <c r="AA1878" t="n">
        <v>378</v>
      </c>
      <c r="AB1878" t="n">
        <v>6</v>
      </c>
      <c r="AC1878" t="n">
        <v>6</v>
      </c>
      <c r="AD1878" t="n">
        <v>15</v>
      </c>
      <c r="AE1878" t="n">
        <v>17</v>
      </c>
      <c r="AF1878" t="n">
        <v>4</v>
      </c>
      <c r="AG1878" t="n">
        <v>5</v>
      </c>
      <c r="AH1878" t="n">
        <v>3</v>
      </c>
      <c r="AI1878" t="n">
        <v>4</v>
      </c>
      <c r="AJ1878" t="n">
        <v>10</v>
      </c>
      <c r="AK1878" t="n">
        <v>10</v>
      </c>
      <c r="AL1878" t="n">
        <v>2</v>
      </c>
      <c r="AM1878" t="n">
        <v>2</v>
      </c>
      <c r="AN1878" t="n">
        <v>1</v>
      </c>
      <c r="AO1878" t="n">
        <v>1</v>
      </c>
      <c r="AP1878" t="inlineStr">
        <is>
          <t>No</t>
        </is>
      </c>
      <c r="AQ1878" t="inlineStr">
        <is>
          <t>Yes</t>
        </is>
      </c>
      <c r="AR1878">
        <f>HYPERLINK("http://catalog.hathitrust.org/Record/009513197","HathiTrust Record")</f>
        <v/>
      </c>
      <c r="AS1878">
        <f>HYPERLINK("https://creighton-primo.hosted.exlibrisgroup.com/primo-explore/search?tab=default_tab&amp;search_scope=EVERYTHING&amp;vid=01CRU&amp;lang=en_US&amp;offset=0&amp;query=any,contains,991000808809702656","Catalog Record")</f>
        <v/>
      </c>
      <c r="AT1878">
        <f>HYPERLINK("http://www.worldcat.org/oclc/13328486","WorldCat Record")</f>
        <v/>
      </c>
      <c r="AU1878" t="inlineStr">
        <is>
          <t>7389857:eng</t>
        </is>
      </c>
      <c r="AV1878" t="inlineStr">
        <is>
          <t>13328486</t>
        </is>
      </c>
      <c r="AW1878" t="inlineStr">
        <is>
          <t>991000808809702656</t>
        </is>
      </c>
      <c r="AX1878" t="inlineStr">
        <is>
          <t>991000808809702656</t>
        </is>
      </c>
      <c r="AY1878" t="inlineStr">
        <is>
          <t>2258498820002656</t>
        </is>
      </c>
      <c r="AZ1878" t="inlineStr">
        <is>
          <t>BOOK</t>
        </is>
      </c>
      <c r="BB1878" t="inlineStr">
        <is>
          <t>9780877956860</t>
        </is>
      </c>
      <c r="BC1878" t="inlineStr">
        <is>
          <t>32285001157287</t>
        </is>
      </c>
      <c r="BD1878" t="inlineStr">
        <is>
          <t>893702452</t>
        </is>
      </c>
    </row>
    <row r="1879">
      <c r="A1879" t="inlineStr">
        <is>
          <t>No</t>
        </is>
      </c>
      <c r="B1879" t="inlineStr">
        <is>
          <t>HQ75.8.D43 A3 1996</t>
        </is>
      </c>
      <c r="C1879" t="inlineStr">
        <is>
          <t>0                      HQ 0075800D  43                 A  3           1996</t>
        </is>
      </c>
      <c r="D1879" t="inlineStr">
        <is>
          <t>A boy named Phyllis : a suburban memoir / by Frank DeCaro.</t>
        </is>
      </c>
      <c r="F1879" t="inlineStr">
        <is>
          <t>No</t>
        </is>
      </c>
      <c r="G1879" t="inlineStr">
        <is>
          <t>1</t>
        </is>
      </c>
      <c r="H1879" t="inlineStr">
        <is>
          <t>No</t>
        </is>
      </c>
      <c r="I1879" t="inlineStr">
        <is>
          <t>No</t>
        </is>
      </c>
      <c r="J1879" t="inlineStr">
        <is>
          <t>0</t>
        </is>
      </c>
      <c r="K1879" t="inlineStr">
        <is>
          <t>DeCaro, Frank, 1962-</t>
        </is>
      </c>
      <c r="L1879" t="inlineStr">
        <is>
          <t>New York : Viking, 1996.</t>
        </is>
      </c>
      <c r="M1879" t="inlineStr">
        <is>
          <t>1996</t>
        </is>
      </c>
      <c r="O1879" t="inlineStr">
        <is>
          <t>eng</t>
        </is>
      </c>
      <c r="P1879" t="inlineStr">
        <is>
          <t>nyu</t>
        </is>
      </c>
      <c r="R1879" t="inlineStr">
        <is>
          <t xml:space="preserve">HQ </t>
        </is>
      </c>
      <c r="S1879" t="n">
        <v>5</v>
      </c>
      <c r="T1879" t="n">
        <v>5</v>
      </c>
      <c r="U1879" t="inlineStr">
        <is>
          <t>2007-07-10</t>
        </is>
      </c>
      <c r="V1879" t="inlineStr">
        <is>
          <t>2007-07-10</t>
        </is>
      </c>
      <c r="W1879" t="inlineStr">
        <is>
          <t>1999-12-13</t>
        </is>
      </c>
      <c r="X1879" t="inlineStr">
        <is>
          <t>1999-12-13</t>
        </is>
      </c>
      <c r="Y1879" t="n">
        <v>261</v>
      </c>
      <c r="Z1879" t="n">
        <v>249</v>
      </c>
      <c r="AA1879" t="n">
        <v>299</v>
      </c>
      <c r="AB1879" t="n">
        <v>3</v>
      </c>
      <c r="AC1879" t="n">
        <v>3</v>
      </c>
      <c r="AD1879" t="n">
        <v>6</v>
      </c>
      <c r="AE1879" t="n">
        <v>8</v>
      </c>
      <c r="AF1879" t="n">
        <v>0</v>
      </c>
      <c r="AG1879" t="n">
        <v>1</v>
      </c>
      <c r="AH1879" t="n">
        <v>2</v>
      </c>
      <c r="AI1879" t="n">
        <v>3</v>
      </c>
      <c r="AJ1879" t="n">
        <v>3</v>
      </c>
      <c r="AK1879" t="n">
        <v>3</v>
      </c>
      <c r="AL1879" t="n">
        <v>2</v>
      </c>
      <c r="AM1879" t="n">
        <v>2</v>
      </c>
      <c r="AN1879" t="n">
        <v>0</v>
      </c>
      <c r="AO1879" t="n">
        <v>0</v>
      </c>
      <c r="AP1879" t="inlineStr">
        <is>
          <t>No</t>
        </is>
      </c>
      <c r="AQ1879" t="inlineStr">
        <is>
          <t>Yes</t>
        </is>
      </c>
      <c r="AR1879">
        <f>HYPERLINK("http://catalog.hathitrust.org/Record/003067395","HathiTrust Record")</f>
        <v/>
      </c>
      <c r="AS1879">
        <f>HYPERLINK("https://creighton-primo.hosted.exlibrisgroup.com/primo-explore/search?tab=default_tab&amp;search_scope=EVERYTHING&amp;vid=01CRU&amp;lang=en_US&amp;offset=0&amp;query=any,contains,991002593499702656","Catalog Record")</f>
        <v/>
      </c>
      <c r="AT1879">
        <f>HYPERLINK("http://www.worldcat.org/oclc/33971039","WorldCat Record")</f>
        <v/>
      </c>
      <c r="AU1879" t="inlineStr">
        <is>
          <t>594543:eng</t>
        </is>
      </c>
      <c r="AV1879" t="inlineStr">
        <is>
          <t>33971039</t>
        </is>
      </c>
      <c r="AW1879" t="inlineStr">
        <is>
          <t>991002593499702656</t>
        </is>
      </c>
      <c r="AX1879" t="inlineStr">
        <is>
          <t>991002593499702656</t>
        </is>
      </c>
      <c r="AY1879" t="inlineStr">
        <is>
          <t>2264442650002656</t>
        </is>
      </c>
      <c r="AZ1879" t="inlineStr">
        <is>
          <t>BOOK</t>
        </is>
      </c>
      <c r="BB1879" t="inlineStr">
        <is>
          <t>9780670867189</t>
        </is>
      </c>
      <c r="BC1879" t="inlineStr">
        <is>
          <t>32285003632576</t>
        </is>
      </c>
      <c r="BD1879" t="inlineStr">
        <is>
          <t>893245358</t>
        </is>
      </c>
    </row>
    <row r="1880">
      <c r="A1880" t="inlineStr">
        <is>
          <t>No</t>
        </is>
      </c>
      <c r="B1880" t="inlineStr">
        <is>
          <t>HQ75.8.D82 A3 1991</t>
        </is>
      </c>
      <c r="C1880" t="inlineStr">
        <is>
          <t>0                      HQ 0075800D  82                 A  3           1991</t>
        </is>
      </c>
      <c r="D1880" t="inlineStr">
        <is>
          <t>Cures : a gay man's odyssey / Martin Duberman.</t>
        </is>
      </c>
      <c r="F1880" t="inlineStr">
        <is>
          <t>No</t>
        </is>
      </c>
      <c r="G1880" t="inlineStr">
        <is>
          <t>1</t>
        </is>
      </c>
      <c r="H1880" t="inlineStr">
        <is>
          <t>No</t>
        </is>
      </c>
      <c r="I1880" t="inlineStr">
        <is>
          <t>No</t>
        </is>
      </c>
      <c r="J1880" t="inlineStr">
        <is>
          <t>0</t>
        </is>
      </c>
      <c r="K1880" t="inlineStr">
        <is>
          <t>Duberman, Martin B.</t>
        </is>
      </c>
      <c r="L1880" t="inlineStr">
        <is>
          <t>New York, N.Y., U.S.A. : Dutton, c1991.</t>
        </is>
      </c>
      <c r="M1880" t="inlineStr">
        <is>
          <t>1991</t>
        </is>
      </c>
      <c r="O1880" t="inlineStr">
        <is>
          <t>eng</t>
        </is>
      </c>
      <c r="P1880" t="inlineStr">
        <is>
          <t>nyu</t>
        </is>
      </c>
      <c r="R1880" t="inlineStr">
        <is>
          <t xml:space="preserve">HQ </t>
        </is>
      </c>
      <c r="S1880" t="n">
        <v>3</v>
      </c>
      <c r="T1880" t="n">
        <v>3</v>
      </c>
      <c r="U1880" t="inlineStr">
        <is>
          <t>1996-02-14</t>
        </is>
      </c>
      <c r="V1880" t="inlineStr">
        <is>
          <t>1996-02-14</t>
        </is>
      </c>
      <c r="W1880" t="inlineStr">
        <is>
          <t>1995-04-18</t>
        </is>
      </c>
      <c r="X1880" t="inlineStr">
        <is>
          <t>1995-04-18</t>
        </is>
      </c>
      <c r="Y1880" t="n">
        <v>604</v>
      </c>
      <c r="Z1880" t="n">
        <v>565</v>
      </c>
      <c r="AA1880" t="n">
        <v>715</v>
      </c>
      <c r="AB1880" t="n">
        <v>6</v>
      </c>
      <c r="AC1880" t="n">
        <v>8</v>
      </c>
      <c r="AD1880" t="n">
        <v>19</v>
      </c>
      <c r="AE1880" t="n">
        <v>24</v>
      </c>
      <c r="AF1880" t="n">
        <v>6</v>
      </c>
      <c r="AG1880" t="n">
        <v>8</v>
      </c>
      <c r="AH1880" t="n">
        <v>5</v>
      </c>
      <c r="AI1880" t="n">
        <v>6</v>
      </c>
      <c r="AJ1880" t="n">
        <v>9</v>
      </c>
      <c r="AK1880" t="n">
        <v>11</v>
      </c>
      <c r="AL1880" t="n">
        <v>4</v>
      </c>
      <c r="AM1880" t="n">
        <v>5</v>
      </c>
      <c r="AN1880" t="n">
        <v>0</v>
      </c>
      <c r="AO1880" t="n">
        <v>0</v>
      </c>
      <c r="AP1880" t="inlineStr">
        <is>
          <t>No</t>
        </is>
      </c>
      <c r="AQ1880" t="inlineStr">
        <is>
          <t>Yes</t>
        </is>
      </c>
      <c r="AR1880">
        <f>HYPERLINK("http://catalog.hathitrust.org/Record/002458232","HathiTrust Record")</f>
        <v/>
      </c>
      <c r="AS1880">
        <f>HYPERLINK("https://creighton-primo.hosted.exlibrisgroup.com/primo-explore/search?tab=default_tab&amp;search_scope=EVERYTHING&amp;vid=01CRU&amp;lang=en_US&amp;offset=0&amp;query=any,contains,991001772919702656","Catalog Record")</f>
        <v/>
      </c>
      <c r="AT1880">
        <f>HYPERLINK("http://www.worldcat.org/oclc/22386721","WorldCat Record")</f>
        <v/>
      </c>
      <c r="AU1880" t="inlineStr">
        <is>
          <t>839916053:eng</t>
        </is>
      </c>
      <c r="AV1880" t="inlineStr">
        <is>
          <t>22386721</t>
        </is>
      </c>
      <c r="AW1880" t="inlineStr">
        <is>
          <t>991001772919702656</t>
        </is>
      </c>
      <c r="AX1880" t="inlineStr">
        <is>
          <t>991001772919702656</t>
        </is>
      </c>
      <c r="AY1880" t="inlineStr">
        <is>
          <t>2265811650002656</t>
        </is>
      </c>
      <c r="AZ1880" t="inlineStr">
        <is>
          <t>BOOK</t>
        </is>
      </c>
      <c r="BB1880" t="inlineStr">
        <is>
          <t>9780525249559</t>
        </is>
      </c>
      <c r="BC1880" t="inlineStr">
        <is>
          <t>32285000593987</t>
        </is>
      </c>
      <c r="BD1880" t="inlineStr">
        <is>
          <t>893596724</t>
        </is>
      </c>
    </row>
    <row r="1881">
      <c r="A1881" t="inlineStr">
        <is>
          <t>No</t>
        </is>
      </c>
      <c r="B1881" t="inlineStr">
        <is>
          <t>HQ75.8.H44 A3 1997</t>
        </is>
      </c>
      <c r="C1881" t="inlineStr">
        <is>
          <t>0                      HQ 0075800H  44                 A  3           1997</t>
        </is>
      </c>
      <c r="D1881" t="inlineStr">
        <is>
          <t>Young man from the provinces : a gay life before Stonewall / Alan Helms.</t>
        </is>
      </c>
      <c r="F1881" t="inlineStr">
        <is>
          <t>No</t>
        </is>
      </c>
      <c r="G1881" t="inlineStr">
        <is>
          <t>1</t>
        </is>
      </c>
      <c r="H1881" t="inlineStr">
        <is>
          <t>No</t>
        </is>
      </c>
      <c r="I1881" t="inlineStr">
        <is>
          <t>No</t>
        </is>
      </c>
      <c r="J1881" t="inlineStr">
        <is>
          <t>0</t>
        </is>
      </c>
      <c r="K1881" t="inlineStr">
        <is>
          <t>Helms, Alan.</t>
        </is>
      </c>
      <c r="L1881" t="inlineStr">
        <is>
          <t>New York : Avon Books, [1997], c1995.</t>
        </is>
      </c>
      <c r="M1881" t="inlineStr">
        <is>
          <t>1997</t>
        </is>
      </c>
      <c r="O1881" t="inlineStr">
        <is>
          <t>eng</t>
        </is>
      </c>
      <c r="P1881" t="inlineStr">
        <is>
          <t>nyu</t>
        </is>
      </c>
      <c r="R1881" t="inlineStr">
        <is>
          <t xml:space="preserve">HQ </t>
        </is>
      </c>
      <c r="S1881" t="n">
        <v>2</v>
      </c>
      <c r="T1881" t="n">
        <v>2</v>
      </c>
      <c r="U1881" t="inlineStr">
        <is>
          <t>1999-09-10</t>
        </is>
      </c>
      <c r="V1881" t="inlineStr">
        <is>
          <t>1999-09-10</t>
        </is>
      </c>
      <c r="W1881" t="inlineStr">
        <is>
          <t>1997-03-25</t>
        </is>
      </c>
      <c r="X1881" t="inlineStr">
        <is>
          <t>1997-03-25</t>
        </is>
      </c>
      <c r="Y1881" t="n">
        <v>67</v>
      </c>
      <c r="Z1881" t="n">
        <v>62</v>
      </c>
      <c r="AA1881" t="n">
        <v>316</v>
      </c>
      <c r="AB1881" t="n">
        <v>3</v>
      </c>
      <c r="AC1881" t="n">
        <v>3</v>
      </c>
      <c r="AD1881" t="n">
        <v>2</v>
      </c>
      <c r="AE1881" t="n">
        <v>8</v>
      </c>
      <c r="AF1881" t="n">
        <v>0</v>
      </c>
      <c r="AG1881" t="n">
        <v>1</v>
      </c>
      <c r="AH1881" t="n">
        <v>0</v>
      </c>
      <c r="AI1881" t="n">
        <v>2</v>
      </c>
      <c r="AJ1881" t="n">
        <v>0</v>
      </c>
      <c r="AK1881" t="n">
        <v>4</v>
      </c>
      <c r="AL1881" t="n">
        <v>2</v>
      </c>
      <c r="AM1881" t="n">
        <v>2</v>
      </c>
      <c r="AN1881" t="n">
        <v>0</v>
      </c>
      <c r="AO1881" t="n">
        <v>0</v>
      </c>
      <c r="AP1881" t="inlineStr">
        <is>
          <t>No</t>
        </is>
      </c>
      <c r="AQ1881" t="inlineStr">
        <is>
          <t>No</t>
        </is>
      </c>
      <c r="AS1881">
        <f>HYPERLINK("https://creighton-primo.hosted.exlibrisgroup.com/primo-explore/search?tab=default_tab&amp;search_scope=EVERYTHING&amp;vid=01CRU&amp;lang=en_US&amp;offset=0&amp;query=any,contains,991002771659702656","Catalog Record")</f>
        <v/>
      </c>
      <c r="AT1881">
        <f>HYPERLINK("http://www.worldcat.org/oclc/36391167","WorldCat Record")</f>
        <v/>
      </c>
      <c r="AU1881" t="inlineStr">
        <is>
          <t>709519:eng</t>
        </is>
      </c>
      <c r="AV1881" t="inlineStr">
        <is>
          <t>36391167</t>
        </is>
      </c>
      <c r="AW1881" t="inlineStr">
        <is>
          <t>991002771659702656</t>
        </is>
      </c>
      <c r="AX1881" t="inlineStr">
        <is>
          <t>991002771659702656</t>
        </is>
      </c>
      <c r="AY1881" t="inlineStr">
        <is>
          <t>2264133540002656</t>
        </is>
      </c>
      <c r="AZ1881" t="inlineStr">
        <is>
          <t>BOOK</t>
        </is>
      </c>
      <c r="BB1881" t="inlineStr">
        <is>
          <t>9780380729005</t>
        </is>
      </c>
      <c r="BC1881" t="inlineStr">
        <is>
          <t>32285002475829</t>
        </is>
      </c>
      <c r="BD1881" t="inlineStr">
        <is>
          <t>893716891</t>
        </is>
      </c>
    </row>
    <row r="1882">
      <c r="A1882" t="inlineStr">
        <is>
          <t>No</t>
        </is>
      </c>
      <c r="B1882" t="inlineStr">
        <is>
          <t>HQ75.8.H57 A38 1986</t>
        </is>
      </c>
      <c r="C1882" t="inlineStr">
        <is>
          <t>0                      HQ 0075800H  57                 A  38          1986</t>
        </is>
      </c>
      <c r="D1882" t="inlineStr">
        <is>
          <t>Von einst bis jetzt : Geschichte einer homosexuellen Bewegung, 1897-1922 / Magnus Hirschfeld ; herausgegeben und mit einem Nachwort versehen von Manfred Herzer und James Steakley.</t>
        </is>
      </c>
      <c r="F1882" t="inlineStr">
        <is>
          <t>No</t>
        </is>
      </c>
      <c r="G1882" t="inlineStr">
        <is>
          <t>1</t>
        </is>
      </c>
      <c r="H1882" t="inlineStr">
        <is>
          <t>No</t>
        </is>
      </c>
      <c r="I1882" t="inlineStr">
        <is>
          <t>No</t>
        </is>
      </c>
      <c r="J1882" t="inlineStr">
        <is>
          <t>0</t>
        </is>
      </c>
      <c r="K1882" t="inlineStr">
        <is>
          <t>Hirschfeld, Magnus, 1868-1935.</t>
        </is>
      </c>
      <c r="L1882" t="inlineStr">
        <is>
          <t>Berlin : Verlag Rosa Winkel, c1986.</t>
        </is>
      </c>
      <c r="M1882" t="inlineStr">
        <is>
          <t>1986</t>
        </is>
      </c>
      <c r="O1882" t="inlineStr">
        <is>
          <t>ger</t>
        </is>
      </c>
      <c r="P1882" t="inlineStr">
        <is>
          <t xml:space="preserve">gw </t>
        </is>
      </c>
      <c r="Q1882" t="inlineStr">
        <is>
          <t>Schriftenreihe der Magnus-Hirschfeld-Gesellschaft ; Nr. 1</t>
        </is>
      </c>
      <c r="R1882" t="inlineStr">
        <is>
          <t xml:space="preserve">HQ </t>
        </is>
      </c>
      <c r="S1882" t="n">
        <v>1</v>
      </c>
      <c r="T1882" t="n">
        <v>1</v>
      </c>
      <c r="U1882" t="inlineStr">
        <is>
          <t>2009-05-06</t>
        </is>
      </c>
      <c r="V1882" t="inlineStr">
        <is>
          <t>2009-05-06</t>
        </is>
      </c>
      <c r="W1882" t="inlineStr">
        <is>
          <t>2002-04-29</t>
        </is>
      </c>
      <c r="X1882" t="inlineStr">
        <is>
          <t>2002-04-29</t>
        </is>
      </c>
      <c r="Y1882" t="n">
        <v>37</v>
      </c>
      <c r="Z1882" t="n">
        <v>20</v>
      </c>
      <c r="AA1882" t="n">
        <v>21</v>
      </c>
      <c r="AB1882" t="n">
        <v>1</v>
      </c>
      <c r="AC1882" t="n">
        <v>1</v>
      </c>
      <c r="AD1882" t="n">
        <v>0</v>
      </c>
      <c r="AE1882" t="n">
        <v>0</v>
      </c>
      <c r="AF1882" t="n">
        <v>0</v>
      </c>
      <c r="AG1882" t="n">
        <v>0</v>
      </c>
      <c r="AH1882" t="n">
        <v>0</v>
      </c>
      <c r="AI1882" t="n">
        <v>0</v>
      </c>
      <c r="AJ1882" t="n">
        <v>0</v>
      </c>
      <c r="AK1882" t="n">
        <v>0</v>
      </c>
      <c r="AL1882" t="n">
        <v>0</v>
      </c>
      <c r="AM1882" t="n">
        <v>0</v>
      </c>
      <c r="AN1882" t="n">
        <v>0</v>
      </c>
      <c r="AO1882" t="n">
        <v>0</v>
      </c>
      <c r="AP1882" t="inlineStr">
        <is>
          <t>No</t>
        </is>
      </c>
      <c r="AQ1882" t="inlineStr">
        <is>
          <t>Yes</t>
        </is>
      </c>
      <c r="AR1882">
        <f>HYPERLINK("http://catalog.hathitrust.org/Record/101925278","HathiTrust Record")</f>
        <v/>
      </c>
      <c r="AS1882">
        <f>HYPERLINK("https://creighton-primo.hosted.exlibrisgroup.com/primo-explore/search?tab=default_tab&amp;search_scope=EVERYTHING&amp;vid=01CRU&amp;lang=en_US&amp;offset=0&amp;query=any,contains,991003770419702656","Catalog Record")</f>
        <v/>
      </c>
      <c r="AT1882">
        <f>HYPERLINK("http://www.worldcat.org/oclc/20941403","WorldCat Record")</f>
        <v/>
      </c>
      <c r="AU1882" t="inlineStr">
        <is>
          <t>292331986:ger</t>
        </is>
      </c>
      <c r="AV1882" t="inlineStr">
        <is>
          <t>20941403</t>
        </is>
      </c>
      <c r="AW1882" t="inlineStr">
        <is>
          <t>991003770419702656</t>
        </is>
      </c>
      <c r="AX1882" t="inlineStr">
        <is>
          <t>991003770419702656</t>
        </is>
      </c>
      <c r="AY1882" t="inlineStr">
        <is>
          <t>2258668590002656</t>
        </is>
      </c>
      <c r="AZ1882" t="inlineStr">
        <is>
          <t>BOOK</t>
        </is>
      </c>
      <c r="BB1882" t="inlineStr">
        <is>
          <t>9783921495612</t>
        </is>
      </c>
      <c r="BC1882" t="inlineStr">
        <is>
          <t>32285004483847</t>
        </is>
      </c>
      <c r="BD1882" t="inlineStr">
        <is>
          <t>893353028</t>
        </is>
      </c>
    </row>
    <row r="1883">
      <c r="A1883" t="inlineStr">
        <is>
          <t>No</t>
        </is>
      </c>
      <c r="B1883" t="inlineStr">
        <is>
          <t>HQ75.8.J46 A3 2006</t>
        </is>
      </c>
      <c r="C1883" t="inlineStr">
        <is>
          <t>0                      HQ 0075800J  46                 A  3           2006</t>
        </is>
      </c>
      <c r="D1883" t="inlineStr">
        <is>
          <t>Mama's boy, preacher's son : a memoir / Kevin Jennings.</t>
        </is>
      </c>
      <c r="F1883" t="inlineStr">
        <is>
          <t>No</t>
        </is>
      </c>
      <c r="G1883" t="inlineStr">
        <is>
          <t>1</t>
        </is>
      </c>
      <c r="H1883" t="inlineStr">
        <is>
          <t>No</t>
        </is>
      </c>
      <c r="I1883" t="inlineStr">
        <is>
          <t>No</t>
        </is>
      </c>
      <c r="J1883" t="inlineStr">
        <is>
          <t>0</t>
        </is>
      </c>
      <c r="K1883" t="inlineStr">
        <is>
          <t>Jennings, Kevin, 1963-</t>
        </is>
      </c>
      <c r="L1883" t="inlineStr">
        <is>
          <t>Boston : Beacon Press, c2006.</t>
        </is>
      </c>
      <c r="M1883" t="inlineStr">
        <is>
          <t>2006</t>
        </is>
      </c>
      <c r="O1883" t="inlineStr">
        <is>
          <t>eng</t>
        </is>
      </c>
      <c r="P1883" t="inlineStr">
        <is>
          <t>mau</t>
        </is>
      </c>
      <c r="R1883" t="inlineStr">
        <is>
          <t xml:space="preserve">HQ </t>
        </is>
      </c>
      <c r="S1883" t="n">
        <v>2</v>
      </c>
      <c r="T1883" t="n">
        <v>2</v>
      </c>
      <c r="U1883" t="inlineStr">
        <is>
          <t>2009-09-24</t>
        </is>
      </c>
      <c r="V1883" t="inlineStr">
        <is>
          <t>2009-09-24</t>
        </is>
      </c>
      <c r="W1883" t="inlineStr">
        <is>
          <t>2007-04-24</t>
        </is>
      </c>
      <c r="X1883" t="inlineStr">
        <is>
          <t>2007-04-24</t>
        </is>
      </c>
      <c r="Y1883" t="n">
        <v>543</v>
      </c>
      <c r="Z1883" t="n">
        <v>516</v>
      </c>
      <c r="AA1883" t="n">
        <v>582</v>
      </c>
      <c r="AB1883" t="n">
        <v>3</v>
      </c>
      <c r="AC1883" t="n">
        <v>3</v>
      </c>
      <c r="AD1883" t="n">
        <v>13</v>
      </c>
      <c r="AE1883" t="n">
        <v>14</v>
      </c>
      <c r="AF1883" t="n">
        <v>6</v>
      </c>
      <c r="AG1883" t="n">
        <v>7</v>
      </c>
      <c r="AH1883" t="n">
        <v>2</v>
      </c>
      <c r="AI1883" t="n">
        <v>3</v>
      </c>
      <c r="AJ1883" t="n">
        <v>7</v>
      </c>
      <c r="AK1883" t="n">
        <v>7</v>
      </c>
      <c r="AL1883" t="n">
        <v>1</v>
      </c>
      <c r="AM1883" t="n">
        <v>1</v>
      </c>
      <c r="AN1883" t="n">
        <v>0</v>
      </c>
      <c r="AO1883" t="n">
        <v>0</v>
      </c>
      <c r="AP1883" t="inlineStr">
        <is>
          <t>No</t>
        </is>
      </c>
      <c r="AQ1883" t="inlineStr">
        <is>
          <t>Yes</t>
        </is>
      </c>
      <c r="AR1883">
        <f>HYPERLINK("http://catalog.hathitrust.org/Record/102046282","HathiTrust Record")</f>
        <v/>
      </c>
      <c r="AS1883">
        <f>HYPERLINK("https://creighton-primo.hosted.exlibrisgroup.com/primo-explore/search?tab=default_tab&amp;search_scope=EVERYTHING&amp;vid=01CRU&amp;lang=en_US&amp;offset=0&amp;query=any,contains,991005068249702656","Catalog Record")</f>
        <v/>
      </c>
      <c r="AT1883">
        <f>HYPERLINK("http://www.worldcat.org/oclc/63116900","WorldCat Record")</f>
        <v/>
      </c>
      <c r="AU1883" t="inlineStr">
        <is>
          <t>198063199:eng</t>
        </is>
      </c>
      <c r="AV1883" t="inlineStr">
        <is>
          <t>63116900</t>
        </is>
      </c>
      <c r="AW1883" t="inlineStr">
        <is>
          <t>991005068249702656</t>
        </is>
      </c>
      <c r="AX1883" t="inlineStr">
        <is>
          <t>991005068249702656</t>
        </is>
      </c>
      <c r="AY1883" t="inlineStr">
        <is>
          <t>2258504380002656</t>
        </is>
      </c>
      <c r="AZ1883" t="inlineStr">
        <is>
          <t>BOOK</t>
        </is>
      </c>
      <c r="BB1883" t="inlineStr">
        <is>
          <t>9780807071465</t>
        </is>
      </c>
      <c r="BC1883" t="inlineStr">
        <is>
          <t>32285005289409</t>
        </is>
      </c>
      <c r="BD1883" t="inlineStr">
        <is>
          <t>893606764</t>
        </is>
      </c>
    </row>
    <row r="1884">
      <c r="A1884" t="inlineStr">
        <is>
          <t>No</t>
        </is>
      </c>
      <c r="B1884" t="inlineStr">
        <is>
          <t>HQ75.8.M3 H56 1989</t>
        </is>
      </c>
      <c r="C1884" t="inlineStr">
        <is>
          <t>0                      HQ 0075800M  3                  H  56          1989</t>
        </is>
      </c>
      <c r="D1884" t="inlineStr">
        <is>
          <t>Matlovich, the good soldier / by Mike Hippler.</t>
        </is>
      </c>
      <c r="F1884" t="inlineStr">
        <is>
          <t>No</t>
        </is>
      </c>
      <c r="G1884" t="inlineStr">
        <is>
          <t>1</t>
        </is>
      </c>
      <c r="H1884" t="inlineStr">
        <is>
          <t>No</t>
        </is>
      </c>
      <c r="I1884" t="inlineStr">
        <is>
          <t>No</t>
        </is>
      </c>
      <c r="J1884" t="inlineStr">
        <is>
          <t>0</t>
        </is>
      </c>
      <c r="K1884" t="inlineStr">
        <is>
          <t>Hippler, Mike.</t>
        </is>
      </c>
      <c r="L1884" t="inlineStr">
        <is>
          <t>Boston : Alyson Publications, 1989.</t>
        </is>
      </c>
      <c r="M1884" t="inlineStr">
        <is>
          <t>1989</t>
        </is>
      </c>
      <c r="N1884" t="inlineStr">
        <is>
          <t>1st U.S. ed.</t>
        </is>
      </c>
      <c r="O1884" t="inlineStr">
        <is>
          <t>eng</t>
        </is>
      </c>
      <c r="P1884" t="inlineStr">
        <is>
          <t>mau</t>
        </is>
      </c>
      <c r="R1884" t="inlineStr">
        <is>
          <t xml:space="preserve">HQ </t>
        </is>
      </c>
      <c r="S1884" t="n">
        <v>3</v>
      </c>
      <c r="T1884" t="n">
        <v>3</v>
      </c>
      <c r="U1884" t="inlineStr">
        <is>
          <t>2006-05-24</t>
        </is>
      </c>
      <c r="V1884" t="inlineStr">
        <is>
          <t>2006-05-24</t>
        </is>
      </c>
      <c r="W1884" t="inlineStr">
        <is>
          <t>1999-12-13</t>
        </is>
      </c>
      <c r="X1884" t="inlineStr">
        <is>
          <t>1999-12-13</t>
        </is>
      </c>
      <c r="Y1884" t="n">
        <v>231</v>
      </c>
      <c r="Z1884" t="n">
        <v>218</v>
      </c>
      <c r="AA1884" t="n">
        <v>221</v>
      </c>
      <c r="AB1884" t="n">
        <v>3</v>
      </c>
      <c r="AC1884" t="n">
        <v>3</v>
      </c>
      <c r="AD1884" t="n">
        <v>5</v>
      </c>
      <c r="AE1884" t="n">
        <v>5</v>
      </c>
      <c r="AF1884" t="n">
        <v>1</v>
      </c>
      <c r="AG1884" t="n">
        <v>1</v>
      </c>
      <c r="AH1884" t="n">
        <v>1</v>
      </c>
      <c r="AI1884" t="n">
        <v>1</v>
      </c>
      <c r="AJ1884" t="n">
        <v>2</v>
      </c>
      <c r="AK1884" t="n">
        <v>2</v>
      </c>
      <c r="AL1884" t="n">
        <v>2</v>
      </c>
      <c r="AM1884" t="n">
        <v>2</v>
      </c>
      <c r="AN1884" t="n">
        <v>0</v>
      </c>
      <c r="AO1884" t="n">
        <v>0</v>
      </c>
      <c r="AP1884" t="inlineStr">
        <is>
          <t>No</t>
        </is>
      </c>
      <c r="AQ1884" t="inlineStr">
        <is>
          <t>Yes</t>
        </is>
      </c>
      <c r="AR1884">
        <f>HYPERLINK("http://catalog.hathitrust.org/Record/001836332","HathiTrust Record")</f>
        <v/>
      </c>
      <c r="AS1884">
        <f>HYPERLINK("https://creighton-primo.hosted.exlibrisgroup.com/primo-explore/search?tab=default_tab&amp;search_scope=EVERYTHING&amp;vid=01CRU&amp;lang=en_US&amp;offset=0&amp;query=any,contains,991001684549702656","Catalog Record")</f>
        <v/>
      </c>
      <c r="AT1884">
        <f>HYPERLINK("http://www.worldcat.org/oclc/21377191","WorldCat Record")</f>
        <v/>
      </c>
      <c r="AU1884" t="inlineStr">
        <is>
          <t>23276861:eng</t>
        </is>
      </c>
      <c r="AV1884" t="inlineStr">
        <is>
          <t>21377191</t>
        </is>
      </c>
      <c r="AW1884" t="inlineStr">
        <is>
          <t>991001684549702656</t>
        </is>
      </c>
      <c r="AX1884" t="inlineStr">
        <is>
          <t>991001684549702656</t>
        </is>
      </c>
      <c r="AY1884" t="inlineStr">
        <is>
          <t>2259810670002656</t>
        </is>
      </c>
      <c r="AZ1884" t="inlineStr">
        <is>
          <t>BOOK</t>
        </is>
      </c>
      <c r="BB1884" t="inlineStr">
        <is>
          <t>9781555831387</t>
        </is>
      </c>
      <c r="BC1884" t="inlineStr">
        <is>
          <t>32285003632584</t>
        </is>
      </c>
      <c r="BD1884" t="inlineStr">
        <is>
          <t>893522745</t>
        </is>
      </c>
    </row>
    <row r="1885">
      <c r="A1885" t="inlineStr">
        <is>
          <t>No</t>
        </is>
      </c>
      <c r="B1885" t="inlineStr">
        <is>
          <t>HQ75.8.M59 A3 1996</t>
        </is>
      </c>
      <c r="C1885" t="inlineStr">
        <is>
          <t>0                      HQ 0075800M  59                 A  3           1996</t>
        </is>
      </c>
      <c r="D1885" t="inlineStr">
        <is>
          <t>Stranger among friends / David Mixner.</t>
        </is>
      </c>
      <c r="F1885" t="inlineStr">
        <is>
          <t>No</t>
        </is>
      </c>
      <c r="G1885" t="inlineStr">
        <is>
          <t>1</t>
        </is>
      </c>
      <c r="H1885" t="inlineStr">
        <is>
          <t>No</t>
        </is>
      </c>
      <c r="I1885" t="inlineStr">
        <is>
          <t>No</t>
        </is>
      </c>
      <c r="J1885" t="inlineStr">
        <is>
          <t>0</t>
        </is>
      </c>
      <c r="K1885" t="inlineStr">
        <is>
          <t>Mixner, David B.</t>
        </is>
      </c>
      <c r="L1885" t="inlineStr">
        <is>
          <t>New York : Bantam Books, c1996.</t>
        </is>
      </c>
      <c r="M1885" t="inlineStr">
        <is>
          <t>1996</t>
        </is>
      </c>
      <c r="O1885" t="inlineStr">
        <is>
          <t>eng</t>
        </is>
      </c>
      <c r="P1885" t="inlineStr">
        <is>
          <t>nyu</t>
        </is>
      </c>
      <c r="R1885" t="inlineStr">
        <is>
          <t xml:space="preserve">HQ </t>
        </is>
      </c>
      <c r="S1885" t="n">
        <v>2</v>
      </c>
      <c r="T1885" t="n">
        <v>2</v>
      </c>
      <c r="U1885" t="inlineStr">
        <is>
          <t>1999-10-18</t>
        </is>
      </c>
      <c r="V1885" t="inlineStr">
        <is>
          <t>1999-10-18</t>
        </is>
      </c>
      <c r="W1885" t="inlineStr">
        <is>
          <t>1996-08-09</t>
        </is>
      </c>
      <c r="X1885" t="inlineStr">
        <is>
          <t>1996-08-09</t>
        </is>
      </c>
      <c r="Y1885" t="n">
        <v>507</v>
      </c>
      <c r="Z1885" t="n">
        <v>481</v>
      </c>
      <c r="AA1885" t="n">
        <v>514</v>
      </c>
      <c r="AB1885" t="n">
        <v>3</v>
      </c>
      <c r="AC1885" t="n">
        <v>3</v>
      </c>
      <c r="AD1885" t="n">
        <v>13</v>
      </c>
      <c r="AE1885" t="n">
        <v>15</v>
      </c>
      <c r="AF1885" t="n">
        <v>2</v>
      </c>
      <c r="AG1885" t="n">
        <v>3</v>
      </c>
      <c r="AH1885" t="n">
        <v>3</v>
      </c>
      <c r="AI1885" t="n">
        <v>4</v>
      </c>
      <c r="AJ1885" t="n">
        <v>8</v>
      </c>
      <c r="AK1885" t="n">
        <v>8</v>
      </c>
      <c r="AL1885" t="n">
        <v>2</v>
      </c>
      <c r="AM1885" t="n">
        <v>2</v>
      </c>
      <c r="AN1885" t="n">
        <v>0</v>
      </c>
      <c r="AO1885" t="n">
        <v>0</v>
      </c>
      <c r="AP1885" t="inlineStr">
        <is>
          <t>No</t>
        </is>
      </c>
      <c r="AQ1885" t="inlineStr">
        <is>
          <t>No</t>
        </is>
      </c>
      <c r="AS1885">
        <f>HYPERLINK("https://creighton-primo.hosted.exlibrisgroup.com/primo-explore/search?tab=default_tab&amp;search_scope=EVERYTHING&amp;vid=01CRU&amp;lang=en_US&amp;offset=0&amp;query=any,contains,991002662949702656","Catalog Record")</f>
        <v/>
      </c>
      <c r="AT1885">
        <f>HYPERLINK("http://www.worldcat.org/oclc/34798204","WorldCat Record")</f>
        <v/>
      </c>
      <c r="AU1885" t="inlineStr">
        <is>
          <t>561939:eng</t>
        </is>
      </c>
      <c r="AV1885" t="inlineStr">
        <is>
          <t>34798204</t>
        </is>
      </c>
      <c r="AW1885" t="inlineStr">
        <is>
          <t>991002662949702656</t>
        </is>
      </c>
      <c r="AX1885" t="inlineStr">
        <is>
          <t>991002662949702656</t>
        </is>
      </c>
      <c r="AY1885" t="inlineStr">
        <is>
          <t>2259852280002656</t>
        </is>
      </c>
      <c r="AZ1885" t="inlineStr">
        <is>
          <t>BOOK</t>
        </is>
      </c>
      <c r="BB1885" t="inlineStr">
        <is>
          <t>9780553100730</t>
        </is>
      </c>
      <c r="BC1885" t="inlineStr">
        <is>
          <t>32285002273240</t>
        </is>
      </c>
      <c r="BD1885" t="inlineStr">
        <is>
          <t>893440359</t>
        </is>
      </c>
    </row>
    <row r="1886">
      <c r="A1886" t="inlineStr">
        <is>
          <t>No</t>
        </is>
      </c>
      <c r="B1886" t="inlineStr">
        <is>
          <t>HQ75.8.M64 A3 1992</t>
        </is>
      </c>
      <c r="C1886" t="inlineStr">
        <is>
          <t>0                      HQ 0075800M  64                 A  3           1992</t>
        </is>
      </c>
      <c r="D1886" t="inlineStr">
        <is>
          <t>Becoming a man : half a life story / Paul Monette.</t>
        </is>
      </c>
      <c r="F1886" t="inlineStr">
        <is>
          <t>No</t>
        </is>
      </c>
      <c r="G1886" t="inlineStr">
        <is>
          <t>1</t>
        </is>
      </c>
      <c r="H1886" t="inlineStr">
        <is>
          <t>No</t>
        </is>
      </c>
      <c r="I1886" t="inlineStr">
        <is>
          <t>Yes</t>
        </is>
      </c>
      <c r="J1886" t="inlineStr">
        <is>
          <t>0</t>
        </is>
      </c>
      <c r="K1886" t="inlineStr">
        <is>
          <t>Monette, Paul.</t>
        </is>
      </c>
      <c r="L1886" t="inlineStr">
        <is>
          <t>New York : Harcourt Brace Jovanovich, c1992.</t>
        </is>
      </c>
      <c r="M1886" t="inlineStr">
        <is>
          <t>1992</t>
        </is>
      </c>
      <c r="N1886" t="inlineStr">
        <is>
          <t>1st ed.</t>
        </is>
      </c>
      <c r="O1886" t="inlineStr">
        <is>
          <t>eng</t>
        </is>
      </c>
      <c r="P1886" t="inlineStr">
        <is>
          <t>nyu</t>
        </is>
      </c>
      <c r="R1886" t="inlineStr">
        <is>
          <t xml:space="preserve">HQ </t>
        </is>
      </c>
      <c r="S1886" t="n">
        <v>15</v>
      </c>
      <c r="T1886" t="n">
        <v>15</v>
      </c>
      <c r="U1886" t="inlineStr">
        <is>
          <t>1995-08-01</t>
        </is>
      </c>
      <c r="V1886" t="inlineStr">
        <is>
          <t>1995-08-01</t>
        </is>
      </c>
      <c r="W1886" t="inlineStr">
        <is>
          <t>1992-09-14</t>
        </is>
      </c>
      <c r="X1886" t="inlineStr">
        <is>
          <t>1992-09-14</t>
        </is>
      </c>
      <c r="Y1886" t="n">
        <v>1059</v>
      </c>
      <c r="Z1886" t="n">
        <v>999</v>
      </c>
      <c r="AA1886" t="n">
        <v>1505</v>
      </c>
      <c r="AB1886" t="n">
        <v>7</v>
      </c>
      <c r="AC1886" t="n">
        <v>14</v>
      </c>
      <c r="AD1886" t="n">
        <v>24</v>
      </c>
      <c r="AE1886" t="n">
        <v>42</v>
      </c>
      <c r="AF1886" t="n">
        <v>6</v>
      </c>
      <c r="AG1886" t="n">
        <v>17</v>
      </c>
      <c r="AH1886" t="n">
        <v>6</v>
      </c>
      <c r="AI1886" t="n">
        <v>8</v>
      </c>
      <c r="AJ1886" t="n">
        <v>12</v>
      </c>
      <c r="AK1886" t="n">
        <v>18</v>
      </c>
      <c r="AL1886" t="n">
        <v>4</v>
      </c>
      <c r="AM1886" t="n">
        <v>8</v>
      </c>
      <c r="AN1886" t="n">
        <v>0</v>
      </c>
      <c r="AO1886" t="n">
        <v>0</v>
      </c>
      <c r="AP1886" t="inlineStr">
        <is>
          <t>No</t>
        </is>
      </c>
      <c r="AQ1886" t="inlineStr">
        <is>
          <t>Yes</t>
        </is>
      </c>
      <c r="AR1886">
        <f>HYPERLINK("http://catalog.hathitrust.org/Record/002560921","HathiTrust Record")</f>
        <v/>
      </c>
      <c r="AS1886">
        <f>HYPERLINK("https://creighton-primo.hosted.exlibrisgroup.com/primo-explore/search?tab=default_tab&amp;search_scope=EVERYTHING&amp;vid=01CRU&amp;lang=en_US&amp;offset=0&amp;query=any,contains,991001963899702656","Catalog Record")</f>
        <v/>
      </c>
      <c r="AT1886">
        <f>HYPERLINK("http://www.worldcat.org/oclc/24872593","WorldCat Record")</f>
        <v/>
      </c>
      <c r="AU1886" t="inlineStr">
        <is>
          <t>693842795:eng</t>
        </is>
      </c>
      <c r="AV1886" t="inlineStr">
        <is>
          <t>24872593</t>
        </is>
      </c>
      <c r="AW1886" t="inlineStr">
        <is>
          <t>991001963899702656</t>
        </is>
      </c>
      <c r="AX1886" t="inlineStr">
        <is>
          <t>991001963899702656</t>
        </is>
      </c>
      <c r="AY1886" t="inlineStr">
        <is>
          <t>2265655220002656</t>
        </is>
      </c>
      <c r="AZ1886" t="inlineStr">
        <is>
          <t>BOOK</t>
        </is>
      </c>
      <c r="BB1886" t="inlineStr">
        <is>
          <t>9780151115198</t>
        </is>
      </c>
      <c r="BC1886" t="inlineStr">
        <is>
          <t>32285001287191</t>
        </is>
      </c>
      <c r="BD1886" t="inlineStr">
        <is>
          <t>893232420</t>
        </is>
      </c>
    </row>
    <row r="1887">
      <c r="A1887" t="inlineStr">
        <is>
          <t>No</t>
        </is>
      </c>
      <c r="B1887" t="inlineStr">
        <is>
          <t>HQ75.8.R67 J65 1996</t>
        </is>
      </c>
      <c r="C1887" t="inlineStr">
        <is>
          <t>0                      HQ 0075800R  67                 J  65          1996</t>
        </is>
      </c>
      <c r="D1887" t="inlineStr">
        <is>
          <t>Geography of the heart : a memoir / Fenton Johnson.</t>
        </is>
      </c>
      <c r="F1887" t="inlineStr">
        <is>
          <t>No</t>
        </is>
      </c>
      <c r="G1887" t="inlineStr">
        <is>
          <t>1</t>
        </is>
      </c>
      <c r="H1887" t="inlineStr">
        <is>
          <t>No</t>
        </is>
      </c>
      <c r="I1887" t="inlineStr">
        <is>
          <t>No</t>
        </is>
      </c>
      <c r="J1887" t="inlineStr">
        <is>
          <t>0</t>
        </is>
      </c>
      <c r="K1887" t="inlineStr">
        <is>
          <t>Johnson, Fenton.</t>
        </is>
      </c>
      <c r="L1887" t="inlineStr">
        <is>
          <t>New York, NY : Scribner, c1996.</t>
        </is>
      </c>
      <c r="M1887" t="inlineStr">
        <is>
          <t>1996</t>
        </is>
      </c>
      <c r="O1887" t="inlineStr">
        <is>
          <t>eng</t>
        </is>
      </c>
      <c r="P1887" t="inlineStr">
        <is>
          <t>nyu</t>
        </is>
      </c>
      <c r="R1887" t="inlineStr">
        <is>
          <t xml:space="preserve">HQ </t>
        </is>
      </c>
      <c r="S1887" t="n">
        <v>2</v>
      </c>
      <c r="T1887" t="n">
        <v>2</v>
      </c>
      <c r="U1887" t="inlineStr">
        <is>
          <t>1997-05-21</t>
        </is>
      </c>
      <c r="V1887" t="inlineStr">
        <is>
          <t>1997-05-21</t>
        </is>
      </c>
      <c r="W1887" t="inlineStr">
        <is>
          <t>1996-12-30</t>
        </is>
      </c>
      <c r="X1887" t="inlineStr">
        <is>
          <t>1996-12-30</t>
        </is>
      </c>
      <c r="Y1887" t="n">
        <v>438</v>
      </c>
      <c r="Z1887" t="n">
        <v>406</v>
      </c>
      <c r="AA1887" t="n">
        <v>501</v>
      </c>
      <c r="AB1887" t="n">
        <v>4</v>
      </c>
      <c r="AC1887" t="n">
        <v>4</v>
      </c>
      <c r="AD1887" t="n">
        <v>13</v>
      </c>
      <c r="AE1887" t="n">
        <v>17</v>
      </c>
      <c r="AF1887" t="n">
        <v>3</v>
      </c>
      <c r="AG1887" t="n">
        <v>6</v>
      </c>
      <c r="AH1887" t="n">
        <v>5</v>
      </c>
      <c r="AI1887" t="n">
        <v>5</v>
      </c>
      <c r="AJ1887" t="n">
        <v>5</v>
      </c>
      <c r="AK1887" t="n">
        <v>8</v>
      </c>
      <c r="AL1887" t="n">
        <v>2</v>
      </c>
      <c r="AM1887" t="n">
        <v>2</v>
      </c>
      <c r="AN1887" t="n">
        <v>0</v>
      </c>
      <c r="AO1887" t="n">
        <v>0</v>
      </c>
      <c r="AP1887" t="inlineStr">
        <is>
          <t>No</t>
        </is>
      </c>
      <c r="AQ1887" t="inlineStr">
        <is>
          <t>Yes</t>
        </is>
      </c>
      <c r="AR1887">
        <f>HYPERLINK("http://catalog.hathitrust.org/Record/003057319","HathiTrust Record")</f>
        <v/>
      </c>
      <c r="AS1887">
        <f>HYPERLINK("https://creighton-primo.hosted.exlibrisgroup.com/primo-explore/search?tab=default_tab&amp;search_scope=EVERYTHING&amp;vid=01CRU&amp;lang=en_US&amp;offset=0&amp;query=any,contains,991002602229702656","Catalog Record")</f>
        <v/>
      </c>
      <c r="AT1887">
        <f>HYPERLINK("http://www.worldcat.org/oclc/34080144","WorldCat Record")</f>
        <v/>
      </c>
      <c r="AU1887" t="inlineStr">
        <is>
          <t>236785:eng</t>
        </is>
      </c>
      <c r="AV1887" t="inlineStr">
        <is>
          <t>34080144</t>
        </is>
      </c>
      <c r="AW1887" t="inlineStr">
        <is>
          <t>991002602229702656</t>
        </is>
      </c>
      <c r="AX1887" t="inlineStr">
        <is>
          <t>991002602229702656</t>
        </is>
      </c>
      <c r="AY1887" t="inlineStr">
        <is>
          <t>2262870500002656</t>
        </is>
      </c>
      <c r="AZ1887" t="inlineStr">
        <is>
          <t>BOOK</t>
        </is>
      </c>
      <c r="BB1887" t="inlineStr">
        <is>
          <t>9780684814179</t>
        </is>
      </c>
      <c r="BC1887" t="inlineStr">
        <is>
          <t>32285002403664</t>
        </is>
      </c>
      <c r="BD1887" t="inlineStr">
        <is>
          <t>893440306</t>
        </is>
      </c>
    </row>
    <row r="1888">
      <c r="A1888" t="inlineStr">
        <is>
          <t>No</t>
        </is>
      </c>
      <c r="B1888" t="inlineStr">
        <is>
          <t>HQ75.8.R677 A3 2009</t>
        </is>
      </c>
      <c r="C1888" t="inlineStr">
        <is>
          <t>0                      HQ 0075800R  677                A  3           2009</t>
        </is>
      </c>
      <c r="D1888" t="inlineStr">
        <is>
          <t>At least in the city someone would hear me scream : (misadventures in search of the simple life) / Wade Rouse.</t>
        </is>
      </c>
      <c r="F1888" t="inlineStr">
        <is>
          <t>No</t>
        </is>
      </c>
      <c r="G1888" t="inlineStr">
        <is>
          <t>1</t>
        </is>
      </c>
      <c r="H1888" t="inlineStr">
        <is>
          <t>No</t>
        </is>
      </c>
      <c r="I1888" t="inlineStr">
        <is>
          <t>No</t>
        </is>
      </c>
      <c r="J1888" t="inlineStr">
        <is>
          <t>0</t>
        </is>
      </c>
      <c r="K1888" t="inlineStr">
        <is>
          <t>Rouse, Wade.</t>
        </is>
      </c>
      <c r="L1888" t="inlineStr">
        <is>
          <t>New York : Harmony Books, c2009.</t>
        </is>
      </c>
      <c r="M1888" t="inlineStr">
        <is>
          <t>2009</t>
        </is>
      </c>
      <c r="N1888" t="inlineStr">
        <is>
          <t>1st ed.</t>
        </is>
      </c>
      <c r="O1888" t="inlineStr">
        <is>
          <t>eng</t>
        </is>
      </c>
      <c r="P1888" t="inlineStr">
        <is>
          <t>nyu</t>
        </is>
      </c>
      <c r="R1888" t="inlineStr">
        <is>
          <t xml:space="preserve">HQ </t>
        </is>
      </c>
      <c r="S1888" t="n">
        <v>5</v>
      </c>
      <c r="T1888" t="n">
        <v>5</v>
      </c>
      <c r="U1888" t="inlineStr">
        <is>
          <t>2009-11-08</t>
        </is>
      </c>
      <c r="V1888" t="inlineStr">
        <is>
          <t>2009-11-08</t>
        </is>
      </c>
      <c r="W1888" t="inlineStr">
        <is>
          <t>2009-07-21</t>
        </is>
      </c>
      <c r="X1888" t="inlineStr">
        <is>
          <t>2009-07-21</t>
        </is>
      </c>
      <c r="Y1888" t="n">
        <v>386</v>
      </c>
      <c r="Z1888" t="n">
        <v>375</v>
      </c>
      <c r="AA1888" t="n">
        <v>429</v>
      </c>
      <c r="AB1888" t="n">
        <v>2</v>
      </c>
      <c r="AC1888" t="n">
        <v>2</v>
      </c>
      <c r="AD1888" t="n">
        <v>1</v>
      </c>
      <c r="AE1888" t="n">
        <v>1</v>
      </c>
      <c r="AF1888" t="n">
        <v>0</v>
      </c>
      <c r="AG1888" t="n">
        <v>0</v>
      </c>
      <c r="AH1888" t="n">
        <v>0</v>
      </c>
      <c r="AI1888" t="n">
        <v>0</v>
      </c>
      <c r="AJ1888" t="n">
        <v>1</v>
      </c>
      <c r="AK1888" t="n">
        <v>1</v>
      </c>
      <c r="AL1888" t="n">
        <v>0</v>
      </c>
      <c r="AM1888" t="n">
        <v>0</v>
      </c>
      <c r="AN1888" t="n">
        <v>0</v>
      </c>
      <c r="AO1888" t="n">
        <v>0</v>
      </c>
      <c r="AP1888" t="inlineStr">
        <is>
          <t>No</t>
        </is>
      </c>
      <c r="AQ1888" t="inlineStr">
        <is>
          <t>No</t>
        </is>
      </c>
      <c r="AS1888">
        <f>HYPERLINK("https://creighton-primo.hosted.exlibrisgroup.com/primo-explore/search?tab=default_tab&amp;search_scope=EVERYTHING&amp;vid=01CRU&amp;lang=en_US&amp;offset=0&amp;query=any,contains,991005324709702656","Catalog Record")</f>
        <v/>
      </c>
      <c r="AT1888">
        <f>HYPERLINK("http://www.worldcat.org/oclc/264043024","WorldCat Record")</f>
        <v/>
      </c>
      <c r="AU1888" t="inlineStr">
        <is>
          <t>793277580:eng</t>
        </is>
      </c>
      <c r="AV1888" t="inlineStr">
        <is>
          <t>264043024</t>
        </is>
      </c>
      <c r="AW1888" t="inlineStr">
        <is>
          <t>991005324709702656</t>
        </is>
      </c>
      <c r="AX1888" t="inlineStr">
        <is>
          <t>991005324709702656</t>
        </is>
      </c>
      <c r="AY1888" t="inlineStr">
        <is>
          <t>2258650710002656</t>
        </is>
      </c>
      <c r="AZ1888" t="inlineStr">
        <is>
          <t>BOOK</t>
        </is>
      </c>
      <c r="BB1888" t="inlineStr">
        <is>
          <t>9780307451903</t>
        </is>
      </c>
      <c r="BC1888" t="inlineStr">
        <is>
          <t>32285005538839</t>
        </is>
      </c>
      <c r="BD1888" t="inlineStr">
        <is>
          <t>893320441</t>
        </is>
      </c>
    </row>
    <row r="1889">
      <c r="A1889" t="inlineStr">
        <is>
          <t>No</t>
        </is>
      </c>
      <c r="B1889" t="inlineStr">
        <is>
          <t>HQ75.8.S44 A3 1997</t>
        </is>
      </c>
      <c r="C1889" t="inlineStr">
        <is>
          <t>0                      HQ 0075800S  44                 A  3           1997</t>
        </is>
      </c>
      <c r="D1889" t="inlineStr">
        <is>
          <t>Liberation was for others : memoirs of a gay survivor of the Nazi Holocaust / Pierre Seel ; translated from the French by Joachim Neugroschel.</t>
        </is>
      </c>
      <c r="F1889" t="inlineStr">
        <is>
          <t>No</t>
        </is>
      </c>
      <c r="G1889" t="inlineStr">
        <is>
          <t>1</t>
        </is>
      </c>
      <c r="H1889" t="inlineStr">
        <is>
          <t>No</t>
        </is>
      </c>
      <c r="I1889" t="inlineStr">
        <is>
          <t>No</t>
        </is>
      </c>
      <c r="J1889" t="inlineStr">
        <is>
          <t>0</t>
        </is>
      </c>
      <c r="K1889" t="inlineStr">
        <is>
          <t>Seel, Pierre, 1923-2005.</t>
        </is>
      </c>
      <c r="L1889" t="inlineStr">
        <is>
          <t>New York : Da Capo Press, 1997.</t>
        </is>
      </c>
      <c r="M1889" t="inlineStr">
        <is>
          <t>1997</t>
        </is>
      </c>
      <c r="N1889" t="inlineStr">
        <is>
          <t>1st Da Capo Press ed.</t>
        </is>
      </c>
      <c r="O1889" t="inlineStr">
        <is>
          <t>eng</t>
        </is>
      </c>
      <c r="P1889" t="inlineStr">
        <is>
          <t>nyu</t>
        </is>
      </c>
      <c r="R1889" t="inlineStr">
        <is>
          <t xml:space="preserve">HQ </t>
        </is>
      </c>
      <c r="S1889" t="n">
        <v>6</v>
      </c>
      <c r="T1889" t="n">
        <v>6</v>
      </c>
      <c r="U1889" t="inlineStr">
        <is>
          <t>2006-05-04</t>
        </is>
      </c>
      <c r="V1889" t="inlineStr">
        <is>
          <t>2006-05-04</t>
        </is>
      </c>
      <c r="W1889" t="inlineStr">
        <is>
          <t>2001-08-22</t>
        </is>
      </c>
      <c r="X1889" t="inlineStr">
        <is>
          <t>2001-08-22</t>
        </is>
      </c>
      <c r="Y1889" t="n">
        <v>83</v>
      </c>
      <c r="Z1889" t="n">
        <v>70</v>
      </c>
      <c r="AA1889" t="n">
        <v>548</v>
      </c>
      <c r="AB1889" t="n">
        <v>1</v>
      </c>
      <c r="AC1889" t="n">
        <v>3</v>
      </c>
      <c r="AD1889" t="n">
        <v>1</v>
      </c>
      <c r="AE1889" t="n">
        <v>20</v>
      </c>
      <c r="AF1889" t="n">
        <v>0</v>
      </c>
      <c r="AG1889" t="n">
        <v>9</v>
      </c>
      <c r="AH1889" t="n">
        <v>1</v>
      </c>
      <c r="AI1889" t="n">
        <v>5</v>
      </c>
      <c r="AJ1889" t="n">
        <v>1</v>
      </c>
      <c r="AK1889" t="n">
        <v>11</v>
      </c>
      <c r="AL1889" t="n">
        <v>0</v>
      </c>
      <c r="AM1889" t="n">
        <v>1</v>
      </c>
      <c r="AN1889" t="n">
        <v>0</v>
      </c>
      <c r="AO1889" t="n">
        <v>0</v>
      </c>
      <c r="AP1889" t="inlineStr">
        <is>
          <t>No</t>
        </is>
      </c>
      <c r="AQ1889" t="inlineStr">
        <is>
          <t>Yes</t>
        </is>
      </c>
      <c r="AR1889">
        <f>HYPERLINK("http://catalog.hathitrust.org/Record/009806529","HathiTrust Record")</f>
        <v/>
      </c>
      <c r="AS1889">
        <f>HYPERLINK("https://creighton-primo.hosted.exlibrisgroup.com/primo-explore/search?tab=default_tab&amp;search_scope=EVERYTHING&amp;vid=01CRU&amp;lang=en_US&amp;offset=0&amp;query=any,contains,991003607849702656","Catalog Record")</f>
        <v/>
      </c>
      <c r="AT1889">
        <f>HYPERLINK("http://www.worldcat.org/oclc/35657986","WorldCat Record")</f>
        <v/>
      </c>
      <c r="AU1889" t="inlineStr">
        <is>
          <t>2864445168:eng</t>
        </is>
      </c>
      <c r="AV1889" t="inlineStr">
        <is>
          <t>35657986</t>
        </is>
      </c>
      <c r="AW1889" t="inlineStr">
        <is>
          <t>991003607849702656</t>
        </is>
      </c>
      <c r="AX1889" t="inlineStr">
        <is>
          <t>991003607849702656</t>
        </is>
      </c>
      <c r="AY1889" t="inlineStr">
        <is>
          <t>2256898860002656</t>
        </is>
      </c>
      <c r="AZ1889" t="inlineStr">
        <is>
          <t>BOOK</t>
        </is>
      </c>
      <c r="BB1889" t="inlineStr">
        <is>
          <t>9780306807565</t>
        </is>
      </c>
      <c r="BC1889" t="inlineStr">
        <is>
          <t>32285004379581</t>
        </is>
      </c>
      <c r="BD1889" t="inlineStr">
        <is>
          <t>893505759</t>
        </is>
      </c>
    </row>
    <row r="1890">
      <c r="A1890" t="inlineStr">
        <is>
          <t>No</t>
        </is>
      </c>
      <c r="B1890" t="inlineStr">
        <is>
          <t>HQ75.8.T46 A3 1997</t>
        </is>
      </c>
      <c r="C1890" t="inlineStr">
        <is>
          <t>0                      HQ 0075800T  46                 A  3           1997</t>
        </is>
      </c>
      <c r="D1890" t="inlineStr">
        <is>
          <t>Gay body : a journey through shadow to self / Mark Thompson.</t>
        </is>
      </c>
      <c r="F1890" t="inlineStr">
        <is>
          <t>No</t>
        </is>
      </c>
      <c r="G1890" t="inlineStr">
        <is>
          <t>1</t>
        </is>
      </c>
      <c r="H1890" t="inlineStr">
        <is>
          <t>No</t>
        </is>
      </c>
      <c r="I1890" t="inlineStr">
        <is>
          <t>No</t>
        </is>
      </c>
      <c r="J1890" t="inlineStr">
        <is>
          <t>0</t>
        </is>
      </c>
      <c r="K1890" t="inlineStr">
        <is>
          <t>Thompson, Mark, 1952-2016.</t>
        </is>
      </c>
      <c r="L1890" t="inlineStr">
        <is>
          <t>New York : St. Martin's Press, 1997.</t>
        </is>
      </c>
      <c r="M1890" t="inlineStr">
        <is>
          <t>1997</t>
        </is>
      </c>
      <c r="N1890" t="inlineStr">
        <is>
          <t>1st ed.</t>
        </is>
      </c>
      <c r="O1890" t="inlineStr">
        <is>
          <t>eng</t>
        </is>
      </c>
      <c r="P1890" t="inlineStr">
        <is>
          <t>nyu</t>
        </is>
      </c>
      <c r="R1890" t="inlineStr">
        <is>
          <t xml:space="preserve">HQ </t>
        </is>
      </c>
      <c r="S1890" t="n">
        <v>9</v>
      </c>
      <c r="T1890" t="n">
        <v>9</v>
      </c>
      <c r="U1890" t="inlineStr">
        <is>
          <t>2009-11-24</t>
        </is>
      </c>
      <c r="V1890" t="inlineStr">
        <is>
          <t>2009-11-24</t>
        </is>
      </c>
      <c r="W1890" t="inlineStr">
        <is>
          <t>1999-12-13</t>
        </is>
      </c>
      <c r="X1890" t="inlineStr">
        <is>
          <t>1999-12-13</t>
        </is>
      </c>
      <c r="Y1890" t="n">
        <v>179</v>
      </c>
      <c r="Z1890" t="n">
        <v>161</v>
      </c>
      <c r="AA1890" t="n">
        <v>186</v>
      </c>
      <c r="AB1890" t="n">
        <v>2</v>
      </c>
      <c r="AC1890" t="n">
        <v>2</v>
      </c>
      <c r="AD1890" t="n">
        <v>4</v>
      </c>
      <c r="AE1890" t="n">
        <v>4</v>
      </c>
      <c r="AF1890" t="n">
        <v>0</v>
      </c>
      <c r="AG1890" t="n">
        <v>0</v>
      </c>
      <c r="AH1890" t="n">
        <v>0</v>
      </c>
      <c r="AI1890" t="n">
        <v>0</v>
      </c>
      <c r="AJ1890" t="n">
        <v>3</v>
      </c>
      <c r="AK1890" t="n">
        <v>3</v>
      </c>
      <c r="AL1890" t="n">
        <v>1</v>
      </c>
      <c r="AM1890" t="n">
        <v>1</v>
      </c>
      <c r="AN1890" t="n">
        <v>0</v>
      </c>
      <c r="AO1890" t="n">
        <v>0</v>
      </c>
      <c r="AP1890" t="inlineStr">
        <is>
          <t>No</t>
        </is>
      </c>
      <c r="AQ1890" t="inlineStr">
        <is>
          <t>No</t>
        </is>
      </c>
      <c r="AS1890">
        <f>HYPERLINK("https://creighton-primo.hosted.exlibrisgroup.com/primo-explore/search?tab=default_tab&amp;search_scope=EVERYTHING&amp;vid=01CRU&amp;lang=en_US&amp;offset=0&amp;query=any,contains,991002811479702656","Catalog Record")</f>
        <v/>
      </c>
      <c r="AT1890">
        <f>HYPERLINK("http://www.worldcat.org/oclc/36930719","WorldCat Record")</f>
        <v/>
      </c>
      <c r="AU1890" t="inlineStr">
        <is>
          <t>608982:eng</t>
        </is>
      </c>
      <c r="AV1890" t="inlineStr">
        <is>
          <t>36930719</t>
        </is>
      </c>
      <c r="AW1890" t="inlineStr">
        <is>
          <t>991002811479702656</t>
        </is>
      </c>
      <c r="AX1890" t="inlineStr">
        <is>
          <t>991002811479702656</t>
        </is>
      </c>
      <c r="AY1890" t="inlineStr">
        <is>
          <t>2271973190002656</t>
        </is>
      </c>
      <c r="AZ1890" t="inlineStr">
        <is>
          <t>BOOK</t>
        </is>
      </c>
      <c r="BB1890" t="inlineStr">
        <is>
          <t>9780312168537</t>
        </is>
      </c>
      <c r="BC1890" t="inlineStr">
        <is>
          <t>32285005552301</t>
        </is>
      </c>
      <c r="BD1890" t="inlineStr">
        <is>
          <t>893880456</t>
        </is>
      </c>
    </row>
    <row r="1891">
      <c r="A1891" t="inlineStr">
        <is>
          <t>No</t>
        </is>
      </c>
      <c r="B1891" t="inlineStr">
        <is>
          <t>HQ753 .G7</t>
        </is>
      </c>
      <c r="C1891" t="inlineStr">
        <is>
          <t>0                      HQ 0753000G  7</t>
        </is>
      </c>
      <c r="D1891" t="inlineStr">
        <is>
          <t>The Kallikak family; a study in the heredity of feeble-mindedness, by Henry Herbert Goddard.</t>
        </is>
      </c>
      <c r="F1891" t="inlineStr">
        <is>
          <t>No</t>
        </is>
      </c>
      <c r="G1891" t="inlineStr">
        <is>
          <t>1</t>
        </is>
      </c>
      <c r="H1891" t="inlineStr">
        <is>
          <t>No</t>
        </is>
      </c>
      <c r="I1891" t="inlineStr">
        <is>
          <t>No</t>
        </is>
      </c>
      <c r="J1891" t="inlineStr">
        <is>
          <t>0</t>
        </is>
      </c>
      <c r="K1891" t="inlineStr">
        <is>
          <t>Goddard, Henry Herbert, 1866-1957.</t>
        </is>
      </c>
      <c r="L1891" t="inlineStr">
        <is>
          <t>New York, The Macmillan company, 1912.</t>
        </is>
      </c>
      <c r="M1891" t="inlineStr">
        <is>
          <t>1912</t>
        </is>
      </c>
      <c r="O1891" t="inlineStr">
        <is>
          <t>eng</t>
        </is>
      </c>
      <c r="P1891" t="inlineStr">
        <is>
          <t>nyu</t>
        </is>
      </c>
      <c r="R1891" t="inlineStr">
        <is>
          <t xml:space="preserve">HQ </t>
        </is>
      </c>
      <c r="S1891" t="n">
        <v>4</v>
      </c>
      <c r="T1891" t="n">
        <v>4</v>
      </c>
      <c r="U1891" t="inlineStr">
        <is>
          <t>2010-03-01</t>
        </is>
      </c>
      <c r="V1891" t="inlineStr">
        <is>
          <t>2010-03-01</t>
        </is>
      </c>
      <c r="W1891" t="inlineStr">
        <is>
          <t>1997-08-11</t>
        </is>
      </c>
      <c r="X1891" t="inlineStr">
        <is>
          <t>1997-08-11</t>
        </is>
      </c>
      <c r="Y1891" t="n">
        <v>338</v>
      </c>
      <c r="Z1891" t="n">
        <v>321</v>
      </c>
      <c r="AA1891" t="n">
        <v>579</v>
      </c>
      <c r="AB1891" t="n">
        <v>3</v>
      </c>
      <c r="AC1891" t="n">
        <v>5</v>
      </c>
      <c r="AD1891" t="n">
        <v>17</v>
      </c>
      <c r="AE1891" t="n">
        <v>29</v>
      </c>
      <c r="AF1891" t="n">
        <v>6</v>
      </c>
      <c r="AG1891" t="n">
        <v>11</v>
      </c>
      <c r="AH1891" t="n">
        <v>4</v>
      </c>
      <c r="AI1891" t="n">
        <v>6</v>
      </c>
      <c r="AJ1891" t="n">
        <v>9</v>
      </c>
      <c r="AK1891" t="n">
        <v>14</v>
      </c>
      <c r="AL1891" t="n">
        <v>2</v>
      </c>
      <c r="AM1891" t="n">
        <v>4</v>
      </c>
      <c r="AN1891" t="n">
        <v>0</v>
      </c>
      <c r="AO1891" t="n">
        <v>0</v>
      </c>
      <c r="AP1891" t="inlineStr">
        <is>
          <t>Yes</t>
        </is>
      </c>
      <c r="AQ1891" t="inlineStr">
        <is>
          <t>No</t>
        </is>
      </c>
      <c r="AR1891">
        <f>HYPERLINK("http://catalog.hathitrust.org/Record/006765469","HathiTrust Record")</f>
        <v/>
      </c>
      <c r="AS1891">
        <f>HYPERLINK("https://creighton-primo.hosted.exlibrisgroup.com/primo-explore/search?tab=default_tab&amp;search_scope=EVERYTHING&amp;vid=01CRU&amp;lang=en_US&amp;offset=0&amp;query=any,contains,991004478689702656","Catalog Record")</f>
        <v/>
      </c>
      <c r="AT1891">
        <f>HYPERLINK("http://www.worldcat.org/oclc/3619724","WorldCat Record")</f>
        <v/>
      </c>
      <c r="AU1891" t="inlineStr">
        <is>
          <t>3093377:eng</t>
        </is>
      </c>
      <c r="AV1891" t="inlineStr">
        <is>
          <t>3619724</t>
        </is>
      </c>
      <c r="AW1891" t="inlineStr">
        <is>
          <t>991004478689702656</t>
        </is>
      </c>
      <c r="AX1891" t="inlineStr">
        <is>
          <t>991004478689702656</t>
        </is>
      </c>
      <c r="AY1891" t="inlineStr">
        <is>
          <t>2270610450002656</t>
        </is>
      </c>
      <c r="AZ1891" t="inlineStr">
        <is>
          <t>BOOK</t>
        </is>
      </c>
      <c r="BC1891" t="inlineStr">
        <is>
          <t>32285003089884</t>
        </is>
      </c>
      <c r="BD1891" t="inlineStr">
        <is>
          <t>893606082</t>
        </is>
      </c>
    </row>
    <row r="1892">
      <c r="A1892" t="inlineStr">
        <is>
          <t>No</t>
        </is>
      </c>
      <c r="B1892" t="inlineStr">
        <is>
          <t>HQ755.3 .M35 1988</t>
        </is>
      </c>
      <c r="C1892" t="inlineStr">
        <is>
          <t>0                      HQ 0755300M  35          1988</t>
        </is>
      </c>
      <c r="D1892" t="inlineStr">
        <is>
          <t>Manufactured motherhood: the ethics of the new reproductive techniques / William J. Prior, editor and Carol Sanger, editorial consultant.</t>
        </is>
      </c>
      <c r="F1892" t="inlineStr">
        <is>
          <t>No</t>
        </is>
      </c>
      <c r="G1892" t="inlineStr">
        <is>
          <t>1</t>
        </is>
      </c>
      <c r="H1892" t="inlineStr">
        <is>
          <t>No</t>
        </is>
      </c>
      <c r="I1892" t="inlineStr">
        <is>
          <t>No</t>
        </is>
      </c>
      <c r="J1892" t="inlineStr">
        <is>
          <t>0</t>
        </is>
      </c>
      <c r="L1892" t="inlineStr">
        <is>
          <t>Santa Clara, CA. : Santa Clara University Pr., 1988.</t>
        </is>
      </c>
      <c r="M1892" t="inlineStr">
        <is>
          <t>1988</t>
        </is>
      </c>
      <c r="O1892" t="inlineStr">
        <is>
          <t>eng</t>
        </is>
      </c>
      <c r="P1892" t="inlineStr">
        <is>
          <t>cau</t>
        </is>
      </c>
      <c r="Q1892" t="inlineStr">
        <is>
          <t>Logos ; v. 9</t>
        </is>
      </c>
      <c r="R1892" t="inlineStr">
        <is>
          <t xml:space="preserve">HQ </t>
        </is>
      </c>
      <c r="S1892" t="n">
        <v>10</v>
      </c>
      <c r="T1892" t="n">
        <v>10</v>
      </c>
      <c r="U1892" t="inlineStr">
        <is>
          <t>1999-04-11</t>
        </is>
      </c>
      <c r="V1892" t="inlineStr">
        <is>
          <t>1999-04-11</t>
        </is>
      </c>
      <c r="W1892" t="inlineStr">
        <is>
          <t>1992-06-22</t>
        </is>
      </c>
      <c r="X1892" t="inlineStr">
        <is>
          <t>1992-06-22</t>
        </is>
      </c>
      <c r="Y1892" t="n">
        <v>4</v>
      </c>
      <c r="Z1892" t="n">
        <v>4</v>
      </c>
      <c r="AA1892" t="n">
        <v>5</v>
      </c>
      <c r="AB1892" t="n">
        <v>2</v>
      </c>
      <c r="AC1892" t="n">
        <v>2</v>
      </c>
      <c r="AD1892" t="n">
        <v>0</v>
      </c>
      <c r="AE1892" t="n">
        <v>0</v>
      </c>
      <c r="AF1892" t="n">
        <v>0</v>
      </c>
      <c r="AG1892" t="n">
        <v>0</v>
      </c>
      <c r="AH1892" t="n">
        <v>0</v>
      </c>
      <c r="AI1892" t="n">
        <v>0</v>
      </c>
      <c r="AJ1892" t="n">
        <v>0</v>
      </c>
      <c r="AK1892" t="n">
        <v>0</v>
      </c>
      <c r="AL1892" t="n">
        <v>0</v>
      </c>
      <c r="AM1892" t="n">
        <v>0</v>
      </c>
      <c r="AN1892" t="n">
        <v>0</v>
      </c>
      <c r="AO1892" t="n">
        <v>0</v>
      </c>
      <c r="AP1892" t="inlineStr">
        <is>
          <t>No</t>
        </is>
      </c>
      <c r="AQ1892" t="inlineStr">
        <is>
          <t>No</t>
        </is>
      </c>
      <c r="AS1892">
        <f>HYPERLINK("https://creighton-primo.hosted.exlibrisgroup.com/primo-explore/search?tab=default_tab&amp;search_scope=EVERYTHING&amp;vid=01CRU&amp;lang=en_US&amp;offset=0&amp;query=any,contains,991001871089702656","Catalog Record")</f>
        <v/>
      </c>
      <c r="AT1892">
        <f>HYPERLINK("http://www.worldcat.org/oclc/23597761","WorldCat Record")</f>
        <v/>
      </c>
      <c r="AU1892" t="inlineStr">
        <is>
          <t>25648979:eng</t>
        </is>
      </c>
      <c r="AV1892" t="inlineStr">
        <is>
          <t>23597761</t>
        </is>
      </c>
      <c r="AW1892" t="inlineStr">
        <is>
          <t>991001871089702656</t>
        </is>
      </c>
      <c r="AX1892" t="inlineStr">
        <is>
          <t>991001871089702656</t>
        </is>
      </c>
      <c r="AY1892" t="inlineStr">
        <is>
          <t>2254809500002656</t>
        </is>
      </c>
      <c r="AZ1892" t="inlineStr">
        <is>
          <t>BOOK</t>
        </is>
      </c>
      <c r="BB1892" t="inlineStr">
        <is>
          <t>9780913533093</t>
        </is>
      </c>
      <c r="BC1892" t="inlineStr">
        <is>
          <t>32285001155752</t>
        </is>
      </c>
      <c r="BD1892" t="inlineStr">
        <is>
          <t>893340767</t>
        </is>
      </c>
    </row>
    <row r="1893">
      <c r="A1893" t="inlineStr">
        <is>
          <t>No</t>
        </is>
      </c>
      <c r="B1893" t="inlineStr">
        <is>
          <t>HQ755.35 .S65 1985</t>
        </is>
      </c>
      <c r="C1893" t="inlineStr">
        <is>
          <t>0                      HQ 0755350S  65          1985</t>
        </is>
      </c>
      <c r="D1893" t="inlineStr">
        <is>
          <t>Minds made feeble : the myth and legacy of the Kallikaks / J. David Smith.</t>
        </is>
      </c>
      <c r="F1893" t="inlineStr">
        <is>
          <t>No</t>
        </is>
      </c>
      <c r="G1893" t="inlineStr">
        <is>
          <t>1</t>
        </is>
      </c>
      <c r="H1893" t="inlineStr">
        <is>
          <t>Yes</t>
        </is>
      </c>
      <c r="I1893" t="inlineStr">
        <is>
          <t>No</t>
        </is>
      </c>
      <c r="J1893" t="inlineStr">
        <is>
          <t>0</t>
        </is>
      </c>
      <c r="K1893" t="inlineStr">
        <is>
          <t>Smith, John David, 1949-</t>
        </is>
      </c>
      <c r="L1893" t="inlineStr">
        <is>
          <t>Rockville, Md. : Aspen Systems Corp., 1985.</t>
        </is>
      </c>
      <c r="M1893" t="inlineStr">
        <is>
          <t>1985</t>
        </is>
      </c>
      <c r="O1893" t="inlineStr">
        <is>
          <t>eng</t>
        </is>
      </c>
      <c r="P1893" t="inlineStr">
        <is>
          <t>mdu</t>
        </is>
      </c>
      <c r="R1893" t="inlineStr">
        <is>
          <t xml:space="preserve">HQ </t>
        </is>
      </c>
      <c r="S1893" t="n">
        <v>4</v>
      </c>
      <c r="T1893" t="n">
        <v>5</v>
      </c>
      <c r="U1893" t="inlineStr">
        <is>
          <t>2003-09-17</t>
        </is>
      </c>
      <c r="V1893" t="inlineStr">
        <is>
          <t>2003-09-17</t>
        </is>
      </c>
      <c r="W1893" t="inlineStr">
        <is>
          <t>1990-02-01</t>
        </is>
      </c>
      <c r="X1893" t="inlineStr">
        <is>
          <t>1990-02-01</t>
        </is>
      </c>
      <c r="Y1893" t="n">
        <v>626</v>
      </c>
      <c r="Z1893" t="n">
        <v>589</v>
      </c>
      <c r="AA1893" t="n">
        <v>604</v>
      </c>
      <c r="AB1893" t="n">
        <v>4</v>
      </c>
      <c r="AC1893" t="n">
        <v>4</v>
      </c>
      <c r="AD1893" t="n">
        <v>20</v>
      </c>
      <c r="AE1893" t="n">
        <v>21</v>
      </c>
      <c r="AF1893" t="n">
        <v>9</v>
      </c>
      <c r="AG1893" t="n">
        <v>10</v>
      </c>
      <c r="AH1893" t="n">
        <v>6</v>
      </c>
      <c r="AI1893" t="n">
        <v>7</v>
      </c>
      <c r="AJ1893" t="n">
        <v>8</v>
      </c>
      <c r="AK1893" t="n">
        <v>8</v>
      </c>
      <c r="AL1893" t="n">
        <v>2</v>
      </c>
      <c r="AM1893" t="n">
        <v>2</v>
      </c>
      <c r="AN1893" t="n">
        <v>0</v>
      </c>
      <c r="AO1893" t="n">
        <v>0</v>
      </c>
      <c r="AP1893" t="inlineStr">
        <is>
          <t>No</t>
        </is>
      </c>
      <c r="AQ1893" t="inlineStr">
        <is>
          <t>No</t>
        </is>
      </c>
      <c r="AS1893">
        <f>HYPERLINK("https://creighton-primo.hosted.exlibrisgroup.com/primo-explore/search?tab=default_tab&amp;search_scope=EVERYTHING&amp;vid=01CRU&amp;lang=en_US&amp;offset=0&amp;query=any,contains,991001785599702656","Catalog Record")</f>
        <v/>
      </c>
      <c r="AT1893">
        <f>HYPERLINK("http://www.worldcat.org/oclc/11574160","WorldCat Record")</f>
        <v/>
      </c>
      <c r="AU1893" t="inlineStr">
        <is>
          <t>4474516:eng</t>
        </is>
      </c>
      <c r="AV1893" t="inlineStr">
        <is>
          <t>11574160</t>
        </is>
      </c>
      <c r="AW1893" t="inlineStr">
        <is>
          <t>991001785599702656</t>
        </is>
      </c>
      <c r="AX1893" t="inlineStr">
        <is>
          <t>991001785599702656</t>
        </is>
      </c>
      <c r="AY1893" t="inlineStr">
        <is>
          <t>2264945980002656</t>
        </is>
      </c>
      <c r="AZ1893" t="inlineStr">
        <is>
          <t>BOOK</t>
        </is>
      </c>
      <c r="BB1893" t="inlineStr">
        <is>
          <t>9780871890931</t>
        </is>
      </c>
      <c r="BC1893" t="inlineStr">
        <is>
          <t>32285000031806</t>
        </is>
      </c>
      <c r="BD1893" t="inlineStr">
        <is>
          <t>893684646</t>
        </is>
      </c>
    </row>
    <row r="1894">
      <c r="A1894" t="inlineStr">
        <is>
          <t>No</t>
        </is>
      </c>
      <c r="B1894" t="inlineStr">
        <is>
          <t>HQ755.5.F8 S36 2002</t>
        </is>
      </c>
      <c r="C1894" t="inlineStr">
        <is>
          <t>0                      HQ 0755500F  8                  S  36          2002</t>
        </is>
      </c>
      <c r="D1894" t="inlineStr">
        <is>
          <t>Quality and quantity : the quest for biological regeneration in twentieth-century France / William H. Schneider.</t>
        </is>
      </c>
      <c r="F1894" t="inlineStr">
        <is>
          <t>No</t>
        </is>
      </c>
      <c r="G1894" t="inlineStr">
        <is>
          <t>1</t>
        </is>
      </c>
      <c r="H1894" t="inlineStr">
        <is>
          <t>No</t>
        </is>
      </c>
      <c r="I1894" t="inlineStr">
        <is>
          <t>No</t>
        </is>
      </c>
      <c r="J1894" t="inlineStr">
        <is>
          <t>0</t>
        </is>
      </c>
      <c r="K1894" t="inlineStr">
        <is>
          <t>Schneider, William H. (William Howard), 1945-</t>
        </is>
      </c>
      <c r="L1894" t="inlineStr">
        <is>
          <t>Cambridge : Cambridge University Press, 2002.</t>
        </is>
      </c>
      <c r="M1894" t="inlineStr">
        <is>
          <t>2002</t>
        </is>
      </c>
      <c r="N1894" t="inlineStr">
        <is>
          <t>1st pbk. ed.</t>
        </is>
      </c>
      <c r="O1894" t="inlineStr">
        <is>
          <t>eng</t>
        </is>
      </c>
      <c r="P1894" t="inlineStr">
        <is>
          <t>enk</t>
        </is>
      </c>
      <c r="R1894" t="inlineStr">
        <is>
          <t xml:space="preserve">HQ </t>
        </is>
      </c>
      <c r="S1894" t="n">
        <v>1</v>
      </c>
      <c r="T1894" t="n">
        <v>1</v>
      </c>
      <c r="U1894" t="inlineStr">
        <is>
          <t>2006-11-30</t>
        </is>
      </c>
      <c r="V1894" t="inlineStr">
        <is>
          <t>2006-11-30</t>
        </is>
      </c>
      <c r="W1894" t="inlineStr">
        <is>
          <t>2006-11-30</t>
        </is>
      </c>
      <c r="X1894" t="inlineStr">
        <is>
          <t>2006-11-30</t>
        </is>
      </c>
      <c r="Y1894" t="n">
        <v>22</v>
      </c>
      <c r="Z1894" t="n">
        <v>15</v>
      </c>
      <c r="AA1894" t="n">
        <v>237</v>
      </c>
      <c r="AB1894" t="n">
        <v>1</v>
      </c>
      <c r="AC1894" t="n">
        <v>1</v>
      </c>
      <c r="AD1894" t="n">
        <v>0</v>
      </c>
      <c r="AE1894" t="n">
        <v>8</v>
      </c>
      <c r="AF1894" t="n">
        <v>0</v>
      </c>
      <c r="AG1894" t="n">
        <v>0</v>
      </c>
      <c r="AH1894" t="n">
        <v>0</v>
      </c>
      <c r="AI1894" t="n">
        <v>4</v>
      </c>
      <c r="AJ1894" t="n">
        <v>0</v>
      </c>
      <c r="AK1894" t="n">
        <v>6</v>
      </c>
      <c r="AL1894" t="n">
        <v>0</v>
      </c>
      <c r="AM1894" t="n">
        <v>0</v>
      </c>
      <c r="AN1894" t="n">
        <v>0</v>
      </c>
      <c r="AO1894" t="n">
        <v>0</v>
      </c>
      <c r="AP1894" t="inlineStr">
        <is>
          <t>No</t>
        </is>
      </c>
      <c r="AQ1894" t="inlineStr">
        <is>
          <t>No</t>
        </is>
      </c>
      <c r="AS1894">
        <f>HYPERLINK("https://creighton-primo.hosted.exlibrisgroup.com/primo-explore/search?tab=default_tab&amp;search_scope=EVERYTHING&amp;vid=01CRU&amp;lang=en_US&amp;offset=0&amp;query=any,contains,991004950209702656","Catalog Record")</f>
        <v/>
      </c>
      <c r="AT1894">
        <f>HYPERLINK("http://www.worldcat.org/oclc/49737435","WorldCat Record")</f>
        <v/>
      </c>
      <c r="AU1894" t="inlineStr">
        <is>
          <t>808646573:eng</t>
        </is>
      </c>
      <c r="AV1894" t="inlineStr">
        <is>
          <t>49737435</t>
        </is>
      </c>
      <c r="AW1894" t="inlineStr">
        <is>
          <t>991004950209702656</t>
        </is>
      </c>
      <c r="AX1894" t="inlineStr">
        <is>
          <t>991004950209702656</t>
        </is>
      </c>
      <c r="AY1894" t="inlineStr">
        <is>
          <t>2261891640002656</t>
        </is>
      </c>
      <c r="AZ1894" t="inlineStr">
        <is>
          <t>BOOK</t>
        </is>
      </c>
      <c r="BB1894" t="inlineStr">
        <is>
          <t>9780521524612</t>
        </is>
      </c>
      <c r="BC1894" t="inlineStr">
        <is>
          <t>32285005263065</t>
        </is>
      </c>
      <c r="BD1894" t="inlineStr">
        <is>
          <t>893606624</t>
        </is>
      </c>
    </row>
    <row r="1895">
      <c r="A1895" t="inlineStr">
        <is>
          <t>No</t>
        </is>
      </c>
      <c r="B1895" t="inlineStr">
        <is>
          <t>HQ755.5.U5 H34 1984</t>
        </is>
      </c>
      <c r="C1895" t="inlineStr">
        <is>
          <t>0                      HQ 0755500U  5                  H  34          1984</t>
        </is>
      </c>
      <c r="D1895" t="inlineStr">
        <is>
          <t>Eugenics : hereditarian attitudes in American thought / Mark H. Haller.</t>
        </is>
      </c>
      <c r="F1895" t="inlineStr">
        <is>
          <t>No</t>
        </is>
      </c>
      <c r="G1895" t="inlineStr">
        <is>
          <t>1</t>
        </is>
      </c>
      <c r="H1895" t="inlineStr">
        <is>
          <t>No</t>
        </is>
      </c>
      <c r="I1895" t="inlineStr">
        <is>
          <t>Yes</t>
        </is>
      </c>
      <c r="J1895" t="inlineStr">
        <is>
          <t>0</t>
        </is>
      </c>
      <c r="K1895" t="inlineStr">
        <is>
          <t>Haller, Mark H., 1928-</t>
        </is>
      </c>
      <c r="L1895" t="inlineStr">
        <is>
          <t>New Brunswick, N.J. : Rutgers University Press, c1984.</t>
        </is>
      </c>
      <c r="M1895" t="inlineStr">
        <is>
          <t>1984</t>
        </is>
      </c>
      <c r="O1895" t="inlineStr">
        <is>
          <t>eng</t>
        </is>
      </c>
      <c r="P1895" t="inlineStr">
        <is>
          <t>nju</t>
        </is>
      </c>
      <c r="R1895" t="inlineStr">
        <is>
          <t xml:space="preserve">HQ </t>
        </is>
      </c>
      <c r="S1895" t="n">
        <v>17</v>
      </c>
      <c r="T1895" t="n">
        <v>17</v>
      </c>
      <c r="U1895" t="inlineStr">
        <is>
          <t>2003-09-17</t>
        </is>
      </c>
      <c r="V1895" t="inlineStr">
        <is>
          <t>2003-09-17</t>
        </is>
      </c>
      <c r="W1895" t="inlineStr">
        <is>
          <t>1990-04-10</t>
        </is>
      </c>
      <c r="X1895" t="inlineStr">
        <is>
          <t>1990-04-10</t>
        </is>
      </c>
      <c r="Y1895" t="n">
        <v>211</v>
      </c>
      <c r="Z1895" t="n">
        <v>181</v>
      </c>
      <c r="AA1895" t="n">
        <v>607</v>
      </c>
      <c r="AB1895" t="n">
        <v>1</v>
      </c>
      <c r="AC1895" t="n">
        <v>3</v>
      </c>
      <c r="AD1895" t="n">
        <v>11</v>
      </c>
      <c r="AE1895" t="n">
        <v>31</v>
      </c>
      <c r="AF1895" t="n">
        <v>3</v>
      </c>
      <c r="AG1895" t="n">
        <v>12</v>
      </c>
      <c r="AH1895" t="n">
        <v>3</v>
      </c>
      <c r="AI1895" t="n">
        <v>7</v>
      </c>
      <c r="AJ1895" t="n">
        <v>7</v>
      </c>
      <c r="AK1895" t="n">
        <v>19</v>
      </c>
      <c r="AL1895" t="n">
        <v>0</v>
      </c>
      <c r="AM1895" t="n">
        <v>2</v>
      </c>
      <c r="AN1895" t="n">
        <v>1</v>
      </c>
      <c r="AO1895" t="n">
        <v>1</v>
      </c>
      <c r="AP1895" t="inlineStr">
        <is>
          <t>No</t>
        </is>
      </c>
      <c r="AQ1895" t="inlineStr">
        <is>
          <t>No</t>
        </is>
      </c>
      <c r="AS1895">
        <f>HYPERLINK("https://creighton-primo.hosted.exlibrisgroup.com/primo-explore/search?tab=default_tab&amp;search_scope=EVERYTHING&amp;vid=01CRU&amp;lang=en_US&amp;offset=0&amp;query=any,contains,991005254679702656","Catalog Record")</f>
        <v/>
      </c>
      <c r="AT1895">
        <f>HYPERLINK("http://www.worldcat.org/oclc/10163075","WorldCat Record")</f>
        <v/>
      </c>
      <c r="AU1895" t="inlineStr">
        <is>
          <t>8440559:eng</t>
        </is>
      </c>
      <c r="AV1895" t="inlineStr">
        <is>
          <t>10163075</t>
        </is>
      </c>
      <c r="AW1895" t="inlineStr">
        <is>
          <t>991005254679702656</t>
        </is>
      </c>
      <c r="AX1895" t="inlineStr">
        <is>
          <t>991005254679702656</t>
        </is>
      </c>
      <c r="AY1895" t="inlineStr">
        <is>
          <t>2268712040002656</t>
        </is>
      </c>
      <c r="AZ1895" t="inlineStr">
        <is>
          <t>BOOK</t>
        </is>
      </c>
      <c r="BB1895" t="inlineStr">
        <is>
          <t>9780813510231</t>
        </is>
      </c>
      <c r="BC1895" t="inlineStr">
        <is>
          <t>32285000120179</t>
        </is>
      </c>
      <c r="BD1895" t="inlineStr">
        <is>
          <t>893905337</t>
        </is>
      </c>
    </row>
    <row r="1896">
      <c r="A1896" t="inlineStr">
        <is>
          <t>No</t>
        </is>
      </c>
      <c r="B1896" t="inlineStr">
        <is>
          <t>HQ755.5.U5 H37 1984</t>
        </is>
      </c>
      <c r="C1896" t="inlineStr">
        <is>
          <t>0                      HQ 0755500U  5                  H  37          1984</t>
        </is>
      </c>
      <c r="D1896" t="inlineStr">
        <is>
          <t>The endangered Black family : coping with the unisexualization and coming extinction of the Black race / by Nathan Hare and Julia Hare.</t>
        </is>
      </c>
      <c r="F1896" t="inlineStr">
        <is>
          <t>No</t>
        </is>
      </c>
      <c r="G1896" t="inlineStr">
        <is>
          <t>1</t>
        </is>
      </c>
      <c r="H1896" t="inlineStr">
        <is>
          <t>No</t>
        </is>
      </c>
      <c r="I1896" t="inlineStr">
        <is>
          <t>No</t>
        </is>
      </c>
      <c r="J1896" t="inlineStr">
        <is>
          <t>0</t>
        </is>
      </c>
      <c r="K1896" t="inlineStr">
        <is>
          <t>Hare, Nathan.</t>
        </is>
      </c>
      <c r="L1896" t="inlineStr">
        <is>
          <t>San Francisco, CA : Black Think Tank, c1984</t>
        </is>
      </c>
      <c r="M1896" t="inlineStr">
        <is>
          <t>1984</t>
        </is>
      </c>
      <c r="O1896" t="inlineStr">
        <is>
          <t>eng</t>
        </is>
      </c>
      <c r="P1896" t="inlineStr">
        <is>
          <t>cau</t>
        </is>
      </c>
      <c r="Q1896" t="inlineStr">
        <is>
          <t>A Black male/female relationships book ; no. 1</t>
        </is>
      </c>
      <c r="R1896" t="inlineStr">
        <is>
          <t xml:space="preserve">HQ </t>
        </is>
      </c>
      <c r="S1896" t="n">
        <v>6</v>
      </c>
      <c r="T1896" t="n">
        <v>6</v>
      </c>
      <c r="U1896" t="inlineStr">
        <is>
          <t>2004-03-17</t>
        </is>
      </c>
      <c r="V1896" t="inlineStr">
        <is>
          <t>2004-03-17</t>
        </is>
      </c>
      <c r="W1896" t="inlineStr">
        <is>
          <t>1995-04-26</t>
        </is>
      </c>
      <c r="X1896" t="inlineStr">
        <is>
          <t>1995-04-26</t>
        </is>
      </c>
      <c r="Y1896" t="n">
        <v>276</v>
      </c>
      <c r="Z1896" t="n">
        <v>270</v>
      </c>
      <c r="AA1896" t="n">
        <v>278</v>
      </c>
      <c r="AB1896" t="n">
        <v>2</v>
      </c>
      <c r="AC1896" t="n">
        <v>2</v>
      </c>
      <c r="AD1896" t="n">
        <v>9</v>
      </c>
      <c r="AE1896" t="n">
        <v>9</v>
      </c>
      <c r="AF1896" t="n">
        <v>3</v>
      </c>
      <c r="AG1896" t="n">
        <v>3</v>
      </c>
      <c r="AH1896" t="n">
        <v>0</v>
      </c>
      <c r="AI1896" t="n">
        <v>0</v>
      </c>
      <c r="AJ1896" t="n">
        <v>7</v>
      </c>
      <c r="AK1896" t="n">
        <v>7</v>
      </c>
      <c r="AL1896" t="n">
        <v>1</v>
      </c>
      <c r="AM1896" t="n">
        <v>1</v>
      </c>
      <c r="AN1896" t="n">
        <v>0</v>
      </c>
      <c r="AO1896" t="n">
        <v>0</v>
      </c>
      <c r="AP1896" t="inlineStr">
        <is>
          <t>No</t>
        </is>
      </c>
      <c r="AQ1896" t="inlineStr">
        <is>
          <t>Yes</t>
        </is>
      </c>
      <c r="AR1896">
        <f>HYPERLINK("http://catalog.hathitrust.org/Record/000324413","HathiTrust Record")</f>
        <v/>
      </c>
      <c r="AS1896">
        <f>HYPERLINK("https://creighton-primo.hosted.exlibrisgroup.com/primo-explore/search?tab=default_tab&amp;search_scope=EVERYTHING&amp;vid=01CRU&amp;lang=en_US&amp;offset=0&amp;query=any,contains,991000442839702656","Catalog Record")</f>
        <v/>
      </c>
      <c r="AT1896">
        <f>HYPERLINK("http://www.worldcat.org/oclc/10829776","WorldCat Record")</f>
        <v/>
      </c>
      <c r="AU1896" t="inlineStr">
        <is>
          <t>905815823:eng</t>
        </is>
      </c>
      <c r="AV1896" t="inlineStr">
        <is>
          <t>10829776</t>
        </is>
      </c>
      <c r="AW1896" t="inlineStr">
        <is>
          <t>991000442839702656</t>
        </is>
      </c>
      <c r="AX1896" t="inlineStr">
        <is>
          <t>991000442839702656</t>
        </is>
      </c>
      <c r="AY1896" t="inlineStr">
        <is>
          <t>2268676030002656</t>
        </is>
      </c>
      <c r="AZ1896" t="inlineStr">
        <is>
          <t>BOOK</t>
        </is>
      </c>
      <c r="BB1896" t="inlineStr">
        <is>
          <t>9780961308605</t>
        </is>
      </c>
      <c r="BC1896" t="inlineStr">
        <is>
          <t>32285002036209</t>
        </is>
      </c>
      <c r="BD1896" t="inlineStr">
        <is>
          <t>893521659</t>
        </is>
      </c>
    </row>
    <row r="1897">
      <c r="A1897" t="inlineStr">
        <is>
          <t>No</t>
        </is>
      </c>
      <c r="B1897" t="inlineStr">
        <is>
          <t>HQ755.5.U5 K84 2002</t>
        </is>
      </c>
      <c r="C1897" t="inlineStr">
        <is>
          <t>0                      HQ 0755500U  5                  K  84          2002</t>
        </is>
      </c>
      <c r="D1897" t="inlineStr">
        <is>
          <t>The Nazi connection : eugenics, American racism, and German national socialism / Stefan Kühl.</t>
        </is>
      </c>
      <c r="F1897" t="inlineStr">
        <is>
          <t>No</t>
        </is>
      </c>
      <c r="G1897" t="inlineStr">
        <is>
          <t>1</t>
        </is>
      </c>
      <c r="H1897" t="inlineStr">
        <is>
          <t>No</t>
        </is>
      </c>
      <c r="I1897" t="inlineStr">
        <is>
          <t>Yes</t>
        </is>
      </c>
      <c r="J1897" t="inlineStr">
        <is>
          <t>0</t>
        </is>
      </c>
      <c r="K1897" t="inlineStr">
        <is>
          <t>Kühl, Stefan.</t>
        </is>
      </c>
      <c r="L1897" t="inlineStr">
        <is>
          <t>New York : Oxford University Press, 2002, c1994.</t>
        </is>
      </c>
      <c r="M1897" t="inlineStr">
        <is>
          <t>2002</t>
        </is>
      </c>
      <c r="O1897" t="inlineStr">
        <is>
          <t>eng</t>
        </is>
      </c>
      <c r="P1897" t="inlineStr">
        <is>
          <t>nyu</t>
        </is>
      </c>
      <c r="R1897" t="inlineStr">
        <is>
          <t xml:space="preserve">HQ </t>
        </is>
      </c>
      <c r="S1897" t="n">
        <v>5</v>
      </c>
      <c r="T1897" t="n">
        <v>5</v>
      </c>
      <c r="U1897" t="inlineStr">
        <is>
          <t>2007-11-12</t>
        </is>
      </c>
      <c r="V1897" t="inlineStr">
        <is>
          <t>2007-11-12</t>
        </is>
      </c>
      <c r="W1897" t="inlineStr">
        <is>
          <t>2004-10-14</t>
        </is>
      </c>
      <c r="X1897" t="inlineStr">
        <is>
          <t>2004-10-14</t>
        </is>
      </c>
      <c r="Y1897" t="n">
        <v>94</v>
      </c>
      <c r="Z1897" t="n">
        <v>79</v>
      </c>
      <c r="AA1897" t="n">
        <v>1251</v>
      </c>
      <c r="AB1897" t="n">
        <v>2</v>
      </c>
      <c r="AC1897" t="n">
        <v>13</v>
      </c>
      <c r="AD1897" t="n">
        <v>1</v>
      </c>
      <c r="AE1897" t="n">
        <v>56</v>
      </c>
      <c r="AF1897" t="n">
        <v>0</v>
      </c>
      <c r="AG1897" t="n">
        <v>19</v>
      </c>
      <c r="AH1897" t="n">
        <v>0</v>
      </c>
      <c r="AI1897" t="n">
        <v>10</v>
      </c>
      <c r="AJ1897" t="n">
        <v>0</v>
      </c>
      <c r="AK1897" t="n">
        <v>22</v>
      </c>
      <c r="AL1897" t="n">
        <v>1</v>
      </c>
      <c r="AM1897" t="n">
        <v>11</v>
      </c>
      <c r="AN1897" t="n">
        <v>0</v>
      </c>
      <c r="AO1897" t="n">
        <v>5</v>
      </c>
      <c r="AP1897" t="inlineStr">
        <is>
          <t>No</t>
        </is>
      </c>
      <c r="AQ1897" t="inlineStr">
        <is>
          <t>No</t>
        </is>
      </c>
      <c r="AS1897">
        <f>HYPERLINK("https://creighton-primo.hosted.exlibrisgroup.com/primo-explore/search?tab=default_tab&amp;search_scope=EVERYTHING&amp;vid=01CRU&amp;lang=en_US&amp;offset=0&amp;query=any,contains,991004349429702656","Catalog Record")</f>
        <v/>
      </c>
      <c r="AT1897">
        <f>HYPERLINK("http://www.worldcat.org/oclc/49599211","WorldCat Record")</f>
        <v/>
      </c>
      <c r="AU1897" t="inlineStr">
        <is>
          <t>797244181:eng</t>
        </is>
      </c>
      <c r="AV1897" t="inlineStr">
        <is>
          <t>49599211</t>
        </is>
      </c>
      <c r="AW1897" t="inlineStr">
        <is>
          <t>991004349429702656</t>
        </is>
      </c>
      <c r="AX1897" t="inlineStr">
        <is>
          <t>991004349429702656</t>
        </is>
      </c>
      <c r="AY1897" t="inlineStr">
        <is>
          <t>2263145110002656</t>
        </is>
      </c>
      <c r="AZ1897" t="inlineStr">
        <is>
          <t>BOOK</t>
        </is>
      </c>
      <c r="BB1897" t="inlineStr">
        <is>
          <t>9780195149784</t>
        </is>
      </c>
      <c r="BC1897" t="inlineStr">
        <is>
          <t>32285005003826</t>
        </is>
      </c>
      <c r="BD1897" t="inlineStr">
        <is>
          <t>893875995</t>
        </is>
      </c>
    </row>
    <row r="1898">
      <c r="A1898" t="inlineStr">
        <is>
          <t>No</t>
        </is>
      </c>
      <c r="B1898" t="inlineStr">
        <is>
          <t>HQ755.5.U5 L96 2001</t>
        </is>
      </c>
      <c r="C1898" t="inlineStr">
        <is>
          <t>0                      HQ 0755500U  5                  L  96          2001</t>
        </is>
      </c>
      <c r="D1898" t="inlineStr">
        <is>
          <t>The science of human diversity : a history of the Pioneer Fund / Richard Lynn ; with a special preface by Harry F. Weyher.</t>
        </is>
      </c>
      <c r="F1898" t="inlineStr">
        <is>
          <t>No</t>
        </is>
      </c>
      <c r="G1898" t="inlineStr">
        <is>
          <t>1</t>
        </is>
      </c>
      <c r="H1898" t="inlineStr">
        <is>
          <t>No</t>
        </is>
      </c>
      <c r="I1898" t="inlineStr">
        <is>
          <t>No</t>
        </is>
      </c>
      <c r="J1898" t="inlineStr">
        <is>
          <t>0</t>
        </is>
      </c>
      <c r="K1898" t="inlineStr">
        <is>
          <t>Lynn, Richard, 1930-</t>
        </is>
      </c>
      <c r="L1898" t="inlineStr">
        <is>
          <t>Lanham, Md. : University Press of America, c2001.</t>
        </is>
      </c>
      <c r="M1898" t="inlineStr">
        <is>
          <t>2001</t>
        </is>
      </c>
      <c r="O1898" t="inlineStr">
        <is>
          <t>eng</t>
        </is>
      </c>
      <c r="P1898" t="inlineStr">
        <is>
          <t>mdu</t>
        </is>
      </c>
      <c r="R1898" t="inlineStr">
        <is>
          <t xml:space="preserve">HQ </t>
        </is>
      </c>
      <c r="S1898" t="n">
        <v>2</v>
      </c>
      <c r="T1898" t="n">
        <v>2</v>
      </c>
      <c r="U1898" t="inlineStr">
        <is>
          <t>2003-01-26</t>
        </is>
      </c>
      <c r="V1898" t="inlineStr">
        <is>
          <t>2003-01-26</t>
        </is>
      </c>
      <c r="W1898" t="inlineStr">
        <is>
          <t>2001-08-01</t>
        </is>
      </c>
      <c r="X1898" t="inlineStr">
        <is>
          <t>2001-08-01</t>
        </is>
      </c>
      <c r="Y1898" t="n">
        <v>604</v>
      </c>
      <c r="Z1898" t="n">
        <v>540</v>
      </c>
      <c r="AA1898" t="n">
        <v>547</v>
      </c>
      <c r="AB1898" t="n">
        <v>5</v>
      </c>
      <c r="AC1898" t="n">
        <v>5</v>
      </c>
      <c r="AD1898" t="n">
        <v>24</v>
      </c>
      <c r="AE1898" t="n">
        <v>24</v>
      </c>
      <c r="AF1898" t="n">
        <v>10</v>
      </c>
      <c r="AG1898" t="n">
        <v>10</v>
      </c>
      <c r="AH1898" t="n">
        <v>5</v>
      </c>
      <c r="AI1898" t="n">
        <v>5</v>
      </c>
      <c r="AJ1898" t="n">
        <v>9</v>
      </c>
      <c r="AK1898" t="n">
        <v>9</v>
      </c>
      <c r="AL1898" t="n">
        <v>4</v>
      </c>
      <c r="AM1898" t="n">
        <v>4</v>
      </c>
      <c r="AN1898" t="n">
        <v>1</v>
      </c>
      <c r="AO1898" t="n">
        <v>1</v>
      </c>
      <c r="AP1898" t="inlineStr">
        <is>
          <t>No</t>
        </is>
      </c>
      <c r="AQ1898" t="inlineStr">
        <is>
          <t>Yes</t>
        </is>
      </c>
      <c r="AR1898">
        <f>HYPERLINK("http://catalog.hathitrust.org/Record/004185113","HathiTrust Record")</f>
        <v/>
      </c>
      <c r="AS1898">
        <f>HYPERLINK("https://creighton-primo.hosted.exlibrisgroup.com/primo-explore/search?tab=default_tab&amp;search_scope=EVERYTHING&amp;vid=01CRU&amp;lang=en_US&amp;offset=0&amp;query=any,contains,991003588289702656","Catalog Record")</f>
        <v/>
      </c>
      <c r="AT1898">
        <f>HYPERLINK("http://www.worldcat.org/oclc/46713162","WorldCat Record")</f>
        <v/>
      </c>
      <c r="AU1898" t="inlineStr">
        <is>
          <t>203082172:eng</t>
        </is>
      </c>
      <c r="AV1898" t="inlineStr">
        <is>
          <t>46713162</t>
        </is>
      </c>
      <c r="AW1898" t="inlineStr">
        <is>
          <t>991003588289702656</t>
        </is>
      </c>
      <c r="AX1898" t="inlineStr">
        <is>
          <t>991003588289702656</t>
        </is>
      </c>
      <c r="AY1898" t="inlineStr">
        <is>
          <t>2255136680002656</t>
        </is>
      </c>
      <c r="AZ1898" t="inlineStr">
        <is>
          <t>BOOK</t>
        </is>
      </c>
      <c r="BB1898" t="inlineStr">
        <is>
          <t>9780761820406</t>
        </is>
      </c>
      <c r="BC1898" t="inlineStr">
        <is>
          <t>32285004375357</t>
        </is>
      </c>
      <c r="BD1898" t="inlineStr">
        <is>
          <t>893324224</t>
        </is>
      </c>
    </row>
    <row r="1899">
      <c r="A1899" t="inlineStr">
        <is>
          <t>No</t>
        </is>
      </c>
      <c r="B1899" t="inlineStr">
        <is>
          <t>HQ755.5.U5 W52 1988</t>
        </is>
      </c>
      <c r="C1899" t="inlineStr">
        <is>
          <t>0                      HQ 0755500U  5                  W  52          1988</t>
        </is>
      </c>
      <c r="D1899" t="inlineStr">
        <is>
          <t>White trash : the eugenic family studies, 1877-1919 / edited and with an introduction by Nicole Hahn Rafter.</t>
        </is>
      </c>
      <c r="F1899" t="inlineStr">
        <is>
          <t>No</t>
        </is>
      </c>
      <c r="G1899" t="inlineStr">
        <is>
          <t>1</t>
        </is>
      </c>
      <c r="H1899" t="inlineStr">
        <is>
          <t>No</t>
        </is>
      </c>
      <c r="I1899" t="inlineStr">
        <is>
          <t>No</t>
        </is>
      </c>
      <c r="J1899" t="inlineStr">
        <is>
          <t>0</t>
        </is>
      </c>
      <c r="L1899" t="inlineStr">
        <is>
          <t>Boston : Northeastern University Press, c1988.</t>
        </is>
      </c>
      <c r="M1899" t="inlineStr">
        <is>
          <t>1988</t>
        </is>
      </c>
      <c r="O1899" t="inlineStr">
        <is>
          <t>eng</t>
        </is>
      </c>
      <c r="P1899" t="inlineStr">
        <is>
          <t>mau</t>
        </is>
      </c>
      <c r="R1899" t="inlineStr">
        <is>
          <t xml:space="preserve">HQ </t>
        </is>
      </c>
      <c r="S1899" t="n">
        <v>8</v>
      </c>
      <c r="T1899" t="n">
        <v>8</v>
      </c>
      <c r="U1899" t="inlineStr">
        <is>
          <t>1996-09-24</t>
        </is>
      </c>
      <c r="V1899" t="inlineStr">
        <is>
          <t>1996-09-24</t>
        </is>
      </c>
      <c r="W1899" t="inlineStr">
        <is>
          <t>1990-02-02</t>
        </is>
      </c>
      <c r="X1899" t="inlineStr">
        <is>
          <t>1990-02-02</t>
        </is>
      </c>
      <c r="Y1899" t="n">
        <v>466</v>
      </c>
      <c r="Z1899" t="n">
        <v>412</v>
      </c>
      <c r="AA1899" t="n">
        <v>419</v>
      </c>
      <c r="AB1899" t="n">
        <v>4</v>
      </c>
      <c r="AC1899" t="n">
        <v>4</v>
      </c>
      <c r="AD1899" t="n">
        <v>15</v>
      </c>
      <c r="AE1899" t="n">
        <v>15</v>
      </c>
      <c r="AF1899" t="n">
        <v>4</v>
      </c>
      <c r="AG1899" t="n">
        <v>4</v>
      </c>
      <c r="AH1899" t="n">
        <v>4</v>
      </c>
      <c r="AI1899" t="n">
        <v>4</v>
      </c>
      <c r="AJ1899" t="n">
        <v>7</v>
      </c>
      <c r="AK1899" t="n">
        <v>7</v>
      </c>
      <c r="AL1899" t="n">
        <v>3</v>
      </c>
      <c r="AM1899" t="n">
        <v>3</v>
      </c>
      <c r="AN1899" t="n">
        <v>0</v>
      </c>
      <c r="AO1899" t="n">
        <v>0</v>
      </c>
      <c r="AP1899" t="inlineStr">
        <is>
          <t>No</t>
        </is>
      </c>
      <c r="AQ1899" t="inlineStr">
        <is>
          <t>Yes</t>
        </is>
      </c>
      <c r="AR1899">
        <f>HYPERLINK("http://catalog.hathitrust.org/Record/000920285","HathiTrust Record")</f>
        <v/>
      </c>
      <c r="AS1899">
        <f>HYPERLINK("https://creighton-primo.hosted.exlibrisgroup.com/primo-explore/search?tab=default_tab&amp;search_scope=EVERYTHING&amp;vid=01CRU&amp;lang=en_US&amp;offset=0&amp;query=any,contains,991001209439702656","Catalog Record")</f>
        <v/>
      </c>
      <c r="AT1899">
        <f>HYPERLINK("http://www.worldcat.org/oclc/17383767","WorldCat Record")</f>
        <v/>
      </c>
      <c r="AU1899" t="inlineStr">
        <is>
          <t>15937392:eng</t>
        </is>
      </c>
      <c r="AV1899" t="inlineStr">
        <is>
          <t>17383767</t>
        </is>
      </c>
      <c r="AW1899" t="inlineStr">
        <is>
          <t>991001209439702656</t>
        </is>
      </c>
      <c r="AX1899" t="inlineStr">
        <is>
          <t>991001209439702656</t>
        </is>
      </c>
      <c r="AY1899" t="inlineStr">
        <is>
          <t>2271656140002656</t>
        </is>
      </c>
      <c r="AZ1899" t="inlineStr">
        <is>
          <t>BOOK</t>
        </is>
      </c>
      <c r="BB1899" t="inlineStr">
        <is>
          <t>9781555530303</t>
        </is>
      </c>
      <c r="BC1899" t="inlineStr">
        <is>
          <t>32285000038306</t>
        </is>
      </c>
      <c r="BD1899" t="inlineStr">
        <is>
          <t>893797396</t>
        </is>
      </c>
    </row>
    <row r="1900">
      <c r="A1900" t="inlineStr">
        <is>
          <t>No</t>
        </is>
      </c>
      <c r="B1900" t="inlineStr">
        <is>
          <t>HQ755.7 .C38 1987</t>
        </is>
      </c>
      <c r="C1900" t="inlineStr">
        <is>
          <t>0                      HQ 0755700C  38          1987</t>
        </is>
      </c>
      <c r="D1900" t="inlineStr">
        <is>
          <t>Parent education for early childhood : child-rearing concepts and program content for the student and practicing professional / Christine Z. Cataldo.</t>
        </is>
      </c>
      <c r="F1900" t="inlineStr">
        <is>
          <t>No</t>
        </is>
      </c>
      <c r="G1900" t="inlineStr">
        <is>
          <t>1</t>
        </is>
      </c>
      <c r="H1900" t="inlineStr">
        <is>
          <t>No</t>
        </is>
      </c>
      <c r="I1900" t="inlineStr">
        <is>
          <t>No</t>
        </is>
      </c>
      <c r="J1900" t="inlineStr">
        <is>
          <t>0</t>
        </is>
      </c>
      <c r="K1900" t="inlineStr">
        <is>
          <t>Cataldo, Christine Z.</t>
        </is>
      </c>
      <c r="L1900" t="inlineStr">
        <is>
          <t>New York : Teachers College, Columbia University, c1987.</t>
        </is>
      </c>
      <c r="M1900" t="inlineStr">
        <is>
          <t>1987</t>
        </is>
      </c>
      <c r="O1900" t="inlineStr">
        <is>
          <t>eng</t>
        </is>
      </c>
      <c r="P1900" t="inlineStr">
        <is>
          <t>nyu</t>
        </is>
      </c>
      <c r="R1900" t="inlineStr">
        <is>
          <t xml:space="preserve">HQ </t>
        </is>
      </c>
      <c r="S1900" t="n">
        <v>7</v>
      </c>
      <c r="T1900" t="n">
        <v>7</v>
      </c>
      <c r="U1900" t="inlineStr">
        <is>
          <t>1997-03-13</t>
        </is>
      </c>
      <c r="V1900" t="inlineStr">
        <is>
          <t>1997-03-13</t>
        </is>
      </c>
      <c r="W1900" t="inlineStr">
        <is>
          <t>1992-11-04</t>
        </is>
      </c>
      <c r="X1900" t="inlineStr">
        <is>
          <t>1992-11-04</t>
        </is>
      </c>
      <c r="Y1900" t="n">
        <v>459</v>
      </c>
      <c r="Z1900" t="n">
        <v>414</v>
      </c>
      <c r="AA1900" t="n">
        <v>415</v>
      </c>
      <c r="AB1900" t="n">
        <v>5</v>
      </c>
      <c r="AC1900" t="n">
        <v>5</v>
      </c>
      <c r="AD1900" t="n">
        <v>17</v>
      </c>
      <c r="AE1900" t="n">
        <v>17</v>
      </c>
      <c r="AF1900" t="n">
        <v>6</v>
      </c>
      <c r="AG1900" t="n">
        <v>6</v>
      </c>
      <c r="AH1900" t="n">
        <v>2</v>
      </c>
      <c r="AI1900" t="n">
        <v>2</v>
      </c>
      <c r="AJ1900" t="n">
        <v>8</v>
      </c>
      <c r="AK1900" t="n">
        <v>8</v>
      </c>
      <c r="AL1900" t="n">
        <v>4</v>
      </c>
      <c r="AM1900" t="n">
        <v>4</v>
      </c>
      <c r="AN1900" t="n">
        <v>0</v>
      </c>
      <c r="AO1900" t="n">
        <v>0</v>
      </c>
      <c r="AP1900" t="inlineStr">
        <is>
          <t>No</t>
        </is>
      </c>
      <c r="AQ1900" t="inlineStr">
        <is>
          <t>No</t>
        </is>
      </c>
      <c r="AS1900">
        <f>HYPERLINK("https://creighton-primo.hosted.exlibrisgroup.com/primo-explore/search?tab=default_tab&amp;search_scope=EVERYTHING&amp;vid=01CRU&amp;lang=en_US&amp;offset=0&amp;query=any,contains,991000925629702656","Catalog Record")</f>
        <v/>
      </c>
      <c r="AT1900">
        <f>HYPERLINK("http://www.worldcat.org/oclc/14240030","WorldCat Record")</f>
        <v/>
      </c>
      <c r="AU1900" t="inlineStr">
        <is>
          <t>38673567:eng</t>
        </is>
      </c>
      <c r="AV1900" t="inlineStr">
        <is>
          <t>14240030</t>
        </is>
      </c>
      <c r="AW1900" t="inlineStr">
        <is>
          <t>991000925629702656</t>
        </is>
      </c>
      <c r="AX1900" t="inlineStr">
        <is>
          <t>991000925629702656</t>
        </is>
      </c>
      <c r="AY1900" t="inlineStr">
        <is>
          <t>2258718040002656</t>
        </is>
      </c>
      <c r="AZ1900" t="inlineStr">
        <is>
          <t>BOOK</t>
        </is>
      </c>
      <c r="BB1900" t="inlineStr">
        <is>
          <t>9780807727973</t>
        </is>
      </c>
      <c r="BC1900" t="inlineStr">
        <is>
          <t>32285001359503</t>
        </is>
      </c>
      <c r="BD1900" t="inlineStr">
        <is>
          <t>893237728</t>
        </is>
      </c>
    </row>
    <row r="1901">
      <c r="A1901" t="inlineStr">
        <is>
          <t>No</t>
        </is>
      </c>
      <c r="B1901" t="inlineStr">
        <is>
          <t>HQ755.7 .F68</t>
        </is>
      </c>
      <c r="C1901" t="inlineStr">
        <is>
          <t>0                      HQ 0755700F  68</t>
        </is>
      </c>
      <c r="D1901" t="inlineStr">
        <is>
          <t>Infant and child care : a guide to education in group settings / William Fowler.</t>
        </is>
      </c>
      <c r="F1901" t="inlineStr">
        <is>
          <t>No</t>
        </is>
      </c>
      <c r="G1901" t="inlineStr">
        <is>
          <t>1</t>
        </is>
      </c>
      <c r="H1901" t="inlineStr">
        <is>
          <t>No</t>
        </is>
      </c>
      <c r="I1901" t="inlineStr">
        <is>
          <t>No</t>
        </is>
      </c>
      <c r="J1901" t="inlineStr">
        <is>
          <t>0</t>
        </is>
      </c>
      <c r="K1901" t="inlineStr">
        <is>
          <t>Fowler, William, 1921-</t>
        </is>
      </c>
      <c r="L1901" t="inlineStr">
        <is>
          <t>Boston : Allyn and Bacon, c1980.</t>
        </is>
      </c>
      <c r="M1901" t="inlineStr">
        <is>
          <t>1979</t>
        </is>
      </c>
      <c r="O1901" t="inlineStr">
        <is>
          <t>eng</t>
        </is>
      </c>
      <c r="P1901" t="inlineStr">
        <is>
          <t>mau</t>
        </is>
      </c>
      <c r="R1901" t="inlineStr">
        <is>
          <t xml:space="preserve">HQ </t>
        </is>
      </c>
      <c r="S1901" t="n">
        <v>3</v>
      </c>
      <c r="T1901" t="n">
        <v>3</v>
      </c>
      <c r="U1901" t="inlineStr">
        <is>
          <t>2007-05-07</t>
        </is>
      </c>
      <c r="V1901" t="inlineStr">
        <is>
          <t>2007-05-07</t>
        </is>
      </c>
      <c r="W1901" t="inlineStr">
        <is>
          <t>1992-11-04</t>
        </is>
      </c>
      <c r="X1901" t="inlineStr">
        <is>
          <t>1992-11-04</t>
        </is>
      </c>
      <c r="Y1901" t="n">
        <v>388</v>
      </c>
      <c r="Z1901" t="n">
        <v>314</v>
      </c>
      <c r="AA1901" t="n">
        <v>319</v>
      </c>
      <c r="AB1901" t="n">
        <v>3</v>
      </c>
      <c r="AC1901" t="n">
        <v>3</v>
      </c>
      <c r="AD1901" t="n">
        <v>11</v>
      </c>
      <c r="AE1901" t="n">
        <v>11</v>
      </c>
      <c r="AF1901" t="n">
        <v>3</v>
      </c>
      <c r="AG1901" t="n">
        <v>3</v>
      </c>
      <c r="AH1901" t="n">
        <v>2</v>
      </c>
      <c r="AI1901" t="n">
        <v>2</v>
      </c>
      <c r="AJ1901" t="n">
        <v>5</v>
      </c>
      <c r="AK1901" t="n">
        <v>5</v>
      </c>
      <c r="AL1901" t="n">
        <v>2</v>
      </c>
      <c r="AM1901" t="n">
        <v>2</v>
      </c>
      <c r="AN1901" t="n">
        <v>0</v>
      </c>
      <c r="AO1901" t="n">
        <v>0</v>
      </c>
      <c r="AP1901" t="inlineStr">
        <is>
          <t>No</t>
        </is>
      </c>
      <c r="AQ1901" t="inlineStr">
        <is>
          <t>Yes</t>
        </is>
      </c>
      <c r="AR1901">
        <f>HYPERLINK("http://catalog.hathitrust.org/Record/000687606","HathiTrust Record")</f>
        <v/>
      </c>
      <c r="AS1901">
        <f>HYPERLINK("https://creighton-primo.hosted.exlibrisgroup.com/primo-explore/search?tab=default_tab&amp;search_scope=EVERYTHING&amp;vid=01CRU&amp;lang=en_US&amp;offset=0&amp;query=any,contains,991004720939702656","Catalog Record")</f>
        <v/>
      </c>
      <c r="AT1901">
        <f>HYPERLINK("http://www.worldcat.org/oclc/4804509","WorldCat Record")</f>
        <v/>
      </c>
      <c r="AU1901" t="inlineStr">
        <is>
          <t>422695799:eng</t>
        </is>
      </c>
      <c r="AV1901" t="inlineStr">
        <is>
          <t>4804509</t>
        </is>
      </c>
      <c r="AW1901" t="inlineStr">
        <is>
          <t>991004720939702656</t>
        </is>
      </c>
      <c r="AX1901" t="inlineStr">
        <is>
          <t>991004720939702656</t>
        </is>
      </c>
      <c r="AY1901" t="inlineStr">
        <is>
          <t>2270307660002656</t>
        </is>
      </c>
      <c r="AZ1901" t="inlineStr">
        <is>
          <t>BOOK</t>
        </is>
      </c>
      <c r="BB1901" t="inlineStr">
        <is>
          <t>9780205065141</t>
        </is>
      </c>
      <c r="BC1901" t="inlineStr">
        <is>
          <t>32285001359529</t>
        </is>
      </c>
      <c r="BD1901" t="inlineStr">
        <is>
          <t>893807389</t>
        </is>
      </c>
    </row>
    <row r="1902">
      <c r="A1902" t="inlineStr">
        <is>
          <t>No</t>
        </is>
      </c>
      <c r="B1902" t="inlineStr">
        <is>
          <t>HQ755.7 .S43 1989</t>
        </is>
      </c>
      <c r="C1902" t="inlineStr">
        <is>
          <t>0                      HQ 0755700S  43          1989</t>
        </is>
      </c>
      <c r="D1902" t="inlineStr">
        <is>
          <t>The Second handbook on parent education : contemporary perspectives / edited by Marvin J. Fine.</t>
        </is>
      </c>
      <c r="F1902" t="inlineStr">
        <is>
          <t>No</t>
        </is>
      </c>
      <c r="G1902" t="inlineStr">
        <is>
          <t>1</t>
        </is>
      </c>
      <c r="H1902" t="inlineStr">
        <is>
          <t>No</t>
        </is>
      </c>
      <c r="I1902" t="inlineStr">
        <is>
          <t>No</t>
        </is>
      </c>
      <c r="J1902" t="inlineStr">
        <is>
          <t>0</t>
        </is>
      </c>
      <c r="L1902" t="inlineStr">
        <is>
          <t>San Diego : Academic Press, c1989.</t>
        </is>
      </c>
      <c r="M1902" t="inlineStr">
        <is>
          <t>1988</t>
        </is>
      </c>
      <c r="O1902" t="inlineStr">
        <is>
          <t>eng</t>
        </is>
      </c>
      <c r="P1902" t="inlineStr">
        <is>
          <t>cau</t>
        </is>
      </c>
      <c r="Q1902" t="inlineStr">
        <is>
          <t>Educational psychology</t>
        </is>
      </c>
      <c r="R1902" t="inlineStr">
        <is>
          <t xml:space="preserve">HQ </t>
        </is>
      </c>
      <c r="S1902" t="n">
        <v>1</v>
      </c>
      <c r="T1902" t="n">
        <v>1</v>
      </c>
      <c r="U1902" t="inlineStr">
        <is>
          <t>1994-02-01</t>
        </is>
      </c>
      <c r="V1902" t="inlineStr">
        <is>
          <t>1994-02-01</t>
        </is>
      </c>
      <c r="W1902" t="inlineStr">
        <is>
          <t>1990-03-28</t>
        </is>
      </c>
      <c r="X1902" t="inlineStr">
        <is>
          <t>1990-03-28</t>
        </is>
      </c>
      <c r="Y1902" t="n">
        <v>326</v>
      </c>
      <c r="Z1902" t="n">
        <v>252</v>
      </c>
      <c r="AA1902" t="n">
        <v>290</v>
      </c>
      <c r="AB1902" t="n">
        <v>5</v>
      </c>
      <c r="AC1902" t="n">
        <v>5</v>
      </c>
      <c r="AD1902" t="n">
        <v>15</v>
      </c>
      <c r="AE1902" t="n">
        <v>17</v>
      </c>
      <c r="AF1902" t="n">
        <v>4</v>
      </c>
      <c r="AG1902" t="n">
        <v>5</v>
      </c>
      <c r="AH1902" t="n">
        <v>2</v>
      </c>
      <c r="AI1902" t="n">
        <v>3</v>
      </c>
      <c r="AJ1902" t="n">
        <v>9</v>
      </c>
      <c r="AK1902" t="n">
        <v>9</v>
      </c>
      <c r="AL1902" t="n">
        <v>4</v>
      </c>
      <c r="AM1902" t="n">
        <v>4</v>
      </c>
      <c r="AN1902" t="n">
        <v>0</v>
      </c>
      <c r="AO1902" t="n">
        <v>0</v>
      </c>
      <c r="AP1902" t="inlineStr">
        <is>
          <t>No</t>
        </is>
      </c>
      <c r="AQ1902" t="inlineStr">
        <is>
          <t>Yes</t>
        </is>
      </c>
      <c r="AR1902">
        <f>HYPERLINK("http://catalog.hathitrust.org/Record/001081008","HathiTrust Record")</f>
        <v/>
      </c>
      <c r="AS1902">
        <f>HYPERLINK("https://creighton-primo.hosted.exlibrisgroup.com/primo-explore/search?tab=default_tab&amp;search_scope=EVERYTHING&amp;vid=01CRU&amp;lang=en_US&amp;offset=0&amp;query=any,contains,991001366969702656","Catalog Record")</f>
        <v/>
      </c>
      <c r="AT1902">
        <f>HYPERLINK("http://www.worldcat.org/oclc/18559233","WorldCat Record")</f>
        <v/>
      </c>
      <c r="AU1902" t="inlineStr">
        <is>
          <t>836729303:eng</t>
        </is>
      </c>
      <c r="AV1902" t="inlineStr">
        <is>
          <t>18559233</t>
        </is>
      </c>
      <c r="AW1902" t="inlineStr">
        <is>
          <t>991001366969702656</t>
        </is>
      </c>
      <c r="AX1902" t="inlineStr">
        <is>
          <t>991001366969702656</t>
        </is>
      </c>
      <c r="AY1902" t="inlineStr">
        <is>
          <t>2260822430002656</t>
        </is>
      </c>
      <c r="AZ1902" t="inlineStr">
        <is>
          <t>BOOK</t>
        </is>
      </c>
      <c r="BB1902" t="inlineStr">
        <is>
          <t>9780122564826</t>
        </is>
      </c>
      <c r="BC1902" t="inlineStr">
        <is>
          <t>32285000099951</t>
        </is>
      </c>
      <c r="BD1902" t="inlineStr">
        <is>
          <t>893772535</t>
        </is>
      </c>
    </row>
    <row r="1903">
      <c r="A1903" t="inlineStr">
        <is>
          <t>No</t>
        </is>
      </c>
      <c r="B1903" t="inlineStr">
        <is>
          <t>HQ755.7 .W5 1985</t>
        </is>
      </c>
      <c r="C1903" t="inlineStr">
        <is>
          <t>0                      HQ 0755700W  5           1985</t>
        </is>
      </c>
      <c r="D1903" t="inlineStr">
        <is>
          <t>Handbook for involving parents in education / Doris K. Williams.</t>
        </is>
      </c>
      <c r="F1903" t="inlineStr">
        <is>
          <t>No</t>
        </is>
      </c>
      <c r="G1903" t="inlineStr">
        <is>
          <t>1</t>
        </is>
      </c>
      <c r="H1903" t="inlineStr">
        <is>
          <t>No</t>
        </is>
      </c>
      <c r="I1903" t="inlineStr">
        <is>
          <t>No</t>
        </is>
      </c>
      <c r="J1903" t="inlineStr">
        <is>
          <t>0</t>
        </is>
      </c>
      <c r="K1903" t="inlineStr">
        <is>
          <t>Williams, Doris K.</t>
        </is>
      </c>
      <c r="L1903" t="inlineStr">
        <is>
          <t>Atlanta, Ga. : Humanics Ltd., c1985.</t>
        </is>
      </c>
      <c r="M1903" t="inlineStr">
        <is>
          <t>1985</t>
        </is>
      </c>
      <c r="O1903" t="inlineStr">
        <is>
          <t>eng</t>
        </is>
      </c>
      <c r="P1903" t="inlineStr">
        <is>
          <t>gau</t>
        </is>
      </c>
      <c r="R1903" t="inlineStr">
        <is>
          <t xml:space="preserve">HQ </t>
        </is>
      </c>
      <c r="S1903" t="n">
        <v>1</v>
      </c>
      <c r="T1903" t="n">
        <v>1</v>
      </c>
      <c r="U1903" t="inlineStr">
        <is>
          <t>2007-05-07</t>
        </is>
      </c>
      <c r="V1903" t="inlineStr">
        <is>
          <t>2007-05-07</t>
        </is>
      </c>
      <c r="W1903" t="inlineStr">
        <is>
          <t>1992-11-04</t>
        </is>
      </c>
      <c r="X1903" t="inlineStr">
        <is>
          <t>1992-11-04</t>
        </is>
      </c>
      <c r="Y1903" t="n">
        <v>159</v>
      </c>
      <c r="Z1903" t="n">
        <v>147</v>
      </c>
      <c r="AA1903" t="n">
        <v>147</v>
      </c>
      <c r="AB1903" t="n">
        <v>5</v>
      </c>
      <c r="AC1903" t="n">
        <v>5</v>
      </c>
      <c r="AD1903" t="n">
        <v>6</v>
      </c>
      <c r="AE1903" t="n">
        <v>6</v>
      </c>
      <c r="AF1903" t="n">
        <v>2</v>
      </c>
      <c r="AG1903" t="n">
        <v>2</v>
      </c>
      <c r="AH1903" t="n">
        <v>0</v>
      </c>
      <c r="AI1903" t="n">
        <v>0</v>
      </c>
      <c r="AJ1903" t="n">
        <v>3</v>
      </c>
      <c r="AK1903" t="n">
        <v>3</v>
      </c>
      <c r="AL1903" t="n">
        <v>3</v>
      </c>
      <c r="AM1903" t="n">
        <v>3</v>
      </c>
      <c r="AN1903" t="n">
        <v>0</v>
      </c>
      <c r="AO1903" t="n">
        <v>0</v>
      </c>
      <c r="AP1903" t="inlineStr">
        <is>
          <t>No</t>
        </is>
      </c>
      <c r="AQ1903" t="inlineStr">
        <is>
          <t>No</t>
        </is>
      </c>
      <c r="AS1903">
        <f>HYPERLINK("https://creighton-primo.hosted.exlibrisgroup.com/primo-explore/search?tab=default_tab&amp;search_scope=EVERYTHING&amp;vid=01CRU&amp;lang=en_US&amp;offset=0&amp;query=any,contains,991000558079702656","Catalog Record")</f>
        <v/>
      </c>
      <c r="AT1903">
        <f>HYPERLINK("http://www.worldcat.org/oclc/11573617","WorldCat Record")</f>
        <v/>
      </c>
      <c r="AU1903" t="inlineStr">
        <is>
          <t>4466683:eng</t>
        </is>
      </c>
      <c r="AV1903" t="inlineStr">
        <is>
          <t>11573617</t>
        </is>
      </c>
      <c r="AW1903" t="inlineStr">
        <is>
          <t>991000558079702656</t>
        </is>
      </c>
      <c r="AX1903" t="inlineStr">
        <is>
          <t>991000558079702656</t>
        </is>
      </c>
      <c r="AY1903" t="inlineStr">
        <is>
          <t>2265542600002656</t>
        </is>
      </c>
      <c r="AZ1903" t="inlineStr">
        <is>
          <t>BOOK</t>
        </is>
      </c>
      <c r="BB1903" t="inlineStr">
        <is>
          <t>9780893340841</t>
        </is>
      </c>
      <c r="BC1903" t="inlineStr">
        <is>
          <t>32285001359537</t>
        </is>
      </c>
      <c r="BD1903" t="inlineStr">
        <is>
          <t>893601856</t>
        </is>
      </c>
    </row>
    <row r="1904">
      <c r="A1904" t="inlineStr">
        <is>
          <t>No</t>
        </is>
      </c>
      <c r="B1904" t="inlineStr">
        <is>
          <t>HQ755.8 .A2 1982</t>
        </is>
      </c>
      <c r="C1904" t="inlineStr">
        <is>
          <t>0                      HQ 0755800A  2           1982</t>
        </is>
      </c>
      <c r="D1904" t="inlineStr">
        <is>
          <t>Parenting skills : trainer's manual / Richard R. Abidin.</t>
        </is>
      </c>
      <c r="F1904" t="inlineStr">
        <is>
          <t>No</t>
        </is>
      </c>
      <c r="G1904" t="inlineStr">
        <is>
          <t>1</t>
        </is>
      </c>
      <c r="H1904" t="inlineStr">
        <is>
          <t>No</t>
        </is>
      </c>
      <c r="I1904" t="inlineStr">
        <is>
          <t>No</t>
        </is>
      </c>
      <c r="J1904" t="inlineStr">
        <is>
          <t>0</t>
        </is>
      </c>
      <c r="K1904" t="inlineStr">
        <is>
          <t>Abidin, Richard R.</t>
        </is>
      </c>
      <c r="L1904" t="inlineStr">
        <is>
          <t>New York, N.Y. : Human Sciences Press, 1982.</t>
        </is>
      </c>
      <c r="M1904" t="inlineStr">
        <is>
          <t>1981</t>
        </is>
      </c>
      <c r="N1904" t="inlineStr">
        <is>
          <t>2nd ed.</t>
        </is>
      </c>
      <c r="O1904" t="inlineStr">
        <is>
          <t>eng</t>
        </is>
      </c>
      <c r="P1904" t="inlineStr">
        <is>
          <t>nyu</t>
        </is>
      </c>
      <c r="R1904" t="inlineStr">
        <is>
          <t xml:space="preserve">HQ </t>
        </is>
      </c>
      <c r="S1904" t="n">
        <v>3</v>
      </c>
      <c r="T1904" t="n">
        <v>3</v>
      </c>
      <c r="U1904" t="inlineStr">
        <is>
          <t>2001-05-01</t>
        </is>
      </c>
      <c r="V1904" t="inlineStr">
        <is>
          <t>2001-05-01</t>
        </is>
      </c>
      <c r="W1904" t="inlineStr">
        <is>
          <t>1992-11-04</t>
        </is>
      </c>
      <c r="X1904" t="inlineStr">
        <is>
          <t>1992-11-04</t>
        </is>
      </c>
      <c r="Y1904" t="n">
        <v>113</v>
      </c>
      <c r="Z1904" t="n">
        <v>108</v>
      </c>
      <c r="AA1904" t="n">
        <v>346</v>
      </c>
      <c r="AB1904" t="n">
        <v>2</v>
      </c>
      <c r="AC1904" t="n">
        <v>5</v>
      </c>
      <c r="AD1904" t="n">
        <v>6</v>
      </c>
      <c r="AE1904" t="n">
        <v>13</v>
      </c>
      <c r="AF1904" t="n">
        <v>2</v>
      </c>
      <c r="AG1904" t="n">
        <v>4</v>
      </c>
      <c r="AH1904" t="n">
        <v>1</v>
      </c>
      <c r="AI1904" t="n">
        <v>3</v>
      </c>
      <c r="AJ1904" t="n">
        <v>3</v>
      </c>
      <c r="AK1904" t="n">
        <v>6</v>
      </c>
      <c r="AL1904" t="n">
        <v>1</v>
      </c>
      <c r="AM1904" t="n">
        <v>3</v>
      </c>
      <c r="AN1904" t="n">
        <v>0</v>
      </c>
      <c r="AO1904" t="n">
        <v>0</v>
      </c>
      <c r="AP1904" t="inlineStr">
        <is>
          <t>No</t>
        </is>
      </c>
      <c r="AQ1904" t="inlineStr">
        <is>
          <t>No</t>
        </is>
      </c>
      <c r="AS1904">
        <f>HYPERLINK("https://creighton-primo.hosted.exlibrisgroup.com/primo-explore/search?tab=default_tab&amp;search_scope=EVERYTHING&amp;vid=01CRU&amp;lang=en_US&amp;offset=0&amp;query=any,contains,991005176729702656","Catalog Record")</f>
        <v/>
      </c>
      <c r="AT1904">
        <f>HYPERLINK("http://www.worldcat.org/oclc/7923942","WorldCat Record")</f>
        <v/>
      </c>
      <c r="AU1904" t="inlineStr">
        <is>
          <t>2260836767:eng</t>
        </is>
      </c>
      <c r="AV1904" t="inlineStr">
        <is>
          <t>7923942</t>
        </is>
      </c>
      <c r="AW1904" t="inlineStr">
        <is>
          <t>991005176729702656</t>
        </is>
      </c>
      <c r="AX1904" t="inlineStr">
        <is>
          <t>991005176729702656</t>
        </is>
      </c>
      <c r="AY1904" t="inlineStr">
        <is>
          <t>2269165640002656</t>
        </is>
      </c>
      <c r="AZ1904" t="inlineStr">
        <is>
          <t>BOOK</t>
        </is>
      </c>
      <c r="BB1904" t="inlineStr">
        <is>
          <t>9780898851175</t>
        </is>
      </c>
      <c r="BC1904" t="inlineStr">
        <is>
          <t>32285001359552</t>
        </is>
      </c>
      <c r="BD1904" t="inlineStr">
        <is>
          <t>893320179</t>
        </is>
      </c>
    </row>
    <row r="1905">
      <c r="A1905" t="inlineStr">
        <is>
          <t>No</t>
        </is>
      </c>
      <c r="B1905" t="inlineStr">
        <is>
          <t>HQ755.8 .A47 1992</t>
        </is>
      </c>
      <c r="C1905" t="inlineStr">
        <is>
          <t>0                      HQ 0755800A  47          1992</t>
        </is>
      </c>
      <c r="D1905" t="inlineStr">
        <is>
          <t>The effect of children on parents / Anne-Marie Ambert.</t>
        </is>
      </c>
      <c r="F1905" t="inlineStr">
        <is>
          <t>No</t>
        </is>
      </c>
      <c r="G1905" t="inlineStr">
        <is>
          <t>1</t>
        </is>
      </c>
      <c r="H1905" t="inlineStr">
        <is>
          <t>No</t>
        </is>
      </c>
      <c r="I1905" t="inlineStr">
        <is>
          <t>No</t>
        </is>
      </c>
      <c r="J1905" t="inlineStr">
        <is>
          <t>0</t>
        </is>
      </c>
      <c r="K1905" t="inlineStr">
        <is>
          <t>Ambert, Anne-Marie, 1940-</t>
        </is>
      </c>
      <c r="L1905" t="inlineStr">
        <is>
          <t>New York : Haworth Press, c1992.</t>
        </is>
      </c>
      <c r="M1905" t="inlineStr">
        <is>
          <t>1992</t>
        </is>
      </c>
      <c r="O1905" t="inlineStr">
        <is>
          <t>eng</t>
        </is>
      </c>
      <c r="P1905" t="inlineStr">
        <is>
          <t>nyu</t>
        </is>
      </c>
      <c r="Q1905" t="inlineStr">
        <is>
          <t>Haworth marriage &amp; the family</t>
        </is>
      </c>
      <c r="R1905" t="inlineStr">
        <is>
          <t xml:space="preserve">HQ </t>
        </is>
      </c>
      <c r="S1905" t="n">
        <v>11</v>
      </c>
      <c r="T1905" t="n">
        <v>11</v>
      </c>
      <c r="U1905" t="inlineStr">
        <is>
          <t>1998-04-08</t>
        </is>
      </c>
      <c r="V1905" t="inlineStr">
        <is>
          <t>1998-04-08</t>
        </is>
      </c>
      <c r="W1905" t="inlineStr">
        <is>
          <t>1992-08-25</t>
        </is>
      </c>
      <c r="X1905" t="inlineStr">
        <is>
          <t>1992-08-25</t>
        </is>
      </c>
      <c r="Y1905" t="n">
        <v>590</v>
      </c>
      <c r="Z1905" t="n">
        <v>467</v>
      </c>
      <c r="AA1905" t="n">
        <v>962</v>
      </c>
      <c r="AB1905" t="n">
        <v>5</v>
      </c>
      <c r="AC1905" t="n">
        <v>8</v>
      </c>
      <c r="AD1905" t="n">
        <v>26</v>
      </c>
      <c r="AE1905" t="n">
        <v>42</v>
      </c>
      <c r="AF1905" t="n">
        <v>10</v>
      </c>
      <c r="AG1905" t="n">
        <v>20</v>
      </c>
      <c r="AH1905" t="n">
        <v>4</v>
      </c>
      <c r="AI1905" t="n">
        <v>7</v>
      </c>
      <c r="AJ1905" t="n">
        <v>14</v>
      </c>
      <c r="AK1905" t="n">
        <v>18</v>
      </c>
      <c r="AL1905" t="n">
        <v>4</v>
      </c>
      <c r="AM1905" t="n">
        <v>6</v>
      </c>
      <c r="AN1905" t="n">
        <v>0</v>
      </c>
      <c r="AO1905" t="n">
        <v>0</v>
      </c>
      <c r="AP1905" t="inlineStr">
        <is>
          <t>No</t>
        </is>
      </c>
      <c r="AQ1905" t="inlineStr">
        <is>
          <t>Yes</t>
        </is>
      </c>
      <c r="AR1905">
        <f>HYPERLINK("http://catalog.hathitrust.org/Record/002555849","HathiTrust Record")</f>
        <v/>
      </c>
      <c r="AS1905">
        <f>HYPERLINK("https://creighton-primo.hosted.exlibrisgroup.com/primo-explore/search?tab=default_tab&amp;search_scope=EVERYTHING&amp;vid=01CRU&amp;lang=en_US&amp;offset=0&amp;query=any,contains,991001846489702656","Catalog Record")</f>
        <v/>
      </c>
      <c r="AT1905">
        <f>HYPERLINK("http://www.worldcat.org/oclc/23179470","WorldCat Record")</f>
        <v/>
      </c>
      <c r="AU1905" t="inlineStr">
        <is>
          <t>50117:eng</t>
        </is>
      </c>
      <c r="AV1905" t="inlineStr">
        <is>
          <t>23179470</t>
        </is>
      </c>
      <c r="AW1905" t="inlineStr">
        <is>
          <t>991001846489702656</t>
        </is>
      </c>
      <c r="AX1905" t="inlineStr">
        <is>
          <t>991001846489702656</t>
        </is>
      </c>
      <c r="AY1905" t="inlineStr">
        <is>
          <t>2263022890002656</t>
        </is>
      </c>
      <c r="AZ1905" t="inlineStr">
        <is>
          <t>BOOK</t>
        </is>
      </c>
      <c r="BB1905" t="inlineStr">
        <is>
          <t>9781560241171</t>
        </is>
      </c>
      <c r="BC1905" t="inlineStr">
        <is>
          <t>32285001198521</t>
        </is>
      </c>
      <c r="BD1905" t="inlineStr">
        <is>
          <t>893903592</t>
        </is>
      </c>
    </row>
    <row r="1906">
      <c r="A1906" t="inlineStr">
        <is>
          <t>No</t>
        </is>
      </c>
      <c r="B1906" t="inlineStr">
        <is>
          <t>HQ755.8 .B72 1983</t>
        </is>
      </c>
      <c r="C1906" t="inlineStr">
        <is>
          <t>0                      HQ 0755800B  72          1983</t>
        </is>
      </c>
      <c r="D1906" t="inlineStr">
        <is>
          <t>The parents' solution book / by Lea S. Bramnick and Anita Simon.</t>
        </is>
      </c>
      <c r="F1906" t="inlineStr">
        <is>
          <t>No</t>
        </is>
      </c>
      <c r="G1906" t="inlineStr">
        <is>
          <t>1</t>
        </is>
      </c>
      <c r="H1906" t="inlineStr">
        <is>
          <t>No</t>
        </is>
      </c>
      <c r="I1906" t="inlineStr">
        <is>
          <t>No</t>
        </is>
      </c>
      <c r="J1906" t="inlineStr">
        <is>
          <t>0</t>
        </is>
      </c>
      <c r="K1906" t="inlineStr">
        <is>
          <t>Bramnick, Lea S.</t>
        </is>
      </c>
      <c r="L1906" t="inlineStr">
        <is>
          <t>New York : F. Watts, 1983.</t>
        </is>
      </c>
      <c r="M1906" t="inlineStr">
        <is>
          <t>1983</t>
        </is>
      </c>
      <c r="O1906" t="inlineStr">
        <is>
          <t>eng</t>
        </is>
      </c>
      <c r="P1906" t="inlineStr">
        <is>
          <t>nyu</t>
        </is>
      </c>
      <c r="R1906" t="inlineStr">
        <is>
          <t xml:space="preserve">HQ </t>
        </is>
      </c>
      <c r="S1906" t="n">
        <v>3</v>
      </c>
      <c r="T1906" t="n">
        <v>3</v>
      </c>
      <c r="U1906" t="inlineStr">
        <is>
          <t>1993-02-07</t>
        </is>
      </c>
      <c r="V1906" t="inlineStr">
        <is>
          <t>1993-02-07</t>
        </is>
      </c>
      <c r="W1906" t="inlineStr">
        <is>
          <t>1992-11-04</t>
        </is>
      </c>
      <c r="X1906" t="inlineStr">
        <is>
          <t>1992-11-04</t>
        </is>
      </c>
      <c r="Y1906" t="n">
        <v>251</v>
      </c>
      <c r="Z1906" t="n">
        <v>249</v>
      </c>
      <c r="AA1906" t="n">
        <v>346</v>
      </c>
      <c r="AB1906" t="n">
        <v>3</v>
      </c>
      <c r="AC1906" t="n">
        <v>4</v>
      </c>
      <c r="AD1906" t="n">
        <v>1</v>
      </c>
      <c r="AE1906" t="n">
        <v>1</v>
      </c>
      <c r="AF1906" t="n">
        <v>0</v>
      </c>
      <c r="AG1906" t="n">
        <v>0</v>
      </c>
      <c r="AH1906" t="n">
        <v>0</v>
      </c>
      <c r="AI1906" t="n">
        <v>0</v>
      </c>
      <c r="AJ1906" t="n">
        <v>0</v>
      </c>
      <c r="AK1906" t="n">
        <v>0</v>
      </c>
      <c r="AL1906" t="n">
        <v>1</v>
      </c>
      <c r="AM1906" t="n">
        <v>1</v>
      </c>
      <c r="AN1906" t="n">
        <v>0</v>
      </c>
      <c r="AO1906" t="n">
        <v>0</v>
      </c>
      <c r="AP1906" t="inlineStr">
        <is>
          <t>No</t>
        </is>
      </c>
      <c r="AQ1906" t="inlineStr">
        <is>
          <t>No</t>
        </is>
      </c>
      <c r="AS1906">
        <f>HYPERLINK("https://creighton-primo.hosted.exlibrisgroup.com/primo-explore/search?tab=default_tab&amp;search_scope=EVERYTHING&amp;vid=01CRU&amp;lang=en_US&amp;offset=0&amp;query=any,contains,991000079659702656","Catalog Record")</f>
        <v/>
      </c>
      <c r="AT1906">
        <f>HYPERLINK("http://www.worldcat.org/oclc/8826936","WorldCat Record")</f>
        <v/>
      </c>
      <c r="AU1906" t="inlineStr">
        <is>
          <t>3476299:eng</t>
        </is>
      </c>
      <c r="AV1906" t="inlineStr">
        <is>
          <t>8826936</t>
        </is>
      </c>
      <c r="AW1906" t="inlineStr">
        <is>
          <t>991000079659702656</t>
        </is>
      </c>
      <c r="AX1906" t="inlineStr">
        <is>
          <t>991000079659702656</t>
        </is>
      </c>
      <c r="AY1906" t="inlineStr">
        <is>
          <t>2265428600002656</t>
        </is>
      </c>
      <c r="AZ1906" t="inlineStr">
        <is>
          <t>BOOK</t>
        </is>
      </c>
      <c r="BB1906" t="inlineStr">
        <is>
          <t>9780531098813</t>
        </is>
      </c>
      <c r="BC1906" t="inlineStr">
        <is>
          <t>32285001359578</t>
        </is>
      </c>
      <c r="BD1906" t="inlineStr">
        <is>
          <t>893261356</t>
        </is>
      </c>
    </row>
    <row r="1907">
      <c r="A1907" t="inlineStr">
        <is>
          <t>No</t>
        </is>
      </c>
      <c r="B1907" t="inlineStr">
        <is>
          <t>HQ755.8 .B73 1985</t>
        </is>
      </c>
      <c r="C1907" t="inlineStr">
        <is>
          <t>0                      HQ 0755800B  73          1985</t>
        </is>
      </c>
      <c r="D1907" t="inlineStr">
        <is>
          <t>Working &amp; caring / T. Berry Brazelton.</t>
        </is>
      </c>
      <c r="F1907" t="inlineStr">
        <is>
          <t>No</t>
        </is>
      </c>
      <c r="G1907" t="inlineStr">
        <is>
          <t>1</t>
        </is>
      </c>
      <c r="H1907" t="inlineStr">
        <is>
          <t>No</t>
        </is>
      </c>
      <c r="I1907" t="inlineStr">
        <is>
          <t>No</t>
        </is>
      </c>
      <c r="J1907" t="inlineStr">
        <is>
          <t>0</t>
        </is>
      </c>
      <c r="K1907" t="inlineStr">
        <is>
          <t>Brazelton, T. Berry, 1918-2018.</t>
        </is>
      </c>
      <c r="L1907" t="inlineStr">
        <is>
          <t>Reading, Mass. : Addison-Wesley Pub. Co., c1985.</t>
        </is>
      </c>
      <c r="M1907" t="inlineStr">
        <is>
          <t>1985</t>
        </is>
      </c>
      <c r="O1907" t="inlineStr">
        <is>
          <t>eng</t>
        </is>
      </c>
      <c r="P1907" t="inlineStr">
        <is>
          <t>mau</t>
        </is>
      </c>
      <c r="R1907" t="inlineStr">
        <is>
          <t xml:space="preserve">HQ </t>
        </is>
      </c>
      <c r="S1907" t="n">
        <v>6</v>
      </c>
      <c r="T1907" t="n">
        <v>6</v>
      </c>
      <c r="U1907" t="inlineStr">
        <is>
          <t>1994-10-27</t>
        </is>
      </c>
      <c r="V1907" t="inlineStr">
        <is>
          <t>1994-10-27</t>
        </is>
      </c>
      <c r="W1907" t="inlineStr">
        <is>
          <t>1992-01-28</t>
        </is>
      </c>
      <c r="X1907" t="inlineStr">
        <is>
          <t>1992-01-28</t>
        </is>
      </c>
      <c r="Y1907" t="n">
        <v>911</v>
      </c>
      <c r="Z1907" t="n">
        <v>871</v>
      </c>
      <c r="AA1907" t="n">
        <v>986</v>
      </c>
      <c r="AB1907" t="n">
        <v>7</v>
      </c>
      <c r="AC1907" t="n">
        <v>8</v>
      </c>
      <c r="AD1907" t="n">
        <v>14</v>
      </c>
      <c r="AE1907" t="n">
        <v>18</v>
      </c>
      <c r="AF1907" t="n">
        <v>4</v>
      </c>
      <c r="AG1907" t="n">
        <v>7</v>
      </c>
      <c r="AH1907" t="n">
        <v>5</v>
      </c>
      <c r="AI1907" t="n">
        <v>5</v>
      </c>
      <c r="AJ1907" t="n">
        <v>6</v>
      </c>
      <c r="AK1907" t="n">
        <v>6</v>
      </c>
      <c r="AL1907" t="n">
        <v>2</v>
      </c>
      <c r="AM1907" t="n">
        <v>3</v>
      </c>
      <c r="AN1907" t="n">
        <v>0</v>
      </c>
      <c r="AO1907" t="n">
        <v>0</v>
      </c>
      <c r="AP1907" t="inlineStr">
        <is>
          <t>No</t>
        </is>
      </c>
      <c r="AQ1907" t="inlineStr">
        <is>
          <t>No</t>
        </is>
      </c>
      <c r="AS1907">
        <f>HYPERLINK("https://creighton-primo.hosted.exlibrisgroup.com/primo-explore/search?tab=default_tab&amp;search_scope=EVERYTHING&amp;vid=01CRU&amp;lang=en_US&amp;offset=0&amp;query=any,contains,991000639409702656","Catalog Record")</f>
        <v/>
      </c>
      <c r="AT1907">
        <f>HYPERLINK("http://www.worldcat.org/oclc/12103187","WorldCat Record")</f>
        <v/>
      </c>
      <c r="AU1907" t="inlineStr">
        <is>
          <t>234408718:eng</t>
        </is>
      </c>
      <c r="AV1907" t="inlineStr">
        <is>
          <t>12103187</t>
        </is>
      </c>
      <c r="AW1907" t="inlineStr">
        <is>
          <t>991000639409702656</t>
        </is>
      </c>
      <c r="AX1907" t="inlineStr">
        <is>
          <t>991000639409702656</t>
        </is>
      </c>
      <c r="AY1907" t="inlineStr">
        <is>
          <t>2260705980002656</t>
        </is>
      </c>
      <c r="AZ1907" t="inlineStr">
        <is>
          <t>BOOK</t>
        </is>
      </c>
      <c r="BB1907" t="inlineStr">
        <is>
          <t>9780201106237</t>
        </is>
      </c>
      <c r="BC1907" t="inlineStr">
        <is>
          <t>32285000919570</t>
        </is>
      </c>
      <c r="BD1907" t="inlineStr">
        <is>
          <t>893425893</t>
        </is>
      </c>
    </row>
    <row r="1908">
      <c r="A1908" t="inlineStr">
        <is>
          <t>No</t>
        </is>
      </c>
      <c r="B1908" t="inlineStr">
        <is>
          <t>HQ755.8 .B75</t>
        </is>
      </c>
      <c r="C1908" t="inlineStr">
        <is>
          <t>0                      HQ 0755800B  75</t>
        </is>
      </c>
      <c r="D1908" t="inlineStr">
        <is>
          <t>The process of parenting / Jane B. Brooks ; [illustrator, Martha Weston].</t>
        </is>
      </c>
      <c r="F1908" t="inlineStr">
        <is>
          <t>No</t>
        </is>
      </c>
      <c r="G1908" t="inlineStr">
        <is>
          <t>1</t>
        </is>
      </c>
      <c r="H1908" t="inlineStr">
        <is>
          <t>No</t>
        </is>
      </c>
      <c r="I1908" t="inlineStr">
        <is>
          <t>No</t>
        </is>
      </c>
      <c r="J1908" t="inlineStr">
        <is>
          <t>0</t>
        </is>
      </c>
      <c r="K1908" t="inlineStr">
        <is>
          <t>Brooks, Jane B.</t>
        </is>
      </c>
      <c r="L1908" t="inlineStr">
        <is>
          <t>Palo Alto, Calif. : Mayfield Pub. Co., 1981.</t>
        </is>
      </c>
      <c r="M1908" t="inlineStr">
        <is>
          <t>1981</t>
        </is>
      </c>
      <c r="N1908" t="inlineStr">
        <is>
          <t>1st ed.</t>
        </is>
      </c>
      <c r="O1908" t="inlineStr">
        <is>
          <t>eng</t>
        </is>
      </c>
      <c r="P1908" t="inlineStr">
        <is>
          <t>cau</t>
        </is>
      </c>
      <c r="R1908" t="inlineStr">
        <is>
          <t xml:space="preserve">HQ </t>
        </is>
      </c>
      <c r="S1908" t="n">
        <v>7</v>
      </c>
      <c r="T1908" t="n">
        <v>7</v>
      </c>
      <c r="U1908" t="inlineStr">
        <is>
          <t>1999-10-05</t>
        </is>
      </c>
      <c r="V1908" t="inlineStr">
        <is>
          <t>1999-10-05</t>
        </is>
      </c>
      <c r="W1908" t="inlineStr">
        <is>
          <t>1992-01-28</t>
        </is>
      </c>
      <c r="X1908" t="inlineStr">
        <is>
          <t>1992-01-28</t>
        </is>
      </c>
      <c r="Y1908" t="n">
        <v>193</v>
      </c>
      <c r="Z1908" t="n">
        <v>154</v>
      </c>
      <c r="AA1908" t="n">
        <v>403</v>
      </c>
      <c r="AB1908" t="n">
        <v>2</v>
      </c>
      <c r="AC1908" t="n">
        <v>3</v>
      </c>
      <c r="AD1908" t="n">
        <v>3</v>
      </c>
      <c r="AE1908" t="n">
        <v>9</v>
      </c>
      <c r="AF1908" t="n">
        <v>1</v>
      </c>
      <c r="AG1908" t="n">
        <v>3</v>
      </c>
      <c r="AH1908" t="n">
        <v>0</v>
      </c>
      <c r="AI1908" t="n">
        <v>1</v>
      </c>
      <c r="AJ1908" t="n">
        <v>1</v>
      </c>
      <c r="AK1908" t="n">
        <v>3</v>
      </c>
      <c r="AL1908" t="n">
        <v>1</v>
      </c>
      <c r="AM1908" t="n">
        <v>2</v>
      </c>
      <c r="AN1908" t="n">
        <v>0</v>
      </c>
      <c r="AO1908" t="n">
        <v>0</v>
      </c>
      <c r="AP1908" t="inlineStr">
        <is>
          <t>No</t>
        </is>
      </c>
      <c r="AQ1908" t="inlineStr">
        <is>
          <t>No</t>
        </is>
      </c>
      <c r="AS1908">
        <f>HYPERLINK("https://creighton-primo.hosted.exlibrisgroup.com/primo-explore/search?tab=default_tab&amp;search_scope=EVERYTHING&amp;vid=01CRU&amp;lang=en_US&amp;offset=0&amp;query=any,contains,991005121109702656","Catalog Record")</f>
        <v/>
      </c>
      <c r="AT1908">
        <f>HYPERLINK("http://www.worldcat.org/oclc/7516509","WorldCat Record")</f>
        <v/>
      </c>
      <c r="AU1908" t="inlineStr">
        <is>
          <t>9453883:eng</t>
        </is>
      </c>
      <c r="AV1908" t="inlineStr">
        <is>
          <t>7516509</t>
        </is>
      </c>
      <c r="AW1908" t="inlineStr">
        <is>
          <t>991005121109702656</t>
        </is>
      </c>
      <c r="AX1908" t="inlineStr">
        <is>
          <t>991005121109702656</t>
        </is>
      </c>
      <c r="AY1908" t="inlineStr">
        <is>
          <t>2258440640002656</t>
        </is>
      </c>
      <c r="AZ1908" t="inlineStr">
        <is>
          <t>BOOK</t>
        </is>
      </c>
      <c r="BB1908" t="inlineStr">
        <is>
          <t>9780874844740</t>
        </is>
      </c>
      <c r="BC1908" t="inlineStr">
        <is>
          <t>32285000919562</t>
        </is>
      </c>
      <c r="BD1908" t="inlineStr">
        <is>
          <t>893514075</t>
        </is>
      </c>
    </row>
    <row r="1909">
      <c r="A1909" t="inlineStr">
        <is>
          <t>No</t>
        </is>
      </c>
      <c r="B1909" t="inlineStr">
        <is>
          <t>HQ755.8 .C64 1985</t>
        </is>
      </c>
      <c r="C1909" t="inlineStr">
        <is>
          <t>0                      HQ 0755800C  64          1985</t>
        </is>
      </c>
      <c r="D1909" t="inlineStr">
        <is>
          <t>Parenthood after 30? : a guide to personal choice / Judith Blackfield Cohen.</t>
        </is>
      </c>
      <c r="F1909" t="inlineStr">
        <is>
          <t>No</t>
        </is>
      </c>
      <c r="G1909" t="inlineStr">
        <is>
          <t>1</t>
        </is>
      </c>
      <c r="H1909" t="inlineStr">
        <is>
          <t>No</t>
        </is>
      </c>
      <c r="I1909" t="inlineStr">
        <is>
          <t>No</t>
        </is>
      </c>
      <c r="J1909" t="inlineStr">
        <is>
          <t>0</t>
        </is>
      </c>
      <c r="K1909" t="inlineStr">
        <is>
          <t>Cohen, Judith Blackfield.</t>
        </is>
      </c>
      <c r="L1909" t="inlineStr">
        <is>
          <t>Lexington, Mass. : Lexington Books, 1985.</t>
        </is>
      </c>
      <c r="M1909" t="inlineStr">
        <is>
          <t>1985</t>
        </is>
      </c>
      <c r="O1909" t="inlineStr">
        <is>
          <t>eng</t>
        </is>
      </c>
      <c r="P1909" t="inlineStr">
        <is>
          <t>mau</t>
        </is>
      </c>
      <c r="R1909" t="inlineStr">
        <is>
          <t xml:space="preserve">HQ </t>
        </is>
      </c>
      <c r="S1909" t="n">
        <v>8</v>
      </c>
      <c r="T1909" t="n">
        <v>8</v>
      </c>
      <c r="U1909" t="inlineStr">
        <is>
          <t>1995-11-18</t>
        </is>
      </c>
      <c r="V1909" t="inlineStr">
        <is>
          <t>1995-11-18</t>
        </is>
      </c>
      <c r="W1909" t="inlineStr">
        <is>
          <t>1992-11-04</t>
        </is>
      </c>
      <c r="X1909" t="inlineStr">
        <is>
          <t>1992-11-04</t>
        </is>
      </c>
      <c r="Y1909" t="n">
        <v>358</v>
      </c>
      <c r="Z1909" t="n">
        <v>326</v>
      </c>
      <c r="AA1909" t="n">
        <v>332</v>
      </c>
      <c r="AB1909" t="n">
        <v>3</v>
      </c>
      <c r="AC1909" t="n">
        <v>3</v>
      </c>
      <c r="AD1909" t="n">
        <v>7</v>
      </c>
      <c r="AE1909" t="n">
        <v>7</v>
      </c>
      <c r="AF1909" t="n">
        <v>4</v>
      </c>
      <c r="AG1909" t="n">
        <v>4</v>
      </c>
      <c r="AH1909" t="n">
        <v>1</v>
      </c>
      <c r="AI1909" t="n">
        <v>1</v>
      </c>
      <c r="AJ1909" t="n">
        <v>3</v>
      </c>
      <c r="AK1909" t="n">
        <v>3</v>
      </c>
      <c r="AL1909" t="n">
        <v>2</v>
      </c>
      <c r="AM1909" t="n">
        <v>2</v>
      </c>
      <c r="AN1909" t="n">
        <v>0</v>
      </c>
      <c r="AO1909" t="n">
        <v>0</v>
      </c>
      <c r="AP1909" t="inlineStr">
        <is>
          <t>No</t>
        </is>
      </c>
      <c r="AQ1909" t="inlineStr">
        <is>
          <t>Yes</t>
        </is>
      </c>
      <c r="AR1909">
        <f>HYPERLINK("http://catalog.hathitrust.org/Record/000416981","HathiTrust Record")</f>
        <v/>
      </c>
      <c r="AS1909">
        <f>HYPERLINK("https://creighton-primo.hosted.exlibrisgroup.com/primo-explore/search?tab=default_tab&amp;search_scope=EVERYTHING&amp;vid=01CRU&amp;lang=en_US&amp;offset=0&amp;query=any,contains,991000591429702656","Catalog Record")</f>
        <v/>
      </c>
      <c r="AT1909">
        <f>HYPERLINK("http://www.worldcat.org/oclc/11785399","WorldCat Record")</f>
        <v/>
      </c>
      <c r="AU1909" t="inlineStr">
        <is>
          <t>4633234:eng</t>
        </is>
      </c>
      <c r="AV1909" t="inlineStr">
        <is>
          <t>11785399</t>
        </is>
      </c>
      <c r="AW1909" t="inlineStr">
        <is>
          <t>991000591429702656</t>
        </is>
      </c>
      <c r="AX1909" t="inlineStr">
        <is>
          <t>991000591429702656</t>
        </is>
      </c>
      <c r="AY1909" t="inlineStr">
        <is>
          <t>2255733910002656</t>
        </is>
      </c>
      <c r="AZ1909" t="inlineStr">
        <is>
          <t>BOOK</t>
        </is>
      </c>
      <c r="BB1909" t="inlineStr">
        <is>
          <t>9780669098440</t>
        </is>
      </c>
      <c r="BC1909" t="inlineStr">
        <is>
          <t>32285001359586</t>
        </is>
      </c>
      <c r="BD1909" t="inlineStr">
        <is>
          <t>893534225</t>
        </is>
      </c>
    </row>
    <row r="1910">
      <c r="A1910" t="inlineStr">
        <is>
          <t>No</t>
        </is>
      </c>
      <c r="B1910" t="inlineStr">
        <is>
          <t>HQ755.8 .C68 1992</t>
        </is>
      </c>
      <c r="C1910" t="inlineStr">
        <is>
          <t>0                      HQ 0755800C  68          1992</t>
        </is>
      </c>
      <c r="D1910" t="inlineStr">
        <is>
          <t>When partners become parents : the big life change for couples / Carolyn Pape Cowan and Philip A. Cowan.</t>
        </is>
      </c>
      <c r="F1910" t="inlineStr">
        <is>
          <t>No</t>
        </is>
      </c>
      <c r="G1910" t="inlineStr">
        <is>
          <t>1</t>
        </is>
      </c>
      <c r="H1910" t="inlineStr">
        <is>
          <t>No</t>
        </is>
      </c>
      <c r="I1910" t="inlineStr">
        <is>
          <t>No</t>
        </is>
      </c>
      <c r="J1910" t="inlineStr">
        <is>
          <t>0</t>
        </is>
      </c>
      <c r="K1910" t="inlineStr">
        <is>
          <t>Cowan, Carolyn Pape.</t>
        </is>
      </c>
      <c r="L1910" t="inlineStr">
        <is>
          <t>[New York] : BasicBooks, c1992.</t>
        </is>
      </c>
      <c r="M1910" t="inlineStr">
        <is>
          <t>1992</t>
        </is>
      </c>
      <c r="O1910" t="inlineStr">
        <is>
          <t>eng</t>
        </is>
      </c>
      <c r="P1910" t="inlineStr">
        <is>
          <t>nyu</t>
        </is>
      </c>
      <c r="R1910" t="inlineStr">
        <is>
          <t xml:space="preserve">HQ </t>
        </is>
      </c>
      <c r="S1910" t="n">
        <v>9</v>
      </c>
      <c r="T1910" t="n">
        <v>9</v>
      </c>
      <c r="U1910" t="inlineStr">
        <is>
          <t>1998-03-30</t>
        </is>
      </c>
      <c r="V1910" t="inlineStr">
        <is>
          <t>1998-03-30</t>
        </is>
      </c>
      <c r="W1910" t="inlineStr">
        <is>
          <t>1992-08-04</t>
        </is>
      </c>
      <c r="X1910" t="inlineStr">
        <is>
          <t>1992-08-04</t>
        </is>
      </c>
      <c r="Y1910" t="n">
        <v>485</v>
      </c>
      <c r="Z1910" t="n">
        <v>435</v>
      </c>
      <c r="AA1910" t="n">
        <v>694</v>
      </c>
      <c r="AB1910" t="n">
        <v>4</v>
      </c>
      <c r="AC1910" t="n">
        <v>5</v>
      </c>
      <c r="AD1910" t="n">
        <v>17</v>
      </c>
      <c r="AE1910" t="n">
        <v>29</v>
      </c>
      <c r="AF1910" t="n">
        <v>7</v>
      </c>
      <c r="AG1910" t="n">
        <v>15</v>
      </c>
      <c r="AH1910" t="n">
        <v>2</v>
      </c>
      <c r="AI1910" t="n">
        <v>4</v>
      </c>
      <c r="AJ1910" t="n">
        <v>9</v>
      </c>
      <c r="AK1910" t="n">
        <v>14</v>
      </c>
      <c r="AL1910" t="n">
        <v>3</v>
      </c>
      <c r="AM1910" t="n">
        <v>4</v>
      </c>
      <c r="AN1910" t="n">
        <v>0</v>
      </c>
      <c r="AO1910" t="n">
        <v>0</v>
      </c>
      <c r="AP1910" t="inlineStr">
        <is>
          <t>No</t>
        </is>
      </c>
      <c r="AQ1910" t="inlineStr">
        <is>
          <t>Yes</t>
        </is>
      </c>
      <c r="AR1910">
        <f>HYPERLINK("http://catalog.hathitrust.org/Record/002600468","HathiTrust Record")</f>
        <v/>
      </c>
      <c r="AS1910">
        <f>HYPERLINK("https://creighton-primo.hosted.exlibrisgroup.com/primo-explore/search?tab=default_tab&amp;search_scope=EVERYTHING&amp;vid=01CRU&amp;lang=en_US&amp;offset=0&amp;query=any,contains,991001974819702656","Catalog Record")</f>
        <v/>
      </c>
      <c r="AT1910">
        <f>HYPERLINK("http://www.worldcat.org/oclc/25048158","WorldCat Record")</f>
        <v/>
      </c>
      <c r="AU1910" t="inlineStr">
        <is>
          <t>339937:eng</t>
        </is>
      </c>
      <c r="AV1910" t="inlineStr">
        <is>
          <t>25048158</t>
        </is>
      </c>
      <c r="AW1910" t="inlineStr">
        <is>
          <t>991001974819702656</t>
        </is>
      </c>
      <c r="AX1910" t="inlineStr">
        <is>
          <t>991001974819702656</t>
        </is>
      </c>
      <c r="AY1910" t="inlineStr">
        <is>
          <t>2263514790002656</t>
        </is>
      </c>
      <c r="AZ1910" t="inlineStr">
        <is>
          <t>BOOK</t>
        </is>
      </c>
      <c r="BB1910" t="inlineStr">
        <is>
          <t>9780465015955</t>
        </is>
      </c>
      <c r="BC1910" t="inlineStr">
        <is>
          <t>32285001196277</t>
        </is>
      </c>
      <c r="BD1910" t="inlineStr">
        <is>
          <t>893316223</t>
        </is>
      </c>
    </row>
    <row r="1911">
      <c r="A1911" t="inlineStr">
        <is>
          <t>No</t>
        </is>
      </c>
      <c r="B1911" t="inlineStr">
        <is>
          <t>HQ755.8 .D489 1999</t>
        </is>
      </c>
      <c r="C1911" t="inlineStr">
        <is>
          <t>0                      HQ 0755800D  489         1999</t>
        </is>
      </c>
      <c r="D1911" t="inlineStr">
        <is>
          <t>Halving it all : how equally shared parenting works / Francine M. Deutsch.</t>
        </is>
      </c>
      <c r="F1911" t="inlineStr">
        <is>
          <t>No</t>
        </is>
      </c>
      <c r="G1911" t="inlineStr">
        <is>
          <t>1</t>
        </is>
      </c>
      <c r="H1911" t="inlineStr">
        <is>
          <t>No</t>
        </is>
      </c>
      <c r="I1911" t="inlineStr">
        <is>
          <t>No</t>
        </is>
      </c>
      <c r="J1911" t="inlineStr">
        <is>
          <t>0</t>
        </is>
      </c>
      <c r="K1911" t="inlineStr">
        <is>
          <t>Deutsch, Francine, 1948-</t>
        </is>
      </c>
      <c r="L1911" t="inlineStr">
        <is>
          <t>Cambridge, MA : Harvard University Press, 1999.</t>
        </is>
      </c>
      <c r="M1911" t="inlineStr">
        <is>
          <t>1999</t>
        </is>
      </c>
      <c r="O1911" t="inlineStr">
        <is>
          <t>eng</t>
        </is>
      </c>
      <c r="P1911" t="inlineStr">
        <is>
          <t>mau</t>
        </is>
      </c>
      <c r="R1911" t="inlineStr">
        <is>
          <t xml:space="preserve">HQ </t>
        </is>
      </c>
      <c r="S1911" t="n">
        <v>7</v>
      </c>
      <c r="T1911" t="n">
        <v>7</v>
      </c>
      <c r="U1911" t="inlineStr">
        <is>
          <t>2006-04-13</t>
        </is>
      </c>
      <c r="V1911" t="inlineStr">
        <is>
          <t>2006-04-13</t>
        </is>
      </c>
      <c r="W1911" t="inlineStr">
        <is>
          <t>1999-09-29</t>
        </is>
      </c>
      <c r="X1911" t="inlineStr">
        <is>
          <t>1999-09-29</t>
        </is>
      </c>
      <c r="Y1911" t="n">
        <v>953</v>
      </c>
      <c r="Z1911" t="n">
        <v>851</v>
      </c>
      <c r="AA1911" t="n">
        <v>857</v>
      </c>
      <c r="AB1911" t="n">
        <v>6</v>
      </c>
      <c r="AC1911" t="n">
        <v>6</v>
      </c>
      <c r="AD1911" t="n">
        <v>38</v>
      </c>
      <c r="AE1911" t="n">
        <v>38</v>
      </c>
      <c r="AF1911" t="n">
        <v>17</v>
      </c>
      <c r="AG1911" t="n">
        <v>17</v>
      </c>
      <c r="AH1911" t="n">
        <v>7</v>
      </c>
      <c r="AI1911" t="n">
        <v>7</v>
      </c>
      <c r="AJ1911" t="n">
        <v>19</v>
      </c>
      <c r="AK1911" t="n">
        <v>19</v>
      </c>
      <c r="AL1911" t="n">
        <v>5</v>
      </c>
      <c r="AM1911" t="n">
        <v>5</v>
      </c>
      <c r="AN1911" t="n">
        <v>0</v>
      </c>
      <c r="AO1911" t="n">
        <v>0</v>
      </c>
      <c r="AP1911" t="inlineStr">
        <is>
          <t>No</t>
        </is>
      </c>
      <c r="AQ1911" t="inlineStr">
        <is>
          <t>Yes</t>
        </is>
      </c>
      <c r="AR1911">
        <f>HYPERLINK("http://catalog.hathitrust.org/Record/004020210","HathiTrust Record")</f>
        <v/>
      </c>
      <c r="AS1911">
        <f>HYPERLINK("https://creighton-primo.hosted.exlibrisgroup.com/primo-explore/search?tab=default_tab&amp;search_scope=EVERYTHING&amp;vid=01CRU&amp;lang=en_US&amp;offset=0&amp;query=any,contains,991002966149702656","Catalog Record")</f>
        <v/>
      </c>
      <c r="AT1911">
        <f>HYPERLINK("http://www.worldcat.org/oclc/39695451","WorldCat Record")</f>
        <v/>
      </c>
      <c r="AU1911" t="inlineStr">
        <is>
          <t>290557843:eng</t>
        </is>
      </c>
      <c r="AV1911" t="inlineStr">
        <is>
          <t>39695451</t>
        </is>
      </c>
      <c r="AW1911" t="inlineStr">
        <is>
          <t>991002966149702656</t>
        </is>
      </c>
      <c r="AX1911" t="inlineStr">
        <is>
          <t>991002966149702656</t>
        </is>
      </c>
      <c r="AY1911" t="inlineStr">
        <is>
          <t>2264778450002656</t>
        </is>
      </c>
      <c r="AZ1911" t="inlineStr">
        <is>
          <t>BOOK</t>
        </is>
      </c>
      <c r="BB1911" t="inlineStr">
        <is>
          <t>9780674368002</t>
        </is>
      </c>
      <c r="BC1911" t="inlineStr">
        <is>
          <t>32285003591608</t>
        </is>
      </c>
      <c r="BD1911" t="inlineStr">
        <is>
          <t>893805275</t>
        </is>
      </c>
    </row>
    <row r="1912">
      <c r="A1912" t="inlineStr">
        <is>
          <t>No</t>
        </is>
      </c>
      <c r="B1912" t="inlineStr">
        <is>
          <t>HQ755.8 .H357 2002</t>
        </is>
      </c>
      <c r="C1912" t="inlineStr">
        <is>
          <t>0                      HQ 0755800H  357         2002</t>
        </is>
      </c>
      <c r="D1912" t="inlineStr">
        <is>
          <t>Handbook of parenting / edited by Marc H. Bornstein.</t>
        </is>
      </c>
      <c r="E1912" t="inlineStr">
        <is>
          <t>V. 3</t>
        </is>
      </c>
      <c r="F1912" t="inlineStr">
        <is>
          <t>Yes</t>
        </is>
      </c>
      <c r="G1912" t="inlineStr">
        <is>
          <t>1</t>
        </is>
      </c>
      <c r="H1912" t="inlineStr">
        <is>
          <t>No</t>
        </is>
      </c>
      <c r="I1912" t="inlineStr">
        <is>
          <t>No</t>
        </is>
      </c>
      <c r="J1912" t="inlineStr">
        <is>
          <t>0</t>
        </is>
      </c>
      <c r="L1912" t="inlineStr">
        <is>
          <t>Mahwah, N.J. : Erlbaum, c2002.</t>
        </is>
      </c>
      <c r="M1912" t="inlineStr">
        <is>
          <t>2002</t>
        </is>
      </c>
      <c r="N1912" t="inlineStr">
        <is>
          <t>2nd ed.</t>
        </is>
      </c>
      <c r="O1912" t="inlineStr">
        <is>
          <t>eng</t>
        </is>
      </c>
      <c r="P1912" t="inlineStr">
        <is>
          <t>nju</t>
        </is>
      </c>
      <c r="R1912" t="inlineStr">
        <is>
          <t xml:space="preserve">HQ </t>
        </is>
      </c>
      <c r="S1912" t="n">
        <v>4</v>
      </c>
      <c r="T1912" t="n">
        <v>18</v>
      </c>
      <c r="U1912" t="inlineStr">
        <is>
          <t>2006-03-19</t>
        </is>
      </c>
      <c r="V1912" t="inlineStr">
        <is>
          <t>2006-03-19</t>
        </is>
      </c>
      <c r="W1912" t="inlineStr">
        <is>
          <t>2002-08-22</t>
        </is>
      </c>
      <c r="X1912" t="inlineStr">
        <is>
          <t>2002-08-22</t>
        </is>
      </c>
      <c r="Y1912" t="n">
        <v>338</v>
      </c>
      <c r="Z1912" t="n">
        <v>269</v>
      </c>
      <c r="AA1912" t="n">
        <v>613</v>
      </c>
      <c r="AB1912" t="n">
        <v>4</v>
      </c>
      <c r="AC1912" t="n">
        <v>32</v>
      </c>
      <c r="AD1912" t="n">
        <v>16</v>
      </c>
      <c r="AE1912" t="n">
        <v>29</v>
      </c>
      <c r="AF1912" t="n">
        <v>4</v>
      </c>
      <c r="AG1912" t="n">
        <v>6</v>
      </c>
      <c r="AH1912" t="n">
        <v>5</v>
      </c>
      <c r="AI1912" t="n">
        <v>5</v>
      </c>
      <c r="AJ1912" t="n">
        <v>8</v>
      </c>
      <c r="AK1912" t="n">
        <v>9</v>
      </c>
      <c r="AL1912" t="n">
        <v>3</v>
      </c>
      <c r="AM1912" t="n">
        <v>13</v>
      </c>
      <c r="AN1912" t="n">
        <v>0</v>
      </c>
      <c r="AO1912" t="n">
        <v>0</v>
      </c>
      <c r="AP1912" t="inlineStr">
        <is>
          <t>No</t>
        </is>
      </c>
      <c r="AQ1912" t="inlineStr">
        <is>
          <t>No</t>
        </is>
      </c>
      <c r="AS1912">
        <f>HYPERLINK("https://creighton-primo.hosted.exlibrisgroup.com/primo-explore/search?tab=default_tab&amp;search_scope=EVERYTHING&amp;vid=01CRU&amp;lang=en_US&amp;offset=0&amp;query=any,contains,991003840239702656","Catalog Record")</f>
        <v/>
      </c>
      <c r="AT1912">
        <f>HYPERLINK("http://www.worldcat.org/oclc/48494069","WorldCat Record")</f>
        <v/>
      </c>
      <c r="AU1912" t="inlineStr">
        <is>
          <t>5614412137:eng</t>
        </is>
      </c>
      <c r="AV1912" t="inlineStr">
        <is>
          <t>48494069</t>
        </is>
      </c>
      <c r="AW1912" t="inlineStr">
        <is>
          <t>991003840239702656</t>
        </is>
      </c>
      <c r="AX1912" t="inlineStr">
        <is>
          <t>991003840239702656</t>
        </is>
      </c>
      <c r="AY1912" t="inlineStr">
        <is>
          <t>2254875390002656</t>
        </is>
      </c>
      <c r="AZ1912" t="inlineStr">
        <is>
          <t>BOOK</t>
        </is>
      </c>
      <c r="BB1912" t="inlineStr">
        <is>
          <t>9780805837780</t>
        </is>
      </c>
      <c r="BC1912" t="inlineStr">
        <is>
          <t>32285004644653</t>
        </is>
      </c>
      <c r="BD1912" t="inlineStr">
        <is>
          <t>893423038</t>
        </is>
      </c>
    </row>
    <row r="1913">
      <c r="A1913" t="inlineStr">
        <is>
          <t>No</t>
        </is>
      </c>
      <c r="B1913" t="inlineStr">
        <is>
          <t>HQ755.8 .H357 2002</t>
        </is>
      </c>
      <c r="C1913" t="inlineStr">
        <is>
          <t>0                      HQ 0755800H  357         2002</t>
        </is>
      </c>
      <c r="D1913" t="inlineStr">
        <is>
          <t>Handbook of parenting / edited by Marc H. Bornstein.</t>
        </is>
      </c>
      <c r="E1913" t="inlineStr">
        <is>
          <t>V. 2</t>
        </is>
      </c>
      <c r="F1913" t="inlineStr">
        <is>
          <t>Yes</t>
        </is>
      </c>
      <c r="G1913" t="inlineStr">
        <is>
          <t>1</t>
        </is>
      </c>
      <c r="H1913" t="inlineStr">
        <is>
          <t>No</t>
        </is>
      </c>
      <c r="I1913" t="inlineStr">
        <is>
          <t>No</t>
        </is>
      </c>
      <c r="J1913" t="inlineStr">
        <is>
          <t>0</t>
        </is>
      </c>
      <c r="L1913" t="inlineStr">
        <is>
          <t>Mahwah, N.J. : Erlbaum, c2002.</t>
        </is>
      </c>
      <c r="M1913" t="inlineStr">
        <is>
          <t>2002</t>
        </is>
      </c>
      <c r="N1913" t="inlineStr">
        <is>
          <t>2nd ed.</t>
        </is>
      </c>
      <c r="O1913" t="inlineStr">
        <is>
          <t>eng</t>
        </is>
      </c>
      <c r="P1913" t="inlineStr">
        <is>
          <t>nju</t>
        </is>
      </c>
      <c r="R1913" t="inlineStr">
        <is>
          <t xml:space="preserve">HQ </t>
        </is>
      </c>
      <c r="S1913" t="n">
        <v>2</v>
      </c>
      <c r="T1913" t="n">
        <v>18</v>
      </c>
      <c r="U1913" t="inlineStr">
        <is>
          <t>2003-07-09</t>
        </is>
      </c>
      <c r="V1913" t="inlineStr">
        <is>
          <t>2006-03-19</t>
        </is>
      </c>
      <c r="W1913" t="inlineStr">
        <is>
          <t>2002-08-22</t>
        </is>
      </c>
      <c r="X1913" t="inlineStr">
        <is>
          <t>2002-08-22</t>
        </is>
      </c>
      <c r="Y1913" t="n">
        <v>338</v>
      </c>
      <c r="Z1913" t="n">
        <v>269</v>
      </c>
      <c r="AA1913" t="n">
        <v>613</v>
      </c>
      <c r="AB1913" t="n">
        <v>4</v>
      </c>
      <c r="AC1913" t="n">
        <v>32</v>
      </c>
      <c r="AD1913" t="n">
        <v>16</v>
      </c>
      <c r="AE1913" t="n">
        <v>29</v>
      </c>
      <c r="AF1913" t="n">
        <v>4</v>
      </c>
      <c r="AG1913" t="n">
        <v>6</v>
      </c>
      <c r="AH1913" t="n">
        <v>5</v>
      </c>
      <c r="AI1913" t="n">
        <v>5</v>
      </c>
      <c r="AJ1913" t="n">
        <v>8</v>
      </c>
      <c r="AK1913" t="n">
        <v>9</v>
      </c>
      <c r="AL1913" t="n">
        <v>3</v>
      </c>
      <c r="AM1913" t="n">
        <v>13</v>
      </c>
      <c r="AN1913" t="n">
        <v>0</v>
      </c>
      <c r="AO1913" t="n">
        <v>0</v>
      </c>
      <c r="AP1913" t="inlineStr">
        <is>
          <t>No</t>
        </is>
      </c>
      <c r="AQ1913" t="inlineStr">
        <is>
          <t>No</t>
        </is>
      </c>
      <c r="AS1913">
        <f>HYPERLINK("https://creighton-primo.hosted.exlibrisgroup.com/primo-explore/search?tab=default_tab&amp;search_scope=EVERYTHING&amp;vid=01CRU&amp;lang=en_US&amp;offset=0&amp;query=any,contains,991003840239702656","Catalog Record")</f>
        <v/>
      </c>
      <c r="AT1913">
        <f>HYPERLINK("http://www.worldcat.org/oclc/48494069","WorldCat Record")</f>
        <v/>
      </c>
      <c r="AU1913" t="inlineStr">
        <is>
          <t>5614412137:eng</t>
        </is>
      </c>
      <c r="AV1913" t="inlineStr">
        <is>
          <t>48494069</t>
        </is>
      </c>
      <c r="AW1913" t="inlineStr">
        <is>
          <t>991003840239702656</t>
        </is>
      </c>
      <c r="AX1913" t="inlineStr">
        <is>
          <t>991003840239702656</t>
        </is>
      </c>
      <c r="AY1913" t="inlineStr">
        <is>
          <t>2254875390002656</t>
        </is>
      </c>
      <c r="AZ1913" t="inlineStr">
        <is>
          <t>BOOK</t>
        </is>
      </c>
      <c r="BB1913" t="inlineStr">
        <is>
          <t>9780805837780</t>
        </is>
      </c>
      <c r="BC1913" t="inlineStr">
        <is>
          <t>32285004644646</t>
        </is>
      </c>
      <c r="BD1913" t="inlineStr">
        <is>
          <t>893410758</t>
        </is>
      </c>
    </row>
    <row r="1914">
      <c r="A1914" t="inlineStr">
        <is>
          <t>No</t>
        </is>
      </c>
      <c r="B1914" t="inlineStr">
        <is>
          <t>HQ755.8 .H357 2002</t>
        </is>
      </c>
      <c r="C1914" t="inlineStr">
        <is>
          <t>0                      HQ 0755800H  357         2002</t>
        </is>
      </c>
      <c r="D1914" t="inlineStr">
        <is>
          <t>Handbook of parenting / edited by Marc H. Bornstein.</t>
        </is>
      </c>
      <c r="E1914" t="inlineStr">
        <is>
          <t>V. 1</t>
        </is>
      </c>
      <c r="F1914" t="inlineStr">
        <is>
          <t>Yes</t>
        </is>
      </c>
      <c r="G1914" t="inlineStr">
        <is>
          <t>1</t>
        </is>
      </c>
      <c r="H1914" t="inlineStr">
        <is>
          <t>No</t>
        </is>
      </c>
      <c r="I1914" t="inlineStr">
        <is>
          <t>No</t>
        </is>
      </c>
      <c r="J1914" t="inlineStr">
        <is>
          <t>0</t>
        </is>
      </c>
      <c r="L1914" t="inlineStr">
        <is>
          <t>Mahwah, N.J. : Erlbaum, c2002.</t>
        </is>
      </c>
      <c r="M1914" t="inlineStr">
        <is>
          <t>2002</t>
        </is>
      </c>
      <c r="N1914" t="inlineStr">
        <is>
          <t>2nd ed.</t>
        </is>
      </c>
      <c r="O1914" t="inlineStr">
        <is>
          <t>eng</t>
        </is>
      </c>
      <c r="P1914" t="inlineStr">
        <is>
          <t>nju</t>
        </is>
      </c>
      <c r="R1914" t="inlineStr">
        <is>
          <t xml:space="preserve">HQ </t>
        </is>
      </c>
      <c r="S1914" t="n">
        <v>3</v>
      </c>
      <c r="T1914" t="n">
        <v>18</v>
      </c>
      <c r="U1914" t="inlineStr">
        <is>
          <t>2005-11-21</t>
        </is>
      </c>
      <c r="V1914" t="inlineStr">
        <is>
          <t>2006-03-19</t>
        </is>
      </c>
      <c r="W1914" t="inlineStr">
        <is>
          <t>2002-08-22</t>
        </is>
      </c>
      <c r="X1914" t="inlineStr">
        <is>
          <t>2002-08-22</t>
        </is>
      </c>
      <c r="Y1914" t="n">
        <v>338</v>
      </c>
      <c r="Z1914" t="n">
        <v>269</v>
      </c>
      <c r="AA1914" t="n">
        <v>613</v>
      </c>
      <c r="AB1914" t="n">
        <v>4</v>
      </c>
      <c r="AC1914" t="n">
        <v>32</v>
      </c>
      <c r="AD1914" t="n">
        <v>16</v>
      </c>
      <c r="AE1914" t="n">
        <v>29</v>
      </c>
      <c r="AF1914" t="n">
        <v>4</v>
      </c>
      <c r="AG1914" t="n">
        <v>6</v>
      </c>
      <c r="AH1914" t="n">
        <v>5</v>
      </c>
      <c r="AI1914" t="n">
        <v>5</v>
      </c>
      <c r="AJ1914" t="n">
        <v>8</v>
      </c>
      <c r="AK1914" t="n">
        <v>9</v>
      </c>
      <c r="AL1914" t="n">
        <v>3</v>
      </c>
      <c r="AM1914" t="n">
        <v>13</v>
      </c>
      <c r="AN1914" t="n">
        <v>0</v>
      </c>
      <c r="AO1914" t="n">
        <v>0</v>
      </c>
      <c r="AP1914" t="inlineStr">
        <is>
          <t>No</t>
        </is>
      </c>
      <c r="AQ1914" t="inlineStr">
        <is>
          <t>No</t>
        </is>
      </c>
      <c r="AS1914">
        <f>HYPERLINK("https://creighton-primo.hosted.exlibrisgroup.com/primo-explore/search?tab=default_tab&amp;search_scope=EVERYTHING&amp;vid=01CRU&amp;lang=en_US&amp;offset=0&amp;query=any,contains,991003840239702656","Catalog Record")</f>
        <v/>
      </c>
      <c r="AT1914">
        <f>HYPERLINK("http://www.worldcat.org/oclc/48494069","WorldCat Record")</f>
        <v/>
      </c>
      <c r="AU1914" t="inlineStr">
        <is>
          <t>5614412137:eng</t>
        </is>
      </c>
      <c r="AV1914" t="inlineStr">
        <is>
          <t>48494069</t>
        </is>
      </c>
      <c r="AW1914" t="inlineStr">
        <is>
          <t>991003840239702656</t>
        </is>
      </c>
      <c r="AX1914" t="inlineStr">
        <is>
          <t>991003840239702656</t>
        </is>
      </c>
      <c r="AY1914" t="inlineStr">
        <is>
          <t>2254875390002656</t>
        </is>
      </c>
      <c r="AZ1914" t="inlineStr">
        <is>
          <t>BOOK</t>
        </is>
      </c>
      <c r="BB1914" t="inlineStr">
        <is>
          <t>9780805837780</t>
        </is>
      </c>
      <c r="BC1914" t="inlineStr">
        <is>
          <t>32285004644638</t>
        </is>
      </c>
      <c r="BD1914" t="inlineStr">
        <is>
          <t>893416857</t>
        </is>
      </c>
    </row>
    <row r="1915">
      <c r="A1915" t="inlineStr">
        <is>
          <t>No</t>
        </is>
      </c>
      <c r="B1915" t="inlineStr">
        <is>
          <t>HQ755.8 .H357 2002</t>
        </is>
      </c>
      <c r="C1915" t="inlineStr">
        <is>
          <t>0                      HQ 0755800H  357         2002</t>
        </is>
      </c>
      <c r="D1915" t="inlineStr">
        <is>
          <t>Handbook of parenting / edited by Marc H. Bornstein.</t>
        </is>
      </c>
      <c r="E1915" t="inlineStr">
        <is>
          <t>V. 4</t>
        </is>
      </c>
      <c r="F1915" t="inlineStr">
        <is>
          <t>Yes</t>
        </is>
      </c>
      <c r="G1915" t="inlineStr">
        <is>
          <t>1</t>
        </is>
      </c>
      <c r="H1915" t="inlineStr">
        <is>
          <t>No</t>
        </is>
      </c>
      <c r="I1915" t="inlineStr">
        <is>
          <t>No</t>
        </is>
      </c>
      <c r="J1915" t="inlineStr">
        <is>
          <t>0</t>
        </is>
      </c>
      <c r="L1915" t="inlineStr">
        <is>
          <t>Mahwah, N.J. : Erlbaum, c2002.</t>
        </is>
      </c>
      <c r="M1915" t="inlineStr">
        <is>
          <t>2002</t>
        </is>
      </c>
      <c r="N1915" t="inlineStr">
        <is>
          <t>2nd ed.</t>
        </is>
      </c>
      <c r="O1915" t="inlineStr">
        <is>
          <t>eng</t>
        </is>
      </c>
      <c r="P1915" t="inlineStr">
        <is>
          <t>nju</t>
        </is>
      </c>
      <c r="R1915" t="inlineStr">
        <is>
          <t xml:space="preserve">HQ </t>
        </is>
      </c>
      <c r="S1915" t="n">
        <v>4</v>
      </c>
      <c r="T1915" t="n">
        <v>18</v>
      </c>
      <c r="U1915" t="inlineStr">
        <is>
          <t>2006-03-19</t>
        </is>
      </c>
      <c r="V1915" t="inlineStr">
        <is>
          <t>2006-03-19</t>
        </is>
      </c>
      <c r="W1915" t="inlineStr">
        <is>
          <t>2002-08-22</t>
        </is>
      </c>
      <c r="X1915" t="inlineStr">
        <is>
          <t>2002-08-22</t>
        </is>
      </c>
      <c r="Y1915" t="n">
        <v>338</v>
      </c>
      <c r="Z1915" t="n">
        <v>269</v>
      </c>
      <c r="AA1915" t="n">
        <v>613</v>
      </c>
      <c r="AB1915" t="n">
        <v>4</v>
      </c>
      <c r="AC1915" t="n">
        <v>32</v>
      </c>
      <c r="AD1915" t="n">
        <v>16</v>
      </c>
      <c r="AE1915" t="n">
        <v>29</v>
      </c>
      <c r="AF1915" t="n">
        <v>4</v>
      </c>
      <c r="AG1915" t="n">
        <v>6</v>
      </c>
      <c r="AH1915" t="n">
        <v>5</v>
      </c>
      <c r="AI1915" t="n">
        <v>5</v>
      </c>
      <c r="AJ1915" t="n">
        <v>8</v>
      </c>
      <c r="AK1915" t="n">
        <v>9</v>
      </c>
      <c r="AL1915" t="n">
        <v>3</v>
      </c>
      <c r="AM1915" t="n">
        <v>13</v>
      </c>
      <c r="AN1915" t="n">
        <v>0</v>
      </c>
      <c r="AO1915" t="n">
        <v>0</v>
      </c>
      <c r="AP1915" t="inlineStr">
        <is>
          <t>No</t>
        </is>
      </c>
      <c r="AQ1915" t="inlineStr">
        <is>
          <t>No</t>
        </is>
      </c>
      <c r="AS1915">
        <f>HYPERLINK("https://creighton-primo.hosted.exlibrisgroup.com/primo-explore/search?tab=default_tab&amp;search_scope=EVERYTHING&amp;vid=01CRU&amp;lang=en_US&amp;offset=0&amp;query=any,contains,991003840239702656","Catalog Record")</f>
        <v/>
      </c>
      <c r="AT1915">
        <f>HYPERLINK("http://www.worldcat.org/oclc/48494069","WorldCat Record")</f>
        <v/>
      </c>
      <c r="AU1915" t="inlineStr">
        <is>
          <t>5614412137:eng</t>
        </is>
      </c>
      <c r="AV1915" t="inlineStr">
        <is>
          <t>48494069</t>
        </is>
      </c>
      <c r="AW1915" t="inlineStr">
        <is>
          <t>991003840239702656</t>
        </is>
      </c>
      <c r="AX1915" t="inlineStr">
        <is>
          <t>991003840239702656</t>
        </is>
      </c>
      <c r="AY1915" t="inlineStr">
        <is>
          <t>2254875390002656</t>
        </is>
      </c>
      <c r="AZ1915" t="inlineStr">
        <is>
          <t>BOOK</t>
        </is>
      </c>
      <c r="BB1915" t="inlineStr">
        <is>
          <t>9780805837780</t>
        </is>
      </c>
      <c r="BC1915" t="inlineStr">
        <is>
          <t>32285004644661</t>
        </is>
      </c>
      <c r="BD1915" t="inlineStr">
        <is>
          <t>893423037</t>
        </is>
      </c>
    </row>
    <row r="1916">
      <c r="A1916" t="inlineStr">
        <is>
          <t>No</t>
        </is>
      </c>
      <c r="B1916" t="inlineStr">
        <is>
          <t>HQ755.8 .H357 2002</t>
        </is>
      </c>
      <c r="C1916" t="inlineStr">
        <is>
          <t>0                      HQ 0755800H  357         2002</t>
        </is>
      </c>
      <c r="D1916" t="inlineStr">
        <is>
          <t>Handbook of parenting / edited by Marc H. Bornstein.</t>
        </is>
      </c>
      <c r="E1916" t="inlineStr">
        <is>
          <t>V. 5</t>
        </is>
      </c>
      <c r="F1916" t="inlineStr">
        <is>
          <t>Yes</t>
        </is>
      </c>
      <c r="G1916" t="inlineStr">
        <is>
          <t>1</t>
        </is>
      </c>
      <c r="H1916" t="inlineStr">
        <is>
          <t>No</t>
        </is>
      </c>
      <c r="I1916" t="inlineStr">
        <is>
          <t>No</t>
        </is>
      </c>
      <c r="J1916" t="inlineStr">
        <is>
          <t>0</t>
        </is>
      </c>
      <c r="L1916" t="inlineStr">
        <is>
          <t>Mahwah, N.J. : Erlbaum, c2002.</t>
        </is>
      </c>
      <c r="M1916" t="inlineStr">
        <is>
          <t>2002</t>
        </is>
      </c>
      <c r="N1916" t="inlineStr">
        <is>
          <t>2nd ed.</t>
        </is>
      </c>
      <c r="O1916" t="inlineStr">
        <is>
          <t>eng</t>
        </is>
      </c>
      <c r="P1916" t="inlineStr">
        <is>
          <t>nju</t>
        </is>
      </c>
      <c r="R1916" t="inlineStr">
        <is>
          <t xml:space="preserve">HQ </t>
        </is>
      </c>
      <c r="S1916" t="n">
        <v>5</v>
      </c>
      <c r="T1916" t="n">
        <v>18</v>
      </c>
      <c r="U1916" t="inlineStr">
        <is>
          <t>2006-03-19</t>
        </is>
      </c>
      <c r="V1916" t="inlineStr">
        <is>
          <t>2006-03-19</t>
        </is>
      </c>
      <c r="W1916" t="inlineStr">
        <is>
          <t>2002-08-22</t>
        </is>
      </c>
      <c r="X1916" t="inlineStr">
        <is>
          <t>2002-08-22</t>
        </is>
      </c>
      <c r="Y1916" t="n">
        <v>338</v>
      </c>
      <c r="Z1916" t="n">
        <v>269</v>
      </c>
      <c r="AA1916" t="n">
        <v>613</v>
      </c>
      <c r="AB1916" t="n">
        <v>4</v>
      </c>
      <c r="AC1916" t="n">
        <v>32</v>
      </c>
      <c r="AD1916" t="n">
        <v>16</v>
      </c>
      <c r="AE1916" t="n">
        <v>29</v>
      </c>
      <c r="AF1916" t="n">
        <v>4</v>
      </c>
      <c r="AG1916" t="n">
        <v>6</v>
      </c>
      <c r="AH1916" t="n">
        <v>5</v>
      </c>
      <c r="AI1916" t="n">
        <v>5</v>
      </c>
      <c r="AJ1916" t="n">
        <v>8</v>
      </c>
      <c r="AK1916" t="n">
        <v>9</v>
      </c>
      <c r="AL1916" t="n">
        <v>3</v>
      </c>
      <c r="AM1916" t="n">
        <v>13</v>
      </c>
      <c r="AN1916" t="n">
        <v>0</v>
      </c>
      <c r="AO1916" t="n">
        <v>0</v>
      </c>
      <c r="AP1916" t="inlineStr">
        <is>
          <t>No</t>
        </is>
      </c>
      <c r="AQ1916" t="inlineStr">
        <is>
          <t>No</t>
        </is>
      </c>
      <c r="AS1916">
        <f>HYPERLINK("https://creighton-primo.hosted.exlibrisgroup.com/primo-explore/search?tab=default_tab&amp;search_scope=EVERYTHING&amp;vid=01CRU&amp;lang=en_US&amp;offset=0&amp;query=any,contains,991003840239702656","Catalog Record")</f>
        <v/>
      </c>
      <c r="AT1916">
        <f>HYPERLINK("http://www.worldcat.org/oclc/48494069","WorldCat Record")</f>
        <v/>
      </c>
      <c r="AU1916" t="inlineStr">
        <is>
          <t>5614412137:eng</t>
        </is>
      </c>
      <c r="AV1916" t="inlineStr">
        <is>
          <t>48494069</t>
        </is>
      </c>
      <c r="AW1916" t="inlineStr">
        <is>
          <t>991003840239702656</t>
        </is>
      </c>
      <c r="AX1916" t="inlineStr">
        <is>
          <t>991003840239702656</t>
        </is>
      </c>
      <c r="AY1916" t="inlineStr">
        <is>
          <t>2254875390002656</t>
        </is>
      </c>
      <c r="AZ1916" t="inlineStr">
        <is>
          <t>BOOK</t>
        </is>
      </c>
      <c r="BB1916" t="inlineStr">
        <is>
          <t>9780805837780</t>
        </is>
      </c>
      <c r="BC1916" t="inlineStr">
        <is>
          <t>32285004644679</t>
        </is>
      </c>
      <c r="BD1916" t="inlineStr">
        <is>
          <t>893423036</t>
        </is>
      </c>
    </row>
    <row r="1917">
      <c r="A1917" t="inlineStr">
        <is>
          <t>No</t>
        </is>
      </c>
      <c r="B1917" t="inlineStr">
        <is>
          <t>HQ755.8 .H46 1984</t>
        </is>
      </c>
      <c r="C1917" t="inlineStr">
        <is>
          <t>0                      HQ 0755800H  46          1984</t>
        </is>
      </c>
      <c r="D1917" t="inlineStr">
        <is>
          <t>Mending broken children : a parent's manual / by George Henderson and Barbara Beard Henderson.</t>
        </is>
      </c>
      <c r="F1917" t="inlineStr">
        <is>
          <t>No</t>
        </is>
      </c>
      <c r="G1917" t="inlineStr">
        <is>
          <t>1</t>
        </is>
      </c>
      <c r="H1917" t="inlineStr">
        <is>
          <t>No</t>
        </is>
      </c>
      <c r="I1917" t="inlineStr">
        <is>
          <t>No</t>
        </is>
      </c>
      <c r="J1917" t="inlineStr">
        <is>
          <t>0</t>
        </is>
      </c>
      <c r="K1917" t="inlineStr">
        <is>
          <t>Henderson, George, 1932-</t>
        </is>
      </c>
      <c r="L1917" t="inlineStr">
        <is>
          <t>Springfield, Ill., U.S.A. : C.C. Thomas, c1984.</t>
        </is>
      </c>
      <c r="M1917" t="inlineStr">
        <is>
          <t>1984</t>
        </is>
      </c>
      <c r="O1917" t="inlineStr">
        <is>
          <t>eng</t>
        </is>
      </c>
      <c r="P1917" t="inlineStr">
        <is>
          <t>ilu</t>
        </is>
      </c>
      <c r="R1917" t="inlineStr">
        <is>
          <t xml:space="preserve">HQ </t>
        </is>
      </c>
      <c r="S1917" t="n">
        <v>1</v>
      </c>
      <c r="T1917" t="n">
        <v>1</v>
      </c>
      <c r="U1917" t="inlineStr">
        <is>
          <t>1994-02-23</t>
        </is>
      </c>
      <c r="V1917" t="inlineStr">
        <is>
          <t>1994-02-23</t>
        </is>
      </c>
      <c r="W1917" t="inlineStr">
        <is>
          <t>1991-12-13</t>
        </is>
      </c>
      <c r="X1917" t="inlineStr">
        <is>
          <t>1991-12-13</t>
        </is>
      </c>
      <c r="Y1917" t="n">
        <v>146</v>
      </c>
      <c r="Z1917" t="n">
        <v>128</v>
      </c>
      <c r="AA1917" t="n">
        <v>134</v>
      </c>
      <c r="AB1917" t="n">
        <v>4</v>
      </c>
      <c r="AC1917" t="n">
        <v>4</v>
      </c>
      <c r="AD1917" t="n">
        <v>8</v>
      </c>
      <c r="AE1917" t="n">
        <v>8</v>
      </c>
      <c r="AF1917" t="n">
        <v>5</v>
      </c>
      <c r="AG1917" t="n">
        <v>5</v>
      </c>
      <c r="AH1917" t="n">
        <v>0</v>
      </c>
      <c r="AI1917" t="n">
        <v>0</v>
      </c>
      <c r="AJ1917" t="n">
        <v>2</v>
      </c>
      <c r="AK1917" t="n">
        <v>2</v>
      </c>
      <c r="AL1917" t="n">
        <v>3</v>
      </c>
      <c r="AM1917" t="n">
        <v>3</v>
      </c>
      <c r="AN1917" t="n">
        <v>0</v>
      </c>
      <c r="AO1917" t="n">
        <v>0</v>
      </c>
      <c r="AP1917" t="inlineStr">
        <is>
          <t>No</t>
        </is>
      </c>
      <c r="AQ1917" t="inlineStr">
        <is>
          <t>Yes</t>
        </is>
      </c>
      <c r="AR1917">
        <f>HYPERLINK("http://catalog.hathitrust.org/Record/102080314","HathiTrust Record")</f>
        <v/>
      </c>
      <c r="AS1917">
        <f>HYPERLINK("https://creighton-primo.hosted.exlibrisgroup.com/primo-explore/search?tab=default_tab&amp;search_scope=EVERYTHING&amp;vid=01CRU&amp;lang=en_US&amp;offset=0&amp;query=any,contains,991000416969702656","Catalog Record")</f>
        <v/>
      </c>
      <c r="AT1917">
        <f>HYPERLINK("http://www.worldcat.org/oclc/10725097","WorldCat Record")</f>
        <v/>
      </c>
      <c r="AU1917" t="inlineStr">
        <is>
          <t>3417135:eng</t>
        </is>
      </c>
      <c r="AV1917" t="inlineStr">
        <is>
          <t>10725097</t>
        </is>
      </c>
      <c r="AW1917" t="inlineStr">
        <is>
          <t>991000416969702656</t>
        </is>
      </c>
      <c r="AX1917" t="inlineStr">
        <is>
          <t>991000416969702656</t>
        </is>
      </c>
      <c r="AY1917" t="inlineStr">
        <is>
          <t>2263729090002656</t>
        </is>
      </c>
      <c r="AZ1917" t="inlineStr">
        <is>
          <t>BOOK</t>
        </is>
      </c>
      <c r="BB1917" t="inlineStr">
        <is>
          <t>9780398050290</t>
        </is>
      </c>
      <c r="BC1917" t="inlineStr">
        <is>
          <t>32285000901263</t>
        </is>
      </c>
      <c r="BD1917" t="inlineStr">
        <is>
          <t>893884359</t>
        </is>
      </c>
    </row>
    <row r="1918">
      <c r="A1918" t="inlineStr">
        <is>
          <t>No</t>
        </is>
      </c>
      <c r="B1918" t="inlineStr">
        <is>
          <t>HQ755.8 .I74 1993</t>
        </is>
      </c>
      <c r="C1918" t="inlineStr">
        <is>
          <t>0                      HQ 0755800I  74          1993</t>
        </is>
      </c>
      <c r="D1918" t="inlineStr">
        <is>
          <t>Reconceiving women : separating motherhood from female identity / Mardy S. Ireland.</t>
        </is>
      </c>
      <c r="F1918" t="inlineStr">
        <is>
          <t>No</t>
        </is>
      </c>
      <c r="G1918" t="inlineStr">
        <is>
          <t>1</t>
        </is>
      </c>
      <c r="H1918" t="inlineStr">
        <is>
          <t>No</t>
        </is>
      </c>
      <c r="I1918" t="inlineStr">
        <is>
          <t>No</t>
        </is>
      </c>
      <c r="J1918" t="inlineStr">
        <is>
          <t>0</t>
        </is>
      </c>
      <c r="K1918" t="inlineStr">
        <is>
          <t>Ireland, Mardy S.</t>
        </is>
      </c>
      <c r="L1918" t="inlineStr">
        <is>
          <t>New York : Guilford Press, 1993.</t>
        </is>
      </c>
      <c r="M1918" t="inlineStr">
        <is>
          <t>1993</t>
        </is>
      </c>
      <c r="O1918" t="inlineStr">
        <is>
          <t>eng</t>
        </is>
      </c>
      <c r="P1918" t="inlineStr">
        <is>
          <t>nyu</t>
        </is>
      </c>
      <c r="R1918" t="inlineStr">
        <is>
          <t xml:space="preserve">HQ </t>
        </is>
      </c>
      <c r="S1918" t="n">
        <v>8</v>
      </c>
      <c r="T1918" t="n">
        <v>8</v>
      </c>
      <c r="U1918" t="inlineStr">
        <is>
          <t>1995-11-18</t>
        </is>
      </c>
      <c r="V1918" t="inlineStr">
        <is>
          <t>1995-11-18</t>
        </is>
      </c>
      <c r="W1918" t="inlineStr">
        <is>
          <t>1994-04-05</t>
        </is>
      </c>
      <c r="X1918" t="inlineStr">
        <is>
          <t>1994-04-05</t>
        </is>
      </c>
      <c r="Y1918" t="n">
        <v>622</v>
      </c>
      <c r="Z1918" t="n">
        <v>510</v>
      </c>
      <c r="AA1918" t="n">
        <v>511</v>
      </c>
      <c r="AB1918" t="n">
        <v>4</v>
      </c>
      <c r="AC1918" t="n">
        <v>4</v>
      </c>
      <c r="AD1918" t="n">
        <v>30</v>
      </c>
      <c r="AE1918" t="n">
        <v>30</v>
      </c>
      <c r="AF1918" t="n">
        <v>12</v>
      </c>
      <c r="AG1918" t="n">
        <v>12</v>
      </c>
      <c r="AH1918" t="n">
        <v>7</v>
      </c>
      <c r="AI1918" t="n">
        <v>7</v>
      </c>
      <c r="AJ1918" t="n">
        <v>18</v>
      </c>
      <c r="AK1918" t="n">
        <v>18</v>
      </c>
      <c r="AL1918" t="n">
        <v>3</v>
      </c>
      <c r="AM1918" t="n">
        <v>3</v>
      </c>
      <c r="AN1918" t="n">
        <v>1</v>
      </c>
      <c r="AO1918" t="n">
        <v>1</v>
      </c>
      <c r="AP1918" t="inlineStr">
        <is>
          <t>No</t>
        </is>
      </c>
      <c r="AQ1918" t="inlineStr">
        <is>
          <t>No</t>
        </is>
      </c>
      <c r="AS1918">
        <f>HYPERLINK("https://creighton-primo.hosted.exlibrisgroup.com/primo-explore/search?tab=default_tab&amp;search_scope=EVERYTHING&amp;vid=01CRU&amp;lang=en_US&amp;offset=0&amp;query=any,contains,991002125459702656","Catalog Record")</f>
        <v/>
      </c>
      <c r="AT1918">
        <f>HYPERLINK("http://www.worldcat.org/oclc/27225262","WorldCat Record")</f>
        <v/>
      </c>
      <c r="AU1918" t="inlineStr">
        <is>
          <t>325570252:eng</t>
        </is>
      </c>
      <c r="AV1918" t="inlineStr">
        <is>
          <t>27225262</t>
        </is>
      </c>
      <c r="AW1918" t="inlineStr">
        <is>
          <t>991002125459702656</t>
        </is>
      </c>
      <c r="AX1918" t="inlineStr">
        <is>
          <t>991002125459702656</t>
        </is>
      </c>
      <c r="AY1918" t="inlineStr">
        <is>
          <t>2266692690002656</t>
        </is>
      </c>
      <c r="AZ1918" t="inlineStr">
        <is>
          <t>BOOK</t>
        </is>
      </c>
      <c r="BB1918" t="inlineStr">
        <is>
          <t>9780898621235</t>
        </is>
      </c>
      <c r="BC1918" t="inlineStr">
        <is>
          <t>32285001859346</t>
        </is>
      </c>
      <c r="BD1918" t="inlineStr">
        <is>
          <t>893597056</t>
        </is>
      </c>
    </row>
    <row r="1919">
      <c r="A1919" t="inlineStr">
        <is>
          <t>No</t>
        </is>
      </c>
      <c r="B1919" t="inlineStr">
        <is>
          <t>HQ755.8 .I783 2003</t>
        </is>
      </c>
      <c r="C1919" t="inlineStr">
        <is>
          <t>0                      HQ 0755800I  783         2003</t>
        </is>
      </c>
      <c r="D1919" t="inlineStr">
        <is>
          <t>The politics of parenting / by William B. Irvine.</t>
        </is>
      </c>
      <c r="F1919" t="inlineStr">
        <is>
          <t>No</t>
        </is>
      </c>
      <c r="G1919" t="inlineStr">
        <is>
          <t>1</t>
        </is>
      </c>
      <c r="H1919" t="inlineStr">
        <is>
          <t>No</t>
        </is>
      </c>
      <c r="I1919" t="inlineStr">
        <is>
          <t>No</t>
        </is>
      </c>
      <c r="J1919" t="inlineStr">
        <is>
          <t>0</t>
        </is>
      </c>
      <c r="K1919" t="inlineStr">
        <is>
          <t>Irvine, William Braxton, 1952-</t>
        </is>
      </c>
      <c r="L1919" t="inlineStr">
        <is>
          <t>St. Paul, Minn. : Paragon House, c2003.</t>
        </is>
      </c>
      <c r="M1919" t="inlineStr">
        <is>
          <t>2003</t>
        </is>
      </c>
      <c r="O1919" t="inlineStr">
        <is>
          <t>eng</t>
        </is>
      </c>
      <c r="P1919" t="inlineStr">
        <is>
          <t>mnu</t>
        </is>
      </c>
      <c r="R1919" t="inlineStr">
        <is>
          <t xml:space="preserve">HQ </t>
        </is>
      </c>
      <c r="S1919" t="n">
        <v>3</v>
      </c>
      <c r="T1919" t="n">
        <v>3</v>
      </c>
      <c r="U1919" t="inlineStr">
        <is>
          <t>2006-10-26</t>
        </is>
      </c>
      <c r="V1919" t="inlineStr">
        <is>
          <t>2006-10-26</t>
        </is>
      </c>
      <c r="W1919" t="inlineStr">
        <is>
          <t>2004-02-12</t>
        </is>
      </c>
      <c r="X1919" t="inlineStr">
        <is>
          <t>2004-02-12</t>
        </is>
      </c>
      <c r="Y1919" t="n">
        <v>223</v>
      </c>
      <c r="Z1919" t="n">
        <v>206</v>
      </c>
      <c r="AA1919" t="n">
        <v>211</v>
      </c>
      <c r="AB1919" t="n">
        <v>3</v>
      </c>
      <c r="AC1919" t="n">
        <v>3</v>
      </c>
      <c r="AD1919" t="n">
        <v>11</v>
      </c>
      <c r="AE1919" t="n">
        <v>11</v>
      </c>
      <c r="AF1919" t="n">
        <v>2</v>
      </c>
      <c r="AG1919" t="n">
        <v>2</v>
      </c>
      <c r="AH1919" t="n">
        <v>4</v>
      </c>
      <c r="AI1919" t="n">
        <v>4</v>
      </c>
      <c r="AJ1919" t="n">
        <v>5</v>
      </c>
      <c r="AK1919" t="n">
        <v>5</v>
      </c>
      <c r="AL1919" t="n">
        <v>2</v>
      </c>
      <c r="AM1919" t="n">
        <v>2</v>
      </c>
      <c r="AN1919" t="n">
        <v>0</v>
      </c>
      <c r="AO1919" t="n">
        <v>0</v>
      </c>
      <c r="AP1919" t="inlineStr">
        <is>
          <t>No</t>
        </is>
      </c>
      <c r="AQ1919" t="inlineStr">
        <is>
          <t>Yes</t>
        </is>
      </c>
      <c r="AR1919">
        <f>HYPERLINK("http://catalog.hathitrust.org/Record/007142815","HathiTrust Record")</f>
        <v/>
      </c>
      <c r="AS1919">
        <f>HYPERLINK("https://creighton-primo.hosted.exlibrisgroup.com/primo-explore/search?tab=default_tab&amp;search_scope=EVERYTHING&amp;vid=01CRU&amp;lang=en_US&amp;offset=0&amp;query=any,contains,991004213349702656","Catalog Record")</f>
        <v/>
      </c>
      <c r="AT1919">
        <f>HYPERLINK("http://www.worldcat.org/oclc/51389088","WorldCat Record")</f>
        <v/>
      </c>
      <c r="AU1919" t="inlineStr">
        <is>
          <t>773314:eng</t>
        </is>
      </c>
      <c r="AV1919" t="inlineStr">
        <is>
          <t>51389088</t>
        </is>
      </c>
      <c r="AW1919" t="inlineStr">
        <is>
          <t>991004213349702656</t>
        </is>
      </c>
      <c r="AX1919" t="inlineStr">
        <is>
          <t>991004213349702656</t>
        </is>
      </c>
      <c r="AY1919" t="inlineStr">
        <is>
          <t>2261436520002656</t>
        </is>
      </c>
      <c r="AZ1919" t="inlineStr">
        <is>
          <t>BOOK</t>
        </is>
      </c>
      <c r="BB1919" t="inlineStr">
        <is>
          <t>9781557788184</t>
        </is>
      </c>
      <c r="BC1919" t="inlineStr">
        <is>
          <t>32285004638192</t>
        </is>
      </c>
      <c r="BD1919" t="inlineStr">
        <is>
          <t>893235203</t>
        </is>
      </c>
    </row>
    <row r="1920">
      <c r="A1920" t="inlineStr">
        <is>
          <t>No</t>
        </is>
      </c>
      <c r="B1920" t="inlineStr">
        <is>
          <t>HQ755.8 .L37</t>
        </is>
      </c>
      <c r="C1920" t="inlineStr">
        <is>
          <t>0                      HQ 0755800L  37</t>
        </is>
      </c>
      <c r="D1920" t="inlineStr">
        <is>
          <t>Transition to parenthood : how infants change families / Ralph LaRossa and Maureen Mulligan LaRossa.</t>
        </is>
      </c>
      <c r="F1920" t="inlineStr">
        <is>
          <t>No</t>
        </is>
      </c>
      <c r="G1920" t="inlineStr">
        <is>
          <t>1</t>
        </is>
      </c>
      <c r="H1920" t="inlineStr">
        <is>
          <t>No</t>
        </is>
      </c>
      <c r="I1920" t="inlineStr">
        <is>
          <t>No</t>
        </is>
      </c>
      <c r="J1920" t="inlineStr">
        <is>
          <t>0</t>
        </is>
      </c>
      <c r="K1920" t="inlineStr">
        <is>
          <t>LaRossa, Ralph.</t>
        </is>
      </c>
      <c r="L1920" t="inlineStr">
        <is>
          <t>Beverly Hills : Sage Publications, c1981.</t>
        </is>
      </c>
      <c r="M1920" t="inlineStr">
        <is>
          <t>1981</t>
        </is>
      </c>
      <c r="O1920" t="inlineStr">
        <is>
          <t>eng</t>
        </is>
      </c>
      <c r="P1920" t="inlineStr">
        <is>
          <t>cau</t>
        </is>
      </c>
      <c r="Q1920" t="inlineStr">
        <is>
          <t>Sage library of social research ; 119</t>
        </is>
      </c>
      <c r="R1920" t="inlineStr">
        <is>
          <t xml:space="preserve">HQ </t>
        </is>
      </c>
      <c r="S1920" t="n">
        <v>4</v>
      </c>
      <c r="T1920" t="n">
        <v>4</v>
      </c>
      <c r="U1920" t="inlineStr">
        <is>
          <t>1998-03-30</t>
        </is>
      </c>
      <c r="V1920" t="inlineStr">
        <is>
          <t>1998-03-30</t>
        </is>
      </c>
      <c r="W1920" t="inlineStr">
        <is>
          <t>1992-01-28</t>
        </is>
      </c>
      <c r="X1920" t="inlineStr">
        <is>
          <t>1992-01-28</t>
        </is>
      </c>
      <c r="Y1920" t="n">
        <v>498</v>
      </c>
      <c r="Z1920" t="n">
        <v>390</v>
      </c>
      <c r="AA1920" t="n">
        <v>398</v>
      </c>
      <c r="AB1920" t="n">
        <v>3</v>
      </c>
      <c r="AC1920" t="n">
        <v>3</v>
      </c>
      <c r="AD1920" t="n">
        <v>16</v>
      </c>
      <c r="AE1920" t="n">
        <v>16</v>
      </c>
      <c r="AF1920" t="n">
        <v>8</v>
      </c>
      <c r="AG1920" t="n">
        <v>8</v>
      </c>
      <c r="AH1920" t="n">
        <v>4</v>
      </c>
      <c r="AI1920" t="n">
        <v>4</v>
      </c>
      <c r="AJ1920" t="n">
        <v>9</v>
      </c>
      <c r="AK1920" t="n">
        <v>9</v>
      </c>
      <c r="AL1920" t="n">
        <v>2</v>
      </c>
      <c r="AM1920" t="n">
        <v>2</v>
      </c>
      <c r="AN1920" t="n">
        <v>0</v>
      </c>
      <c r="AO1920" t="n">
        <v>0</v>
      </c>
      <c r="AP1920" t="inlineStr">
        <is>
          <t>No</t>
        </is>
      </c>
      <c r="AQ1920" t="inlineStr">
        <is>
          <t>Yes</t>
        </is>
      </c>
      <c r="AR1920">
        <f>HYPERLINK("http://catalog.hathitrust.org/Record/000085214","HathiTrust Record")</f>
        <v/>
      </c>
      <c r="AS1920">
        <f>HYPERLINK("https://creighton-primo.hosted.exlibrisgroup.com/primo-explore/search?tab=default_tab&amp;search_scope=EVERYTHING&amp;vid=01CRU&amp;lang=en_US&amp;offset=0&amp;query=any,contains,991005068309702656","Catalog Record")</f>
        <v/>
      </c>
      <c r="AT1920">
        <f>HYPERLINK("http://www.worldcat.org/oclc/6982511","WorldCat Record")</f>
        <v/>
      </c>
      <c r="AU1920" t="inlineStr">
        <is>
          <t>24998593:eng</t>
        </is>
      </c>
      <c r="AV1920" t="inlineStr">
        <is>
          <t>6982511</t>
        </is>
      </c>
      <c r="AW1920" t="inlineStr">
        <is>
          <t>991005068309702656</t>
        </is>
      </c>
      <c r="AX1920" t="inlineStr">
        <is>
          <t>991005068309702656</t>
        </is>
      </c>
      <c r="AY1920" t="inlineStr">
        <is>
          <t>2272674250002656</t>
        </is>
      </c>
      <c r="AZ1920" t="inlineStr">
        <is>
          <t>BOOK</t>
        </is>
      </c>
      <c r="BB1920" t="inlineStr">
        <is>
          <t>9780803915664</t>
        </is>
      </c>
      <c r="BC1920" t="inlineStr">
        <is>
          <t>32285000919547</t>
        </is>
      </c>
      <c r="BD1920" t="inlineStr">
        <is>
          <t>893526838</t>
        </is>
      </c>
    </row>
    <row r="1921">
      <c r="A1921" t="inlineStr">
        <is>
          <t>No</t>
        </is>
      </c>
      <c r="B1921" t="inlineStr">
        <is>
          <t>HQ755.8 .M34 1995</t>
        </is>
      </c>
      <c r="C1921" t="inlineStr">
        <is>
          <t>0                      HQ 0755800M  34          1995</t>
        </is>
      </c>
      <c r="D1921" t="inlineStr">
        <is>
          <t>Kidding ourselves : breadwinning, babies, and bargaining power / Rhona Mahony.</t>
        </is>
      </c>
      <c r="F1921" t="inlineStr">
        <is>
          <t>No</t>
        </is>
      </c>
      <c r="G1921" t="inlineStr">
        <is>
          <t>1</t>
        </is>
      </c>
      <c r="H1921" t="inlineStr">
        <is>
          <t>No</t>
        </is>
      </c>
      <c r="I1921" t="inlineStr">
        <is>
          <t>No</t>
        </is>
      </c>
      <c r="J1921" t="inlineStr">
        <is>
          <t>0</t>
        </is>
      </c>
      <c r="K1921" t="inlineStr">
        <is>
          <t>Mahony, Rhona.</t>
        </is>
      </c>
      <c r="L1921" t="inlineStr">
        <is>
          <t>New York, NY : BasicBooks, c1995.</t>
        </is>
      </c>
      <c r="M1921" t="inlineStr">
        <is>
          <t>1995</t>
        </is>
      </c>
      <c r="O1921" t="inlineStr">
        <is>
          <t>eng</t>
        </is>
      </c>
      <c r="P1921" t="inlineStr">
        <is>
          <t>nyu</t>
        </is>
      </c>
      <c r="R1921" t="inlineStr">
        <is>
          <t xml:space="preserve">HQ </t>
        </is>
      </c>
      <c r="S1921" t="n">
        <v>16</v>
      </c>
      <c r="T1921" t="n">
        <v>16</v>
      </c>
      <c r="U1921" t="inlineStr">
        <is>
          <t>2004-12-16</t>
        </is>
      </c>
      <c r="V1921" t="inlineStr">
        <is>
          <t>2004-12-16</t>
        </is>
      </c>
      <c r="W1921" t="inlineStr">
        <is>
          <t>1996-10-02</t>
        </is>
      </c>
      <c r="X1921" t="inlineStr">
        <is>
          <t>1996-10-02</t>
        </is>
      </c>
      <c r="Y1921" t="n">
        <v>685</v>
      </c>
      <c r="Z1921" t="n">
        <v>612</v>
      </c>
      <c r="AA1921" t="n">
        <v>618</v>
      </c>
      <c r="AB1921" t="n">
        <v>6</v>
      </c>
      <c r="AC1921" t="n">
        <v>6</v>
      </c>
      <c r="AD1921" t="n">
        <v>33</v>
      </c>
      <c r="AE1921" t="n">
        <v>33</v>
      </c>
      <c r="AF1921" t="n">
        <v>14</v>
      </c>
      <c r="AG1921" t="n">
        <v>14</v>
      </c>
      <c r="AH1921" t="n">
        <v>8</v>
      </c>
      <c r="AI1921" t="n">
        <v>8</v>
      </c>
      <c r="AJ1921" t="n">
        <v>17</v>
      </c>
      <c r="AK1921" t="n">
        <v>17</v>
      </c>
      <c r="AL1921" t="n">
        <v>4</v>
      </c>
      <c r="AM1921" t="n">
        <v>4</v>
      </c>
      <c r="AN1921" t="n">
        <v>0</v>
      </c>
      <c r="AO1921" t="n">
        <v>0</v>
      </c>
      <c r="AP1921" t="inlineStr">
        <is>
          <t>No</t>
        </is>
      </c>
      <c r="AQ1921" t="inlineStr">
        <is>
          <t>Yes</t>
        </is>
      </c>
      <c r="AR1921">
        <f>HYPERLINK("http://catalog.hathitrust.org/Record/002982316","HathiTrust Record")</f>
        <v/>
      </c>
      <c r="AS1921">
        <f>HYPERLINK("https://creighton-primo.hosted.exlibrisgroup.com/primo-explore/search?tab=default_tab&amp;search_scope=EVERYTHING&amp;vid=01CRU&amp;lang=en_US&amp;offset=0&amp;query=any,contains,991002455439702656","Catalog Record")</f>
        <v/>
      </c>
      <c r="AT1921">
        <f>HYPERLINK("http://www.worldcat.org/oclc/32013877","WorldCat Record")</f>
        <v/>
      </c>
      <c r="AU1921" t="inlineStr">
        <is>
          <t>293275483:eng</t>
        </is>
      </c>
      <c r="AV1921" t="inlineStr">
        <is>
          <t>32013877</t>
        </is>
      </c>
      <c r="AW1921" t="inlineStr">
        <is>
          <t>991002455439702656</t>
        </is>
      </c>
      <c r="AX1921" t="inlineStr">
        <is>
          <t>991002455439702656</t>
        </is>
      </c>
      <c r="AY1921" t="inlineStr">
        <is>
          <t>2255528590002656</t>
        </is>
      </c>
      <c r="AZ1921" t="inlineStr">
        <is>
          <t>BOOK</t>
        </is>
      </c>
      <c r="BB1921" t="inlineStr">
        <is>
          <t>9780465085934</t>
        </is>
      </c>
      <c r="BC1921" t="inlineStr">
        <is>
          <t>32285002322138</t>
        </is>
      </c>
      <c r="BD1921" t="inlineStr">
        <is>
          <t>893879946</t>
        </is>
      </c>
    </row>
    <row r="1922">
      <c r="A1922" t="inlineStr">
        <is>
          <t>No</t>
        </is>
      </c>
      <c r="B1922" t="inlineStr">
        <is>
          <t>HQ755.8 .M65 1988</t>
        </is>
      </c>
      <c r="C1922" t="inlineStr">
        <is>
          <t>0                      HQ 0755800M  65          1988</t>
        </is>
      </c>
      <c r="D1922" t="inlineStr">
        <is>
          <t>Last-chance children : growing up with older parents / Monica Morris.</t>
        </is>
      </c>
      <c r="F1922" t="inlineStr">
        <is>
          <t>No</t>
        </is>
      </c>
      <c r="G1922" t="inlineStr">
        <is>
          <t>1</t>
        </is>
      </c>
      <c r="H1922" t="inlineStr">
        <is>
          <t>No</t>
        </is>
      </c>
      <c r="I1922" t="inlineStr">
        <is>
          <t>No</t>
        </is>
      </c>
      <c r="J1922" t="inlineStr">
        <is>
          <t>0</t>
        </is>
      </c>
      <c r="K1922" t="inlineStr">
        <is>
          <t>Morris, Monica B., 1928-</t>
        </is>
      </c>
      <c r="L1922" t="inlineStr">
        <is>
          <t>New York : Columbia University Press, 1988.</t>
        </is>
      </c>
      <c r="M1922" t="inlineStr">
        <is>
          <t>1988</t>
        </is>
      </c>
      <c r="O1922" t="inlineStr">
        <is>
          <t>eng</t>
        </is>
      </c>
      <c r="P1922" t="inlineStr">
        <is>
          <t>nyu</t>
        </is>
      </c>
      <c r="R1922" t="inlineStr">
        <is>
          <t xml:space="preserve">HQ </t>
        </is>
      </c>
      <c r="S1922" t="n">
        <v>1</v>
      </c>
      <c r="T1922" t="n">
        <v>1</v>
      </c>
      <c r="U1922" t="inlineStr">
        <is>
          <t>1994-03-21</t>
        </is>
      </c>
      <c r="V1922" t="inlineStr">
        <is>
          <t>1994-03-21</t>
        </is>
      </c>
      <c r="W1922" t="inlineStr">
        <is>
          <t>1992-11-04</t>
        </is>
      </c>
      <c r="X1922" t="inlineStr">
        <is>
          <t>1992-11-04</t>
        </is>
      </c>
      <c r="Y1922" t="n">
        <v>489</v>
      </c>
      <c r="Z1922" t="n">
        <v>423</v>
      </c>
      <c r="AA1922" t="n">
        <v>428</v>
      </c>
      <c r="AB1922" t="n">
        <v>4</v>
      </c>
      <c r="AC1922" t="n">
        <v>4</v>
      </c>
      <c r="AD1922" t="n">
        <v>10</v>
      </c>
      <c r="AE1922" t="n">
        <v>10</v>
      </c>
      <c r="AF1922" t="n">
        <v>2</v>
      </c>
      <c r="AG1922" t="n">
        <v>2</v>
      </c>
      <c r="AH1922" t="n">
        <v>2</v>
      </c>
      <c r="AI1922" t="n">
        <v>2</v>
      </c>
      <c r="AJ1922" t="n">
        <v>5</v>
      </c>
      <c r="AK1922" t="n">
        <v>5</v>
      </c>
      <c r="AL1922" t="n">
        <v>3</v>
      </c>
      <c r="AM1922" t="n">
        <v>3</v>
      </c>
      <c r="AN1922" t="n">
        <v>0</v>
      </c>
      <c r="AO1922" t="n">
        <v>0</v>
      </c>
      <c r="AP1922" t="inlineStr">
        <is>
          <t>No</t>
        </is>
      </c>
      <c r="AQ1922" t="inlineStr">
        <is>
          <t>No</t>
        </is>
      </c>
      <c r="AS1922">
        <f>HYPERLINK("https://creighton-primo.hosted.exlibrisgroup.com/primo-explore/search?tab=default_tab&amp;search_scope=EVERYTHING&amp;vid=01CRU&amp;lang=en_US&amp;offset=0&amp;query=any,contains,991001159759702656","Catalog Record")</f>
        <v/>
      </c>
      <c r="AT1922">
        <f>HYPERLINK("http://www.worldcat.org/oclc/16873843","WorldCat Record")</f>
        <v/>
      </c>
      <c r="AU1922" t="inlineStr">
        <is>
          <t>144015022:eng</t>
        </is>
      </c>
      <c r="AV1922" t="inlineStr">
        <is>
          <t>16873843</t>
        </is>
      </c>
      <c r="AW1922" t="inlineStr">
        <is>
          <t>991001159759702656</t>
        </is>
      </c>
      <c r="AX1922" t="inlineStr">
        <is>
          <t>991001159759702656</t>
        </is>
      </c>
      <c r="AY1922" t="inlineStr">
        <is>
          <t>2257059890002656</t>
        </is>
      </c>
      <c r="AZ1922" t="inlineStr">
        <is>
          <t>BOOK</t>
        </is>
      </c>
      <c r="BB1922" t="inlineStr">
        <is>
          <t>9780231066952</t>
        </is>
      </c>
      <c r="BC1922" t="inlineStr">
        <is>
          <t>32285001359610</t>
        </is>
      </c>
      <c r="BD1922" t="inlineStr">
        <is>
          <t>893878674</t>
        </is>
      </c>
    </row>
    <row r="1923">
      <c r="A1923" t="inlineStr">
        <is>
          <t>No</t>
        </is>
      </c>
      <c r="B1923" t="inlineStr">
        <is>
          <t>HQ755.8 .N66 1982</t>
        </is>
      </c>
      <c r="C1923" t="inlineStr">
        <is>
          <t>0                      HQ 0755800N  66          1982</t>
        </is>
      </c>
      <c r="D1923" t="inlineStr">
        <is>
          <t>Nontraditional families : parenting and child development / edited by Michael E. Lamb.</t>
        </is>
      </c>
      <c r="F1923" t="inlineStr">
        <is>
          <t>No</t>
        </is>
      </c>
      <c r="G1923" t="inlineStr">
        <is>
          <t>1</t>
        </is>
      </c>
      <c r="H1923" t="inlineStr">
        <is>
          <t>No</t>
        </is>
      </c>
      <c r="I1923" t="inlineStr">
        <is>
          <t>No</t>
        </is>
      </c>
      <c r="J1923" t="inlineStr">
        <is>
          <t>0</t>
        </is>
      </c>
      <c r="L1923" t="inlineStr">
        <is>
          <t>Hillsdale, N.J. : L. Erlbaum Associates, 1982.</t>
        </is>
      </c>
      <c r="M1923" t="inlineStr">
        <is>
          <t>1982</t>
        </is>
      </c>
      <c r="O1923" t="inlineStr">
        <is>
          <t>eng</t>
        </is>
      </c>
      <c r="P1923" t="inlineStr">
        <is>
          <t>nyu</t>
        </is>
      </c>
      <c r="R1923" t="inlineStr">
        <is>
          <t xml:space="preserve">HQ </t>
        </is>
      </c>
      <c r="S1923" t="n">
        <v>13</v>
      </c>
      <c r="T1923" t="n">
        <v>13</v>
      </c>
      <c r="U1923" t="inlineStr">
        <is>
          <t>1997-06-25</t>
        </is>
      </c>
      <c r="V1923" t="inlineStr">
        <is>
          <t>1997-06-25</t>
        </is>
      </c>
      <c r="W1923" t="inlineStr">
        <is>
          <t>1992-06-03</t>
        </is>
      </c>
      <c r="X1923" t="inlineStr">
        <is>
          <t>1992-06-03</t>
        </is>
      </c>
      <c r="Y1923" t="n">
        <v>769</v>
      </c>
      <c r="Z1923" t="n">
        <v>638</v>
      </c>
      <c r="AA1923" t="n">
        <v>645</v>
      </c>
      <c r="AB1923" t="n">
        <v>5</v>
      </c>
      <c r="AC1923" t="n">
        <v>5</v>
      </c>
      <c r="AD1923" t="n">
        <v>21</v>
      </c>
      <c r="AE1923" t="n">
        <v>21</v>
      </c>
      <c r="AF1923" t="n">
        <v>8</v>
      </c>
      <c r="AG1923" t="n">
        <v>8</v>
      </c>
      <c r="AH1923" t="n">
        <v>3</v>
      </c>
      <c r="AI1923" t="n">
        <v>3</v>
      </c>
      <c r="AJ1923" t="n">
        <v>10</v>
      </c>
      <c r="AK1923" t="n">
        <v>10</v>
      </c>
      <c r="AL1923" t="n">
        <v>3</v>
      </c>
      <c r="AM1923" t="n">
        <v>3</v>
      </c>
      <c r="AN1923" t="n">
        <v>0</v>
      </c>
      <c r="AO1923" t="n">
        <v>0</v>
      </c>
      <c r="AP1923" t="inlineStr">
        <is>
          <t>No</t>
        </is>
      </c>
      <c r="AQ1923" t="inlineStr">
        <is>
          <t>Yes</t>
        </is>
      </c>
      <c r="AR1923">
        <f>HYPERLINK("http://catalog.hathitrust.org/Record/000764075","HathiTrust Record")</f>
        <v/>
      </c>
      <c r="AS1923">
        <f>HYPERLINK("https://creighton-primo.hosted.exlibrisgroup.com/primo-explore/search?tab=default_tab&amp;search_scope=EVERYTHING&amp;vid=01CRU&amp;lang=en_US&amp;offset=0&amp;query=any,contains,991005215909702656","Catalog Record")</f>
        <v/>
      </c>
      <c r="AT1923">
        <f>HYPERLINK("http://www.worldcat.org/oclc/8194213","WorldCat Record")</f>
        <v/>
      </c>
      <c r="AU1923" t="inlineStr">
        <is>
          <t>890419902:eng</t>
        </is>
      </c>
      <c r="AV1923" t="inlineStr">
        <is>
          <t>8194213</t>
        </is>
      </c>
      <c r="AW1923" t="inlineStr">
        <is>
          <t>991005215909702656</t>
        </is>
      </c>
      <c r="AX1923" t="inlineStr">
        <is>
          <t>991005215909702656</t>
        </is>
      </c>
      <c r="AY1923" t="inlineStr">
        <is>
          <t>2268689230002656</t>
        </is>
      </c>
      <c r="AZ1923" t="inlineStr">
        <is>
          <t>BOOK</t>
        </is>
      </c>
      <c r="BB1923" t="inlineStr">
        <is>
          <t>9780898591781</t>
        </is>
      </c>
      <c r="BC1923" t="inlineStr">
        <is>
          <t>32285001130052</t>
        </is>
      </c>
      <c r="BD1923" t="inlineStr">
        <is>
          <t>893344855</t>
        </is>
      </c>
    </row>
    <row r="1924">
      <c r="A1924" t="inlineStr">
        <is>
          <t>No</t>
        </is>
      </c>
      <c r="B1924" t="inlineStr">
        <is>
          <t>HQ755.8 .P3784 1993</t>
        </is>
      </c>
      <c r="C1924" t="inlineStr">
        <is>
          <t>0                      HQ 0755800P  3784        1993</t>
        </is>
      </c>
      <c r="D1924" t="inlineStr">
        <is>
          <t>Parenthood in modern society : legal and social issues for the twenty-first century / edited by John Eekelaar and Petar Šarčević.</t>
        </is>
      </c>
      <c r="F1924" t="inlineStr">
        <is>
          <t>No</t>
        </is>
      </c>
      <c r="G1924" t="inlineStr">
        <is>
          <t>1</t>
        </is>
      </c>
      <c r="H1924" t="inlineStr">
        <is>
          <t>No</t>
        </is>
      </c>
      <c r="I1924" t="inlineStr">
        <is>
          <t>No</t>
        </is>
      </c>
      <c r="J1924" t="inlineStr">
        <is>
          <t>0</t>
        </is>
      </c>
      <c r="L1924" t="inlineStr">
        <is>
          <t>Dordrecht ; Boston : M. Nijhoff, 1993.</t>
        </is>
      </c>
      <c r="M1924" t="inlineStr">
        <is>
          <t>1993</t>
        </is>
      </c>
      <c r="O1924" t="inlineStr">
        <is>
          <t>eng</t>
        </is>
      </c>
      <c r="P1924" t="inlineStr">
        <is>
          <t xml:space="preserve">ne </t>
        </is>
      </c>
      <c r="R1924" t="inlineStr">
        <is>
          <t xml:space="preserve">HQ </t>
        </is>
      </c>
      <c r="S1924" t="n">
        <v>7</v>
      </c>
      <c r="T1924" t="n">
        <v>7</v>
      </c>
      <c r="U1924" t="inlineStr">
        <is>
          <t>1998-04-08</t>
        </is>
      </c>
      <c r="V1924" t="inlineStr">
        <is>
          <t>1998-04-08</t>
        </is>
      </c>
      <c r="W1924" t="inlineStr">
        <is>
          <t>1994-04-07</t>
        </is>
      </c>
      <c r="X1924" t="inlineStr">
        <is>
          <t>1994-04-07</t>
        </is>
      </c>
      <c r="Y1924" t="n">
        <v>264</v>
      </c>
      <c r="Z1924" t="n">
        <v>146</v>
      </c>
      <c r="AA1924" t="n">
        <v>148</v>
      </c>
      <c r="AB1924" t="n">
        <v>3</v>
      </c>
      <c r="AC1924" t="n">
        <v>3</v>
      </c>
      <c r="AD1924" t="n">
        <v>15</v>
      </c>
      <c r="AE1924" t="n">
        <v>15</v>
      </c>
      <c r="AF1924" t="n">
        <v>0</v>
      </c>
      <c r="AG1924" t="n">
        <v>0</v>
      </c>
      <c r="AH1924" t="n">
        <v>1</v>
      </c>
      <c r="AI1924" t="n">
        <v>1</v>
      </c>
      <c r="AJ1924" t="n">
        <v>3</v>
      </c>
      <c r="AK1924" t="n">
        <v>3</v>
      </c>
      <c r="AL1924" t="n">
        <v>2</v>
      </c>
      <c r="AM1924" t="n">
        <v>2</v>
      </c>
      <c r="AN1924" t="n">
        <v>10</v>
      </c>
      <c r="AO1924" t="n">
        <v>10</v>
      </c>
      <c r="AP1924" t="inlineStr">
        <is>
          <t>No</t>
        </is>
      </c>
      <c r="AQ1924" t="inlineStr">
        <is>
          <t>Yes</t>
        </is>
      </c>
      <c r="AR1924">
        <f>HYPERLINK("http://catalog.hathitrust.org/Record/101956118","HathiTrust Record")</f>
        <v/>
      </c>
      <c r="AS1924">
        <f>HYPERLINK("https://creighton-primo.hosted.exlibrisgroup.com/primo-explore/search?tab=default_tab&amp;search_scope=EVERYTHING&amp;vid=01CRU&amp;lang=en_US&amp;offset=0&amp;query=any,contains,991002119449702656","Catalog Record")</f>
        <v/>
      </c>
      <c r="AT1924">
        <f>HYPERLINK("http://www.worldcat.org/oclc/27171919","WorldCat Record")</f>
        <v/>
      </c>
      <c r="AU1924" t="inlineStr">
        <is>
          <t>501296281:eng</t>
        </is>
      </c>
      <c r="AV1924" t="inlineStr">
        <is>
          <t>27171919</t>
        </is>
      </c>
      <c r="AW1924" t="inlineStr">
        <is>
          <t>991002119449702656</t>
        </is>
      </c>
      <c r="AX1924" t="inlineStr">
        <is>
          <t>991002119449702656</t>
        </is>
      </c>
      <c r="AY1924" t="inlineStr">
        <is>
          <t>2272811310002656</t>
        </is>
      </c>
      <c r="AZ1924" t="inlineStr">
        <is>
          <t>BOOK</t>
        </is>
      </c>
      <c r="BB1924" t="inlineStr">
        <is>
          <t>9780792321231</t>
        </is>
      </c>
      <c r="BC1924" t="inlineStr">
        <is>
          <t>32285001859668</t>
        </is>
      </c>
      <c r="BD1924" t="inlineStr">
        <is>
          <t>893433500</t>
        </is>
      </c>
    </row>
    <row r="1925">
      <c r="A1925" t="inlineStr">
        <is>
          <t>No</t>
        </is>
      </c>
      <c r="B1925" t="inlineStr">
        <is>
          <t>HQ755.8 .P379 1987</t>
        </is>
      </c>
      <c r="C1925" t="inlineStr">
        <is>
          <t>0                      HQ 0755800P  379         1987</t>
        </is>
      </c>
      <c r="D1925" t="inlineStr">
        <is>
          <t>Parenting across the life span : biosocial dimensions / edited by Jane B. Lancaster ... [et al.] ; sponsored by the Social Science Research Council.</t>
        </is>
      </c>
      <c r="F1925" t="inlineStr">
        <is>
          <t>No</t>
        </is>
      </c>
      <c r="G1925" t="inlineStr">
        <is>
          <t>1</t>
        </is>
      </c>
      <c r="H1925" t="inlineStr">
        <is>
          <t>No</t>
        </is>
      </c>
      <c r="I1925" t="inlineStr">
        <is>
          <t>No</t>
        </is>
      </c>
      <c r="J1925" t="inlineStr">
        <is>
          <t>0</t>
        </is>
      </c>
      <c r="L1925" t="inlineStr">
        <is>
          <t>New York : A. de Gruyter, c1987.</t>
        </is>
      </c>
      <c r="M1925" t="inlineStr">
        <is>
          <t>1987</t>
        </is>
      </c>
      <c r="O1925" t="inlineStr">
        <is>
          <t>eng</t>
        </is>
      </c>
      <c r="P1925" t="inlineStr">
        <is>
          <t>nyu</t>
        </is>
      </c>
      <c r="Q1925" t="inlineStr">
        <is>
          <t>Foundations of human behavior</t>
        </is>
      </c>
      <c r="R1925" t="inlineStr">
        <is>
          <t xml:space="preserve">HQ </t>
        </is>
      </c>
      <c r="S1925" t="n">
        <v>3</v>
      </c>
      <c r="T1925" t="n">
        <v>3</v>
      </c>
      <c r="U1925" t="inlineStr">
        <is>
          <t>2005-11-21</t>
        </is>
      </c>
      <c r="V1925" t="inlineStr">
        <is>
          <t>2005-11-21</t>
        </is>
      </c>
      <c r="W1925" t="inlineStr">
        <is>
          <t>1990-04-04</t>
        </is>
      </c>
      <c r="X1925" t="inlineStr">
        <is>
          <t>1990-04-04</t>
        </is>
      </c>
      <c r="Y1925" t="n">
        <v>589</v>
      </c>
      <c r="Z1925" t="n">
        <v>489</v>
      </c>
      <c r="AA1925" t="n">
        <v>524</v>
      </c>
      <c r="AB1925" t="n">
        <v>5</v>
      </c>
      <c r="AC1925" t="n">
        <v>5</v>
      </c>
      <c r="AD1925" t="n">
        <v>26</v>
      </c>
      <c r="AE1925" t="n">
        <v>26</v>
      </c>
      <c r="AF1925" t="n">
        <v>11</v>
      </c>
      <c r="AG1925" t="n">
        <v>11</v>
      </c>
      <c r="AH1925" t="n">
        <v>4</v>
      </c>
      <c r="AI1925" t="n">
        <v>4</v>
      </c>
      <c r="AJ1925" t="n">
        <v>12</v>
      </c>
      <c r="AK1925" t="n">
        <v>12</v>
      </c>
      <c r="AL1925" t="n">
        <v>4</v>
      </c>
      <c r="AM1925" t="n">
        <v>4</v>
      </c>
      <c r="AN1925" t="n">
        <v>0</v>
      </c>
      <c r="AO1925" t="n">
        <v>0</v>
      </c>
      <c r="AP1925" t="inlineStr">
        <is>
          <t>No</t>
        </is>
      </c>
      <c r="AQ1925" t="inlineStr">
        <is>
          <t>No</t>
        </is>
      </c>
      <c r="AS1925">
        <f>HYPERLINK("https://creighton-primo.hosted.exlibrisgroup.com/primo-explore/search?tab=default_tab&amp;search_scope=EVERYTHING&amp;vid=01CRU&amp;lang=en_US&amp;offset=0&amp;query=any,contains,991000939139702656","Catalog Record")</f>
        <v/>
      </c>
      <c r="AT1925">
        <f>HYPERLINK("http://www.worldcat.org/oclc/14379439","WorldCat Record")</f>
        <v/>
      </c>
      <c r="AU1925" t="inlineStr">
        <is>
          <t>848666500:eng</t>
        </is>
      </c>
      <c r="AV1925" t="inlineStr">
        <is>
          <t>14379439</t>
        </is>
      </c>
      <c r="AW1925" t="inlineStr">
        <is>
          <t>991000939139702656</t>
        </is>
      </c>
      <c r="AX1925" t="inlineStr">
        <is>
          <t>991000939139702656</t>
        </is>
      </c>
      <c r="AY1925" t="inlineStr">
        <is>
          <t>2261663920002656</t>
        </is>
      </c>
      <c r="AZ1925" t="inlineStr">
        <is>
          <t>BOOK</t>
        </is>
      </c>
      <c r="BB1925" t="inlineStr">
        <is>
          <t>9780202303321</t>
        </is>
      </c>
      <c r="BC1925" t="inlineStr">
        <is>
          <t>32285000111236</t>
        </is>
      </c>
      <c r="BD1925" t="inlineStr">
        <is>
          <t>893327732</t>
        </is>
      </c>
    </row>
    <row r="1926">
      <c r="A1926" t="inlineStr">
        <is>
          <t>No</t>
        </is>
      </c>
      <c r="B1926" t="inlineStr">
        <is>
          <t>HQ755.8 .P39</t>
        </is>
      </c>
      <c r="C1926" t="inlineStr">
        <is>
          <t>0                      HQ 0755800P  39</t>
        </is>
      </c>
      <c r="D1926" t="inlineStr">
        <is>
          <t>Parenting, its causes and consequences / edited by Lois Wladis Hoffman, Ronald J. Gandelman, H. Richard Schiffman.</t>
        </is>
      </c>
      <c r="F1926" t="inlineStr">
        <is>
          <t>No</t>
        </is>
      </c>
      <c r="G1926" t="inlineStr">
        <is>
          <t>1</t>
        </is>
      </c>
      <c r="H1926" t="inlineStr">
        <is>
          <t>No</t>
        </is>
      </c>
      <c r="I1926" t="inlineStr">
        <is>
          <t>No</t>
        </is>
      </c>
      <c r="J1926" t="inlineStr">
        <is>
          <t>0</t>
        </is>
      </c>
      <c r="L1926" t="inlineStr">
        <is>
          <t>Hillsdale, N.J. : Lawrence Erlbaum Associates, 1982.</t>
        </is>
      </c>
      <c r="M1926" t="inlineStr">
        <is>
          <t>1982</t>
        </is>
      </c>
      <c r="O1926" t="inlineStr">
        <is>
          <t>eng</t>
        </is>
      </c>
      <c r="P1926" t="inlineStr">
        <is>
          <t>nju</t>
        </is>
      </c>
      <c r="R1926" t="inlineStr">
        <is>
          <t xml:space="preserve">HQ </t>
        </is>
      </c>
      <c r="S1926" t="n">
        <v>1</v>
      </c>
      <c r="T1926" t="n">
        <v>1</v>
      </c>
      <c r="U1926" t="inlineStr">
        <is>
          <t>1993-03-14</t>
        </is>
      </c>
      <c r="V1926" t="inlineStr">
        <is>
          <t>1993-03-14</t>
        </is>
      </c>
      <c r="W1926" t="inlineStr">
        <is>
          <t>1990-04-04</t>
        </is>
      </c>
      <c r="X1926" t="inlineStr">
        <is>
          <t>1990-04-04</t>
        </is>
      </c>
      <c r="Y1926" t="n">
        <v>368</v>
      </c>
      <c r="Z1926" t="n">
        <v>287</v>
      </c>
      <c r="AA1926" t="n">
        <v>292</v>
      </c>
      <c r="AB1926" t="n">
        <v>3</v>
      </c>
      <c r="AC1926" t="n">
        <v>3</v>
      </c>
      <c r="AD1926" t="n">
        <v>12</v>
      </c>
      <c r="AE1926" t="n">
        <v>12</v>
      </c>
      <c r="AF1926" t="n">
        <v>2</v>
      </c>
      <c r="AG1926" t="n">
        <v>2</v>
      </c>
      <c r="AH1926" t="n">
        <v>3</v>
      </c>
      <c r="AI1926" t="n">
        <v>3</v>
      </c>
      <c r="AJ1926" t="n">
        <v>9</v>
      </c>
      <c r="AK1926" t="n">
        <v>9</v>
      </c>
      <c r="AL1926" t="n">
        <v>2</v>
      </c>
      <c r="AM1926" t="n">
        <v>2</v>
      </c>
      <c r="AN1926" t="n">
        <v>0</v>
      </c>
      <c r="AO1926" t="n">
        <v>0</v>
      </c>
      <c r="AP1926" t="inlineStr">
        <is>
          <t>No</t>
        </is>
      </c>
      <c r="AQ1926" t="inlineStr">
        <is>
          <t>No</t>
        </is>
      </c>
      <c r="AS1926">
        <f>HYPERLINK("https://creighton-primo.hosted.exlibrisgroup.com/primo-explore/search?tab=default_tab&amp;search_scope=EVERYTHING&amp;vid=01CRU&amp;lang=en_US&amp;offset=0&amp;query=any,contains,991005141389702656","Catalog Record")</f>
        <v/>
      </c>
      <c r="AT1926">
        <f>HYPERLINK("http://www.worldcat.org/oclc/7614618","WorldCat Record")</f>
        <v/>
      </c>
      <c r="AU1926" t="inlineStr">
        <is>
          <t>554388:eng</t>
        </is>
      </c>
      <c r="AV1926" t="inlineStr">
        <is>
          <t>7614618</t>
        </is>
      </c>
      <c r="AW1926" t="inlineStr">
        <is>
          <t>991005141389702656</t>
        </is>
      </c>
      <c r="AX1926" t="inlineStr">
        <is>
          <t>991005141389702656</t>
        </is>
      </c>
      <c r="AY1926" t="inlineStr">
        <is>
          <t>2264201610002656</t>
        </is>
      </c>
      <c r="AZ1926" t="inlineStr">
        <is>
          <t>BOOK</t>
        </is>
      </c>
      <c r="BB1926" t="inlineStr">
        <is>
          <t>9780898590869</t>
        </is>
      </c>
      <c r="BC1926" t="inlineStr">
        <is>
          <t>32285000111244</t>
        </is>
      </c>
      <c r="BD1926" t="inlineStr">
        <is>
          <t>893254535</t>
        </is>
      </c>
    </row>
    <row r="1927">
      <c r="A1927" t="inlineStr">
        <is>
          <t>No</t>
        </is>
      </c>
      <c r="B1927" t="inlineStr">
        <is>
          <t>HQ755.8 .P572 1983</t>
        </is>
      </c>
      <c r="C1927" t="inlineStr">
        <is>
          <t>0                      HQ 0755800P  572         1983</t>
        </is>
      </c>
      <c r="D1927" t="inlineStr">
        <is>
          <t>Parent to parent : working together for ourselves and our children / Peggy Pizzo ; foreword by Benjamin Spock.</t>
        </is>
      </c>
      <c r="F1927" t="inlineStr">
        <is>
          <t>No</t>
        </is>
      </c>
      <c r="G1927" t="inlineStr">
        <is>
          <t>1</t>
        </is>
      </c>
      <c r="H1927" t="inlineStr">
        <is>
          <t>No</t>
        </is>
      </c>
      <c r="I1927" t="inlineStr">
        <is>
          <t>No</t>
        </is>
      </c>
      <c r="J1927" t="inlineStr">
        <is>
          <t>0</t>
        </is>
      </c>
      <c r="K1927" t="inlineStr">
        <is>
          <t>Pizzo, Peggy Daly.</t>
        </is>
      </c>
      <c r="L1927" t="inlineStr">
        <is>
          <t>Boston : Beacon Press, c1983.</t>
        </is>
      </c>
      <c r="M1927" t="inlineStr">
        <is>
          <t>1983</t>
        </is>
      </c>
      <c r="O1927" t="inlineStr">
        <is>
          <t>eng</t>
        </is>
      </c>
      <c r="P1927" t="inlineStr">
        <is>
          <t>mau</t>
        </is>
      </c>
      <c r="R1927" t="inlineStr">
        <is>
          <t xml:space="preserve">HQ </t>
        </is>
      </c>
      <c r="S1927" t="n">
        <v>4</v>
      </c>
      <c r="T1927" t="n">
        <v>4</v>
      </c>
      <c r="U1927" t="inlineStr">
        <is>
          <t>1994-02-16</t>
        </is>
      </c>
      <c r="V1927" t="inlineStr">
        <is>
          <t>1994-02-16</t>
        </is>
      </c>
      <c r="W1927" t="inlineStr">
        <is>
          <t>1990-04-04</t>
        </is>
      </c>
      <c r="X1927" t="inlineStr">
        <is>
          <t>1990-04-04</t>
        </is>
      </c>
      <c r="Y1927" t="n">
        <v>263</v>
      </c>
      <c r="Z1927" t="n">
        <v>246</v>
      </c>
      <c r="AA1927" t="n">
        <v>247</v>
      </c>
      <c r="AB1927" t="n">
        <v>2</v>
      </c>
      <c r="AC1927" t="n">
        <v>2</v>
      </c>
      <c r="AD1927" t="n">
        <v>4</v>
      </c>
      <c r="AE1927" t="n">
        <v>4</v>
      </c>
      <c r="AF1927" t="n">
        <v>1</v>
      </c>
      <c r="AG1927" t="n">
        <v>1</v>
      </c>
      <c r="AH1927" t="n">
        <v>0</v>
      </c>
      <c r="AI1927" t="n">
        <v>0</v>
      </c>
      <c r="AJ1927" t="n">
        <v>2</v>
      </c>
      <c r="AK1927" t="n">
        <v>2</v>
      </c>
      <c r="AL1927" t="n">
        <v>1</v>
      </c>
      <c r="AM1927" t="n">
        <v>1</v>
      </c>
      <c r="AN1927" t="n">
        <v>0</v>
      </c>
      <c r="AO1927" t="n">
        <v>0</v>
      </c>
      <c r="AP1927" t="inlineStr">
        <is>
          <t>No</t>
        </is>
      </c>
      <c r="AQ1927" t="inlineStr">
        <is>
          <t>Yes</t>
        </is>
      </c>
      <c r="AR1927">
        <f>HYPERLINK("http://catalog.hathitrust.org/Record/007551253","HathiTrust Record")</f>
        <v/>
      </c>
      <c r="AS1927">
        <f>HYPERLINK("https://creighton-primo.hosted.exlibrisgroup.com/primo-explore/search?tab=default_tab&amp;search_scope=EVERYTHING&amp;vid=01CRU&amp;lang=en_US&amp;offset=0&amp;query=any,contains,991000136489702656","Catalog Record")</f>
        <v/>
      </c>
      <c r="AT1927">
        <f>HYPERLINK("http://www.worldcat.org/oclc/9133258","WorldCat Record")</f>
        <v/>
      </c>
      <c r="AU1927" t="inlineStr">
        <is>
          <t>43565698:eng</t>
        </is>
      </c>
      <c r="AV1927" t="inlineStr">
        <is>
          <t>9133258</t>
        </is>
      </c>
      <c r="AW1927" t="inlineStr">
        <is>
          <t>991000136489702656</t>
        </is>
      </c>
      <c r="AX1927" t="inlineStr">
        <is>
          <t>991000136489702656</t>
        </is>
      </c>
      <c r="AY1927" t="inlineStr">
        <is>
          <t>2270265190002656</t>
        </is>
      </c>
      <c r="AZ1927" t="inlineStr">
        <is>
          <t>BOOK</t>
        </is>
      </c>
      <c r="BB1927" t="inlineStr">
        <is>
          <t>9780807023013</t>
        </is>
      </c>
      <c r="BC1927" t="inlineStr">
        <is>
          <t>32285000111251</t>
        </is>
      </c>
      <c r="BD1927" t="inlineStr">
        <is>
          <t>893261370</t>
        </is>
      </c>
    </row>
    <row r="1928">
      <c r="A1928" t="inlineStr">
        <is>
          <t>No</t>
        </is>
      </c>
      <c r="B1928" t="inlineStr">
        <is>
          <t>HQ755.8 .R62</t>
        </is>
      </c>
      <c r="C1928" t="inlineStr">
        <is>
          <t>0                      HQ 0755800R  62</t>
        </is>
      </c>
      <c r="D1928" t="inlineStr">
        <is>
          <t>Manipulating parents : tactics used by children of all ages and ways parents can turn the tables / Paul W. Robinson, with Timothy J. Newby and Robert D. Hill.</t>
        </is>
      </c>
      <c r="F1928" t="inlineStr">
        <is>
          <t>No</t>
        </is>
      </c>
      <c r="G1928" t="inlineStr">
        <is>
          <t>1</t>
        </is>
      </c>
      <c r="H1928" t="inlineStr">
        <is>
          <t>No</t>
        </is>
      </c>
      <c r="I1928" t="inlineStr">
        <is>
          <t>No</t>
        </is>
      </c>
      <c r="J1928" t="inlineStr">
        <is>
          <t>0</t>
        </is>
      </c>
      <c r="K1928" t="inlineStr">
        <is>
          <t>Robinson, Paul W., 1942-</t>
        </is>
      </c>
      <c r="L1928" t="inlineStr">
        <is>
          <t>Englewood Cliffs, N.J. : Prentice-Hall, c1981.</t>
        </is>
      </c>
      <c r="M1928" t="inlineStr">
        <is>
          <t>1981</t>
        </is>
      </c>
      <c r="O1928" t="inlineStr">
        <is>
          <t>eng</t>
        </is>
      </c>
      <c r="P1928" t="inlineStr">
        <is>
          <t>nju</t>
        </is>
      </c>
      <c r="R1928" t="inlineStr">
        <is>
          <t xml:space="preserve">HQ </t>
        </is>
      </c>
      <c r="S1928" t="n">
        <v>4</v>
      </c>
      <c r="T1928" t="n">
        <v>4</v>
      </c>
      <c r="U1928" t="inlineStr">
        <is>
          <t>1995-01-30</t>
        </is>
      </c>
      <c r="V1928" t="inlineStr">
        <is>
          <t>1995-01-30</t>
        </is>
      </c>
      <c r="W1928" t="inlineStr">
        <is>
          <t>1992-11-04</t>
        </is>
      </c>
      <c r="X1928" t="inlineStr">
        <is>
          <t>1992-11-04</t>
        </is>
      </c>
      <c r="Y1928" t="n">
        <v>106</v>
      </c>
      <c r="Z1928" t="n">
        <v>88</v>
      </c>
      <c r="AA1928" t="n">
        <v>90</v>
      </c>
      <c r="AB1928" t="n">
        <v>2</v>
      </c>
      <c r="AC1928" t="n">
        <v>2</v>
      </c>
      <c r="AD1928" t="n">
        <v>0</v>
      </c>
      <c r="AE1928" t="n">
        <v>0</v>
      </c>
      <c r="AF1928" t="n">
        <v>0</v>
      </c>
      <c r="AG1928" t="n">
        <v>0</v>
      </c>
      <c r="AH1928" t="n">
        <v>0</v>
      </c>
      <c r="AI1928" t="n">
        <v>0</v>
      </c>
      <c r="AJ1928" t="n">
        <v>0</v>
      </c>
      <c r="AK1928" t="n">
        <v>0</v>
      </c>
      <c r="AL1928" t="n">
        <v>0</v>
      </c>
      <c r="AM1928" t="n">
        <v>0</v>
      </c>
      <c r="AN1928" t="n">
        <v>0</v>
      </c>
      <c r="AO1928" t="n">
        <v>0</v>
      </c>
      <c r="AP1928" t="inlineStr">
        <is>
          <t>No</t>
        </is>
      </c>
      <c r="AQ1928" t="inlineStr">
        <is>
          <t>Yes</t>
        </is>
      </c>
      <c r="AR1928">
        <f>HYPERLINK("http://catalog.hathitrust.org/Record/007042947","HathiTrust Record")</f>
        <v/>
      </c>
      <c r="AS1928">
        <f>HYPERLINK("https://creighton-primo.hosted.exlibrisgroup.com/primo-explore/search?tab=default_tab&amp;search_scope=EVERYTHING&amp;vid=01CRU&amp;lang=en_US&amp;offset=0&amp;query=any,contains,991005164409702656","Catalog Record")</f>
        <v/>
      </c>
      <c r="AT1928">
        <f>HYPERLINK("http://www.worldcat.org/oclc/7814044","WorldCat Record")</f>
        <v/>
      </c>
      <c r="AU1928" t="inlineStr">
        <is>
          <t>411495:eng</t>
        </is>
      </c>
      <c r="AV1928" t="inlineStr">
        <is>
          <t>7814044</t>
        </is>
      </c>
      <c r="AW1928" t="inlineStr">
        <is>
          <t>991005164409702656</t>
        </is>
      </c>
      <c r="AX1928" t="inlineStr">
        <is>
          <t>991005164409702656</t>
        </is>
      </c>
      <c r="AY1928" t="inlineStr">
        <is>
          <t>2256889430002656</t>
        </is>
      </c>
      <c r="AZ1928" t="inlineStr">
        <is>
          <t>BOOK</t>
        </is>
      </c>
      <c r="BB1928" t="inlineStr">
        <is>
          <t>9780135521588</t>
        </is>
      </c>
      <c r="BC1928" t="inlineStr">
        <is>
          <t>32285001359644</t>
        </is>
      </c>
      <c r="BD1928" t="inlineStr">
        <is>
          <t>893776947</t>
        </is>
      </c>
    </row>
    <row r="1929">
      <c r="A1929" t="inlineStr">
        <is>
          <t>No</t>
        </is>
      </c>
      <c r="B1929" t="inlineStr">
        <is>
          <t>HQ755.8 .S77 1985</t>
        </is>
      </c>
      <c r="C1929" t="inlineStr">
        <is>
          <t>0                      HQ 0755800S  77          1985</t>
        </is>
      </c>
      <c r="D1929" t="inlineStr">
        <is>
          <t>Five cries of parents / Merton P. Strommen and A. Irene Strommen.</t>
        </is>
      </c>
      <c r="F1929" t="inlineStr">
        <is>
          <t>No</t>
        </is>
      </c>
      <c r="G1929" t="inlineStr">
        <is>
          <t>1</t>
        </is>
      </c>
      <c r="H1929" t="inlineStr">
        <is>
          <t>No</t>
        </is>
      </c>
      <c r="I1929" t="inlineStr">
        <is>
          <t>No</t>
        </is>
      </c>
      <c r="J1929" t="inlineStr">
        <is>
          <t>0</t>
        </is>
      </c>
      <c r="K1929" t="inlineStr">
        <is>
          <t>Strommen, Merton P.</t>
        </is>
      </c>
      <c r="L1929" t="inlineStr">
        <is>
          <t>San Francisco : Harper &amp; Row, c1985.</t>
        </is>
      </c>
      <c r="M1929" t="inlineStr">
        <is>
          <t>1985</t>
        </is>
      </c>
      <c r="N1929" t="inlineStr">
        <is>
          <t>1st ed.</t>
        </is>
      </c>
      <c r="O1929" t="inlineStr">
        <is>
          <t>eng</t>
        </is>
      </c>
      <c r="P1929" t="inlineStr">
        <is>
          <t>cau</t>
        </is>
      </c>
      <c r="R1929" t="inlineStr">
        <is>
          <t xml:space="preserve">HQ </t>
        </is>
      </c>
      <c r="S1929" t="n">
        <v>4</v>
      </c>
      <c r="T1929" t="n">
        <v>4</v>
      </c>
      <c r="U1929" t="inlineStr">
        <is>
          <t>1995-03-14</t>
        </is>
      </c>
      <c r="V1929" t="inlineStr">
        <is>
          <t>1995-03-14</t>
        </is>
      </c>
      <c r="W1929" t="inlineStr">
        <is>
          <t>1990-03-29</t>
        </is>
      </c>
      <c r="X1929" t="inlineStr">
        <is>
          <t>1990-03-29</t>
        </is>
      </c>
      <c r="Y1929" t="n">
        <v>467</v>
      </c>
      <c r="Z1929" t="n">
        <v>434</v>
      </c>
      <c r="AA1929" t="n">
        <v>473</v>
      </c>
      <c r="AB1929" t="n">
        <v>4</v>
      </c>
      <c r="AC1929" t="n">
        <v>4</v>
      </c>
      <c r="AD1929" t="n">
        <v>12</v>
      </c>
      <c r="AE1929" t="n">
        <v>14</v>
      </c>
      <c r="AF1929" t="n">
        <v>4</v>
      </c>
      <c r="AG1929" t="n">
        <v>6</v>
      </c>
      <c r="AH1929" t="n">
        <v>4</v>
      </c>
      <c r="AI1929" t="n">
        <v>4</v>
      </c>
      <c r="AJ1929" t="n">
        <v>6</v>
      </c>
      <c r="AK1929" t="n">
        <v>6</v>
      </c>
      <c r="AL1929" t="n">
        <v>1</v>
      </c>
      <c r="AM1929" t="n">
        <v>1</v>
      </c>
      <c r="AN1929" t="n">
        <v>0</v>
      </c>
      <c r="AO1929" t="n">
        <v>0</v>
      </c>
      <c r="AP1929" t="inlineStr">
        <is>
          <t>No</t>
        </is>
      </c>
      <c r="AQ1929" t="inlineStr">
        <is>
          <t>Yes</t>
        </is>
      </c>
      <c r="AR1929">
        <f>HYPERLINK("http://catalog.hathitrust.org/Record/009806694","HathiTrust Record")</f>
        <v/>
      </c>
      <c r="AS1929">
        <f>HYPERLINK("https://creighton-primo.hosted.exlibrisgroup.com/primo-explore/search?tab=default_tab&amp;search_scope=EVERYTHING&amp;vid=01CRU&amp;lang=en_US&amp;offset=0&amp;query=any,contains,991000570949702656","Catalog Record")</f>
        <v/>
      </c>
      <c r="AT1929">
        <f>HYPERLINK("http://www.worldcat.org/oclc/11650369","WorldCat Record")</f>
        <v/>
      </c>
      <c r="AU1929" t="inlineStr">
        <is>
          <t>2286727314:eng</t>
        </is>
      </c>
      <c r="AV1929" t="inlineStr">
        <is>
          <t>11650369</t>
        </is>
      </c>
      <c r="AW1929" t="inlineStr">
        <is>
          <t>991000570949702656</t>
        </is>
      </c>
      <c r="AX1929" t="inlineStr">
        <is>
          <t>991000570949702656</t>
        </is>
      </c>
      <c r="AY1929" t="inlineStr">
        <is>
          <t>2269775550002656</t>
        </is>
      </c>
      <c r="AZ1929" t="inlineStr">
        <is>
          <t>BOOK</t>
        </is>
      </c>
      <c r="BB1929" t="inlineStr">
        <is>
          <t>9780060677473</t>
        </is>
      </c>
      <c r="BC1929" t="inlineStr">
        <is>
          <t>32285000106145</t>
        </is>
      </c>
      <c r="BD1929" t="inlineStr">
        <is>
          <t>893796792</t>
        </is>
      </c>
    </row>
    <row r="1930">
      <c r="A1930" t="inlineStr">
        <is>
          <t>No</t>
        </is>
      </c>
      <c r="B1930" t="inlineStr">
        <is>
          <t>HQ755.8 .T73 1988</t>
        </is>
      </c>
      <c r="C1930" t="inlineStr">
        <is>
          <t>0                      HQ 0755800T  73          1988</t>
        </is>
      </c>
      <c r="D1930" t="inlineStr">
        <is>
          <t>The Transition to parenthood : current theory and research / edited by Gerald Y. Michaels, Wendy A. Goldberg.</t>
        </is>
      </c>
      <c r="F1930" t="inlineStr">
        <is>
          <t>No</t>
        </is>
      </c>
      <c r="G1930" t="inlineStr">
        <is>
          <t>1</t>
        </is>
      </c>
      <c r="H1930" t="inlineStr">
        <is>
          <t>No</t>
        </is>
      </c>
      <c r="I1930" t="inlineStr">
        <is>
          <t>No</t>
        </is>
      </c>
      <c r="J1930" t="inlineStr">
        <is>
          <t>0</t>
        </is>
      </c>
      <c r="L1930" t="inlineStr">
        <is>
          <t>Cambridge, [England] ; New York : Cambridge University Press, 1988.</t>
        </is>
      </c>
      <c r="M1930" t="inlineStr">
        <is>
          <t>1988</t>
        </is>
      </c>
      <c r="O1930" t="inlineStr">
        <is>
          <t>eng</t>
        </is>
      </c>
      <c r="P1930" t="inlineStr">
        <is>
          <t>enk</t>
        </is>
      </c>
      <c r="Q1930" t="inlineStr">
        <is>
          <t>Cambridge studies in social and emotional development</t>
        </is>
      </c>
      <c r="R1930" t="inlineStr">
        <is>
          <t xml:space="preserve">HQ </t>
        </is>
      </c>
      <c r="S1930" t="n">
        <v>7</v>
      </c>
      <c r="T1930" t="n">
        <v>7</v>
      </c>
      <c r="U1930" t="inlineStr">
        <is>
          <t>1995-11-18</t>
        </is>
      </c>
      <c r="V1930" t="inlineStr">
        <is>
          <t>1995-11-18</t>
        </is>
      </c>
      <c r="W1930" t="inlineStr">
        <is>
          <t>1992-11-04</t>
        </is>
      </c>
      <c r="X1930" t="inlineStr">
        <is>
          <t>1992-11-04</t>
        </is>
      </c>
      <c r="Y1930" t="n">
        <v>565</v>
      </c>
      <c r="Z1930" t="n">
        <v>430</v>
      </c>
      <c r="AA1930" t="n">
        <v>430</v>
      </c>
      <c r="AB1930" t="n">
        <v>4</v>
      </c>
      <c r="AC1930" t="n">
        <v>4</v>
      </c>
      <c r="AD1930" t="n">
        <v>21</v>
      </c>
      <c r="AE1930" t="n">
        <v>21</v>
      </c>
      <c r="AF1930" t="n">
        <v>5</v>
      </c>
      <c r="AG1930" t="n">
        <v>5</v>
      </c>
      <c r="AH1930" t="n">
        <v>6</v>
      </c>
      <c r="AI1930" t="n">
        <v>6</v>
      </c>
      <c r="AJ1930" t="n">
        <v>11</v>
      </c>
      <c r="AK1930" t="n">
        <v>11</v>
      </c>
      <c r="AL1930" t="n">
        <v>3</v>
      </c>
      <c r="AM1930" t="n">
        <v>3</v>
      </c>
      <c r="AN1930" t="n">
        <v>0</v>
      </c>
      <c r="AO1930" t="n">
        <v>0</v>
      </c>
      <c r="AP1930" t="inlineStr">
        <is>
          <t>No</t>
        </is>
      </c>
      <c r="AQ1930" t="inlineStr">
        <is>
          <t>No</t>
        </is>
      </c>
      <c r="AS1930">
        <f>HYPERLINK("https://creighton-primo.hosted.exlibrisgroup.com/primo-explore/search?tab=default_tab&amp;search_scope=EVERYTHING&amp;vid=01CRU&amp;lang=en_US&amp;offset=0&amp;query=any,contains,991001180889702656","Catalog Record")</f>
        <v/>
      </c>
      <c r="AT1930">
        <f>HYPERLINK("http://www.worldcat.org/oclc/17108191","WorldCat Record")</f>
        <v/>
      </c>
      <c r="AU1930" t="inlineStr">
        <is>
          <t>836735663:eng</t>
        </is>
      </c>
      <c r="AV1930" t="inlineStr">
        <is>
          <t>17108191</t>
        </is>
      </c>
      <c r="AW1930" t="inlineStr">
        <is>
          <t>991001180889702656</t>
        </is>
      </c>
      <c r="AX1930" t="inlineStr">
        <is>
          <t>991001180889702656</t>
        </is>
      </c>
      <c r="AY1930" t="inlineStr">
        <is>
          <t>2259490930002656</t>
        </is>
      </c>
      <c r="AZ1930" t="inlineStr">
        <is>
          <t>BOOK</t>
        </is>
      </c>
      <c r="BB1930" t="inlineStr">
        <is>
          <t>9780521354189</t>
        </is>
      </c>
      <c r="BC1930" t="inlineStr">
        <is>
          <t>32285001359651</t>
        </is>
      </c>
      <c r="BD1930" t="inlineStr">
        <is>
          <t>893596264</t>
        </is>
      </c>
    </row>
    <row r="1931">
      <c r="A1931" t="inlineStr">
        <is>
          <t>No</t>
        </is>
      </c>
      <c r="B1931" t="inlineStr">
        <is>
          <t>HQ755.8 .V44</t>
        </is>
      </c>
      <c r="C1931" t="inlineStr">
        <is>
          <t>0                      HQ 0755800V  44</t>
        </is>
      </c>
      <c r="D1931" t="inlineStr">
        <is>
          <t>Childless by choice / J. E. Veevers.</t>
        </is>
      </c>
      <c r="F1931" t="inlineStr">
        <is>
          <t>No</t>
        </is>
      </c>
      <c r="G1931" t="inlineStr">
        <is>
          <t>1</t>
        </is>
      </c>
      <c r="H1931" t="inlineStr">
        <is>
          <t>No</t>
        </is>
      </c>
      <c r="I1931" t="inlineStr">
        <is>
          <t>No</t>
        </is>
      </c>
      <c r="J1931" t="inlineStr">
        <is>
          <t>0</t>
        </is>
      </c>
      <c r="K1931" t="inlineStr">
        <is>
          <t>Veevers, J. E. (Jean E.)</t>
        </is>
      </c>
      <c r="L1931" t="inlineStr">
        <is>
          <t>Toronto : Butterworths, 1980.</t>
        </is>
      </c>
      <c r="M1931" t="inlineStr">
        <is>
          <t>1980</t>
        </is>
      </c>
      <c r="O1931" t="inlineStr">
        <is>
          <t>eng</t>
        </is>
      </c>
      <c r="P1931" t="inlineStr">
        <is>
          <t xml:space="preserve">xx </t>
        </is>
      </c>
      <c r="R1931" t="inlineStr">
        <is>
          <t xml:space="preserve">HQ </t>
        </is>
      </c>
      <c r="S1931" t="n">
        <v>11</v>
      </c>
      <c r="T1931" t="n">
        <v>11</v>
      </c>
      <c r="U1931" t="inlineStr">
        <is>
          <t>1999-09-28</t>
        </is>
      </c>
      <c r="V1931" t="inlineStr">
        <is>
          <t>1999-09-28</t>
        </is>
      </c>
      <c r="W1931" t="inlineStr">
        <is>
          <t>1995-01-25</t>
        </is>
      </c>
      <c r="X1931" t="inlineStr">
        <is>
          <t>1995-01-25</t>
        </is>
      </c>
      <c r="Y1931" t="n">
        <v>483</v>
      </c>
      <c r="Z1931" t="n">
        <v>334</v>
      </c>
      <c r="AA1931" t="n">
        <v>337</v>
      </c>
      <c r="AB1931" t="n">
        <v>4</v>
      </c>
      <c r="AC1931" t="n">
        <v>4</v>
      </c>
      <c r="AD1931" t="n">
        <v>16</v>
      </c>
      <c r="AE1931" t="n">
        <v>16</v>
      </c>
      <c r="AF1931" t="n">
        <v>5</v>
      </c>
      <c r="AG1931" t="n">
        <v>5</v>
      </c>
      <c r="AH1931" t="n">
        <v>4</v>
      </c>
      <c r="AI1931" t="n">
        <v>4</v>
      </c>
      <c r="AJ1931" t="n">
        <v>9</v>
      </c>
      <c r="AK1931" t="n">
        <v>9</v>
      </c>
      <c r="AL1931" t="n">
        <v>3</v>
      </c>
      <c r="AM1931" t="n">
        <v>3</v>
      </c>
      <c r="AN1931" t="n">
        <v>1</v>
      </c>
      <c r="AO1931" t="n">
        <v>1</v>
      </c>
      <c r="AP1931" t="inlineStr">
        <is>
          <t>No</t>
        </is>
      </c>
      <c r="AQ1931" t="inlineStr">
        <is>
          <t>Yes</t>
        </is>
      </c>
      <c r="AR1931">
        <f>HYPERLINK("http://catalog.hathitrust.org/Record/000685211","HathiTrust Record")</f>
        <v/>
      </c>
      <c r="AS1931">
        <f>HYPERLINK("https://creighton-primo.hosted.exlibrisgroup.com/primo-explore/search?tab=default_tab&amp;search_scope=EVERYTHING&amp;vid=01CRU&amp;lang=en_US&amp;offset=0&amp;query=any,contains,991004938979702656","Catalog Record")</f>
        <v/>
      </c>
      <c r="AT1931">
        <f>HYPERLINK("http://www.worldcat.org/oclc/6159965","WorldCat Record")</f>
        <v/>
      </c>
      <c r="AU1931" t="inlineStr">
        <is>
          <t>478204:eng</t>
        </is>
      </c>
      <c r="AV1931" t="inlineStr">
        <is>
          <t>6159965</t>
        </is>
      </c>
      <c r="AW1931" t="inlineStr">
        <is>
          <t>991004938979702656</t>
        </is>
      </c>
      <c r="AX1931" t="inlineStr">
        <is>
          <t>991004938979702656</t>
        </is>
      </c>
      <c r="AY1931" t="inlineStr">
        <is>
          <t>2266915200002656</t>
        </is>
      </c>
      <c r="AZ1931" t="inlineStr">
        <is>
          <t>BOOK</t>
        </is>
      </c>
      <c r="BB1931" t="inlineStr">
        <is>
          <t>9780409874747</t>
        </is>
      </c>
      <c r="BC1931" t="inlineStr">
        <is>
          <t>32285001778991</t>
        </is>
      </c>
      <c r="BD1931" t="inlineStr">
        <is>
          <t>893241997</t>
        </is>
      </c>
    </row>
    <row r="1932">
      <c r="A1932" t="inlineStr">
        <is>
          <t>No</t>
        </is>
      </c>
      <c r="B1932" t="inlineStr">
        <is>
          <t>HQ755.83 .D36 1982</t>
        </is>
      </c>
      <c r="C1932" t="inlineStr">
        <is>
          <t>0                      HQ 0755830D  36          1982</t>
        </is>
      </c>
      <c r="D1932" t="inlineStr">
        <is>
          <t>Sooner or later : the timing of parenthood in adult lives / Pamela Daniels, Kathy Weingarten.</t>
        </is>
      </c>
      <c r="F1932" t="inlineStr">
        <is>
          <t>No</t>
        </is>
      </c>
      <c r="G1932" t="inlineStr">
        <is>
          <t>1</t>
        </is>
      </c>
      <c r="H1932" t="inlineStr">
        <is>
          <t>No</t>
        </is>
      </c>
      <c r="I1932" t="inlineStr">
        <is>
          <t>No</t>
        </is>
      </c>
      <c r="J1932" t="inlineStr">
        <is>
          <t>0</t>
        </is>
      </c>
      <c r="K1932" t="inlineStr">
        <is>
          <t>Daniels, Pamela, 1937-</t>
        </is>
      </c>
      <c r="L1932" t="inlineStr">
        <is>
          <t>New York : Norton, c1982.</t>
        </is>
      </c>
      <c r="M1932" t="inlineStr">
        <is>
          <t>1982</t>
        </is>
      </c>
      <c r="N1932" t="inlineStr">
        <is>
          <t>1st ed.</t>
        </is>
      </c>
      <c r="O1932" t="inlineStr">
        <is>
          <t>eng</t>
        </is>
      </c>
      <c r="P1932" t="inlineStr">
        <is>
          <t>nyu</t>
        </is>
      </c>
      <c r="R1932" t="inlineStr">
        <is>
          <t xml:space="preserve">HQ </t>
        </is>
      </c>
      <c r="S1932" t="n">
        <v>5</v>
      </c>
      <c r="T1932" t="n">
        <v>5</v>
      </c>
      <c r="U1932" t="inlineStr">
        <is>
          <t>1995-11-18</t>
        </is>
      </c>
      <c r="V1932" t="inlineStr">
        <is>
          <t>1995-11-18</t>
        </is>
      </c>
      <c r="W1932" t="inlineStr">
        <is>
          <t>1990-03-28</t>
        </is>
      </c>
      <c r="X1932" t="inlineStr">
        <is>
          <t>1990-03-28</t>
        </is>
      </c>
      <c r="Y1932" t="n">
        <v>652</v>
      </c>
      <c r="Z1932" t="n">
        <v>581</v>
      </c>
      <c r="AA1932" t="n">
        <v>604</v>
      </c>
      <c r="AB1932" t="n">
        <v>5</v>
      </c>
      <c r="AC1932" t="n">
        <v>5</v>
      </c>
      <c r="AD1932" t="n">
        <v>23</v>
      </c>
      <c r="AE1932" t="n">
        <v>24</v>
      </c>
      <c r="AF1932" t="n">
        <v>10</v>
      </c>
      <c r="AG1932" t="n">
        <v>11</v>
      </c>
      <c r="AH1932" t="n">
        <v>3</v>
      </c>
      <c r="AI1932" t="n">
        <v>3</v>
      </c>
      <c r="AJ1932" t="n">
        <v>12</v>
      </c>
      <c r="AK1932" t="n">
        <v>13</v>
      </c>
      <c r="AL1932" t="n">
        <v>4</v>
      </c>
      <c r="AM1932" t="n">
        <v>4</v>
      </c>
      <c r="AN1932" t="n">
        <v>0</v>
      </c>
      <c r="AO1932" t="n">
        <v>0</v>
      </c>
      <c r="AP1932" t="inlineStr">
        <is>
          <t>No</t>
        </is>
      </c>
      <c r="AQ1932" t="inlineStr">
        <is>
          <t>No</t>
        </is>
      </c>
      <c r="AS1932">
        <f>HYPERLINK("https://creighton-primo.hosted.exlibrisgroup.com/primo-explore/search?tab=default_tab&amp;search_scope=EVERYTHING&amp;vid=01CRU&amp;lang=en_US&amp;offset=0&amp;query=any,contains,991005133159702656","Catalog Record")</f>
        <v/>
      </c>
      <c r="AT1932">
        <f>HYPERLINK("http://www.worldcat.org/oclc/7574218","WorldCat Record")</f>
        <v/>
      </c>
      <c r="AU1932" t="inlineStr">
        <is>
          <t>5347819:eng</t>
        </is>
      </c>
      <c r="AV1932" t="inlineStr">
        <is>
          <t>7574218</t>
        </is>
      </c>
      <c r="AW1932" t="inlineStr">
        <is>
          <t>991005133159702656</t>
        </is>
      </c>
      <c r="AX1932" t="inlineStr">
        <is>
          <t>991005133159702656</t>
        </is>
      </c>
      <c r="AY1932" t="inlineStr">
        <is>
          <t>2270936050002656</t>
        </is>
      </c>
      <c r="AZ1932" t="inlineStr">
        <is>
          <t>BOOK</t>
        </is>
      </c>
      <c r="BB1932" t="inlineStr">
        <is>
          <t>9780393014846</t>
        </is>
      </c>
      <c r="BC1932" t="inlineStr">
        <is>
          <t>32285000099977</t>
        </is>
      </c>
      <c r="BD1932" t="inlineStr">
        <is>
          <t>893889724</t>
        </is>
      </c>
    </row>
    <row r="1933">
      <c r="A1933" t="inlineStr">
        <is>
          <t>No</t>
        </is>
      </c>
      <c r="B1933" t="inlineStr">
        <is>
          <t>HQ755.85 .A449 1997</t>
        </is>
      </c>
      <c r="C1933" t="inlineStr">
        <is>
          <t>0                      HQ 0755850A  449         1997</t>
        </is>
      </c>
      <c r="D1933" t="inlineStr">
        <is>
          <t>A generation at risk : growing up in an era of family upheaval / Paul R. Amato, Alan Booth.</t>
        </is>
      </c>
      <c r="F1933" t="inlineStr">
        <is>
          <t>No</t>
        </is>
      </c>
      <c r="G1933" t="inlineStr">
        <is>
          <t>1</t>
        </is>
      </c>
      <c r="H1933" t="inlineStr">
        <is>
          <t>No</t>
        </is>
      </c>
      <c r="I1933" t="inlineStr">
        <is>
          <t>No</t>
        </is>
      </c>
      <c r="J1933" t="inlineStr">
        <is>
          <t>0</t>
        </is>
      </c>
      <c r="K1933" t="inlineStr">
        <is>
          <t>Amato, Paul R.</t>
        </is>
      </c>
      <c r="L1933" t="inlineStr">
        <is>
          <t>Cambridge, Mass. : Harvard University Press, 1997.</t>
        </is>
      </c>
      <c r="M1933" t="inlineStr">
        <is>
          <t>1997</t>
        </is>
      </c>
      <c r="O1933" t="inlineStr">
        <is>
          <t>eng</t>
        </is>
      </c>
      <c r="P1933" t="inlineStr">
        <is>
          <t>mau</t>
        </is>
      </c>
      <c r="R1933" t="inlineStr">
        <is>
          <t xml:space="preserve">HQ </t>
        </is>
      </c>
      <c r="S1933" t="n">
        <v>7</v>
      </c>
      <c r="T1933" t="n">
        <v>7</v>
      </c>
      <c r="U1933" t="inlineStr">
        <is>
          <t>2000-02-03</t>
        </is>
      </c>
      <c r="V1933" t="inlineStr">
        <is>
          <t>2000-02-03</t>
        </is>
      </c>
      <c r="W1933" t="inlineStr">
        <is>
          <t>1998-09-17</t>
        </is>
      </c>
      <c r="X1933" t="inlineStr">
        <is>
          <t>1998-09-17</t>
        </is>
      </c>
      <c r="Y1933" t="n">
        <v>1034</v>
      </c>
      <c r="Z1933" t="n">
        <v>913</v>
      </c>
      <c r="AA1933" t="n">
        <v>1066</v>
      </c>
      <c r="AB1933" t="n">
        <v>10</v>
      </c>
      <c r="AC1933" t="n">
        <v>10</v>
      </c>
      <c r="AD1933" t="n">
        <v>42</v>
      </c>
      <c r="AE1933" t="n">
        <v>46</v>
      </c>
      <c r="AF1933" t="n">
        <v>15</v>
      </c>
      <c r="AG1933" t="n">
        <v>18</v>
      </c>
      <c r="AH1933" t="n">
        <v>6</v>
      </c>
      <c r="AI1933" t="n">
        <v>8</v>
      </c>
      <c r="AJ1933" t="n">
        <v>18</v>
      </c>
      <c r="AK1933" t="n">
        <v>18</v>
      </c>
      <c r="AL1933" t="n">
        <v>9</v>
      </c>
      <c r="AM1933" t="n">
        <v>9</v>
      </c>
      <c r="AN1933" t="n">
        <v>1</v>
      </c>
      <c r="AO1933" t="n">
        <v>1</v>
      </c>
      <c r="AP1933" t="inlineStr">
        <is>
          <t>No</t>
        </is>
      </c>
      <c r="AQ1933" t="inlineStr">
        <is>
          <t>No</t>
        </is>
      </c>
      <c r="AS1933">
        <f>HYPERLINK("https://creighton-primo.hosted.exlibrisgroup.com/primo-explore/search?tab=default_tab&amp;search_scope=EVERYTHING&amp;vid=01CRU&amp;lang=en_US&amp;offset=0&amp;query=any,contains,991002793209702656","Catalog Record")</f>
        <v/>
      </c>
      <c r="AT1933">
        <f>HYPERLINK("http://www.worldcat.org/oclc/36676008","WorldCat Record")</f>
        <v/>
      </c>
      <c r="AU1933" t="inlineStr">
        <is>
          <t>569345:eng</t>
        </is>
      </c>
      <c r="AV1933" t="inlineStr">
        <is>
          <t>36676008</t>
        </is>
      </c>
      <c r="AW1933" t="inlineStr">
        <is>
          <t>991002793209702656</t>
        </is>
      </c>
      <c r="AX1933" t="inlineStr">
        <is>
          <t>991002793209702656</t>
        </is>
      </c>
      <c r="AY1933" t="inlineStr">
        <is>
          <t>2260078300002656</t>
        </is>
      </c>
      <c r="AZ1933" t="inlineStr">
        <is>
          <t>BOOK</t>
        </is>
      </c>
      <c r="BB1933" t="inlineStr">
        <is>
          <t>9780674292833</t>
        </is>
      </c>
      <c r="BC1933" t="inlineStr">
        <is>
          <t>32285003469151</t>
        </is>
      </c>
      <c r="BD1933" t="inlineStr">
        <is>
          <t>893780227</t>
        </is>
      </c>
    </row>
    <row r="1934">
      <c r="A1934" t="inlineStr">
        <is>
          <t>No</t>
        </is>
      </c>
      <c r="B1934" t="inlineStr">
        <is>
          <t>HQ755.85 .B34 1993</t>
        </is>
      </c>
      <c r="C1934" t="inlineStr">
        <is>
          <t>0                      HQ 0755850B  34          1993</t>
        </is>
      </c>
      <c r="D1934" t="inlineStr">
        <is>
          <t>"Not in front of the children--" : how to talk to your child about tough family matters / by Lawrence Balter with Peggy Jo Donahue.</t>
        </is>
      </c>
      <c r="F1934" t="inlineStr">
        <is>
          <t>No</t>
        </is>
      </c>
      <c r="G1934" t="inlineStr">
        <is>
          <t>1</t>
        </is>
      </c>
      <c r="H1934" t="inlineStr">
        <is>
          <t>No</t>
        </is>
      </c>
      <c r="I1934" t="inlineStr">
        <is>
          <t>No</t>
        </is>
      </c>
      <c r="J1934" t="inlineStr">
        <is>
          <t>0</t>
        </is>
      </c>
      <c r="K1934" t="inlineStr">
        <is>
          <t>Balter, Lawrence.</t>
        </is>
      </c>
      <c r="L1934" t="inlineStr">
        <is>
          <t>New York, NY : Viking, 1993.</t>
        </is>
      </c>
      <c r="M1934" t="inlineStr">
        <is>
          <t>1993</t>
        </is>
      </c>
      <c r="O1934" t="inlineStr">
        <is>
          <t>eng</t>
        </is>
      </c>
      <c r="P1934" t="inlineStr">
        <is>
          <t>nyu</t>
        </is>
      </c>
      <c r="R1934" t="inlineStr">
        <is>
          <t xml:space="preserve">HQ </t>
        </is>
      </c>
      <c r="S1934" t="n">
        <v>5</v>
      </c>
      <c r="T1934" t="n">
        <v>5</v>
      </c>
      <c r="U1934" t="inlineStr">
        <is>
          <t>2005-07-27</t>
        </is>
      </c>
      <c r="V1934" t="inlineStr">
        <is>
          <t>2005-07-27</t>
        </is>
      </c>
      <c r="W1934" t="inlineStr">
        <is>
          <t>1995-11-03</t>
        </is>
      </c>
      <c r="X1934" t="inlineStr">
        <is>
          <t>1995-11-03</t>
        </is>
      </c>
      <c r="Y1934" t="n">
        <v>391</v>
      </c>
      <c r="Z1934" t="n">
        <v>357</v>
      </c>
      <c r="AA1934" t="n">
        <v>394</v>
      </c>
      <c r="AB1934" t="n">
        <v>3</v>
      </c>
      <c r="AC1934" t="n">
        <v>3</v>
      </c>
      <c r="AD1934" t="n">
        <v>2</v>
      </c>
      <c r="AE1934" t="n">
        <v>2</v>
      </c>
      <c r="AF1934" t="n">
        <v>0</v>
      </c>
      <c r="AG1934" t="n">
        <v>0</v>
      </c>
      <c r="AH1934" t="n">
        <v>0</v>
      </c>
      <c r="AI1934" t="n">
        <v>0</v>
      </c>
      <c r="AJ1934" t="n">
        <v>2</v>
      </c>
      <c r="AK1934" t="n">
        <v>2</v>
      </c>
      <c r="AL1934" t="n">
        <v>0</v>
      </c>
      <c r="AM1934" t="n">
        <v>0</v>
      </c>
      <c r="AN1934" t="n">
        <v>0</v>
      </c>
      <c r="AO1934" t="n">
        <v>0</v>
      </c>
      <c r="AP1934" t="inlineStr">
        <is>
          <t>No</t>
        </is>
      </c>
      <c r="AQ1934" t="inlineStr">
        <is>
          <t>No</t>
        </is>
      </c>
      <c r="AS1934">
        <f>HYPERLINK("https://creighton-primo.hosted.exlibrisgroup.com/primo-explore/search?tab=default_tab&amp;search_scope=EVERYTHING&amp;vid=01CRU&amp;lang=en_US&amp;offset=0&amp;query=any,contains,991002076539702656","Catalog Record")</f>
        <v/>
      </c>
      <c r="AT1934">
        <f>HYPERLINK("http://www.worldcat.org/oclc/26632339","WorldCat Record")</f>
        <v/>
      </c>
      <c r="AU1934" t="inlineStr">
        <is>
          <t>29122111:eng</t>
        </is>
      </c>
      <c r="AV1934" t="inlineStr">
        <is>
          <t>26632339</t>
        </is>
      </c>
      <c r="AW1934" t="inlineStr">
        <is>
          <t>991002076539702656</t>
        </is>
      </c>
      <c r="AX1934" t="inlineStr">
        <is>
          <t>991002076539702656</t>
        </is>
      </c>
      <c r="AY1934" t="inlineStr">
        <is>
          <t>2255101680002656</t>
        </is>
      </c>
      <c r="AZ1934" t="inlineStr">
        <is>
          <t>BOOK</t>
        </is>
      </c>
      <c r="BB1934" t="inlineStr">
        <is>
          <t>9780670841103</t>
        </is>
      </c>
      <c r="BC1934" t="inlineStr">
        <is>
          <t>32285002100567</t>
        </is>
      </c>
      <c r="BD1934" t="inlineStr">
        <is>
          <t>893703648</t>
        </is>
      </c>
    </row>
    <row r="1935">
      <c r="A1935" t="inlineStr">
        <is>
          <t>No</t>
        </is>
      </c>
      <c r="B1935" t="inlineStr">
        <is>
          <t>HQ755.85 .B435 1990</t>
        </is>
      </c>
      <c r="C1935" t="inlineStr">
        <is>
          <t>0                      HQ 0755850B  435         1990</t>
        </is>
      </c>
      <c r="D1935" t="inlineStr">
        <is>
          <t>The co-dependent parent : free yourself by freeing your child / Barbara Cottman Becnel.</t>
        </is>
      </c>
      <c r="F1935" t="inlineStr">
        <is>
          <t>No</t>
        </is>
      </c>
      <c r="G1935" t="inlineStr">
        <is>
          <t>1</t>
        </is>
      </c>
      <c r="H1935" t="inlineStr">
        <is>
          <t>No</t>
        </is>
      </c>
      <c r="I1935" t="inlineStr">
        <is>
          <t>No</t>
        </is>
      </c>
      <c r="J1935" t="inlineStr">
        <is>
          <t>0</t>
        </is>
      </c>
      <c r="K1935" t="inlineStr">
        <is>
          <t>Becnel, Barbara Cottman.</t>
        </is>
      </c>
      <c r="L1935" t="inlineStr">
        <is>
          <t>Los Angeles : Lowell House ; Chicago : Contemporary Books, c1990.</t>
        </is>
      </c>
      <c r="M1935" t="inlineStr">
        <is>
          <t>1990</t>
        </is>
      </c>
      <c r="O1935" t="inlineStr">
        <is>
          <t>eng</t>
        </is>
      </c>
      <c r="P1935" t="inlineStr">
        <is>
          <t>cau</t>
        </is>
      </c>
      <c r="R1935" t="inlineStr">
        <is>
          <t xml:space="preserve">HQ </t>
        </is>
      </c>
      <c r="S1935" t="n">
        <v>2</v>
      </c>
      <c r="T1935" t="n">
        <v>2</v>
      </c>
      <c r="U1935" t="inlineStr">
        <is>
          <t>2007-04-16</t>
        </is>
      </c>
      <c r="V1935" t="inlineStr">
        <is>
          <t>2007-04-16</t>
        </is>
      </c>
      <c r="W1935" t="inlineStr">
        <is>
          <t>2002-12-09</t>
        </is>
      </c>
      <c r="X1935" t="inlineStr">
        <is>
          <t>2002-12-09</t>
        </is>
      </c>
      <c r="Y1935" t="n">
        <v>210</v>
      </c>
      <c r="Z1935" t="n">
        <v>203</v>
      </c>
      <c r="AA1935" t="n">
        <v>393</v>
      </c>
      <c r="AB1935" t="n">
        <v>2</v>
      </c>
      <c r="AC1935" t="n">
        <v>5</v>
      </c>
      <c r="AD1935" t="n">
        <v>0</v>
      </c>
      <c r="AE1935" t="n">
        <v>2</v>
      </c>
      <c r="AF1935" t="n">
        <v>0</v>
      </c>
      <c r="AG1935" t="n">
        <v>0</v>
      </c>
      <c r="AH1935" t="n">
        <v>0</v>
      </c>
      <c r="AI1935" t="n">
        <v>0</v>
      </c>
      <c r="AJ1935" t="n">
        <v>0</v>
      </c>
      <c r="AK1935" t="n">
        <v>1</v>
      </c>
      <c r="AL1935" t="n">
        <v>0</v>
      </c>
      <c r="AM1935" t="n">
        <v>1</v>
      </c>
      <c r="AN1935" t="n">
        <v>0</v>
      </c>
      <c r="AO1935" t="n">
        <v>0</v>
      </c>
      <c r="AP1935" t="inlineStr">
        <is>
          <t>No</t>
        </is>
      </c>
      <c r="AQ1935" t="inlineStr">
        <is>
          <t>Yes</t>
        </is>
      </c>
      <c r="AR1935">
        <f>HYPERLINK("http://catalog.hathitrust.org/Record/007572413","HathiTrust Record")</f>
        <v/>
      </c>
      <c r="AS1935">
        <f>HYPERLINK("https://creighton-primo.hosted.exlibrisgroup.com/primo-explore/search?tab=default_tab&amp;search_scope=EVERYTHING&amp;vid=01CRU&amp;lang=en_US&amp;offset=0&amp;query=any,contains,991003933259702656","Catalog Record")</f>
        <v/>
      </c>
      <c r="AT1935">
        <f>HYPERLINK("http://www.worldcat.org/oclc/21036793","WorldCat Record")</f>
        <v/>
      </c>
      <c r="AU1935" t="inlineStr">
        <is>
          <t>838845714:eng</t>
        </is>
      </c>
      <c r="AV1935" t="inlineStr">
        <is>
          <t>21036793</t>
        </is>
      </c>
      <c r="AW1935" t="inlineStr">
        <is>
          <t>991003933259702656</t>
        </is>
      </c>
      <c r="AX1935" t="inlineStr">
        <is>
          <t>991003933259702656</t>
        </is>
      </c>
      <c r="AY1935" t="inlineStr">
        <is>
          <t>2256121820002656</t>
        </is>
      </c>
      <c r="AZ1935" t="inlineStr">
        <is>
          <t>BOOK</t>
        </is>
      </c>
      <c r="BB1935" t="inlineStr">
        <is>
          <t>9780929923123</t>
        </is>
      </c>
      <c r="BC1935" t="inlineStr">
        <is>
          <t>32285004669288</t>
        </is>
      </c>
      <c r="BD1935" t="inlineStr">
        <is>
          <t>893869079</t>
        </is>
      </c>
    </row>
    <row r="1936">
      <c r="A1936" t="inlineStr">
        <is>
          <t>No</t>
        </is>
      </c>
      <c r="B1936" t="inlineStr">
        <is>
          <t>HQ755.85 .B5 1985</t>
        </is>
      </c>
      <c r="C1936" t="inlineStr">
        <is>
          <t>0                      HQ 0755850B  5           1985</t>
        </is>
      </c>
      <c r="D1936" t="inlineStr">
        <is>
          <t>Repeat after me / by Claudia Black.</t>
        </is>
      </c>
      <c r="F1936" t="inlineStr">
        <is>
          <t>No</t>
        </is>
      </c>
      <c r="G1936" t="inlineStr">
        <is>
          <t>1</t>
        </is>
      </c>
      <c r="H1936" t="inlineStr">
        <is>
          <t>No</t>
        </is>
      </c>
      <c r="I1936" t="inlineStr">
        <is>
          <t>No</t>
        </is>
      </c>
      <c r="J1936" t="inlineStr">
        <is>
          <t>0</t>
        </is>
      </c>
      <c r="K1936" t="inlineStr">
        <is>
          <t>Black, Claudia.</t>
        </is>
      </c>
      <c r="L1936" t="inlineStr">
        <is>
          <t>Denver, CO : M.A.C Printing &amp; Publications, c1985, 1987 printing.</t>
        </is>
      </c>
      <c r="M1936" t="inlineStr">
        <is>
          <t>1985</t>
        </is>
      </c>
      <c r="O1936" t="inlineStr">
        <is>
          <t>eng</t>
        </is>
      </c>
      <c r="P1936" t="inlineStr">
        <is>
          <t>cou</t>
        </is>
      </c>
      <c r="R1936" t="inlineStr">
        <is>
          <t xml:space="preserve">HQ </t>
        </is>
      </c>
      <c r="S1936" t="n">
        <v>2</v>
      </c>
      <c r="T1936" t="n">
        <v>2</v>
      </c>
      <c r="U1936" t="inlineStr">
        <is>
          <t>1994-02-18</t>
        </is>
      </c>
      <c r="V1936" t="inlineStr">
        <is>
          <t>1994-02-18</t>
        </is>
      </c>
      <c r="W1936" t="inlineStr">
        <is>
          <t>1992-03-11</t>
        </is>
      </c>
      <c r="X1936" t="inlineStr">
        <is>
          <t>1992-03-11</t>
        </is>
      </c>
      <c r="Y1936" t="n">
        <v>215</v>
      </c>
      <c r="Z1936" t="n">
        <v>201</v>
      </c>
      <c r="AA1936" t="n">
        <v>267</v>
      </c>
      <c r="AB1936" t="n">
        <v>1</v>
      </c>
      <c r="AC1936" t="n">
        <v>1</v>
      </c>
      <c r="AD1936" t="n">
        <v>3</v>
      </c>
      <c r="AE1936" t="n">
        <v>5</v>
      </c>
      <c r="AF1936" t="n">
        <v>1</v>
      </c>
      <c r="AG1936" t="n">
        <v>2</v>
      </c>
      <c r="AH1936" t="n">
        <v>0</v>
      </c>
      <c r="AI1936" t="n">
        <v>1</v>
      </c>
      <c r="AJ1936" t="n">
        <v>3</v>
      </c>
      <c r="AK1936" t="n">
        <v>3</v>
      </c>
      <c r="AL1936" t="n">
        <v>0</v>
      </c>
      <c r="AM1936" t="n">
        <v>0</v>
      </c>
      <c r="AN1936" t="n">
        <v>0</v>
      </c>
      <c r="AO1936" t="n">
        <v>0</v>
      </c>
      <c r="AP1936" t="inlineStr">
        <is>
          <t>No</t>
        </is>
      </c>
      <c r="AQ1936" t="inlineStr">
        <is>
          <t>Yes</t>
        </is>
      </c>
      <c r="AR1936">
        <f>HYPERLINK("http://catalog.hathitrust.org/Record/007107386","HathiTrust Record")</f>
        <v/>
      </c>
      <c r="AS1936">
        <f>HYPERLINK("https://creighton-primo.hosted.exlibrisgroup.com/primo-explore/search?tab=default_tab&amp;search_scope=EVERYTHING&amp;vid=01CRU&amp;lang=en_US&amp;offset=0&amp;query=any,contains,991000735159702656","Catalog Record")</f>
        <v/>
      </c>
      <c r="AT1936">
        <f>HYPERLINK("http://www.worldcat.org/oclc/12763934","WorldCat Record")</f>
        <v/>
      </c>
      <c r="AU1936" t="inlineStr">
        <is>
          <t>5482275:eng</t>
        </is>
      </c>
      <c r="AV1936" t="inlineStr">
        <is>
          <t>12763934</t>
        </is>
      </c>
      <c r="AW1936" t="inlineStr">
        <is>
          <t>991000735159702656</t>
        </is>
      </c>
      <c r="AX1936" t="inlineStr">
        <is>
          <t>991000735159702656</t>
        </is>
      </c>
      <c r="AY1936" t="inlineStr">
        <is>
          <t>2271473020002656</t>
        </is>
      </c>
      <c r="AZ1936" t="inlineStr">
        <is>
          <t>BOOK</t>
        </is>
      </c>
      <c r="BB1936" t="inlineStr">
        <is>
          <t>9780910223041</t>
        </is>
      </c>
      <c r="BC1936" t="inlineStr">
        <is>
          <t>32285000996974</t>
        </is>
      </c>
      <c r="BD1936" t="inlineStr">
        <is>
          <t>893261588</t>
        </is>
      </c>
    </row>
    <row r="1937">
      <c r="A1937" t="inlineStr">
        <is>
          <t>No</t>
        </is>
      </c>
      <c r="B1937" t="inlineStr">
        <is>
          <t>HQ755.85 .B54 1993</t>
        </is>
      </c>
      <c r="C1937" t="inlineStr">
        <is>
          <t>0                      HQ 0755850B  54          1993</t>
        </is>
      </c>
      <c r="D1937" t="inlineStr">
        <is>
          <t>Fathers and families : paternal factors in child development / Henry B. Biller.</t>
        </is>
      </c>
      <c r="F1937" t="inlineStr">
        <is>
          <t>No</t>
        </is>
      </c>
      <c r="G1937" t="inlineStr">
        <is>
          <t>1</t>
        </is>
      </c>
      <c r="H1937" t="inlineStr">
        <is>
          <t>No</t>
        </is>
      </c>
      <c r="I1937" t="inlineStr">
        <is>
          <t>No</t>
        </is>
      </c>
      <c r="J1937" t="inlineStr">
        <is>
          <t>0</t>
        </is>
      </c>
      <c r="K1937" t="inlineStr">
        <is>
          <t>Biller, Henry B.</t>
        </is>
      </c>
      <c r="L1937" t="inlineStr">
        <is>
          <t>Westport, Conn. : Auburn House, 1993.</t>
        </is>
      </c>
      <c r="M1937" t="inlineStr">
        <is>
          <t>1993</t>
        </is>
      </c>
      <c r="O1937" t="inlineStr">
        <is>
          <t>eng</t>
        </is>
      </c>
      <c r="P1937" t="inlineStr">
        <is>
          <t>ctu</t>
        </is>
      </c>
      <c r="R1937" t="inlineStr">
        <is>
          <t xml:space="preserve">HQ </t>
        </is>
      </c>
      <c r="S1937" t="n">
        <v>14</v>
      </c>
      <c r="T1937" t="n">
        <v>14</v>
      </c>
      <c r="U1937" t="inlineStr">
        <is>
          <t>2000-06-15</t>
        </is>
      </c>
      <c r="V1937" t="inlineStr">
        <is>
          <t>2000-06-15</t>
        </is>
      </c>
      <c r="W1937" t="inlineStr">
        <is>
          <t>1993-11-02</t>
        </is>
      </c>
      <c r="X1937" t="inlineStr">
        <is>
          <t>1993-11-02</t>
        </is>
      </c>
      <c r="Y1937" t="n">
        <v>590</v>
      </c>
      <c r="Z1937" t="n">
        <v>505</v>
      </c>
      <c r="AA1937" t="n">
        <v>866</v>
      </c>
      <c r="AB1937" t="n">
        <v>5</v>
      </c>
      <c r="AC1937" t="n">
        <v>6</v>
      </c>
      <c r="AD1937" t="n">
        <v>23</v>
      </c>
      <c r="AE1937" t="n">
        <v>27</v>
      </c>
      <c r="AF1937" t="n">
        <v>9</v>
      </c>
      <c r="AG1937" t="n">
        <v>11</v>
      </c>
      <c r="AH1937" t="n">
        <v>3</v>
      </c>
      <c r="AI1937" t="n">
        <v>4</v>
      </c>
      <c r="AJ1937" t="n">
        <v>12</v>
      </c>
      <c r="AK1937" t="n">
        <v>13</v>
      </c>
      <c r="AL1937" t="n">
        <v>4</v>
      </c>
      <c r="AM1937" t="n">
        <v>5</v>
      </c>
      <c r="AN1937" t="n">
        <v>0</v>
      </c>
      <c r="AO1937" t="n">
        <v>0</v>
      </c>
      <c r="AP1937" t="inlineStr">
        <is>
          <t>No</t>
        </is>
      </c>
      <c r="AQ1937" t="inlineStr">
        <is>
          <t>Yes</t>
        </is>
      </c>
      <c r="AR1937">
        <f>HYPERLINK("http://catalog.hathitrust.org/Record/002606124","HathiTrust Record")</f>
        <v/>
      </c>
      <c r="AS1937">
        <f>HYPERLINK("https://creighton-primo.hosted.exlibrisgroup.com/primo-explore/search?tab=default_tab&amp;search_scope=EVERYTHING&amp;vid=01CRU&amp;lang=en_US&amp;offset=0&amp;query=any,contains,991002038919702656","Catalog Record")</f>
        <v/>
      </c>
      <c r="AT1937">
        <f>HYPERLINK("http://www.worldcat.org/oclc/26013085","WorldCat Record")</f>
        <v/>
      </c>
      <c r="AU1937" t="inlineStr">
        <is>
          <t>972397:eng</t>
        </is>
      </c>
      <c r="AV1937" t="inlineStr">
        <is>
          <t>26013085</t>
        </is>
      </c>
      <c r="AW1937" t="inlineStr">
        <is>
          <t>991002038919702656</t>
        </is>
      </c>
      <c r="AX1937" t="inlineStr">
        <is>
          <t>991002038919702656</t>
        </is>
      </c>
      <c r="AY1937" t="inlineStr">
        <is>
          <t>2258308840002656</t>
        </is>
      </c>
      <c r="AZ1937" t="inlineStr">
        <is>
          <t>BOOK</t>
        </is>
      </c>
      <c r="BB1937" t="inlineStr">
        <is>
          <t>9780865692084</t>
        </is>
      </c>
      <c r="BC1937" t="inlineStr">
        <is>
          <t>32285001789691</t>
        </is>
      </c>
      <c r="BD1937" t="inlineStr">
        <is>
          <t>893615619</t>
        </is>
      </c>
    </row>
    <row r="1938">
      <c r="A1938" t="inlineStr">
        <is>
          <t>No</t>
        </is>
      </c>
      <c r="B1938" t="inlineStr">
        <is>
          <t>HQ755.85 .C84</t>
        </is>
      </c>
      <c r="C1938" t="inlineStr">
        <is>
          <t>0                      HQ 0755850C  84</t>
        </is>
      </c>
      <c r="D1938" t="inlineStr">
        <is>
          <t>Culture and early interactions / edited by Tiffany M. Field ... [et al.].</t>
        </is>
      </c>
      <c r="F1938" t="inlineStr">
        <is>
          <t>No</t>
        </is>
      </c>
      <c r="G1938" t="inlineStr">
        <is>
          <t>1</t>
        </is>
      </c>
      <c r="H1938" t="inlineStr">
        <is>
          <t>No</t>
        </is>
      </c>
      <c r="I1938" t="inlineStr">
        <is>
          <t>No</t>
        </is>
      </c>
      <c r="J1938" t="inlineStr">
        <is>
          <t>0</t>
        </is>
      </c>
      <c r="L1938" t="inlineStr">
        <is>
          <t>Hillsdale, N.J. : L. Erlbaum, c1981.</t>
        </is>
      </c>
      <c r="M1938" t="inlineStr">
        <is>
          <t>1981</t>
        </is>
      </c>
      <c r="O1938" t="inlineStr">
        <is>
          <t>eng</t>
        </is>
      </c>
      <c r="P1938" t="inlineStr">
        <is>
          <t>nju</t>
        </is>
      </c>
      <c r="R1938" t="inlineStr">
        <is>
          <t xml:space="preserve">HQ </t>
        </is>
      </c>
      <c r="S1938" t="n">
        <v>1</v>
      </c>
      <c r="T1938" t="n">
        <v>1</v>
      </c>
      <c r="U1938" t="inlineStr">
        <is>
          <t>1992-11-07</t>
        </is>
      </c>
      <c r="V1938" t="inlineStr">
        <is>
          <t>1992-11-07</t>
        </is>
      </c>
      <c r="W1938" t="inlineStr">
        <is>
          <t>1992-11-04</t>
        </is>
      </c>
      <c r="X1938" t="inlineStr">
        <is>
          <t>1992-11-04</t>
        </is>
      </c>
      <c r="Y1938" t="n">
        <v>363</v>
      </c>
      <c r="Z1938" t="n">
        <v>270</v>
      </c>
      <c r="AA1938" t="n">
        <v>295</v>
      </c>
      <c r="AB1938" t="n">
        <v>3</v>
      </c>
      <c r="AC1938" t="n">
        <v>3</v>
      </c>
      <c r="AD1938" t="n">
        <v>11</v>
      </c>
      <c r="AE1938" t="n">
        <v>11</v>
      </c>
      <c r="AF1938" t="n">
        <v>1</v>
      </c>
      <c r="AG1938" t="n">
        <v>1</v>
      </c>
      <c r="AH1938" t="n">
        <v>4</v>
      </c>
      <c r="AI1938" t="n">
        <v>4</v>
      </c>
      <c r="AJ1938" t="n">
        <v>7</v>
      </c>
      <c r="AK1938" t="n">
        <v>7</v>
      </c>
      <c r="AL1938" t="n">
        <v>2</v>
      </c>
      <c r="AM1938" t="n">
        <v>2</v>
      </c>
      <c r="AN1938" t="n">
        <v>0</v>
      </c>
      <c r="AO1938" t="n">
        <v>0</v>
      </c>
      <c r="AP1938" t="inlineStr">
        <is>
          <t>No</t>
        </is>
      </c>
      <c r="AQ1938" t="inlineStr">
        <is>
          <t>No</t>
        </is>
      </c>
      <c r="AS1938">
        <f>HYPERLINK("https://creighton-primo.hosted.exlibrisgroup.com/primo-explore/search?tab=default_tab&amp;search_scope=EVERYTHING&amp;vid=01CRU&amp;lang=en_US&amp;offset=0&amp;query=any,contains,991005136799702656","Catalog Record")</f>
        <v/>
      </c>
      <c r="AT1938">
        <f>HYPERLINK("http://www.worldcat.org/oclc/7577948","WorldCat Record")</f>
        <v/>
      </c>
      <c r="AU1938" t="inlineStr">
        <is>
          <t>28927046:eng</t>
        </is>
      </c>
      <c r="AV1938" t="inlineStr">
        <is>
          <t>7577948</t>
        </is>
      </c>
      <c r="AW1938" t="inlineStr">
        <is>
          <t>991005136799702656</t>
        </is>
      </c>
      <c r="AX1938" t="inlineStr">
        <is>
          <t>991005136799702656</t>
        </is>
      </c>
      <c r="AY1938" t="inlineStr">
        <is>
          <t>2264646560002656</t>
        </is>
      </c>
      <c r="AZ1938" t="inlineStr">
        <is>
          <t>BOOK</t>
        </is>
      </c>
      <c r="BB1938" t="inlineStr">
        <is>
          <t>9780898590975</t>
        </is>
      </c>
      <c r="BC1938" t="inlineStr">
        <is>
          <t>32285001359677</t>
        </is>
      </c>
      <c r="BD1938" t="inlineStr">
        <is>
          <t>893789503</t>
        </is>
      </c>
    </row>
    <row r="1939">
      <c r="A1939" t="inlineStr">
        <is>
          <t>No</t>
        </is>
      </c>
      <c r="B1939" t="inlineStr">
        <is>
          <t>HQ755.85 .D38 1989</t>
        </is>
      </c>
      <c r="C1939" t="inlineStr">
        <is>
          <t>0                      HQ 0755850D  38          1989</t>
        </is>
      </c>
      <c r="D1939" t="inlineStr">
        <is>
          <t>Daughters and fathers / edited by Lynda E. Boose and Betty S. Flowers.</t>
        </is>
      </c>
      <c r="F1939" t="inlineStr">
        <is>
          <t>No</t>
        </is>
      </c>
      <c r="G1939" t="inlineStr">
        <is>
          <t>1</t>
        </is>
      </c>
      <c r="H1939" t="inlineStr">
        <is>
          <t>No</t>
        </is>
      </c>
      <c r="I1939" t="inlineStr">
        <is>
          <t>No</t>
        </is>
      </c>
      <c r="J1939" t="inlineStr">
        <is>
          <t>0</t>
        </is>
      </c>
      <c r="L1939" t="inlineStr">
        <is>
          <t>Baltimore : Johns Hopkins University Press, c1989.</t>
        </is>
      </c>
      <c r="M1939" t="inlineStr">
        <is>
          <t>1989</t>
        </is>
      </c>
      <c r="O1939" t="inlineStr">
        <is>
          <t>eng</t>
        </is>
      </c>
      <c r="P1939" t="inlineStr">
        <is>
          <t>mdu</t>
        </is>
      </c>
      <c r="R1939" t="inlineStr">
        <is>
          <t xml:space="preserve">HQ </t>
        </is>
      </c>
      <c r="S1939" t="n">
        <v>8</v>
      </c>
      <c r="T1939" t="n">
        <v>8</v>
      </c>
      <c r="U1939" t="inlineStr">
        <is>
          <t>2000-06-15</t>
        </is>
      </c>
      <c r="V1939" t="inlineStr">
        <is>
          <t>2000-06-15</t>
        </is>
      </c>
      <c r="W1939" t="inlineStr">
        <is>
          <t>1991-01-28</t>
        </is>
      </c>
      <c r="X1939" t="inlineStr">
        <is>
          <t>1991-01-28</t>
        </is>
      </c>
      <c r="Y1939" t="n">
        <v>707</v>
      </c>
      <c r="Z1939" t="n">
        <v>573</v>
      </c>
      <c r="AA1939" t="n">
        <v>581</v>
      </c>
      <c r="AB1939" t="n">
        <v>4</v>
      </c>
      <c r="AC1939" t="n">
        <v>4</v>
      </c>
      <c r="AD1939" t="n">
        <v>35</v>
      </c>
      <c r="AE1939" t="n">
        <v>36</v>
      </c>
      <c r="AF1939" t="n">
        <v>13</v>
      </c>
      <c r="AG1939" t="n">
        <v>14</v>
      </c>
      <c r="AH1939" t="n">
        <v>9</v>
      </c>
      <c r="AI1939" t="n">
        <v>9</v>
      </c>
      <c r="AJ1939" t="n">
        <v>19</v>
      </c>
      <c r="AK1939" t="n">
        <v>20</v>
      </c>
      <c r="AL1939" t="n">
        <v>3</v>
      </c>
      <c r="AM1939" t="n">
        <v>3</v>
      </c>
      <c r="AN1939" t="n">
        <v>0</v>
      </c>
      <c r="AO1939" t="n">
        <v>0</v>
      </c>
      <c r="AP1939" t="inlineStr">
        <is>
          <t>No</t>
        </is>
      </c>
      <c r="AQ1939" t="inlineStr">
        <is>
          <t>Yes</t>
        </is>
      </c>
      <c r="AR1939">
        <f>HYPERLINK("http://catalog.hathitrust.org/Record/001080636","HathiTrust Record")</f>
        <v/>
      </c>
      <c r="AS1939">
        <f>HYPERLINK("https://creighton-primo.hosted.exlibrisgroup.com/primo-explore/search?tab=default_tab&amp;search_scope=EVERYTHING&amp;vid=01CRU&amp;lang=en_US&amp;offset=0&amp;query=any,contains,991001290339702656","Catalog Record")</f>
        <v/>
      </c>
      <c r="AT1939">
        <f>HYPERLINK("http://www.worldcat.org/oclc/17983295","WorldCat Record")</f>
        <v/>
      </c>
      <c r="AU1939" t="inlineStr">
        <is>
          <t>365919682:eng</t>
        </is>
      </c>
      <c r="AV1939" t="inlineStr">
        <is>
          <t>17983295</t>
        </is>
      </c>
      <c r="AW1939" t="inlineStr">
        <is>
          <t>991001290339702656</t>
        </is>
      </c>
      <c r="AX1939" t="inlineStr">
        <is>
          <t>991001290339702656</t>
        </is>
      </c>
      <c r="AY1939" t="inlineStr">
        <is>
          <t>2258683790002656</t>
        </is>
      </c>
      <c r="AZ1939" t="inlineStr">
        <is>
          <t>BOOK</t>
        </is>
      </c>
      <c r="BB1939" t="inlineStr">
        <is>
          <t>9780801836664</t>
        </is>
      </c>
      <c r="BC1939" t="inlineStr">
        <is>
          <t>32285000461813</t>
        </is>
      </c>
      <c r="BD1939" t="inlineStr">
        <is>
          <t>893256159</t>
        </is>
      </c>
    </row>
    <row r="1940">
      <c r="A1940" t="inlineStr">
        <is>
          <t>No</t>
        </is>
      </c>
      <c r="B1940" t="inlineStr">
        <is>
          <t>HQ755.85 .F386 1998</t>
        </is>
      </c>
      <c r="C1940" t="inlineStr">
        <is>
          <t>0                      HQ 0755850F  386         1998</t>
        </is>
      </c>
      <c r="D1940" t="inlineStr">
        <is>
          <t>Fathering daughters : reflections by men / edited by DeWitt Henry and James Alan McPherson.</t>
        </is>
      </c>
      <c r="F1940" t="inlineStr">
        <is>
          <t>No</t>
        </is>
      </c>
      <c r="G1940" t="inlineStr">
        <is>
          <t>1</t>
        </is>
      </c>
      <c r="H1940" t="inlineStr">
        <is>
          <t>No</t>
        </is>
      </c>
      <c r="I1940" t="inlineStr">
        <is>
          <t>No</t>
        </is>
      </c>
      <c r="J1940" t="inlineStr">
        <is>
          <t>0</t>
        </is>
      </c>
      <c r="L1940" t="inlineStr">
        <is>
          <t>Boston : Beacon Press, c1998.</t>
        </is>
      </c>
      <c r="M1940" t="inlineStr">
        <is>
          <t>1998</t>
        </is>
      </c>
      <c r="O1940" t="inlineStr">
        <is>
          <t>eng</t>
        </is>
      </c>
      <c r="P1940" t="inlineStr">
        <is>
          <t>mau</t>
        </is>
      </c>
      <c r="R1940" t="inlineStr">
        <is>
          <t xml:space="preserve">HQ </t>
        </is>
      </c>
      <c r="S1940" t="n">
        <v>6</v>
      </c>
      <c r="T1940" t="n">
        <v>6</v>
      </c>
      <c r="U1940" t="inlineStr">
        <is>
          <t>2000-06-15</t>
        </is>
      </c>
      <c r="V1940" t="inlineStr">
        <is>
          <t>2000-06-15</t>
        </is>
      </c>
      <c r="W1940" t="inlineStr">
        <is>
          <t>1998-07-22</t>
        </is>
      </c>
      <c r="X1940" t="inlineStr">
        <is>
          <t>1998-07-22</t>
        </is>
      </c>
      <c r="Y1940" t="n">
        <v>409</v>
      </c>
      <c r="Z1940" t="n">
        <v>378</v>
      </c>
      <c r="AA1940" t="n">
        <v>382</v>
      </c>
      <c r="AB1940" t="n">
        <v>3</v>
      </c>
      <c r="AC1940" t="n">
        <v>3</v>
      </c>
      <c r="AD1940" t="n">
        <v>9</v>
      </c>
      <c r="AE1940" t="n">
        <v>9</v>
      </c>
      <c r="AF1940" t="n">
        <v>2</v>
      </c>
      <c r="AG1940" t="n">
        <v>2</v>
      </c>
      <c r="AH1940" t="n">
        <v>3</v>
      </c>
      <c r="AI1940" t="n">
        <v>3</v>
      </c>
      <c r="AJ1940" t="n">
        <v>5</v>
      </c>
      <c r="AK1940" t="n">
        <v>5</v>
      </c>
      <c r="AL1940" t="n">
        <v>2</v>
      </c>
      <c r="AM1940" t="n">
        <v>2</v>
      </c>
      <c r="AN1940" t="n">
        <v>0</v>
      </c>
      <c r="AO1940" t="n">
        <v>0</v>
      </c>
      <c r="AP1940" t="inlineStr">
        <is>
          <t>No</t>
        </is>
      </c>
      <c r="AQ1940" t="inlineStr">
        <is>
          <t>Yes</t>
        </is>
      </c>
      <c r="AR1940">
        <f>HYPERLINK("http://catalog.hathitrust.org/Record/003976825","HathiTrust Record")</f>
        <v/>
      </c>
      <c r="AS1940">
        <f>HYPERLINK("https://creighton-primo.hosted.exlibrisgroup.com/primo-explore/search?tab=default_tab&amp;search_scope=EVERYTHING&amp;vid=01CRU&amp;lang=en_US&amp;offset=0&amp;query=any,contains,991002887229702656","Catalog Record")</f>
        <v/>
      </c>
      <c r="AT1940">
        <f>HYPERLINK("http://www.worldcat.org/oclc/38047991","WorldCat Record")</f>
        <v/>
      </c>
      <c r="AU1940" t="inlineStr">
        <is>
          <t>837029753:eng</t>
        </is>
      </c>
      <c r="AV1940" t="inlineStr">
        <is>
          <t>38047991</t>
        </is>
      </c>
      <c r="AW1940" t="inlineStr">
        <is>
          <t>991002887229702656</t>
        </is>
      </c>
      <c r="AX1940" t="inlineStr">
        <is>
          <t>991002887229702656</t>
        </is>
      </c>
      <c r="AY1940" t="inlineStr">
        <is>
          <t>2257375270002656</t>
        </is>
      </c>
      <c r="AZ1940" t="inlineStr">
        <is>
          <t>BOOK</t>
        </is>
      </c>
      <c r="BB1940" t="inlineStr">
        <is>
          <t>9780807062180</t>
        </is>
      </c>
      <c r="BC1940" t="inlineStr">
        <is>
          <t>32285003434874</t>
        </is>
      </c>
      <c r="BD1940" t="inlineStr">
        <is>
          <t>893704644</t>
        </is>
      </c>
    </row>
    <row r="1941">
      <c r="A1941" t="inlineStr">
        <is>
          <t>No</t>
        </is>
      </c>
      <c r="B1941" t="inlineStr">
        <is>
          <t>HQ755.85 .F687 1998</t>
        </is>
      </c>
      <c r="C1941" t="inlineStr">
        <is>
          <t>0                      HQ 0755850F  687         1998</t>
        </is>
      </c>
      <c r="D1941" t="inlineStr">
        <is>
          <t>Girls seen and heard : 52 life lessons for our daughters / by the Ms. Foundation ... and Sondra Forsyth ; preface by Carol Gilligan and Marie C. Wilson.</t>
        </is>
      </c>
      <c r="F1941" t="inlineStr">
        <is>
          <t>No</t>
        </is>
      </c>
      <c r="G1941" t="inlineStr">
        <is>
          <t>1</t>
        </is>
      </c>
      <c r="H1941" t="inlineStr">
        <is>
          <t>No</t>
        </is>
      </c>
      <c r="I1941" t="inlineStr">
        <is>
          <t>No</t>
        </is>
      </c>
      <c r="J1941" t="inlineStr">
        <is>
          <t>0</t>
        </is>
      </c>
      <c r="K1941" t="inlineStr">
        <is>
          <t>Forsyth, Sondra.</t>
        </is>
      </c>
      <c r="L1941" t="inlineStr">
        <is>
          <t>New York : Jeremy P. Tarcher, c1998.</t>
        </is>
      </c>
      <c r="M1941" t="inlineStr">
        <is>
          <t>1998</t>
        </is>
      </c>
      <c r="O1941" t="inlineStr">
        <is>
          <t>eng</t>
        </is>
      </c>
      <c r="P1941" t="inlineStr">
        <is>
          <t>nyu</t>
        </is>
      </c>
      <c r="R1941" t="inlineStr">
        <is>
          <t xml:space="preserve">HQ </t>
        </is>
      </c>
      <c r="S1941" t="n">
        <v>1</v>
      </c>
      <c r="T1941" t="n">
        <v>1</v>
      </c>
      <c r="U1941" t="inlineStr">
        <is>
          <t>2010-11-10</t>
        </is>
      </c>
      <c r="V1941" t="inlineStr">
        <is>
          <t>2010-11-10</t>
        </is>
      </c>
      <c r="W1941" t="inlineStr">
        <is>
          <t>2010-11-10</t>
        </is>
      </c>
      <c r="X1941" t="inlineStr">
        <is>
          <t>2010-11-10</t>
        </is>
      </c>
      <c r="Y1941" t="n">
        <v>351</v>
      </c>
      <c r="Z1941" t="n">
        <v>331</v>
      </c>
      <c r="AA1941" t="n">
        <v>339</v>
      </c>
      <c r="AB1941" t="n">
        <v>4</v>
      </c>
      <c r="AC1941" t="n">
        <v>4</v>
      </c>
      <c r="AD1941" t="n">
        <v>5</v>
      </c>
      <c r="AE1941" t="n">
        <v>5</v>
      </c>
      <c r="AF1941" t="n">
        <v>2</v>
      </c>
      <c r="AG1941" t="n">
        <v>2</v>
      </c>
      <c r="AH1941" t="n">
        <v>2</v>
      </c>
      <c r="AI1941" t="n">
        <v>2</v>
      </c>
      <c r="AJ1941" t="n">
        <v>1</v>
      </c>
      <c r="AK1941" t="n">
        <v>1</v>
      </c>
      <c r="AL1941" t="n">
        <v>1</v>
      </c>
      <c r="AM1941" t="n">
        <v>1</v>
      </c>
      <c r="AN1941" t="n">
        <v>0</v>
      </c>
      <c r="AO1941" t="n">
        <v>0</v>
      </c>
      <c r="AP1941" t="inlineStr">
        <is>
          <t>No</t>
        </is>
      </c>
      <c r="AQ1941" t="inlineStr">
        <is>
          <t>Yes</t>
        </is>
      </c>
      <c r="AR1941">
        <f>HYPERLINK("http://catalog.hathitrust.org/Record/009806699","HathiTrust Record")</f>
        <v/>
      </c>
      <c r="AS1941">
        <f>HYPERLINK("https://creighton-primo.hosted.exlibrisgroup.com/primo-explore/search?tab=default_tab&amp;search_scope=EVERYTHING&amp;vid=01CRU&amp;lang=en_US&amp;offset=0&amp;query=any,contains,991000221169702656","Catalog Record")</f>
        <v/>
      </c>
      <c r="AT1941">
        <f>HYPERLINK("http://www.worldcat.org/oclc/38132734","WorldCat Record")</f>
        <v/>
      </c>
      <c r="AU1941" t="inlineStr">
        <is>
          <t>641870:eng</t>
        </is>
      </c>
      <c r="AV1941" t="inlineStr">
        <is>
          <t>38132734</t>
        </is>
      </c>
      <c r="AW1941" t="inlineStr">
        <is>
          <t>991000221169702656</t>
        </is>
      </c>
      <c r="AX1941" t="inlineStr">
        <is>
          <t>991000221169702656</t>
        </is>
      </c>
      <c r="AY1941" t="inlineStr">
        <is>
          <t>2262927070002656</t>
        </is>
      </c>
      <c r="AZ1941" t="inlineStr">
        <is>
          <t>BOOK</t>
        </is>
      </c>
      <c r="BB1941" t="inlineStr">
        <is>
          <t>9780874779264</t>
        </is>
      </c>
      <c r="BC1941" t="inlineStr">
        <is>
          <t>32285005605927</t>
        </is>
      </c>
      <c r="BD1941" t="inlineStr">
        <is>
          <t>893333314</t>
        </is>
      </c>
    </row>
    <row r="1942">
      <c r="A1942" t="inlineStr">
        <is>
          <t>No</t>
        </is>
      </c>
      <c r="B1942" t="inlineStr">
        <is>
          <t>HQ755.85 .H47 1989</t>
        </is>
      </c>
      <c r="C1942" t="inlineStr">
        <is>
          <t>0                      HQ 0755850H  47          1989</t>
        </is>
      </c>
      <c r="D1942" t="inlineStr">
        <is>
          <t>Too long a child : the mother-daughter dyad / Nini Herman.</t>
        </is>
      </c>
      <c r="F1942" t="inlineStr">
        <is>
          <t>No</t>
        </is>
      </c>
      <c r="G1942" t="inlineStr">
        <is>
          <t>1</t>
        </is>
      </c>
      <c r="H1942" t="inlineStr">
        <is>
          <t>No</t>
        </is>
      </c>
      <c r="I1942" t="inlineStr">
        <is>
          <t>No</t>
        </is>
      </c>
      <c r="J1942" t="inlineStr">
        <is>
          <t>0</t>
        </is>
      </c>
      <c r="K1942" t="inlineStr">
        <is>
          <t>Herman, Nini.</t>
        </is>
      </c>
      <c r="L1942" t="inlineStr">
        <is>
          <t>London : Free Association Books, 1989.</t>
        </is>
      </c>
      <c r="M1942" t="inlineStr">
        <is>
          <t>1989</t>
        </is>
      </c>
      <c r="N1942" t="inlineStr">
        <is>
          <t>1st ed.</t>
        </is>
      </c>
      <c r="O1942" t="inlineStr">
        <is>
          <t>eng</t>
        </is>
      </c>
      <c r="P1942" t="inlineStr">
        <is>
          <t>enk</t>
        </is>
      </c>
      <c r="R1942" t="inlineStr">
        <is>
          <t xml:space="preserve">HQ </t>
        </is>
      </c>
      <c r="S1942" t="n">
        <v>2</v>
      </c>
      <c r="T1942" t="n">
        <v>2</v>
      </c>
      <c r="U1942" t="inlineStr">
        <is>
          <t>2010-01-06</t>
        </is>
      </c>
      <c r="V1942" t="inlineStr">
        <is>
          <t>2010-01-06</t>
        </is>
      </c>
      <c r="W1942" t="inlineStr">
        <is>
          <t>1991-01-17</t>
        </is>
      </c>
      <c r="X1942" t="inlineStr">
        <is>
          <t>1991-01-17</t>
        </is>
      </c>
      <c r="Y1942" t="n">
        <v>244</v>
      </c>
      <c r="Z1942" t="n">
        <v>182</v>
      </c>
      <c r="AA1942" t="n">
        <v>197</v>
      </c>
      <c r="AB1942" t="n">
        <v>3</v>
      </c>
      <c r="AC1942" t="n">
        <v>3</v>
      </c>
      <c r="AD1942" t="n">
        <v>5</v>
      </c>
      <c r="AE1942" t="n">
        <v>6</v>
      </c>
      <c r="AF1942" t="n">
        <v>0</v>
      </c>
      <c r="AG1942" t="n">
        <v>1</v>
      </c>
      <c r="AH1942" t="n">
        <v>2</v>
      </c>
      <c r="AI1942" t="n">
        <v>2</v>
      </c>
      <c r="AJ1942" t="n">
        <v>2</v>
      </c>
      <c r="AK1942" t="n">
        <v>2</v>
      </c>
      <c r="AL1942" t="n">
        <v>2</v>
      </c>
      <c r="AM1942" t="n">
        <v>2</v>
      </c>
      <c r="AN1942" t="n">
        <v>0</v>
      </c>
      <c r="AO1942" t="n">
        <v>0</v>
      </c>
      <c r="AP1942" t="inlineStr">
        <is>
          <t>No</t>
        </is>
      </c>
      <c r="AQ1942" t="inlineStr">
        <is>
          <t>No</t>
        </is>
      </c>
      <c r="AS1942">
        <f>HYPERLINK("https://creighton-primo.hosted.exlibrisgroup.com/primo-explore/search?tab=default_tab&amp;search_scope=EVERYTHING&amp;vid=01CRU&amp;lang=en_US&amp;offset=0&amp;query=any,contains,991001506589702656","Catalog Record")</f>
        <v/>
      </c>
      <c r="AT1942">
        <f>HYPERLINK("http://www.worldcat.org/oclc/19846453","WorldCat Record")</f>
        <v/>
      </c>
      <c r="AU1942" t="inlineStr">
        <is>
          <t>3109448:eng</t>
        </is>
      </c>
      <c r="AV1942" t="inlineStr">
        <is>
          <t>19846453</t>
        </is>
      </c>
      <c r="AW1942" t="inlineStr">
        <is>
          <t>991001506589702656</t>
        </is>
      </c>
      <c r="AX1942" t="inlineStr">
        <is>
          <t>991001506589702656</t>
        </is>
      </c>
      <c r="AY1942" t="inlineStr">
        <is>
          <t>2265644900002656</t>
        </is>
      </c>
      <c r="AZ1942" t="inlineStr">
        <is>
          <t>BOOK</t>
        </is>
      </c>
      <c r="BB1942" t="inlineStr">
        <is>
          <t>9781853430671</t>
        </is>
      </c>
      <c r="BC1942" t="inlineStr">
        <is>
          <t>32285000409259</t>
        </is>
      </c>
      <c r="BD1942" t="inlineStr">
        <is>
          <t>893803650</t>
        </is>
      </c>
    </row>
    <row r="1943">
      <c r="A1943" t="inlineStr">
        <is>
          <t>No</t>
        </is>
      </c>
      <c r="B1943" t="inlineStr">
        <is>
          <t>HQ755.85 .M28</t>
        </is>
      </c>
      <c r="C1943" t="inlineStr">
        <is>
          <t>0                      HQ 0755850M  28</t>
        </is>
      </c>
      <c r="D1943" t="inlineStr">
        <is>
          <t>Parent-child interaction and youth rebellion / by Marianne Marschak.</t>
        </is>
      </c>
      <c r="F1943" t="inlineStr">
        <is>
          <t>No</t>
        </is>
      </c>
      <c r="G1943" t="inlineStr">
        <is>
          <t>1</t>
        </is>
      </c>
      <c r="H1943" t="inlineStr">
        <is>
          <t>No</t>
        </is>
      </c>
      <c r="I1943" t="inlineStr">
        <is>
          <t>No</t>
        </is>
      </c>
      <c r="J1943" t="inlineStr">
        <is>
          <t>0</t>
        </is>
      </c>
      <c r="K1943" t="inlineStr">
        <is>
          <t>Marschak, Marianne.</t>
        </is>
      </c>
      <c r="L1943" t="inlineStr">
        <is>
          <t>New York : Gardner Press : distributed by Halsted Press, c1980.</t>
        </is>
      </c>
      <c r="M1943" t="inlineStr">
        <is>
          <t>1980</t>
        </is>
      </c>
      <c r="O1943" t="inlineStr">
        <is>
          <t>eng</t>
        </is>
      </c>
      <c r="P1943" t="inlineStr">
        <is>
          <t>nyu</t>
        </is>
      </c>
      <c r="R1943" t="inlineStr">
        <is>
          <t xml:space="preserve">HQ </t>
        </is>
      </c>
      <c r="S1943" t="n">
        <v>9</v>
      </c>
      <c r="T1943" t="n">
        <v>9</v>
      </c>
      <c r="U1943" t="inlineStr">
        <is>
          <t>2003-07-18</t>
        </is>
      </c>
      <c r="V1943" t="inlineStr">
        <is>
          <t>2003-07-18</t>
        </is>
      </c>
      <c r="W1943" t="inlineStr">
        <is>
          <t>1992-02-24</t>
        </is>
      </c>
      <c r="X1943" t="inlineStr">
        <is>
          <t>1992-02-24</t>
        </is>
      </c>
      <c r="Y1943" t="n">
        <v>415</v>
      </c>
      <c r="Z1943" t="n">
        <v>316</v>
      </c>
      <c r="AA1943" t="n">
        <v>324</v>
      </c>
      <c r="AB1943" t="n">
        <v>3</v>
      </c>
      <c r="AC1943" t="n">
        <v>3</v>
      </c>
      <c r="AD1943" t="n">
        <v>10</v>
      </c>
      <c r="AE1943" t="n">
        <v>10</v>
      </c>
      <c r="AF1943" t="n">
        <v>3</v>
      </c>
      <c r="AG1943" t="n">
        <v>3</v>
      </c>
      <c r="AH1943" t="n">
        <v>4</v>
      </c>
      <c r="AI1943" t="n">
        <v>4</v>
      </c>
      <c r="AJ1943" t="n">
        <v>5</v>
      </c>
      <c r="AK1943" t="n">
        <v>5</v>
      </c>
      <c r="AL1943" t="n">
        <v>1</v>
      </c>
      <c r="AM1943" t="n">
        <v>1</v>
      </c>
      <c r="AN1943" t="n">
        <v>0</v>
      </c>
      <c r="AO1943" t="n">
        <v>0</v>
      </c>
      <c r="AP1943" t="inlineStr">
        <is>
          <t>No</t>
        </is>
      </c>
      <c r="AQ1943" t="inlineStr">
        <is>
          <t>Yes</t>
        </is>
      </c>
      <c r="AR1943">
        <f>HYPERLINK("http://catalog.hathitrust.org/Record/007115940","HathiTrust Record")</f>
        <v/>
      </c>
      <c r="AS1943">
        <f>HYPERLINK("https://creighton-primo.hosted.exlibrisgroup.com/primo-explore/search?tab=default_tab&amp;search_scope=EVERYTHING&amp;vid=01CRU&amp;lang=en_US&amp;offset=0&amp;query=any,contains,991004579029702656","Catalog Record")</f>
        <v/>
      </c>
      <c r="AT1943">
        <f>HYPERLINK("http://www.worldcat.org/oclc/4056082","WorldCat Record")</f>
        <v/>
      </c>
      <c r="AU1943" t="inlineStr">
        <is>
          <t>13704718:eng</t>
        </is>
      </c>
      <c r="AV1943" t="inlineStr">
        <is>
          <t>4056082</t>
        </is>
      </c>
      <c r="AW1943" t="inlineStr">
        <is>
          <t>991004579029702656</t>
        </is>
      </c>
      <c r="AX1943" t="inlineStr">
        <is>
          <t>991004579029702656</t>
        </is>
      </c>
      <c r="AY1943" t="inlineStr">
        <is>
          <t>2271864250002656</t>
        </is>
      </c>
      <c r="AZ1943" t="inlineStr">
        <is>
          <t>BOOK</t>
        </is>
      </c>
      <c r="BB1943" t="inlineStr">
        <is>
          <t>9780470264768</t>
        </is>
      </c>
      <c r="BC1943" t="inlineStr">
        <is>
          <t>32285000974948</t>
        </is>
      </c>
      <c r="BD1943" t="inlineStr">
        <is>
          <t>893229515</t>
        </is>
      </c>
    </row>
    <row r="1944">
      <c r="A1944" t="inlineStr">
        <is>
          <t>No</t>
        </is>
      </c>
      <c r="B1944" t="inlineStr">
        <is>
          <t>HQ755.85 .M87 1979</t>
        </is>
      </c>
      <c r="C1944" t="inlineStr">
        <is>
          <t>0                      HQ 0755850M  87          1979</t>
        </is>
      </c>
      <c r="D1944" t="inlineStr">
        <is>
          <t>Muslim parents, their rights and duties / editor, A. Husain.</t>
        </is>
      </c>
      <c r="F1944" t="inlineStr">
        <is>
          <t>No</t>
        </is>
      </c>
      <c r="G1944" t="inlineStr">
        <is>
          <t>1</t>
        </is>
      </c>
      <c r="H1944" t="inlineStr">
        <is>
          <t>No</t>
        </is>
      </c>
      <c r="I1944" t="inlineStr">
        <is>
          <t>No</t>
        </is>
      </c>
      <c r="J1944" t="inlineStr">
        <is>
          <t>0</t>
        </is>
      </c>
      <c r="L1944" t="inlineStr">
        <is>
          <t>Karachi : International Islamic Publishers, 1979.</t>
        </is>
      </c>
      <c r="M1944" t="inlineStr">
        <is>
          <t>1979</t>
        </is>
      </c>
      <c r="N1944" t="inlineStr">
        <is>
          <t>1st ed.</t>
        </is>
      </c>
      <c r="O1944" t="inlineStr">
        <is>
          <t>eng</t>
        </is>
      </c>
      <c r="P1944" t="inlineStr">
        <is>
          <t xml:space="preserve">pk </t>
        </is>
      </c>
      <c r="R1944" t="inlineStr">
        <is>
          <t xml:space="preserve">HQ </t>
        </is>
      </c>
      <c r="S1944" t="n">
        <v>11</v>
      </c>
      <c r="T1944" t="n">
        <v>11</v>
      </c>
      <c r="U1944" t="inlineStr">
        <is>
          <t>1997-01-28</t>
        </is>
      </c>
      <c r="V1944" t="inlineStr">
        <is>
          <t>1997-01-28</t>
        </is>
      </c>
      <c r="W1944" t="inlineStr">
        <is>
          <t>1990-05-03</t>
        </is>
      </c>
      <c r="X1944" t="inlineStr">
        <is>
          <t>1990-05-03</t>
        </is>
      </c>
      <c r="Y1944" t="n">
        <v>37</v>
      </c>
      <c r="Z1944" t="n">
        <v>28</v>
      </c>
      <c r="AA1944" t="n">
        <v>36</v>
      </c>
      <c r="AB1944" t="n">
        <v>1</v>
      </c>
      <c r="AC1944" t="n">
        <v>1</v>
      </c>
      <c r="AD1944" t="n">
        <v>1</v>
      </c>
      <c r="AE1944" t="n">
        <v>1</v>
      </c>
      <c r="AF1944" t="n">
        <v>0</v>
      </c>
      <c r="AG1944" t="n">
        <v>0</v>
      </c>
      <c r="AH1944" t="n">
        <v>1</v>
      </c>
      <c r="AI1944" t="n">
        <v>1</v>
      </c>
      <c r="AJ1944" t="n">
        <v>1</v>
      </c>
      <c r="AK1944" t="n">
        <v>1</v>
      </c>
      <c r="AL1944" t="n">
        <v>0</v>
      </c>
      <c r="AM1944" t="n">
        <v>0</v>
      </c>
      <c r="AN1944" t="n">
        <v>0</v>
      </c>
      <c r="AO1944" t="n">
        <v>0</v>
      </c>
      <c r="AP1944" t="inlineStr">
        <is>
          <t>No</t>
        </is>
      </c>
      <c r="AQ1944" t="inlineStr">
        <is>
          <t>Yes</t>
        </is>
      </c>
      <c r="AR1944">
        <f>HYPERLINK("http://catalog.hathitrust.org/Record/101868505","HathiTrust Record")</f>
        <v/>
      </c>
      <c r="AS1944">
        <f>HYPERLINK("https://creighton-primo.hosted.exlibrisgroup.com/primo-explore/search?tab=default_tab&amp;search_scope=EVERYTHING&amp;vid=01CRU&amp;lang=en_US&amp;offset=0&amp;query=any,contains,991005198709702656","Catalog Record")</f>
        <v/>
      </c>
      <c r="AT1944">
        <f>HYPERLINK("http://www.worldcat.org/oclc/8053018","WorldCat Record")</f>
        <v/>
      </c>
      <c r="AU1944" t="inlineStr">
        <is>
          <t>54472189:eng</t>
        </is>
      </c>
      <c r="AV1944" t="inlineStr">
        <is>
          <t>8053018</t>
        </is>
      </c>
      <c r="AW1944" t="inlineStr">
        <is>
          <t>991005198709702656</t>
        </is>
      </c>
      <c r="AX1944" t="inlineStr">
        <is>
          <t>991005198709702656</t>
        </is>
      </c>
      <c r="AY1944" t="inlineStr">
        <is>
          <t>2258759900002656</t>
        </is>
      </c>
      <c r="AZ1944" t="inlineStr">
        <is>
          <t>BOOK</t>
        </is>
      </c>
      <c r="BC1944" t="inlineStr">
        <is>
          <t>32285000147990</t>
        </is>
      </c>
      <c r="BD1944" t="inlineStr">
        <is>
          <t>893713615</t>
        </is>
      </c>
    </row>
    <row r="1945">
      <c r="A1945" t="inlineStr">
        <is>
          <t>No</t>
        </is>
      </c>
      <c r="B1945" t="inlineStr">
        <is>
          <t>HQ755.85 .P355 1985</t>
        </is>
      </c>
      <c r="C1945" t="inlineStr">
        <is>
          <t>0                      HQ 0755850P  355         1985</t>
        </is>
      </c>
      <c r="D1945" t="inlineStr">
        <is>
          <t>Parents, children, and change / edited by L. Eugene Arnold.</t>
        </is>
      </c>
      <c r="F1945" t="inlineStr">
        <is>
          <t>No</t>
        </is>
      </c>
      <c r="G1945" t="inlineStr">
        <is>
          <t>1</t>
        </is>
      </c>
      <c r="H1945" t="inlineStr">
        <is>
          <t>No</t>
        </is>
      </c>
      <c r="I1945" t="inlineStr">
        <is>
          <t>No</t>
        </is>
      </c>
      <c r="J1945" t="inlineStr">
        <is>
          <t>0</t>
        </is>
      </c>
      <c r="L1945" t="inlineStr">
        <is>
          <t>Lexington, Mass. : Lexington Books, c1985.</t>
        </is>
      </c>
      <c r="M1945" t="inlineStr">
        <is>
          <t>1985</t>
        </is>
      </c>
      <c r="O1945" t="inlineStr">
        <is>
          <t>eng</t>
        </is>
      </c>
      <c r="P1945" t="inlineStr">
        <is>
          <t>mau</t>
        </is>
      </c>
      <c r="R1945" t="inlineStr">
        <is>
          <t xml:space="preserve">HQ </t>
        </is>
      </c>
      <c r="S1945" t="n">
        <v>4</v>
      </c>
      <c r="T1945" t="n">
        <v>4</v>
      </c>
      <c r="U1945" t="inlineStr">
        <is>
          <t>1995-03-14</t>
        </is>
      </c>
      <c r="V1945" t="inlineStr">
        <is>
          <t>1995-03-14</t>
        </is>
      </c>
      <c r="W1945" t="inlineStr">
        <is>
          <t>1992-11-04</t>
        </is>
      </c>
      <c r="X1945" t="inlineStr">
        <is>
          <t>1992-11-04</t>
        </is>
      </c>
      <c r="Y1945" t="n">
        <v>410</v>
      </c>
      <c r="Z1945" t="n">
        <v>342</v>
      </c>
      <c r="AA1945" t="n">
        <v>343</v>
      </c>
      <c r="AB1945" t="n">
        <v>5</v>
      </c>
      <c r="AC1945" t="n">
        <v>5</v>
      </c>
      <c r="AD1945" t="n">
        <v>15</v>
      </c>
      <c r="AE1945" t="n">
        <v>15</v>
      </c>
      <c r="AF1945" t="n">
        <v>4</v>
      </c>
      <c r="AG1945" t="n">
        <v>4</v>
      </c>
      <c r="AH1945" t="n">
        <v>6</v>
      </c>
      <c r="AI1945" t="n">
        <v>6</v>
      </c>
      <c r="AJ1945" t="n">
        <v>6</v>
      </c>
      <c r="AK1945" t="n">
        <v>6</v>
      </c>
      <c r="AL1945" t="n">
        <v>4</v>
      </c>
      <c r="AM1945" t="n">
        <v>4</v>
      </c>
      <c r="AN1945" t="n">
        <v>0</v>
      </c>
      <c r="AO1945" t="n">
        <v>0</v>
      </c>
      <c r="AP1945" t="inlineStr">
        <is>
          <t>No</t>
        </is>
      </c>
      <c r="AQ1945" t="inlineStr">
        <is>
          <t>No</t>
        </is>
      </c>
      <c r="AS1945">
        <f>HYPERLINK("https://creighton-primo.hosted.exlibrisgroup.com/primo-explore/search?tab=default_tab&amp;search_scope=EVERYTHING&amp;vid=01CRU&amp;lang=en_US&amp;offset=0&amp;query=any,contains,991000520139702656","Catalog Record")</f>
        <v/>
      </c>
      <c r="AT1945">
        <f>HYPERLINK("http://www.worldcat.org/oclc/11318131","WorldCat Record")</f>
        <v/>
      </c>
      <c r="AU1945" t="inlineStr">
        <is>
          <t>3910535:eng</t>
        </is>
      </c>
      <c r="AV1945" t="inlineStr">
        <is>
          <t>11318131</t>
        </is>
      </c>
      <c r="AW1945" t="inlineStr">
        <is>
          <t>991000520139702656</t>
        </is>
      </c>
      <c r="AX1945" t="inlineStr">
        <is>
          <t>991000520139702656</t>
        </is>
      </c>
      <c r="AY1945" t="inlineStr">
        <is>
          <t>2255991530002656</t>
        </is>
      </c>
      <c r="AZ1945" t="inlineStr">
        <is>
          <t>BOOK</t>
        </is>
      </c>
      <c r="BB1945" t="inlineStr">
        <is>
          <t>9780669098228</t>
        </is>
      </c>
      <c r="BC1945" t="inlineStr">
        <is>
          <t>32285001359685</t>
        </is>
      </c>
      <c r="BD1945" t="inlineStr">
        <is>
          <t>893345738</t>
        </is>
      </c>
    </row>
    <row r="1946">
      <c r="A1946" t="inlineStr">
        <is>
          <t>No</t>
        </is>
      </c>
      <c r="B1946" t="inlineStr">
        <is>
          <t>HQ755.85 .P37</t>
        </is>
      </c>
      <c r="C1946" t="inlineStr">
        <is>
          <t>0                      HQ 0755850P  37</t>
        </is>
      </c>
      <c r="D1946" t="inlineStr">
        <is>
          <t>Parent-child interaction : theory, research, and prospects / edited by Ronald W. Henderson.</t>
        </is>
      </c>
      <c r="F1946" t="inlineStr">
        <is>
          <t>No</t>
        </is>
      </c>
      <c r="G1946" t="inlineStr">
        <is>
          <t>1</t>
        </is>
      </c>
      <c r="H1946" t="inlineStr">
        <is>
          <t>No</t>
        </is>
      </c>
      <c r="I1946" t="inlineStr">
        <is>
          <t>No</t>
        </is>
      </c>
      <c r="J1946" t="inlineStr">
        <is>
          <t>0</t>
        </is>
      </c>
      <c r="L1946" t="inlineStr">
        <is>
          <t>New York : Academic Press, 1981.</t>
        </is>
      </c>
      <c r="M1946" t="inlineStr">
        <is>
          <t>1981</t>
        </is>
      </c>
      <c r="O1946" t="inlineStr">
        <is>
          <t>eng</t>
        </is>
      </c>
      <c r="P1946" t="inlineStr">
        <is>
          <t>nyu</t>
        </is>
      </c>
      <c r="Q1946" t="inlineStr">
        <is>
          <t>Educational psychology</t>
        </is>
      </c>
      <c r="R1946" t="inlineStr">
        <is>
          <t xml:space="preserve">HQ </t>
        </is>
      </c>
      <c r="S1946" t="n">
        <v>16</v>
      </c>
      <c r="T1946" t="n">
        <v>16</v>
      </c>
      <c r="U1946" t="inlineStr">
        <is>
          <t>2009-04-23</t>
        </is>
      </c>
      <c r="V1946" t="inlineStr">
        <is>
          <t>2009-04-23</t>
        </is>
      </c>
      <c r="W1946" t="inlineStr">
        <is>
          <t>1990-03-28</t>
        </is>
      </c>
      <c r="X1946" t="inlineStr">
        <is>
          <t>1990-03-28</t>
        </is>
      </c>
      <c r="Y1946" t="n">
        <v>557</v>
      </c>
      <c r="Z1946" t="n">
        <v>383</v>
      </c>
      <c r="AA1946" t="n">
        <v>415</v>
      </c>
      <c r="AB1946" t="n">
        <v>3</v>
      </c>
      <c r="AC1946" t="n">
        <v>3</v>
      </c>
      <c r="AD1946" t="n">
        <v>15</v>
      </c>
      <c r="AE1946" t="n">
        <v>17</v>
      </c>
      <c r="AF1946" t="n">
        <v>5</v>
      </c>
      <c r="AG1946" t="n">
        <v>6</v>
      </c>
      <c r="AH1946" t="n">
        <v>3</v>
      </c>
      <c r="AI1946" t="n">
        <v>5</v>
      </c>
      <c r="AJ1946" t="n">
        <v>9</v>
      </c>
      <c r="AK1946" t="n">
        <v>9</v>
      </c>
      <c r="AL1946" t="n">
        <v>2</v>
      </c>
      <c r="AM1946" t="n">
        <v>2</v>
      </c>
      <c r="AN1946" t="n">
        <v>0</v>
      </c>
      <c r="AO1946" t="n">
        <v>0</v>
      </c>
      <c r="AP1946" t="inlineStr">
        <is>
          <t>No</t>
        </is>
      </c>
      <c r="AQ1946" t="inlineStr">
        <is>
          <t>Yes</t>
        </is>
      </c>
      <c r="AR1946">
        <f>HYPERLINK("http://catalog.hathitrust.org/Record/000099006","HathiTrust Record")</f>
        <v/>
      </c>
      <c r="AS1946">
        <f>HYPERLINK("https://creighton-primo.hosted.exlibrisgroup.com/primo-explore/search?tab=default_tab&amp;search_scope=EVERYTHING&amp;vid=01CRU&amp;lang=en_US&amp;offset=0&amp;query=any,contains,991005121799702656","Catalog Record")</f>
        <v/>
      </c>
      <c r="AT1946">
        <f>HYPERLINK("http://www.worldcat.org/oclc/7528087","WorldCat Record")</f>
        <v/>
      </c>
      <c r="AU1946" t="inlineStr">
        <is>
          <t>889781420:eng</t>
        </is>
      </c>
      <c r="AV1946" t="inlineStr">
        <is>
          <t>7528087</t>
        </is>
      </c>
      <c r="AW1946" t="inlineStr">
        <is>
          <t>991005121799702656</t>
        </is>
      </c>
      <c r="AX1946" t="inlineStr">
        <is>
          <t>991005121799702656</t>
        </is>
      </c>
      <c r="AY1946" t="inlineStr">
        <is>
          <t>2263228130002656</t>
        </is>
      </c>
      <c r="AZ1946" t="inlineStr">
        <is>
          <t>BOOK</t>
        </is>
      </c>
      <c r="BB1946" t="inlineStr">
        <is>
          <t>9780123406200</t>
        </is>
      </c>
      <c r="BC1946" t="inlineStr">
        <is>
          <t>32285000099985</t>
        </is>
      </c>
      <c r="BD1946" t="inlineStr">
        <is>
          <t>893248405</t>
        </is>
      </c>
    </row>
    <row r="1947">
      <c r="A1947" t="inlineStr">
        <is>
          <t>No</t>
        </is>
      </c>
      <c r="B1947" t="inlineStr">
        <is>
          <t>HQ755.85 .R67 1990</t>
        </is>
      </c>
      <c r="C1947" t="inlineStr">
        <is>
          <t>0                      HQ 0755850R  67          1990</t>
        </is>
      </c>
      <c r="D1947" t="inlineStr">
        <is>
          <t>Of human bonding : parent-child relations across the life course / Alice S. Rossi and Peter H. Rossi.</t>
        </is>
      </c>
      <c r="F1947" t="inlineStr">
        <is>
          <t>No</t>
        </is>
      </c>
      <c r="G1947" t="inlineStr">
        <is>
          <t>1</t>
        </is>
      </c>
      <c r="H1947" t="inlineStr">
        <is>
          <t>Yes</t>
        </is>
      </c>
      <c r="I1947" t="inlineStr">
        <is>
          <t>No</t>
        </is>
      </c>
      <c r="J1947" t="inlineStr">
        <is>
          <t>0</t>
        </is>
      </c>
      <c r="K1947" t="inlineStr">
        <is>
          <t>Rossi, Alice S., 1922-2009.</t>
        </is>
      </c>
      <c r="L1947" t="inlineStr">
        <is>
          <t>New York : A. de Gruyter, c1990.</t>
        </is>
      </c>
      <c r="M1947" t="inlineStr">
        <is>
          <t>1990</t>
        </is>
      </c>
      <c r="O1947" t="inlineStr">
        <is>
          <t>eng</t>
        </is>
      </c>
      <c r="P1947" t="inlineStr">
        <is>
          <t>nyu</t>
        </is>
      </c>
      <c r="Q1947" t="inlineStr">
        <is>
          <t>Social institutions and social change</t>
        </is>
      </c>
      <c r="R1947" t="inlineStr">
        <is>
          <t xml:space="preserve">HQ </t>
        </is>
      </c>
      <c r="S1947" t="n">
        <v>13</v>
      </c>
      <c r="T1947" t="n">
        <v>13</v>
      </c>
      <c r="U1947" t="inlineStr">
        <is>
          <t>2009-02-24</t>
        </is>
      </c>
      <c r="V1947" t="inlineStr">
        <is>
          <t>2009-02-24</t>
        </is>
      </c>
      <c r="W1947" t="inlineStr">
        <is>
          <t>1990-12-17</t>
        </is>
      </c>
      <c r="X1947" t="inlineStr">
        <is>
          <t>1995-07-31</t>
        </is>
      </c>
      <c r="Y1947" t="n">
        <v>767</v>
      </c>
      <c r="Z1947" t="n">
        <v>619</v>
      </c>
      <c r="AA1947" t="n">
        <v>633</v>
      </c>
      <c r="AB1947" t="n">
        <v>8</v>
      </c>
      <c r="AC1947" t="n">
        <v>8</v>
      </c>
      <c r="AD1947" t="n">
        <v>40</v>
      </c>
      <c r="AE1947" t="n">
        <v>40</v>
      </c>
      <c r="AF1947" t="n">
        <v>17</v>
      </c>
      <c r="AG1947" t="n">
        <v>17</v>
      </c>
      <c r="AH1947" t="n">
        <v>7</v>
      </c>
      <c r="AI1947" t="n">
        <v>7</v>
      </c>
      <c r="AJ1947" t="n">
        <v>20</v>
      </c>
      <c r="AK1947" t="n">
        <v>20</v>
      </c>
      <c r="AL1947" t="n">
        <v>6</v>
      </c>
      <c r="AM1947" t="n">
        <v>6</v>
      </c>
      <c r="AN1947" t="n">
        <v>0</v>
      </c>
      <c r="AO1947" t="n">
        <v>0</v>
      </c>
      <c r="AP1947" t="inlineStr">
        <is>
          <t>No</t>
        </is>
      </c>
      <c r="AQ1947" t="inlineStr">
        <is>
          <t>No</t>
        </is>
      </c>
      <c r="AS1947">
        <f>HYPERLINK("https://creighton-primo.hosted.exlibrisgroup.com/primo-explore/search?tab=default_tab&amp;search_scope=EVERYTHING&amp;vid=01CRU&amp;lang=en_US&amp;offset=0&amp;query=any,contains,991001643899702656","Catalog Record")</f>
        <v/>
      </c>
      <c r="AT1947">
        <f>HYPERLINK("http://www.worldcat.org/oclc/20852735","WorldCat Record")</f>
        <v/>
      </c>
      <c r="AU1947" t="inlineStr">
        <is>
          <t>890255494:eng</t>
        </is>
      </c>
      <c r="AV1947" t="inlineStr">
        <is>
          <t>20852735</t>
        </is>
      </c>
      <c r="AW1947" t="inlineStr">
        <is>
          <t>991001643899702656</t>
        </is>
      </c>
      <c r="AX1947" t="inlineStr">
        <is>
          <t>991001643899702656</t>
        </is>
      </c>
      <c r="AY1947" t="inlineStr">
        <is>
          <t>2264964190002656</t>
        </is>
      </c>
      <c r="AZ1947" t="inlineStr">
        <is>
          <t>BOOK</t>
        </is>
      </c>
      <c r="BB1947" t="inlineStr">
        <is>
          <t>9780202303604</t>
        </is>
      </c>
      <c r="BC1947" t="inlineStr">
        <is>
          <t>32285000359538</t>
        </is>
      </c>
      <c r="BD1947" t="inlineStr">
        <is>
          <t>893497245</t>
        </is>
      </c>
    </row>
    <row r="1948">
      <c r="A1948" t="inlineStr">
        <is>
          <t>No</t>
        </is>
      </c>
      <c r="B1948" t="inlineStr">
        <is>
          <t>HQ755.85 .S34 1995</t>
        </is>
      </c>
      <c r="C1948" t="inlineStr">
        <is>
          <t>0                      HQ 0755850S  34          1995</t>
        </is>
      </c>
      <c r="D1948" t="inlineStr">
        <is>
          <t>The search for lost fathering : rebuilding your father relationship / James L. Schaller.</t>
        </is>
      </c>
      <c r="F1948" t="inlineStr">
        <is>
          <t>No</t>
        </is>
      </c>
      <c r="G1948" t="inlineStr">
        <is>
          <t>1</t>
        </is>
      </c>
      <c r="H1948" t="inlineStr">
        <is>
          <t>No</t>
        </is>
      </c>
      <c r="I1948" t="inlineStr">
        <is>
          <t>No</t>
        </is>
      </c>
      <c r="J1948" t="inlineStr">
        <is>
          <t>0</t>
        </is>
      </c>
      <c r="K1948" t="inlineStr">
        <is>
          <t>Schaller, James L.</t>
        </is>
      </c>
      <c r="L1948" t="inlineStr">
        <is>
          <t>Grand Rapids, Mich. : Fleming H. Revell, c1995.</t>
        </is>
      </c>
      <c r="M1948" t="inlineStr">
        <is>
          <t>1995</t>
        </is>
      </c>
      <c r="O1948" t="inlineStr">
        <is>
          <t>eng</t>
        </is>
      </c>
      <c r="P1948" t="inlineStr">
        <is>
          <t>miu</t>
        </is>
      </c>
      <c r="R1948" t="inlineStr">
        <is>
          <t xml:space="preserve">HQ </t>
        </is>
      </c>
      <c r="S1948" t="n">
        <v>3</v>
      </c>
      <c r="T1948" t="n">
        <v>3</v>
      </c>
      <c r="U1948" t="inlineStr">
        <is>
          <t>2007-10-11</t>
        </is>
      </c>
      <c r="V1948" t="inlineStr">
        <is>
          <t>2007-10-11</t>
        </is>
      </c>
      <c r="W1948" t="inlineStr">
        <is>
          <t>2002-08-13</t>
        </is>
      </c>
      <c r="X1948" t="inlineStr">
        <is>
          <t>2002-08-13</t>
        </is>
      </c>
      <c r="Y1948" t="n">
        <v>45</v>
      </c>
      <c r="Z1948" t="n">
        <v>42</v>
      </c>
      <c r="AA1948" t="n">
        <v>43</v>
      </c>
      <c r="AB1948" t="n">
        <v>1</v>
      </c>
      <c r="AC1948" t="n">
        <v>1</v>
      </c>
      <c r="AD1948" t="n">
        <v>0</v>
      </c>
      <c r="AE1948" t="n">
        <v>0</v>
      </c>
      <c r="AF1948" t="n">
        <v>0</v>
      </c>
      <c r="AG1948" t="n">
        <v>0</v>
      </c>
      <c r="AH1948" t="n">
        <v>0</v>
      </c>
      <c r="AI1948" t="n">
        <v>0</v>
      </c>
      <c r="AJ1948" t="n">
        <v>0</v>
      </c>
      <c r="AK1948" t="n">
        <v>0</v>
      </c>
      <c r="AL1948" t="n">
        <v>0</v>
      </c>
      <c r="AM1948" t="n">
        <v>0</v>
      </c>
      <c r="AN1948" t="n">
        <v>0</v>
      </c>
      <c r="AO1948" t="n">
        <v>0</v>
      </c>
      <c r="AP1948" t="inlineStr">
        <is>
          <t>No</t>
        </is>
      </c>
      <c r="AQ1948" t="inlineStr">
        <is>
          <t>No</t>
        </is>
      </c>
      <c r="AS1948">
        <f>HYPERLINK("https://creighton-primo.hosted.exlibrisgroup.com/primo-explore/search?tab=default_tab&amp;search_scope=EVERYTHING&amp;vid=01CRU&amp;lang=en_US&amp;offset=0&amp;query=any,contains,991003855699702656","Catalog Record")</f>
        <v/>
      </c>
      <c r="AT1948">
        <f>HYPERLINK("http://www.worldcat.org/oclc/31167459","WorldCat Record")</f>
        <v/>
      </c>
      <c r="AU1948" t="inlineStr">
        <is>
          <t>10174257667:eng</t>
        </is>
      </c>
      <c r="AV1948" t="inlineStr">
        <is>
          <t>31167459</t>
        </is>
      </c>
      <c r="AW1948" t="inlineStr">
        <is>
          <t>991003855699702656</t>
        </is>
      </c>
      <c r="AX1948" t="inlineStr">
        <is>
          <t>991003855699702656</t>
        </is>
      </c>
      <c r="AY1948" t="inlineStr">
        <is>
          <t>2272101560002656</t>
        </is>
      </c>
      <c r="AZ1948" t="inlineStr">
        <is>
          <t>BOOK</t>
        </is>
      </c>
      <c r="BB1948" t="inlineStr">
        <is>
          <t>9780800755522</t>
        </is>
      </c>
      <c r="BC1948" t="inlineStr">
        <is>
          <t>32285004642400</t>
        </is>
      </c>
      <c r="BD1948" t="inlineStr">
        <is>
          <t>893531680</t>
        </is>
      </c>
    </row>
    <row r="1949">
      <c r="A1949" t="inlineStr">
        <is>
          <t>No</t>
        </is>
      </c>
      <c r="B1949" t="inlineStr">
        <is>
          <t>HQ755.85 .S432 1992</t>
        </is>
      </c>
      <c r="C1949" t="inlineStr">
        <is>
          <t>0                      HQ 0755850S  432         1992</t>
        </is>
      </c>
      <c r="D1949" t="inlineStr">
        <is>
          <t>Women and their fathers : the sexual and romantic impact of the first man in your life / Victoria Secunda.</t>
        </is>
      </c>
      <c r="F1949" t="inlineStr">
        <is>
          <t>No</t>
        </is>
      </c>
      <c r="G1949" t="inlineStr">
        <is>
          <t>1</t>
        </is>
      </c>
      <c r="H1949" t="inlineStr">
        <is>
          <t>No</t>
        </is>
      </c>
      <c r="I1949" t="inlineStr">
        <is>
          <t>No</t>
        </is>
      </c>
      <c r="J1949" t="inlineStr">
        <is>
          <t>0</t>
        </is>
      </c>
      <c r="K1949" t="inlineStr">
        <is>
          <t>Secunda, Victoria.</t>
        </is>
      </c>
      <c r="L1949" t="inlineStr">
        <is>
          <t>New York, N.Y. : Delacorte Press, 1992.</t>
        </is>
      </c>
      <c r="M1949" t="inlineStr">
        <is>
          <t>1992</t>
        </is>
      </c>
      <c r="O1949" t="inlineStr">
        <is>
          <t>eng</t>
        </is>
      </c>
      <c r="P1949" t="inlineStr">
        <is>
          <t>nyu</t>
        </is>
      </c>
      <c r="R1949" t="inlineStr">
        <is>
          <t xml:space="preserve">HQ </t>
        </is>
      </c>
      <c r="S1949" t="n">
        <v>8</v>
      </c>
      <c r="T1949" t="n">
        <v>8</v>
      </c>
      <c r="U1949" t="inlineStr">
        <is>
          <t>2006-02-24</t>
        </is>
      </c>
      <c r="V1949" t="inlineStr">
        <is>
          <t>2006-02-24</t>
        </is>
      </c>
      <c r="W1949" t="inlineStr">
        <is>
          <t>1992-08-12</t>
        </is>
      </c>
      <c r="X1949" t="inlineStr">
        <is>
          <t>1992-08-12</t>
        </is>
      </c>
      <c r="Y1949" t="n">
        <v>709</v>
      </c>
      <c r="Z1949" t="n">
        <v>666</v>
      </c>
      <c r="AA1949" t="n">
        <v>758</v>
      </c>
      <c r="AB1949" t="n">
        <v>5</v>
      </c>
      <c r="AC1949" t="n">
        <v>5</v>
      </c>
      <c r="AD1949" t="n">
        <v>11</v>
      </c>
      <c r="AE1949" t="n">
        <v>14</v>
      </c>
      <c r="AF1949" t="n">
        <v>3</v>
      </c>
      <c r="AG1949" t="n">
        <v>4</v>
      </c>
      <c r="AH1949" t="n">
        <v>1</v>
      </c>
      <c r="AI1949" t="n">
        <v>2</v>
      </c>
      <c r="AJ1949" t="n">
        <v>4</v>
      </c>
      <c r="AK1949" t="n">
        <v>5</v>
      </c>
      <c r="AL1949" t="n">
        <v>3</v>
      </c>
      <c r="AM1949" t="n">
        <v>3</v>
      </c>
      <c r="AN1949" t="n">
        <v>0</v>
      </c>
      <c r="AO1949" t="n">
        <v>0</v>
      </c>
      <c r="AP1949" t="inlineStr">
        <is>
          <t>No</t>
        </is>
      </c>
      <c r="AQ1949" t="inlineStr">
        <is>
          <t>Yes</t>
        </is>
      </c>
      <c r="AR1949">
        <f>HYPERLINK("http://catalog.hathitrust.org/Record/101939122","HathiTrust Record")</f>
        <v/>
      </c>
      <c r="AS1949">
        <f>HYPERLINK("https://creighton-primo.hosted.exlibrisgroup.com/primo-explore/search?tab=default_tab&amp;search_scope=EVERYTHING&amp;vid=01CRU&amp;lang=en_US&amp;offset=0&amp;query=any,contains,991001970749702656","Catalog Record")</f>
        <v/>
      </c>
      <c r="AT1949">
        <f>HYPERLINK("http://www.worldcat.org/oclc/25008684","WorldCat Record")</f>
        <v/>
      </c>
      <c r="AU1949" t="inlineStr">
        <is>
          <t>334691:eng</t>
        </is>
      </c>
      <c r="AV1949" t="inlineStr">
        <is>
          <t>25008684</t>
        </is>
      </c>
      <c r="AW1949" t="inlineStr">
        <is>
          <t>991001970749702656</t>
        </is>
      </c>
      <c r="AX1949" t="inlineStr">
        <is>
          <t>991001970749702656</t>
        </is>
      </c>
      <c r="AY1949" t="inlineStr">
        <is>
          <t>2269059970002656</t>
        </is>
      </c>
      <c r="AZ1949" t="inlineStr">
        <is>
          <t>BOOK</t>
        </is>
      </c>
      <c r="BB1949" t="inlineStr">
        <is>
          <t>9780385302685</t>
        </is>
      </c>
      <c r="BC1949" t="inlineStr">
        <is>
          <t>32285001197416</t>
        </is>
      </c>
      <c r="BD1949" t="inlineStr">
        <is>
          <t>893414673</t>
        </is>
      </c>
    </row>
    <row r="1950">
      <c r="A1950" t="inlineStr">
        <is>
          <t>No</t>
        </is>
      </c>
      <c r="B1950" t="inlineStr">
        <is>
          <t>HQ755.86 .L64 1996</t>
        </is>
      </c>
      <c r="C1950" t="inlineStr">
        <is>
          <t>0                      HQ 0755860L  64          1996</t>
        </is>
      </c>
      <c r="D1950" t="inlineStr">
        <is>
          <t>Family ties : enduring relations between parents and their grown children / John R. Logan, Glenna D. Spitze.</t>
        </is>
      </c>
      <c r="F1950" t="inlineStr">
        <is>
          <t>No</t>
        </is>
      </c>
      <c r="G1950" t="inlineStr">
        <is>
          <t>1</t>
        </is>
      </c>
      <c r="H1950" t="inlineStr">
        <is>
          <t>No</t>
        </is>
      </c>
      <c r="I1950" t="inlineStr">
        <is>
          <t>No</t>
        </is>
      </c>
      <c r="J1950" t="inlineStr">
        <is>
          <t>0</t>
        </is>
      </c>
      <c r="K1950" t="inlineStr">
        <is>
          <t>Logan, John R., 1946-</t>
        </is>
      </c>
      <c r="L1950" t="inlineStr">
        <is>
          <t>Philadelphia : Temple University Press, 1996.</t>
        </is>
      </c>
      <c r="M1950" t="inlineStr">
        <is>
          <t>1996</t>
        </is>
      </c>
      <c r="O1950" t="inlineStr">
        <is>
          <t>eng</t>
        </is>
      </c>
      <c r="P1950" t="inlineStr">
        <is>
          <t>pau</t>
        </is>
      </c>
      <c r="R1950" t="inlineStr">
        <is>
          <t xml:space="preserve">HQ </t>
        </is>
      </c>
      <c r="S1950" t="n">
        <v>3</v>
      </c>
      <c r="T1950" t="n">
        <v>3</v>
      </c>
      <c r="U1950" t="inlineStr">
        <is>
          <t>2000-02-08</t>
        </is>
      </c>
      <c r="V1950" t="inlineStr">
        <is>
          <t>2000-02-08</t>
        </is>
      </c>
      <c r="W1950" t="inlineStr">
        <is>
          <t>1997-09-15</t>
        </is>
      </c>
      <c r="X1950" t="inlineStr">
        <is>
          <t>1997-09-15</t>
        </is>
      </c>
      <c r="Y1950" t="n">
        <v>455</v>
      </c>
      <c r="Z1950" t="n">
        <v>402</v>
      </c>
      <c r="AA1950" t="n">
        <v>611</v>
      </c>
      <c r="AB1950" t="n">
        <v>3</v>
      </c>
      <c r="AC1950" t="n">
        <v>4</v>
      </c>
      <c r="AD1950" t="n">
        <v>22</v>
      </c>
      <c r="AE1950" t="n">
        <v>32</v>
      </c>
      <c r="AF1950" t="n">
        <v>10</v>
      </c>
      <c r="AG1950" t="n">
        <v>15</v>
      </c>
      <c r="AH1950" t="n">
        <v>4</v>
      </c>
      <c r="AI1950" t="n">
        <v>7</v>
      </c>
      <c r="AJ1950" t="n">
        <v>12</v>
      </c>
      <c r="AK1950" t="n">
        <v>16</v>
      </c>
      <c r="AL1950" t="n">
        <v>2</v>
      </c>
      <c r="AM1950" t="n">
        <v>3</v>
      </c>
      <c r="AN1950" t="n">
        <v>0</v>
      </c>
      <c r="AO1950" t="n">
        <v>0</v>
      </c>
      <c r="AP1950" t="inlineStr">
        <is>
          <t>No</t>
        </is>
      </c>
      <c r="AQ1950" t="inlineStr">
        <is>
          <t>No</t>
        </is>
      </c>
      <c r="AS1950">
        <f>HYPERLINK("https://creighton-primo.hosted.exlibrisgroup.com/primo-explore/search?tab=default_tab&amp;search_scope=EVERYTHING&amp;vid=01CRU&amp;lang=en_US&amp;offset=0&amp;query=any,contains,991002628149702656","Catalog Record")</f>
        <v/>
      </c>
      <c r="AT1950">
        <f>HYPERLINK("http://www.worldcat.org/oclc/34471658","WorldCat Record")</f>
        <v/>
      </c>
      <c r="AU1950" t="inlineStr">
        <is>
          <t>39738073:eng</t>
        </is>
      </c>
      <c r="AV1950" t="inlineStr">
        <is>
          <t>34471658</t>
        </is>
      </c>
      <c r="AW1950" t="inlineStr">
        <is>
          <t>991002628149702656</t>
        </is>
      </c>
      <c r="AX1950" t="inlineStr">
        <is>
          <t>991002628149702656</t>
        </is>
      </c>
      <c r="AY1950" t="inlineStr">
        <is>
          <t>2264486260002656</t>
        </is>
      </c>
      <c r="AZ1950" t="inlineStr">
        <is>
          <t>BOOK</t>
        </is>
      </c>
      <c r="BB1950" t="inlineStr">
        <is>
          <t>9781566394710</t>
        </is>
      </c>
      <c r="BC1950" t="inlineStr">
        <is>
          <t>32285003175964</t>
        </is>
      </c>
      <c r="BD1950" t="inlineStr">
        <is>
          <t>893698031</t>
        </is>
      </c>
    </row>
    <row r="1951">
      <c r="A1951" t="inlineStr">
        <is>
          <t>No</t>
        </is>
      </c>
      <c r="B1951" t="inlineStr">
        <is>
          <t>HQ755.86 .M57 2006</t>
        </is>
      </c>
      <c r="C1951" t="inlineStr">
        <is>
          <t>0                      HQ 0755860M  57          2006</t>
        </is>
      </c>
      <c r="D1951" t="inlineStr">
        <is>
          <t>The boomerang age : transitions to adulthood in families / Barbara A. Mitchell.</t>
        </is>
      </c>
      <c r="F1951" t="inlineStr">
        <is>
          <t>No</t>
        </is>
      </c>
      <c r="G1951" t="inlineStr">
        <is>
          <t>1</t>
        </is>
      </c>
      <c r="H1951" t="inlineStr">
        <is>
          <t>No</t>
        </is>
      </c>
      <c r="I1951" t="inlineStr">
        <is>
          <t>No</t>
        </is>
      </c>
      <c r="J1951" t="inlineStr">
        <is>
          <t>0</t>
        </is>
      </c>
      <c r="K1951" t="inlineStr">
        <is>
          <t>Mitchell, Barbara A. (Barbara Ann), 1961-</t>
        </is>
      </c>
      <c r="L1951" t="inlineStr">
        <is>
          <t>New Brunswick, N.J. : Aldine Transaction, c2006.</t>
        </is>
      </c>
      <c r="M1951" t="inlineStr">
        <is>
          <t>2006</t>
        </is>
      </c>
      <c r="O1951" t="inlineStr">
        <is>
          <t>eng</t>
        </is>
      </c>
      <c r="P1951" t="inlineStr">
        <is>
          <t>nju</t>
        </is>
      </c>
      <c r="R1951" t="inlineStr">
        <is>
          <t xml:space="preserve">HQ </t>
        </is>
      </c>
      <c r="S1951" t="n">
        <v>2</v>
      </c>
      <c r="T1951" t="n">
        <v>2</v>
      </c>
      <c r="U1951" t="inlineStr">
        <is>
          <t>2006-10-06</t>
        </is>
      </c>
      <c r="V1951" t="inlineStr">
        <is>
          <t>2006-10-06</t>
        </is>
      </c>
      <c r="W1951" t="inlineStr">
        <is>
          <t>2006-07-17</t>
        </is>
      </c>
      <c r="X1951" t="inlineStr">
        <is>
          <t>2006-07-17</t>
        </is>
      </c>
      <c r="Y1951" t="n">
        <v>697</v>
      </c>
      <c r="Z1951" t="n">
        <v>620</v>
      </c>
      <c r="AA1951" t="n">
        <v>693</v>
      </c>
      <c r="AB1951" t="n">
        <v>7</v>
      </c>
      <c r="AC1951" t="n">
        <v>8</v>
      </c>
      <c r="AD1951" t="n">
        <v>36</v>
      </c>
      <c r="AE1951" t="n">
        <v>39</v>
      </c>
      <c r="AF1951" t="n">
        <v>17</v>
      </c>
      <c r="AG1951" t="n">
        <v>18</v>
      </c>
      <c r="AH1951" t="n">
        <v>8</v>
      </c>
      <c r="AI1951" t="n">
        <v>8</v>
      </c>
      <c r="AJ1951" t="n">
        <v>13</v>
      </c>
      <c r="AK1951" t="n">
        <v>14</v>
      </c>
      <c r="AL1951" t="n">
        <v>6</v>
      </c>
      <c r="AM1951" t="n">
        <v>7</v>
      </c>
      <c r="AN1951" t="n">
        <v>0</v>
      </c>
      <c r="AO1951" t="n">
        <v>0</v>
      </c>
      <c r="AP1951" t="inlineStr">
        <is>
          <t>No</t>
        </is>
      </c>
      <c r="AQ1951" t="inlineStr">
        <is>
          <t>No</t>
        </is>
      </c>
      <c r="AS1951">
        <f>HYPERLINK("https://creighton-primo.hosted.exlibrisgroup.com/primo-explore/search?tab=default_tab&amp;search_scope=EVERYTHING&amp;vid=01CRU&amp;lang=en_US&amp;offset=0&amp;query=any,contains,991004838669702656","Catalog Record")</f>
        <v/>
      </c>
      <c r="AT1951">
        <f>HYPERLINK("http://www.worldcat.org/oclc/61296025","WorldCat Record")</f>
        <v/>
      </c>
      <c r="AU1951" t="inlineStr">
        <is>
          <t>306380766:eng</t>
        </is>
      </c>
      <c r="AV1951" t="inlineStr">
        <is>
          <t>61296025</t>
        </is>
      </c>
      <c r="AW1951" t="inlineStr">
        <is>
          <t>991004838669702656</t>
        </is>
      </c>
      <c r="AX1951" t="inlineStr">
        <is>
          <t>991004838669702656</t>
        </is>
      </c>
      <c r="AY1951" t="inlineStr">
        <is>
          <t>2268157230002656</t>
        </is>
      </c>
      <c r="AZ1951" t="inlineStr">
        <is>
          <t>BOOK</t>
        </is>
      </c>
      <c r="BB1951" t="inlineStr">
        <is>
          <t>9780202308388</t>
        </is>
      </c>
      <c r="BC1951" t="inlineStr">
        <is>
          <t>32285005193882</t>
        </is>
      </c>
      <c r="BD1951" t="inlineStr">
        <is>
          <t>893600294</t>
        </is>
      </c>
    </row>
    <row r="1952">
      <c r="A1952" t="inlineStr">
        <is>
          <t>No</t>
        </is>
      </c>
      <c r="B1952" t="inlineStr">
        <is>
          <t>HQ755.86 .R83 2000</t>
        </is>
      </c>
      <c r="C1952" t="inlineStr">
        <is>
          <t>0                      HQ 0755860R  83          2000</t>
        </is>
      </c>
      <c r="D1952" t="inlineStr">
        <is>
          <t>Tangled lives : daughters, mothers, and the crucible of aging / Lillian B. Rubin.</t>
        </is>
      </c>
      <c r="F1952" t="inlineStr">
        <is>
          <t>No</t>
        </is>
      </c>
      <c r="G1952" t="inlineStr">
        <is>
          <t>1</t>
        </is>
      </c>
      <c r="H1952" t="inlineStr">
        <is>
          <t>No</t>
        </is>
      </c>
      <c r="I1952" t="inlineStr">
        <is>
          <t>No</t>
        </is>
      </c>
      <c r="J1952" t="inlineStr">
        <is>
          <t>0</t>
        </is>
      </c>
      <c r="K1952" t="inlineStr">
        <is>
          <t>Rubin, Lillian B.</t>
        </is>
      </c>
      <c r="L1952" t="inlineStr">
        <is>
          <t>Boston : Beacon Press, c2000.</t>
        </is>
      </c>
      <c r="M1952" t="inlineStr">
        <is>
          <t>2000</t>
        </is>
      </c>
      <c r="O1952" t="inlineStr">
        <is>
          <t>eng</t>
        </is>
      </c>
      <c r="P1952" t="inlineStr">
        <is>
          <t>mau</t>
        </is>
      </c>
      <c r="R1952" t="inlineStr">
        <is>
          <t xml:space="preserve">HQ </t>
        </is>
      </c>
      <c r="S1952" t="n">
        <v>1</v>
      </c>
      <c r="T1952" t="n">
        <v>1</v>
      </c>
      <c r="U1952" t="inlineStr">
        <is>
          <t>2000-12-05</t>
        </is>
      </c>
      <c r="V1952" t="inlineStr">
        <is>
          <t>2000-12-05</t>
        </is>
      </c>
      <c r="W1952" t="inlineStr">
        <is>
          <t>2000-12-05</t>
        </is>
      </c>
      <c r="X1952" t="inlineStr">
        <is>
          <t>2000-12-05</t>
        </is>
      </c>
      <c r="Y1952" t="n">
        <v>544</v>
      </c>
      <c r="Z1952" t="n">
        <v>504</v>
      </c>
      <c r="AA1952" t="n">
        <v>530</v>
      </c>
      <c r="AB1952" t="n">
        <v>3</v>
      </c>
      <c r="AC1952" t="n">
        <v>3</v>
      </c>
      <c r="AD1952" t="n">
        <v>16</v>
      </c>
      <c r="AE1952" t="n">
        <v>17</v>
      </c>
      <c r="AF1952" t="n">
        <v>3</v>
      </c>
      <c r="AG1952" t="n">
        <v>4</v>
      </c>
      <c r="AH1952" t="n">
        <v>5</v>
      </c>
      <c r="AI1952" t="n">
        <v>5</v>
      </c>
      <c r="AJ1952" t="n">
        <v>9</v>
      </c>
      <c r="AK1952" t="n">
        <v>9</v>
      </c>
      <c r="AL1952" t="n">
        <v>2</v>
      </c>
      <c r="AM1952" t="n">
        <v>2</v>
      </c>
      <c r="AN1952" t="n">
        <v>0</v>
      </c>
      <c r="AO1952" t="n">
        <v>0</v>
      </c>
      <c r="AP1952" t="inlineStr">
        <is>
          <t>No</t>
        </is>
      </c>
      <c r="AQ1952" t="inlineStr">
        <is>
          <t>Yes</t>
        </is>
      </c>
      <c r="AR1952">
        <f>HYPERLINK("http://catalog.hathitrust.org/Record/004127216","HathiTrust Record")</f>
        <v/>
      </c>
      <c r="AS1952">
        <f>HYPERLINK("https://creighton-primo.hosted.exlibrisgroup.com/primo-explore/search?tab=default_tab&amp;search_scope=EVERYTHING&amp;vid=01CRU&amp;lang=en_US&amp;offset=0&amp;query=any,contains,991003347719702656","Catalog Record")</f>
        <v/>
      </c>
      <c r="AT1952">
        <f>HYPERLINK("http://www.worldcat.org/oclc/43552406","WorldCat Record")</f>
        <v/>
      </c>
      <c r="AU1952" t="inlineStr">
        <is>
          <t>28881725:eng</t>
        </is>
      </c>
      <c r="AV1952" t="inlineStr">
        <is>
          <t>43552406</t>
        </is>
      </c>
      <c r="AW1952" t="inlineStr">
        <is>
          <t>991003347719702656</t>
        </is>
      </c>
      <c r="AX1952" t="inlineStr">
        <is>
          <t>991003347719702656</t>
        </is>
      </c>
      <c r="AY1952" t="inlineStr">
        <is>
          <t>2255339420002656</t>
        </is>
      </c>
      <c r="AZ1952" t="inlineStr">
        <is>
          <t>BOOK</t>
        </is>
      </c>
      <c r="BB1952" t="inlineStr">
        <is>
          <t>9780807067949</t>
        </is>
      </c>
      <c r="BC1952" t="inlineStr">
        <is>
          <t>32285004275128</t>
        </is>
      </c>
      <c r="BD1952" t="inlineStr">
        <is>
          <t>893511872</t>
        </is>
      </c>
    </row>
    <row r="1953">
      <c r="A1953" t="inlineStr">
        <is>
          <t>No</t>
        </is>
      </c>
      <c r="B1953" t="inlineStr">
        <is>
          <t>HQ755.86 .T78 2006</t>
        </is>
      </c>
      <c r="C1953" t="inlineStr">
        <is>
          <t>0                      HQ 0755860T  78          2006</t>
        </is>
      </c>
      <c r="D1953" t="inlineStr">
        <is>
          <t>Falling through the Earth : a memoir / Danielle Trussoni.</t>
        </is>
      </c>
      <c r="F1953" t="inlineStr">
        <is>
          <t>No</t>
        </is>
      </c>
      <c r="G1953" t="inlineStr">
        <is>
          <t>1</t>
        </is>
      </c>
      <c r="H1953" t="inlineStr">
        <is>
          <t>No</t>
        </is>
      </c>
      <c r="I1953" t="inlineStr">
        <is>
          <t>No</t>
        </is>
      </c>
      <c r="J1953" t="inlineStr">
        <is>
          <t>0</t>
        </is>
      </c>
      <c r="K1953" t="inlineStr">
        <is>
          <t>Trussoni, Danielle.</t>
        </is>
      </c>
      <c r="L1953" t="inlineStr">
        <is>
          <t>New York : Henry Holt, 2006.</t>
        </is>
      </c>
      <c r="M1953" t="inlineStr">
        <is>
          <t>2006</t>
        </is>
      </c>
      <c r="N1953" t="inlineStr">
        <is>
          <t>1st ed.</t>
        </is>
      </c>
      <c r="O1953" t="inlineStr">
        <is>
          <t>eng</t>
        </is>
      </c>
      <c r="P1953" t="inlineStr">
        <is>
          <t>nyu</t>
        </is>
      </c>
      <c r="R1953" t="inlineStr">
        <is>
          <t xml:space="preserve">HQ </t>
        </is>
      </c>
      <c r="S1953" t="n">
        <v>2</v>
      </c>
      <c r="T1953" t="n">
        <v>2</v>
      </c>
      <c r="U1953" t="inlineStr">
        <is>
          <t>2007-02-25</t>
        </is>
      </c>
      <c r="V1953" t="inlineStr">
        <is>
          <t>2007-02-25</t>
        </is>
      </c>
      <c r="W1953" t="inlineStr">
        <is>
          <t>2006-02-03</t>
        </is>
      </c>
      <c r="X1953" t="inlineStr">
        <is>
          <t>2006-02-03</t>
        </is>
      </c>
      <c r="Y1953" t="n">
        <v>966</v>
      </c>
      <c r="Z1953" t="n">
        <v>929</v>
      </c>
      <c r="AA1953" t="n">
        <v>1030</v>
      </c>
      <c r="AB1953" t="n">
        <v>3</v>
      </c>
      <c r="AC1953" t="n">
        <v>5</v>
      </c>
      <c r="AD1953" t="n">
        <v>18</v>
      </c>
      <c r="AE1953" t="n">
        <v>18</v>
      </c>
      <c r="AF1953" t="n">
        <v>8</v>
      </c>
      <c r="AG1953" t="n">
        <v>8</v>
      </c>
      <c r="AH1953" t="n">
        <v>6</v>
      </c>
      <c r="AI1953" t="n">
        <v>6</v>
      </c>
      <c r="AJ1953" t="n">
        <v>8</v>
      </c>
      <c r="AK1953" t="n">
        <v>8</v>
      </c>
      <c r="AL1953" t="n">
        <v>1</v>
      </c>
      <c r="AM1953" t="n">
        <v>1</v>
      </c>
      <c r="AN1953" t="n">
        <v>0</v>
      </c>
      <c r="AO1953" t="n">
        <v>0</v>
      </c>
      <c r="AP1953" t="inlineStr">
        <is>
          <t>No</t>
        </is>
      </c>
      <c r="AQ1953" t="inlineStr">
        <is>
          <t>No</t>
        </is>
      </c>
      <c r="AS1953">
        <f>HYPERLINK("https://creighton-primo.hosted.exlibrisgroup.com/primo-explore/search?tab=default_tab&amp;search_scope=EVERYTHING&amp;vid=01CRU&amp;lang=en_US&amp;offset=0&amp;query=any,contains,991004732249702656","Catalog Record")</f>
        <v/>
      </c>
      <c r="AT1953">
        <f>HYPERLINK("http://www.worldcat.org/oclc/62127974","WorldCat Record")</f>
        <v/>
      </c>
      <c r="AU1953" t="inlineStr">
        <is>
          <t>865071503:eng</t>
        </is>
      </c>
      <c r="AV1953" t="inlineStr">
        <is>
          <t>62127974</t>
        </is>
      </c>
      <c r="AW1953" t="inlineStr">
        <is>
          <t>991004732249702656</t>
        </is>
      </c>
      <c r="AX1953" t="inlineStr">
        <is>
          <t>991004732249702656</t>
        </is>
      </c>
      <c r="AY1953" t="inlineStr">
        <is>
          <t>2259119470002656</t>
        </is>
      </c>
      <c r="AZ1953" t="inlineStr">
        <is>
          <t>BOOK</t>
        </is>
      </c>
      <c r="BB1953" t="inlineStr">
        <is>
          <t>9780805077322</t>
        </is>
      </c>
      <c r="BC1953" t="inlineStr">
        <is>
          <t>32285005160204</t>
        </is>
      </c>
      <c r="BD1953" t="inlineStr">
        <is>
          <t>893500891</t>
        </is>
      </c>
    </row>
    <row r="1954">
      <c r="A1954" t="inlineStr">
        <is>
          <t>No</t>
        </is>
      </c>
      <c r="B1954" t="inlineStr">
        <is>
          <t>HQ756 .A36 1986</t>
        </is>
      </c>
      <c r="C1954" t="inlineStr">
        <is>
          <t>0                      HQ 0756000A  36          1986</t>
        </is>
      </c>
      <c r="D1954" t="inlineStr">
        <is>
          <t>Adolescent fatherhood / edited by Arthur B. Elster and Michael E. Lamb.</t>
        </is>
      </c>
      <c r="F1954" t="inlineStr">
        <is>
          <t>No</t>
        </is>
      </c>
      <c r="G1954" t="inlineStr">
        <is>
          <t>1</t>
        </is>
      </c>
      <c r="H1954" t="inlineStr">
        <is>
          <t>Yes</t>
        </is>
      </c>
      <c r="I1954" t="inlineStr">
        <is>
          <t>No</t>
        </is>
      </c>
      <c r="J1954" t="inlineStr">
        <is>
          <t>0</t>
        </is>
      </c>
      <c r="L1954" t="inlineStr">
        <is>
          <t>Hillsdale, N.J. : L. Erlbaum Associates, 1986.</t>
        </is>
      </c>
      <c r="M1954" t="inlineStr">
        <is>
          <t>1986</t>
        </is>
      </c>
      <c r="O1954" t="inlineStr">
        <is>
          <t>eng</t>
        </is>
      </c>
      <c r="P1954" t="inlineStr">
        <is>
          <t>nju</t>
        </is>
      </c>
      <c r="R1954" t="inlineStr">
        <is>
          <t xml:space="preserve">HQ </t>
        </is>
      </c>
      <c r="S1954" t="n">
        <v>10</v>
      </c>
      <c r="T1954" t="n">
        <v>12</v>
      </c>
      <c r="U1954" t="inlineStr">
        <is>
          <t>2000-02-03</t>
        </is>
      </c>
      <c r="V1954" t="inlineStr">
        <is>
          <t>2000-02-03</t>
        </is>
      </c>
      <c r="W1954" t="inlineStr">
        <is>
          <t>1992-11-04</t>
        </is>
      </c>
      <c r="X1954" t="inlineStr">
        <is>
          <t>1992-11-04</t>
        </is>
      </c>
      <c r="Y1954" t="n">
        <v>663</v>
      </c>
      <c r="Z1954" t="n">
        <v>590</v>
      </c>
      <c r="AA1954" t="n">
        <v>611</v>
      </c>
      <c r="AB1954" t="n">
        <v>8</v>
      </c>
      <c r="AC1954" t="n">
        <v>8</v>
      </c>
      <c r="AD1954" t="n">
        <v>24</v>
      </c>
      <c r="AE1954" t="n">
        <v>24</v>
      </c>
      <c r="AF1954" t="n">
        <v>11</v>
      </c>
      <c r="AG1954" t="n">
        <v>11</v>
      </c>
      <c r="AH1954" t="n">
        <v>3</v>
      </c>
      <c r="AI1954" t="n">
        <v>3</v>
      </c>
      <c r="AJ1954" t="n">
        <v>11</v>
      </c>
      <c r="AK1954" t="n">
        <v>11</v>
      </c>
      <c r="AL1954" t="n">
        <v>6</v>
      </c>
      <c r="AM1954" t="n">
        <v>6</v>
      </c>
      <c r="AN1954" t="n">
        <v>0</v>
      </c>
      <c r="AO1954" t="n">
        <v>0</v>
      </c>
      <c r="AP1954" t="inlineStr">
        <is>
          <t>No</t>
        </is>
      </c>
      <c r="AQ1954" t="inlineStr">
        <is>
          <t>Yes</t>
        </is>
      </c>
      <c r="AR1954">
        <f>HYPERLINK("http://catalog.hathitrust.org/Record/000436990","HathiTrust Record")</f>
        <v/>
      </c>
      <c r="AS1954">
        <f>HYPERLINK("https://creighton-primo.hosted.exlibrisgroup.com/primo-explore/search?tab=default_tab&amp;search_scope=EVERYTHING&amp;vid=01CRU&amp;lang=en_US&amp;offset=0&amp;query=any,contains,991001766529702656","Catalog Record")</f>
        <v/>
      </c>
      <c r="AT1954">
        <f>HYPERLINK("http://www.worldcat.org/oclc/13394542","WorldCat Record")</f>
        <v/>
      </c>
      <c r="AU1954" t="inlineStr">
        <is>
          <t>356154860:eng</t>
        </is>
      </c>
      <c r="AV1954" t="inlineStr">
        <is>
          <t>13394542</t>
        </is>
      </c>
      <c r="AW1954" t="inlineStr">
        <is>
          <t>991001766529702656</t>
        </is>
      </c>
      <c r="AX1954" t="inlineStr">
        <is>
          <t>991001766529702656</t>
        </is>
      </c>
      <c r="AY1954" t="inlineStr">
        <is>
          <t>2263930190002656</t>
        </is>
      </c>
      <c r="AZ1954" t="inlineStr">
        <is>
          <t>BOOK</t>
        </is>
      </c>
      <c r="BB1954" t="inlineStr">
        <is>
          <t>9780898595406</t>
        </is>
      </c>
      <c r="BC1954" t="inlineStr">
        <is>
          <t>32285001359693</t>
        </is>
      </c>
      <c r="BD1954" t="inlineStr">
        <is>
          <t>893779055</t>
        </is>
      </c>
    </row>
    <row r="1955">
      <c r="A1955" t="inlineStr">
        <is>
          <t>No</t>
        </is>
      </c>
      <c r="B1955" t="inlineStr">
        <is>
          <t>HQ756 .A38 2009</t>
        </is>
      </c>
      <c r="C1955" t="inlineStr">
        <is>
          <t>0                      HQ 0756000A  38          2009</t>
        </is>
      </c>
      <c r="D1955" t="inlineStr">
        <is>
          <t>The awkward spaces of fathering / Stuart C. Aitken.</t>
        </is>
      </c>
      <c r="F1955" t="inlineStr">
        <is>
          <t>No</t>
        </is>
      </c>
      <c r="G1955" t="inlineStr">
        <is>
          <t>1</t>
        </is>
      </c>
      <c r="H1955" t="inlineStr">
        <is>
          <t>No</t>
        </is>
      </c>
      <c r="I1955" t="inlineStr">
        <is>
          <t>No</t>
        </is>
      </c>
      <c r="J1955" t="inlineStr">
        <is>
          <t>0</t>
        </is>
      </c>
      <c r="K1955" t="inlineStr">
        <is>
          <t>Aitken, Stuart C.</t>
        </is>
      </c>
      <c r="L1955" t="inlineStr">
        <is>
          <t>Farnham, England ; Burlington, VT : Ashgate, c2009.</t>
        </is>
      </c>
      <c r="M1955" t="inlineStr">
        <is>
          <t>2009</t>
        </is>
      </c>
      <c r="O1955" t="inlineStr">
        <is>
          <t>eng</t>
        </is>
      </c>
      <c r="P1955" t="inlineStr">
        <is>
          <t>enk</t>
        </is>
      </c>
      <c r="R1955" t="inlineStr">
        <is>
          <t xml:space="preserve">HQ </t>
        </is>
      </c>
      <c r="S1955" t="n">
        <v>1</v>
      </c>
      <c r="T1955" t="n">
        <v>1</v>
      </c>
      <c r="U1955" t="inlineStr">
        <is>
          <t>2010-04-20</t>
        </is>
      </c>
      <c r="V1955" t="inlineStr">
        <is>
          <t>2010-04-20</t>
        </is>
      </c>
      <c r="W1955" t="inlineStr">
        <is>
          <t>2010-04-20</t>
        </is>
      </c>
      <c r="X1955" t="inlineStr">
        <is>
          <t>2010-04-20</t>
        </is>
      </c>
      <c r="Y1955" t="n">
        <v>303</v>
      </c>
      <c r="Z1955" t="n">
        <v>235</v>
      </c>
      <c r="AA1955" t="n">
        <v>584</v>
      </c>
      <c r="AB1955" t="n">
        <v>5</v>
      </c>
      <c r="AC1955" t="n">
        <v>7</v>
      </c>
      <c r="AD1955" t="n">
        <v>12</v>
      </c>
      <c r="AE1955" t="n">
        <v>16</v>
      </c>
      <c r="AF1955" t="n">
        <v>7</v>
      </c>
      <c r="AG1955" t="n">
        <v>8</v>
      </c>
      <c r="AH1955" t="n">
        <v>1</v>
      </c>
      <c r="AI1955" t="n">
        <v>1</v>
      </c>
      <c r="AJ1955" t="n">
        <v>3</v>
      </c>
      <c r="AK1955" t="n">
        <v>5</v>
      </c>
      <c r="AL1955" t="n">
        <v>4</v>
      </c>
      <c r="AM1955" t="n">
        <v>6</v>
      </c>
      <c r="AN1955" t="n">
        <v>0</v>
      </c>
      <c r="AO1955" t="n">
        <v>0</v>
      </c>
      <c r="AP1955" t="inlineStr">
        <is>
          <t>No</t>
        </is>
      </c>
      <c r="AQ1955" t="inlineStr">
        <is>
          <t>No</t>
        </is>
      </c>
      <c r="AS1955">
        <f>HYPERLINK("https://creighton-primo.hosted.exlibrisgroup.com/primo-explore/search?tab=default_tab&amp;search_scope=EVERYTHING&amp;vid=01CRU&amp;lang=en_US&amp;offset=0&amp;query=any,contains,991005383439702656","Catalog Record")</f>
        <v/>
      </c>
      <c r="AT1955">
        <f>HYPERLINK("http://www.worldcat.org/oclc/271811366","WorldCat Record")</f>
        <v/>
      </c>
      <c r="AU1955" t="inlineStr">
        <is>
          <t>156674035:eng</t>
        </is>
      </c>
      <c r="AV1955" t="inlineStr">
        <is>
          <t>271811366</t>
        </is>
      </c>
      <c r="AW1955" t="inlineStr">
        <is>
          <t>991005383439702656</t>
        </is>
      </c>
      <c r="AX1955" t="inlineStr">
        <is>
          <t>991005383439702656</t>
        </is>
      </c>
      <c r="AY1955" t="inlineStr">
        <is>
          <t>2256992500002656</t>
        </is>
      </c>
      <c r="AZ1955" t="inlineStr">
        <is>
          <t>BOOK</t>
        </is>
      </c>
      <c r="BB1955" t="inlineStr">
        <is>
          <t>9780754670056</t>
        </is>
      </c>
      <c r="BC1955" t="inlineStr">
        <is>
          <t>32285005565600</t>
        </is>
      </c>
      <c r="BD1955" t="inlineStr">
        <is>
          <t>893714005</t>
        </is>
      </c>
    </row>
    <row r="1956">
      <c r="A1956" t="inlineStr">
        <is>
          <t>No</t>
        </is>
      </c>
      <c r="B1956" t="inlineStr">
        <is>
          <t>HQ756 .A57 1998</t>
        </is>
      </c>
      <c r="C1956" t="inlineStr">
        <is>
          <t>0                      HQ 0756000A  57          1998</t>
        </is>
      </c>
      <c r="D1956" t="inlineStr">
        <is>
          <t>Crisis in America : father absence / Frank Ancona.</t>
        </is>
      </c>
      <c r="F1956" t="inlineStr">
        <is>
          <t>No</t>
        </is>
      </c>
      <c r="G1956" t="inlineStr">
        <is>
          <t>1</t>
        </is>
      </c>
      <c r="H1956" t="inlineStr">
        <is>
          <t>No</t>
        </is>
      </c>
      <c r="I1956" t="inlineStr">
        <is>
          <t>No</t>
        </is>
      </c>
      <c r="J1956" t="inlineStr">
        <is>
          <t>0</t>
        </is>
      </c>
      <c r="K1956" t="inlineStr">
        <is>
          <t>Ancona, Francesco Aristide, 1947-</t>
        </is>
      </c>
      <c r="L1956" t="inlineStr">
        <is>
          <t>Commack, N.Y. : Nova Science Publishers, c1998.</t>
        </is>
      </c>
      <c r="M1956" t="inlineStr">
        <is>
          <t>1998</t>
        </is>
      </c>
      <c r="O1956" t="inlineStr">
        <is>
          <t>eng</t>
        </is>
      </c>
      <c r="P1956" t="inlineStr">
        <is>
          <t>nyu</t>
        </is>
      </c>
      <c r="R1956" t="inlineStr">
        <is>
          <t xml:space="preserve">HQ </t>
        </is>
      </c>
      <c r="S1956" t="n">
        <v>8</v>
      </c>
      <c r="T1956" t="n">
        <v>8</v>
      </c>
      <c r="U1956" t="inlineStr">
        <is>
          <t>2003-03-17</t>
        </is>
      </c>
      <c r="V1956" t="inlineStr">
        <is>
          <t>2003-03-17</t>
        </is>
      </c>
      <c r="W1956" t="inlineStr">
        <is>
          <t>1998-09-08</t>
        </is>
      </c>
      <c r="X1956" t="inlineStr">
        <is>
          <t>1998-09-08</t>
        </is>
      </c>
      <c r="Y1956" t="n">
        <v>149</v>
      </c>
      <c r="Z1956" t="n">
        <v>140</v>
      </c>
      <c r="AA1956" t="n">
        <v>176</v>
      </c>
      <c r="AB1956" t="n">
        <v>3</v>
      </c>
      <c r="AC1956" t="n">
        <v>3</v>
      </c>
      <c r="AD1956" t="n">
        <v>7</v>
      </c>
      <c r="AE1956" t="n">
        <v>9</v>
      </c>
      <c r="AF1956" t="n">
        <v>0</v>
      </c>
      <c r="AG1956" t="n">
        <v>2</v>
      </c>
      <c r="AH1956" t="n">
        <v>3</v>
      </c>
      <c r="AI1956" t="n">
        <v>3</v>
      </c>
      <c r="AJ1956" t="n">
        <v>4</v>
      </c>
      <c r="AK1956" t="n">
        <v>5</v>
      </c>
      <c r="AL1956" t="n">
        <v>2</v>
      </c>
      <c r="AM1956" t="n">
        <v>2</v>
      </c>
      <c r="AN1956" t="n">
        <v>0</v>
      </c>
      <c r="AO1956" t="n">
        <v>0</v>
      </c>
      <c r="AP1956" t="inlineStr">
        <is>
          <t>No</t>
        </is>
      </c>
      <c r="AQ1956" t="inlineStr">
        <is>
          <t>Yes</t>
        </is>
      </c>
      <c r="AR1956">
        <f>HYPERLINK("http://catalog.hathitrust.org/Record/003982488","HathiTrust Record")</f>
        <v/>
      </c>
      <c r="AS1956">
        <f>HYPERLINK("https://creighton-primo.hosted.exlibrisgroup.com/primo-explore/search?tab=default_tab&amp;search_scope=EVERYTHING&amp;vid=01CRU&amp;lang=en_US&amp;offset=0&amp;query=any,contains,991002934449702656","Catalog Record")</f>
        <v/>
      </c>
      <c r="AT1956">
        <f>HYPERLINK("http://www.worldcat.org/oclc/39033174","WorldCat Record")</f>
        <v/>
      </c>
      <c r="AU1956" t="inlineStr">
        <is>
          <t>42293112:eng</t>
        </is>
      </c>
      <c r="AV1956" t="inlineStr">
        <is>
          <t>39033174</t>
        </is>
      </c>
      <c r="AW1956" t="inlineStr">
        <is>
          <t>991002934449702656</t>
        </is>
      </c>
      <c r="AX1956" t="inlineStr">
        <is>
          <t>991002934449702656</t>
        </is>
      </c>
      <c r="AY1956" t="inlineStr">
        <is>
          <t>2269031150002656</t>
        </is>
      </c>
      <c r="AZ1956" t="inlineStr">
        <is>
          <t>BOOK</t>
        </is>
      </c>
      <c r="BB1956" t="inlineStr">
        <is>
          <t>9781560725695</t>
        </is>
      </c>
      <c r="BC1956" t="inlineStr">
        <is>
          <t>32285003466124</t>
        </is>
      </c>
      <c r="BD1956" t="inlineStr">
        <is>
          <t>893805228</t>
        </is>
      </c>
    </row>
    <row r="1957">
      <c r="A1957" t="inlineStr">
        <is>
          <t>No</t>
        </is>
      </c>
      <c r="B1957" t="inlineStr">
        <is>
          <t>HQ756 .A66</t>
        </is>
      </c>
      <c r="C1957" t="inlineStr">
        <is>
          <t>0                      HQ 0756000A  66</t>
        </is>
      </c>
      <c r="D1957" t="inlineStr">
        <is>
          <t>Fathers and daughters : a father's powerful influence on a woman's life / William S. Appleton.</t>
        </is>
      </c>
      <c r="F1957" t="inlineStr">
        <is>
          <t>No</t>
        </is>
      </c>
      <c r="G1957" t="inlineStr">
        <is>
          <t>1</t>
        </is>
      </c>
      <c r="H1957" t="inlineStr">
        <is>
          <t>No</t>
        </is>
      </c>
      <c r="I1957" t="inlineStr">
        <is>
          <t>No</t>
        </is>
      </c>
      <c r="J1957" t="inlineStr">
        <is>
          <t>0</t>
        </is>
      </c>
      <c r="K1957" t="inlineStr">
        <is>
          <t>Appleton, William S.</t>
        </is>
      </c>
      <c r="L1957" t="inlineStr">
        <is>
          <t>Garden City, N.Y. : Doubleday, 1981.</t>
        </is>
      </c>
      <c r="M1957" t="inlineStr">
        <is>
          <t>1981</t>
        </is>
      </c>
      <c r="N1957" t="inlineStr">
        <is>
          <t>1st ed.</t>
        </is>
      </c>
      <c r="O1957" t="inlineStr">
        <is>
          <t>eng</t>
        </is>
      </c>
      <c r="P1957" t="inlineStr">
        <is>
          <t>nyu</t>
        </is>
      </c>
      <c r="R1957" t="inlineStr">
        <is>
          <t xml:space="preserve">HQ </t>
        </is>
      </c>
      <c r="S1957" t="n">
        <v>6</v>
      </c>
      <c r="T1957" t="n">
        <v>6</v>
      </c>
      <c r="U1957" t="inlineStr">
        <is>
          <t>1998-11-30</t>
        </is>
      </c>
      <c r="V1957" t="inlineStr">
        <is>
          <t>1998-11-30</t>
        </is>
      </c>
      <c r="W1957" t="inlineStr">
        <is>
          <t>1991-12-09</t>
        </is>
      </c>
      <c r="X1957" t="inlineStr">
        <is>
          <t>1991-12-09</t>
        </is>
      </c>
      <c r="Y1957" t="n">
        <v>448</v>
      </c>
      <c r="Z1957" t="n">
        <v>417</v>
      </c>
      <c r="AA1957" t="n">
        <v>463</v>
      </c>
      <c r="AB1957" t="n">
        <v>4</v>
      </c>
      <c r="AC1957" t="n">
        <v>4</v>
      </c>
      <c r="AD1957" t="n">
        <v>6</v>
      </c>
      <c r="AE1957" t="n">
        <v>6</v>
      </c>
      <c r="AF1957" t="n">
        <v>4</v>
      </c>
      <c r="AG1957" t="n">
        <v>4</v>
      </c>
      <c r="AH1957" t="n">
        <v>0</v>
      </c>
      <c r="AI1957" t="n">
        <v>0</v>
      </c>
      <c r="AJ1957" t="n">
        <v>3</v>
      </c>
      <c r="AK1957" t="n">
        <v>3</v>
      </c>
      <c r="AL1957" t="n">
        <v>1</v>
      </c>
      <c r="AM1957" t="n">
        <v>1</v>
      </c>
      <c r="AN1957" t="n">
        <v>0</v>
      </c>
      <c r="AO1957" t="n">
        <v>0</v>
      </c>
      <c r="AP1957" t="inlineStr">
        <is>
          <t>No</t>
        </is>
      </c>
      <c r="AQ1957" t="inlineStr">
        <is>
          <t>Yes</t>
        </is>
      </c>
      <c r="AR1957">
        <f>HYPERLINK("http://catalog.hathitrust.org/Record/007116862","HathiTrust Record")</f>
        <v/>
      </c>
      <c r="AS1957">
        <f>HYPERLINK("https://creighton-primo.hosted.exlibrisgroup.com/primo-explore/search?tab=default_tab&amp;search_scope=EVERYTHING&amp;vid=01CRU&amp;lang=en_US&amp;offset=0&amp;query=any,contains,991005125169702656","Catalog Record")</f>
        <v/>
      </c>
      <c r="AT1957">
        <f>HYPERLINK("http://www.worldcat.org/oclc/7553048","WorldCat Record")</f>
        <v/>
      </c>
      <c r="AU1957" t="inlineStr">
        <is>
          <t>63225:eng</t>
        </is>
      </c>
      <c r="AV1957" t="inlineStr">
        <is>
          <t>7553048</t>
        </is>
      </c>
      <c r="AW1957" t="inlineStr">
        <is>
          <t>991005125169702656</t>
        </is>
      </c>
      <c r="AX1957" t="inlineStr">
        <is>
          <t>991005125169702656</t>
        </is>
      </c>
      <c r="AY1957" t="inlineStr">
        <is>
          <t>2262614680002656</t>
        </is>
      </c>
      <c r="AZ1957" t="inlineStr">
        <is>
          <t>BOOK</t>
        </is>
      </c>
      <c r="BB1957" t="inlineStr">
        <is>
          <t>9780385155113</t>
        </is>
      </c>
      <c r="BC1957" t="inlineStr">
        <is>
          <t>32285000829852</t>
        </is>
      </c>
      <c r="BD1957" t="inlineStr">
        <is>
          <t>893344685</t>
        </is>
      </c>
    </row>
    <row r="1958">
      <c r="A1958" t="inlineStr">
        <is>
          <t>No</t>
        </is>
      </c>
      <c r="B1958" t="inlineStr">
        <is>
          <t>HQ756 .B34 1979</t>
        </is>
      </c>
      <c r="C1958" t="inlineStr">
        <is>
          <t>0                      HQ 0756000B  34          1979</t>
        </is>
      </c>
      <c r="D1958" t="inlineStr">
        <is>
          <t>And they took themselves wives : the emergence of patriarchy in Western civilization / David Bakan.</t>
        </is>
      </c>
      <c r="F1958" t="inlineStr">
        <is>
          <t>No</t>
        </is>
      </c>
      <c r="G1958" t="inlineStr">
        <is>
          <t>1</t>
        </is>
      </c>
      <c r="H1958" t="inlineStr">
        <is>
          <t>No</t>
        </is>
      </c>
      <c r="I1958" t="inlineStr">
        <is>
          <t>No</t>
        </is>
      </c>
      <c r="J1958" t="inlineStr">
        <is>
          <t>0</t>
        </is>
      </c>
      <c r="K1958" t="inlineStr">
        <is>
          <t>Bakan, David.</t>
        </is>
      </c>
      <c r="L1958" t="inlineStr">
        <is>
          <t>New York : Harper &amp; Row, c1979.</t>
        </is>
      </c>
      <c r="M1958" t="inlineStr">
        <is>
          <t>1979</t>
        </is>
      </c>
      <c r="N1958" t="inlineStr">
        <is>
          <t>1st ed.</t>
        </is>
      </c>
      <c r="O1958" t="inlineStr">
        <is>
          <t>eng</t>
        </is>
      </c>
      <c r="P1958" t="inlineStr">
        <is>
          <t>nyu</t>
        </is>
      </c>
      <c r="R1958" t="inlineStr">
        <is>
          <t xml:space="preserve">HQ </t>
        </is>
      </c>
      <c r="S1958" t="n">
        <v>2</v>
      </c>
      <c r="T1958" t="n">
        <v>2</v>
      </c>
      <c r="U1958" t="inlineStr">
        <is>
          <t>1996-01-11</t>
        </is>
      </c>
      <c r="V1958" t="inlineStr">
        <is>
          <t>1996-01-11</t>
        </is>
      </c>
      <c r="W1958" t="inlineStr">
        <is>
          <t>1992-11-04</t>
        </is>
      </c>
      <c r="X1958" t="inlineStr">
        <is>
          <t>1992-11-04</t>
        </is>
      </c>
      <c r="Y1958" t="n">
        <v>441</v>
      </c>
      <c r="Z1958" t="n">
        <v>400</v>
      </c>
      <c r="AA1958" t="n">
        <v>407</v>
      </c>
      <c r="AB1958" t="n">
        <v>4</v>
      </c>
      <c r="AC1958" t="n">
        <v>4</v>
      </c>
      <c r="AD1958" t="n">
        <v>21</v>
      </c>
      <c r="AE1958" t="n">
        <v>21</v>
      </c>
      <c r="AF1958" t="n">
        <v>3</v>
      </c>
      <c r="AG1958" t="n">
        <v>3</v>
      </c>
      <c r="AH1958" t="n">
        <v>6</v>
      </c>
      <c r="AI1958" t="n">
        <v>6</v>
      </c>
      <c r="AJ1958" t="n">
        <v>13</v>
      </c>
      <c r="AK1958" t="n">
        <v>13</v>
      </c>
      <c r="AL1958" t="n">
        <v>3</v>
      </c>
      <c r="AM1958" t="n">
        <v>3</v>
      </c>
      <c r="AN1958" t="n">
        <v>0</v>
      </c>
      <c r="AO1958" t="n">
        <v>0</v>
      </c>
      <c r="AP1958" t="inlineStr">
        <is>
          <t>No</t>
        </is>
      </c>
      <c r="AQ1958" t="inlineStr">
        <is>
          <t>Yes</t>
        </is>
      </c>
      <c r="AR1958">
        <f>HYPERLINK("http://catalog.hathitrust.org/Record/000025064","HathiTrust Record")</f>
        <v/>
      </c>
      <c r="AS1958">
        <f>HYPERLINK("https://creighton-primo.hosted.exlibrisgroup.com/primo-explore/search?tab=default_tab&amp;search_scope=EVERYTHING&amp;vid=01CRU&amp;lang=en_US&amp;offset=0&amp;query=any,contains,991004809299702656","Catalog Record")</f>
        <v/>
      </c>
      <c r="AT1958">
        <f>HYPERLINK("http://www.worldcat.org/oclc/5264862","WorldCat Record")</f>
        <v/>
      </c>
      <c r="AU1958" t="inlineStr">
        <is>
          <t>255077235:eng</t>
        </is>
      </c>
      <c r="AV1958" t="inlineStr">
        <is>
          <t>5264862</t>
        </is>
      </c>
      <c r="AW1958" t="inlineStr">
        <is>
          <t>991004809299702656</t>
        </is>
      </c>
      <c r="AX1958" t="inlineStr">
        <is>
          <t>991004809299702656</t>
        </is>
      </c>
      <c r="AY1958" t="inlineStr">
        <is>
          <t>2259061870002656</t>
        </is>
      </c>
      <c r="AZ1958" t="inlineStr">
        <is>
          <t>BOOK</t>
        </is>
      </c>
      <c r="BB1958" t="inlineStr">
        <is>
          <t>9780060603601</t>
        </is>
      </c>
      <c r="BC1958" t="inlineStr">
        <is>
          <t>32285001359701</t>
        </is>
      </c>
      <c r="BD1958" t="inlineStr">
        <is>
          <t>893870139</t>
        </is>
      </c>
    </row>
    <row r="1959">
      <c r="A1959" t="inlineStr">
        <is>
          <t>No</t>
        </is>
      </c>
      <c r="B1959" t="inlineStr">
        <is>
          <t>HQ756 .B36 1998</t>
        </is>
      </c>
      <c r="C1959" t="inlineStr">
        <is>
          <t>0                      HQ 0756000B  36          1998</t>
        </is>
      </c>
      <c r="D1959" t="inlineStr">
        <is>
          <t>Emotional rescue : the theory and practice of a feminist father / Isaac D. Balbus.</t>
        </is>
      </c>
      <c r="F1959" t="inlineStr">
        <is>
          <t>No</t>
        </is>
      </c>
      <c r="G1959" t="inlineStr">
        <is>
          <t>1</t>
        </is>
      </c>
      <c r="H1959" t="inlineStr">
        <is>
          <t>No</t>
        </is>
      </c>
      <c r="I1959" t="inlineStr">
        <is>
          <t>No</t>
        </is>
      </c>
      <c r="J1959" t="inlineStr">
        <is>
          <t>0</t>
        </is>
      </c>
      <c r="K1959" t="inlineStr">
        <is>
          <t>Balbus, Isaac D.</t>
        </is>
      </c>
      <c r="L1959" t="inlineStr">
        <is>
          <t>New York : Routledge, 1998.</t>
        </is>
      </c>
      <c r="M1959" t="inlineStr">
        <is>
          <t>1998</t>
        </is>
      </c>
      <c r="O1959" t="inlineStr">
        <is>
          <t>eng</t>
        </is>
      </c>
      <c r="P1959" t="inlineStr">
        <is>
          <t>nyu</t>
        </is>
      </c>
      <c r="R1959" t="inlineStr">
        <is>
          <t xml:space="preserve">HQ </t>
        </is>
      </c>
      <c r="S1959" t="n">
        <v>1</v>
      </c>
      <c r="T1959" t="n">
        <v>1</v>
      </c>
      <c r="U1959" t="inlineStr">
        <is>
          <t>2006-02-24</t>
        </is>
      </c>
      <c r="V1959" t="inlineStr">
        <is>
          <t>2006-02-24</t>
        </is>
      </c>
      <c r="W1959" t="inlineStr">
        <is>
          <t>1999-03-15</t>
        </is>
      </c>
      <c r="X1959" t="inlineStr">
        <is>
          <t>1999-03-15</t>
        </is>
      </c>
      <c r="Y1959" t="n">
        <v>206</v>
      </c>
      <c r="Z1959" t="n">
        <v>159</v>
      </c>
      <c r="AA1959" t="n">
        <v>164</v>
      </c>
      <c r="AB1959" t="n">
        <v>3</v>
      </c>
      <c r="AC1959" t="n">
        <v>3</v>
      </c>
      <c r="AD1959" t="n">
        <v>9</v>
      </c>
      <c r="AE1959" t="n">
        <v>9</v>
      </c>
      <c r="AF1959" t="n">
        <v>5</v>
      </c>
      <c r="AG1959" t="n">
        <v>5</v>
      </c>
      <c r="AH1959" t="n">
        <v>2</v>
      </c>
      <c r="AI1959" t="n">
        <v>2</v>
      </c>
      <c r="AJ1959" t="n">
        <v>2</v>
      </c>
      <c r="AK1959" t="n">
        <v>2</v>
      </c>
      <c r="AL1959" t="n">
        <v>2</v>
      </c>
      <c r="AM1959" t="n">
        <v>2</v>
      </c>
      <c r="AN1959" t="n">
        <v>0</v>
      </c>
      <c r="AO1959" t="n">
        <v>0</v>
      </c>
      <c r="AP1959" t="inlineStr">
        <is>
          <t>No</t>
        </is>
      </c>
      <c r="AQ1959" t="inlineStr">
        <is>
          <t>No</t>
        </is>
      </c>
      <c r="AS1959">
        <f>HYPERLINK("https://creighton-primo.hosted.exlibrisgroup.com/primo-explore/search?tab=default_tab&amp;search_scope=EVERYTHING&amp;vid=01CRU&amp;lang=en_US&amp;offset=0&amp;query=any,contains,991002830219702656","Catalog Record")</f>
        <v/>
      </c>
      <c r="AT1959">
        <f>HYPERLINK("http://www.worldcat.org/oclc/37261056","WorldCat Record")</f>
        <v/>
      </c>
      <c r="AU1959" t="inlineStr">
        <is>
          <t>836981657:eng</t>
        </is>
      </c>
      <c r="AV1959" t="inlineStr">
        <is>
          <t>37261056</t>
        </is>
      </c>
      <c r="AW1959" t="inlineStr">
        <is>
          <t>991002830219702656</t>
        </is>
      </c>
      <c r="AX1959" t="inlineStr">
        <is>
          <t>991002830219702656</t>
        </is>
      </c>
      <c r="AY1959" t="inlineStr">
        <is>
          <t>2271761750002656</t>
        </is>
      </c>
      <c r="AZ1959" t="inlineStr">
        <is>
          <t>BOOK</t>
        </is>
      </c>
      <c r="BB1959" t="inlineStr">
        <is>
          <t>9780415919173</t>
        </is>
      </c>
      <c r="BC1959" t="inlineStr">
        <is>
          <t>32285003531877</t>
        </is>
      </c>
      <c r="BD1959" t="inlineStr">
        <is>
          <t>893610356</t>
        </is>
      </c>
    </row>
    <row r="1960">
      <c r="A1960" t="inlineStr">
        <is>
          <t>No</t>
        </is>
      </c>
      <c r="B1960" t="inlineStr">
        <is>
          <t>HQ756 .B39 1995</t>
        </is>
      </c>
      <c r="C1960" t="inlineStr">
        <is>
          <t>0                      HQ 0756000B  39          1995</t>
        </is>
      </c>
      <c r="D1960" t="inlineStr">
        <is>
          <t>Becoming a father : contemporary, social, developmental, and clinical perspectives / Jerrold Lee Shapiro, Michael J. Diamond, Martin Greenberg, editors.</t>
        </is>
      </c>
      <c r="F1960" t="inlineStr">
        <is>
          <t>No</t>
        </is>
      </c>
      <c r="G1960" t="inlineStr">
        <is>
          <t>1</t>
        </is>
      </c>
      <c r="H1960" t="inlineStr">
        <is>
          <t>No</t>
        </is>
      </c>
      <c r="I1960" t="inlineStr">
        <is>
          <t>No</t>
        </is>
      </c>
      <c r="J1960" t="inlineStr">
        <is>
          <t>0</t>
        </is>
      </c>
      <c r="L1960" t="inlineStr">
        <is>
          <t>New York, NY : Springer Pub. Co., c1995.</t>
        </is>
      </c>
      <c r="M1960" t="inlineStr">
        <is>
          <t>1995</t>
        </is>
      </c>
      <c r="O1960" t="inlineStr">
        <is>
          <t>eng</t>
        </is>
      </c>
      <c r="P1960" t="inlineStr">
        <is>
          <t>nyu</t>
        </is>
      </c>
      <c r="Q1960" t="inlineStr">
        <is>
          <t>Springer series, focus on men ; v. 8</t>
        </is>
      </c>
      <c r="R1960" t="inlineStr">
        <is>
          <t xml:space="preserve">HQ </t>
        </is>
      </c>
      <c r="S1960" t="n">
        <v>4</v>
      </c>
      <c r="T1960" t="n">
        <v>4</v>
      </c>
      <c r="U1960" t="inlineStr">
        <is>
          <t>2005-12-14</t>
        </is>
      </c>
      <c r="V1960" t="inlineStr">
        <is>
          <t>2005-12-14</t>
        </is>
      </c>
      <c r="W1960" t="inlineStr">
        <is>
          <t>1996-09-26</t>
        </is>
      </c>
      <c r="X1960" t="inlineStr">
        <is>
          <t>1996-09-26</t>
        </is>
      </c>
      <c r="Y1960" t="n">
        <v>311</v>
      </c>
      <c r="Z1960" t="n">
        <v>270</v>
      </c>
      <c r="AA1960" t="n">
        <v>276</v>
      </c>
      <c r="AB1960" t="n">
        <v>3</v>
      </c>
      <c r="AC1960" t="n">
        <v>3</v>
      </c>
      <c r="AD1960" t="n">
        <v>17</v>
      </c>
      <c r="AE1960" t="n">
        <v>17</v>
      </c>
      <c r="AF1960" t="n">
        <v>6</v>
      </c>
      <c r="AG1960" t="n">
        <v>6</v>
      </c>
      <c r="AH1960" t="n">
        <v>3</v>
      </c>
      <c r="AI1960" t="n">
        <v>3</v>
      </c>
      <c r="AJ1960" t="n">
        <v>10</v>
      </c>
      <c r="AK1960" t="n">
        <v>10</v>
      </c>
      <c r="AL1960" t="n">
        <v>2</v>
      </c>
      <c r="AM1960" t="n">
        <v>2</v>
      </c>
      <c r="AN1960" t="n">
        <v>0</v>
      </c>
      <c r="AO1960" t="n">
        <v>0</v>
      </c>
      <c r="AP1960" t="inlineStr">
        <is>
          <t>No</t>
        </is>
      </c>
      <c r="AQ1960" t="inlineStr">
        <is>
          <t>Yes</t>
        </is>
      </c>
      <c r="AR1960">
        <f>HYPERLINK("http://catalog.hathitrust.org/Record/003000877","HathiTrust Record")</f>
        <v/>
      </c>
      <c r="AS1960">
        <f>HYPERLINK("https://creighton-primo.hosted.exlibrisgroup.com/primo-explore/search?tab=default_tab&amp;search_scope=EVERYTHING&amp;vid=01CRU&amp;lang=en_US&amp;offset=0&amp;query=any,contains,991002427329702656","Catalog Record")</f>
        <v/>
      </c>
      <c r="AT1960">
        <f>HYPERLINK("http://www.worldcat.org/oclc/31610148","WorldCat Record")</f>
        <v/>
      </c>
      <c r="AU1960" t="inlineStr">
        <is>
          <t>350074167:eng</t>
        </is>
      </c>
      <c r="AV1960" t="inlineStr">
        <is>
          <t>31610148</t>
        </is>
      </c>
      <c r="AW1960" t="inlineStr">
        <is>
          <t>991002427329702656</t>
        </is>
      </c>
      <c r="AX1960" t="inlineStr">
        <is>
          <t>991002427329702656</t>
        </is>
      </c>
      <c r="AY1960" t="inlineStr">
        <is>
          <t>2258714650002656</t>
        </is>
      </c>
      <c r="AZ1960" t="inlineStr">
        <is>
          <t>BOOK</t>
        </is>
      </c>
      <c r="BB1960" t="inlineStr">
        <is>
          <t>9780826184009</t>
        </is>
      </c>
      <c r="BC1960" t="inlineStr">
        <is>
          <t>32285002320017</t>
        </is>
      </c>
      <c r="BD1960" t="inlineStr">
        <is>
          <t>893329062</t>
        </is>
      </c>
    </row>
    <row r="1961">
      <c r="A1961" t="inlineStr">
        <is>
          <t>No</t>
        </is>
      </c>
      <c r="B1961" t="inlineStr">
        <is>
          <t>HQ756 .B43 1983</t>
        </is>
      </c>
      <c r="C1961" t="inlineStr">
        <is>
          <t>0                      HQ 0756000B  43          1983</t>
        </is>
      </c>
      <c r="D1961" t="inlineStr">
        <is>
          <t>Househusbands : men and housework in American families / William R. Beer.</t>
        </is>
      </c>
      <c r="F1961" t="inlineStr">
        <is>
          <t>No</t>
        </is>
      </c>
      <c r="G1961" t="inlineStr">
        <is>
          <t>1</t>
        </is>
      </c>
      <c r="H1961" t="inlineStr">
        <is>
          <t>No</t>
        </is>
      </c>
      <c r="I1961" t="inlineStr">
        <is>
          <t>No</t>
        </is>
      </c>
      <c r="J1961" t="inlineStr">
        <is>
          <t>0</t>
        </is>
      </c>
      <c r="K1961" t="inlineStr">
        <is>
          <t>Beer, William R., 1943-</t>
        </is>
      </c>
      <c r="L1961" t="inlineStr">
        <is>
          <t>New York, N.Y. : Praeger ; South Hadley, Mass. : J.F. Bergin Publishers, 1983.</t>
        </is>
      </c>
      <c r="M1961" t="inlineStr">
        <is>
          <t>1983</t>
        </is>
      </c>
      <c r="O1961" t="inlineStr">
        <is>
          <t>eng</t>
        </is>
      </c>
      <c r="P1961" t="inlineStr">
        <is>
          <t>nyu</t>
        </is>
      </c>
      <c r="R1961" t="inlineStr">
        <is>
          <t xml:space="preserve">HQ </t>
        </is>
      </c>
      <c r="S1961" t="n">
        <v>12</v>
      </c>
      <c r="T1961" t="n">
        <v>12</v>
      </c>
      <c r="U1961" t="inlineStr">
        <is>
          <t>2006-03-16</t>
        </is>
      </c>
      <c r="V1961" t="inlineStr">
        <is>
          <t>2006-03-16</t>
        </is>
      </c>
      <c r="W1961" t="inlineStr">
        <is>
          <t>1992-11-04</t>
        </is>
      </c>
      <c r="X1961" t="inlineStr">
        <is>
          <t>1992-11-04</t>
        </is>
      </c>
      <c r="Y1961" t="n">
        <v>739</v>
      </c>
      <c r="Z1961" t="n">
        <v>658</v>
      </c>
      <c r="AA1961" t="n">
        <v>700</v>
      </c>
      <c r="AB1961" t="n">
        <v>4</v>
      </c>
      <c r="AC1961" t="n">
        <v>5</v>
      </c>
      <c r="AD1961" t="n">
        <v>16</v>
      </c>
      <c r="AE1961" t="n">
        <v>20</v>
      </c>
      <c r="AF1961" t="n">
        <v>5</v>
      </c>
      <c r="AG1961" t="n">
        <v>7</v>
      </c>
      <c r="AH1961" t="n">
        <v>4</v>
      </c>
      <c r="AI1961" t="n">
        <v>4</v>
      </c>
      <c r="AJ1961" t="n">
        <v>8</v>
      </c>
      <c r="AK1961" t="n">
        <v>11</v>
      </c>
      <c r="AL1961" t="n">
        <v>3</v>
      </c>
      <c r="AM1961" t="n">
        <v>4</v>
      </c>
      <c r="AN1961" t="n">
        <v>0</v>
      </c>
      <c r="AO1961" t="n">
        <v>0</v>
      </c>
      <c r="AP1961" t="inlineStr">
        <is>
          <t>No</t>
        </is>
      </c>
      <c r="AQ1961" t="inlineStr">
        <is>
          <t>Yes</t>
        </is>
      </c>
      <c r="AR1961">
        <f>HYPERLINK("http://catalog.hathitrust.org/Record/000309627","HathiTrust Record")</f>
        <v/>
      </c>
      <c r="AS1961">
        <f>HYPERLINK("https://creighton-primo.hosted.exlibrisgroup.com/primo-explore/search?tab=default_tab&amp;search_scope=EVERYTHING&amp;vid=01CRU&amp;lang=en_US&amp;offset=0&amp;query=any,contains,991000045729702656","Catalog Record")</f>
        <v/>
      </c>
      <c r="AT1961">
        <f>HYPERLINK("http://www.worldcat.org/oclc/8668758","WorldCat Record")</f>
        <v/>
      </c>
      <c r="AU1961" t="inlineStr">
        <is>
          <t>432656:eng</t>
        </is>
      </c>
      <c r="AV1961" t="inlineStr">
        <is>
          <t>8668758</t>
        </is>
      </c>
      <c r="AW1961" t="inlineStr">
        <is>
          <t>991000045729702656</t>
        </is>
      </c>
      <c r="AX1961" t="inlineStr">
        <is>
          <t>991000045729702656</t>
        </is>
      </c>
      <c r="AY1961" t="inlineStr">
        <is>
          <t>2270478660002656</t>
        </is>
      </c>
      <c r="AZ1961" t="inlineStr">
        <is>
          <t>BOOK</t>
        </is>
      </c>
      <c r="BB1961" t="inlineStr">
        <is>
          <t>9780030599781</t>
        </is>
      </c>
      <c r="BC1961" t="inlineStr">
        <is>
          <t>32285001359719</t>
        </is>
      </c>
      <c r="BD1961" t="inlineStr">
        <is>
          <t>893714246</t>
        </is>
      </c>
    </row>
    <row r="1962">
      <c r="A1962" t="inlineStr">
        <is>
          <t>No</t>
        </is>
      </c>
      <c r="B1962" t="inlineStr">
        <is>
          <t>HQ756 .B53 1994</t>
        </is>
      </c>
      <c r="C1962" t="inlineStr">
        <is>
          <t>0                      HQ 0756000B  53          1994</t>
        </is>
      </c>
      <c r="D1962" t="inlineStr">
        <is>
          <t>The father factor : what you need to know to make a difference / Henry B. Biller and Robert J. Trotter.</t>
        </is>
      </c>
      <c r="F1962" t="inlineStr">
        <is>
          <t>No</t>
        </is>
      </c>
      <c r="G1962" t="inlineStr">
        <is>
          <t>1</t>
        </is>
      </c>
      <c r="H1962" t="inlineStr">
        <is>
          <t>No</t>
        </is>
      </c>
      <c r="I1962" t="inlineStr">
        <is>
          <t>No</t>
        </is>
      </c>
      <c r="J1962" t="inlineStr">
        <is>
          <t>0</t>
        </is>
      </c>
      <c r="K1962" t="inlineStr">
        <is>
          <t>Biller, Henry B.</t>
        </is>
      </c>
      <c r="L1962" t="inlineStr">
        <is>
          <t>New York : Pocket Books, c1994.</t>
        </is>
      </c>
      <c r="M1962" t="inlineStr">
        <is>
          <t>1994</t>
        </is>
      </c>
      <c r="O1962" t="inlineStr">
        <is>
          <t>eng</t>
        </is>
      </c>
      <c r="P1962" t="inlineStr">
        <is>
          <t>nyu</t>
        </is>
      </c>
      <c r="R1962" t="inlineStr">
        <is>
          <t xml:space="preserve">HQ </t>
        </is>
      </c>
      <c r="S1962" t="n">
        <v>17</v>
      </c>
      <c r="T1962" t="n">
        <v>17</v>
      </c>
      <c r="U1962" t="inlineStr">
        <is>
          <t>2000-01-13</t>
        </is>
      </c>
      <c r="V1962" t="inlineStr">
        <is>
          <t>2000-01-13</t>
        </is>
      </c>
      <c r="W1962" t="inlineStr">
        <is>
          <t>1995-03-01</t>
        </is>
      </c>
      <c r="X1962" t="inlineStr">
        <is>
          <t>1995-03-01</t>
        </is>
      </c>
      <c r="Y1962" t="n">
        <v>94</v>
      </c>
      <c r="Z1962" t="n">
        <v>87</v>
      </c>
      <c r="AA1962" t="n">
        <v>94</v>
      </c>
      <c r="AB1962" t="n">
        <v>1</v>
      </c>
      <c r="AC1962" t="n">
        <v>1</v>
      </c>
      <c r="AD1962" t="n">
        <v>1</v>
      </c>
      <c r="AE1962" t="n">
        <v>1</v>
      </c>
      <c r="AF1962" t="n">
        <v>0</v>
      </c>
      <c r="AG1962" t="n">
        <v>0</v>
      </c>
      <c r="AH1962" t="n">
        <v>1</v>
      </c>
      <c r="AI1962" t="n">
        <v>1</v>
      </c>
      <c r="AJ1962" t="n">
        <v>0</v>
      </c>
      <c r="AK1962" t="n">
        <v>0</v>
      </c>
      <c r="AL1962" t="n">
        <v>0</v>
      </c>
      <c r="AM1962" t="n">
        <v>0</v>
      </c>
      <c r="AN1962" t="n">
        <v>0</v>
      </c>
      <c r="AO1962" t="n">
        <v>0</v>
      </c>
      <c r="AP1962" t="inlineStr">
        <is>
          <t>No</t>
        </is>
      </c>
      <c r="AQ1962" t="inlineStr">
        <is>
          <t>No</t>
        </is>
      </c>
      <c r="AS1962">
        <f>HYPERLINK("https://creighton-primo.hosted.exlibrisgroup.com/primo-explore/search?tab=default_tab&amp;search_scope=EVERYTHING&amp;vid=01CRU&amp;lang=en_US&amp;offset=0&amp;query=any,contains,991002248089702656","Catalog Record")</f>
        <v/>
      </c>
      <c r="AT1962">
        <f>HYPERLINK("http://www.worldcat.org/oclc/29023388","WorldCat Record")</f>
        <v/>
      </c>
      <c r="AU1962" t="inlineStr">
        <is>
          <t>31208818:eng</t>
        </is>
      </c>
      <c r="AV1962" t="inlineStr">
        <is>
          <t>29023388</t>
        </is>
      </c>
      <c r="AW1962" t="inlineStr">
        <is>
          <t>991002248089702656</t>
        </is>
      </c>
      <c r="AX1962" t="inlineStr">
        <is>
          <t>991002248089702656</t>
        </is>
      </c>
      <c r="AY1962" t="inlineStr">
        <is>
          <t>2261678660002656</t>
        </is>
      </c>
      <c r="AZ1962" t="inlineStr">
        <is>
          <t>BOOK</t>
        </is>
      </c>
      <c r="BB1962" t="inlineStr">
        <is>
          <t>9780671793975</t>
        </is>
      </c>
      <c r="BC1962" t="inlineStr">
        <is>
          <t>32285002001039</t>
        </is>
      </c>
      <c r="BD1962" t="inlineStr">
        <is>
          <t>893785901</t>
        </is>
      </c>
    </row>
    <row r="1963">
      <c r="A1963" t="inlineStr">
        <is>
          <t>No</t>
        </is>
      </c>
      <c r="B1963" t="inlineStr">
        <is>
          <t>HQ756 .B57 1996</t>
        </is>
      </c>
      <c r="C1963" t="inlineStr">
        <is>
          <t>0                      HQ 0756000B  57          1996</t>
        </is>
      </c>
      <c r="D1963" t="inlineStr">
        <is>
          <t>Fatherless America : confronting our most urgent social problem / David Blankenhorn.</t>
        </is>
      </c>
      <c r="F1963" t="inlineStr">
        <is>
          <t>No</t>
        </is>
      </c>
      <c r="G1963" t="inlineStr">
        <is>
          <t>1</t>
        </is>
      </c>
      <c r="H1963" t="inlineStr">
        <is>
          <t>No</t>
        </is>
      </c>
      <c r="I1963" t="inlineStr">
        <is>
          <t>Yes</t>
        </is>
      </c>
      <c r="J1963" t="inlineStr">
        <is>
          <t>0</t>
        </is>
      </c>
      <c r="K1963" t="inlineStr">
        <is>
          <t>Blankenhorn, David.</t>
        </is>
      </c>
      <c r="L1963" t="inlineStr">
        <is>
          <t>New York : HarperPerennial, 1996, c1995.</t>
        </is>
      </c>
      <c r="M1963" t="inlineStr">
        <is>
          <t>1996</t>
        </is>
      </c>
      <c r="N1963" t="inlineStr">
        <is>
          <t>1st HarperPerennial ed.</t>
        </is>
      </c>
      <c r="O1963" t="inlineStr">
        <is>
          <t>eng</t>
        </is>
      </c>
      <c r="P1963" t="inlineStr">
        <is>
          <t>nyu</t>
        </is>
      </c>
      <c r="R1963" t="inlineStr">
        <is>
          <t xml:space="preserve">HQ </t>
        </is>
      </c>
      <c r="S1963" t="n">
        <v>40</v>
      </c>
      <c r="T1963" t="n">
        <v>40</v>
      </c>
      <c r="U1963" t="inlineStr">
        <is>
          <t>2010-10-04</t>
        </is>
      </c>
      <c r="V1963" t="inlineStr">
        <is>
          <t>2010-10-04</t>
        </is>
      </c>
      <c r="W1963" t="inlineStr">
        <is>
          <t>2000-10-23</t>
        </is>
      </c>
      <c r="X1963" t="inlineStr">
        <is>
          <t>2000-10-23</t>
        </is>
      </c>
      <c r="Y1963" t="n">
        <v>191</v>
      </c>
      <c r="Z1963" t="n">
        <v>176</v>
      </c>
      <c r="AA1963" t="n">
        <v>1718</v>
      </c>
      <c r="AB1963" t="n">
        <v>3</v>
      </c>
      <c r="AC1963" t="n">
        <v>14</v>
      </c>
      <c r="AD1963" t="n">
        <v>4</v>
      </c>
      <c r="AE1963" t="n">
        <v>49</v>
      </c>
      <c r="AF1963" t="n">
        <v>1</v>
      </c>
      <c r="AG1963" t="n">
        <v>19</v>
      </c>
      <c r="AH1963" t="n">
        <v>0</v>
      </c>
      <c r="AI1963" t="n">
        <v>8</v>
      </c>
      <c r="AJ1963" t="n">
        <v>1</v>
      </c>
      <c r="AK1963" t="n">
        <v>20</v>
      </c>
      <c r="AL1963" t="n">
        <v>2</v>
      </c>
      <c r="AM1963" t="n">
        <v>10</v>
      </c>
      <c r="AN1963" t="n">
        <v>1</v>
      </c>
      <c r="AO1963" t="n">
        <v>3</v>
      </c>
      <c r="AP1963" t="inlineStr">
        <is>
          <t>No</t>
        </is>
      </c>
      <c r="AQ1963" t="inlineStr">
        <is>
          <t>No</t>
        </is>
      </c>
      <c r="AS1963">
        <f>HYPERLINK("https://creighton-primo.hosted.exlibrisgroup.com/primo-explore/search?tab=default_tab&amp;search_scope=EVERYTHING&amp;vid=01CRU&amp;lang=en_US&amp;offset=0&amp;query=any,contains,991003282979702656","Catalog Record")</f>
        <v/>
      </c>
      <c r="AT1963">
        <f>HYPERLINK("http://www.worldcat.org/oclc/34971977","WorldCat Record")</f>
        <v/>
      </c>
      <c r="AU1963" t="inlineStr">
        <is>
          <t>12005084:eng</t>
        </is>
      </c>
      <c r="AV1963" t="inlineStr">
        <is>
          <t>34971977</t>
        </is>
      </c>
      <c r="AW1963" t="inlineStr">
        <is>
          <t>991003282979702656</t>
        </is>
      </c>
      <c r="AX1963" t="inlineStr">
        <is>
          <t>991003282979702656</t>
        </is>
      </c>
      <c r="AY1963" t="inlineStr">
        <is>
          <t>2265959510002656</t>
        </is>
      </c>
      <c r="AZ1963" t="inlineStr">
        <is>
          <t>BOOK</t>
        </is>
      </c>
      <c r="BB1963" t="inlineStr">
        <is>
          <t>9780060926830</t>
        </is>
      </c>
      <c r="BC1963" t="inlineStr">
        <is>
          <t>32285003769048</t>
        </is>
      </c>
      <c r="BD1963" t="inlineStr">
        <is>
          <t>893868258</t>
        </is>
      </c>
    </row>
    <row r="1964">
      <c r="A1964" t="inlineStr">
        <is>
          <t>No</t>
        </is>
      </c>
      <c r="B1964" t="inlineStr">
        <is>
          <t>HQ756 .C64</t>
        </is>
      </c>
      <c r="C1964" t="inlineStr">
        <is>
          <t>0                      HQ 0756000C  64</t>
        </is>
      </c>
      <c r="D1964" t="inlineStr">
        <is>
          <t>Earth father/sky father : the changing concept of fathering / Arthur, Libby Colman.</t>
        </is>
      </c>
      <c r="F1964" t="inlineStr">
        <is>
          <t>No</t>
        </is>
      </c>
      <c r="G1964" t="inlineStr">
        <is>
          <t>1</t>
        </is>
      </c>
      <c r="H1964" t="inlineStr">
        <is>
          <t>No</t>
        </is>
      </c>
      <c r="I1964" t="inlineStr">
        <is>
          <t>No</t>
        </is>
      </c>
      <c r="J1964" t="inlineStr">
        <is>
          <t>0</t>
        </is>
      </c>
      <c r="K1964" t="inlineStr">
        <is>
          <t>Colman, Arthur D., 1937-</t>
        </is>
      </c>
      <c r="L1964" t="inlineStr">
        <is>
          <t>Englewood Cliffs, NJ : Prentice-Hall, c1981.</t>
        </is>
      </c>
      <c r="M1964" t="inlineStr">
        <is>
          <t>1981</t>
        </is>
      </c>
      <c r="O1964" t="inlineStr">
        <is>
          <t>eng</t>
        </is>
      </c>
      <c r="P1964" t="inlineStr">
        <is>
          <t>nju</t>
        </is>
      </c>
      <c r="Q1964" t="inlineStr">
        <is>
          <t>A Spectrum book</t>
        </is>
      </c>
      <c r="R1964" t="inlineStr">
        <is>
          <t xml:space="preserve">HQ </t>
        </is>
      </c>
      <c r="S1964" t="n">
        <v>1</v>
      </c>
      <c r="T1964" t="n">
        <v>1</v>
      </c>
      <c r="U1964" t="inlineStr">
        <is>
          <t>2000-11-27</t>
        </is>
      </c>
      <c r="V1964" t="inlineStr">
        <is>
          <t>2000-11-27</t>
        </is>
      </c>
      <c r="W1964" t="inlineStr">
        <is>
          <t>1992-11-04</t>
        </is>
      </c>
      <c r="X1964" t="inlineStr">
        <is>
          <t>1992-11-04</t>
        </is>
      </c>
      <c r="Y1964" t="n">
        <v>178</v>
      </c>
      <c r="Z1964" t="n">
        <v>149</v>
      </c>
      <c r="AA1964" t="n">
        <v>155</v>
      </c>
      <c r="AB1964" t="n">
        <v>1</v>
      </c>
      <c r="AC1964" t="n">
        <v>1</v>
      </c>
      <c r="AD1964" t="n">
        <v>1</v>
      </c>
      <c r="AE1964" t="n">
        <v>1</v>
      </c>
      <c r="AF1964" t="n">
        <v>0</v>
      </c>
      <c r="AG1964" t="n">
        <v>0</v>
      </c>
      <c r="AH1964" t="n">
        <v>0</v>
      </c>
      <c r="AI1964" t="n">
        <v>0</v>
      </c>
      <c r="AJ1964" t="n">
        <v>1</v>
      </c>
      <c r="AK1964" t="n">
        <v>1</v>
      </c>
      <c r="AL1964" t="n">
        <v>0</v>
      </c>
      <c r="AM1964" t="n">
        <v>0</v>
      </c>
      <c r="AN1964" t="n">
        <v>0</v>
      </c>
      <c r="AO1964" t="n">
        <v>0</v>
      </c>
      <c r="AP1964" t="inlineStr">
        <is>
          <t>No</t>
        </is>
      </c>
      <c r="AQ1964" t="inlineStr">
        <is>
          <t>Yes</t>
        </is>
      </c>
      <c r="AR1964">
        <f>HYPERLINK("http://catalog.hathitrust.org/Record/007572421","HathiTrust Record")</f>
        <v/>
      </c>
      <c r="AS1964">
        <f>HYPERLINK("https://creighton-primo.hosted.exlibrisgroup.com/primo-explore/search?tab=default_tab&amp;search_scope=EVERYTHING&amp;vid=01CRU&amp;lang=en_US&amp;offset=0&amp;query=any,contains,991005097429702656","Catalog Record")</f>
        <v/>
      </c>
      <c r="AT1964">
        <f>HYPERLINK("http://www.worldcat.org/oclc/7276182","WorldCat Record")</f>
        <v/>
      </c>
      <c r="AU1964" t="inlineStr">
        <is>
          <t>2290828169:eng</t>
        </is>
      </c>
      <c r="AV1964" t="inlineStr">
        <is>
          <t>7276182</t>
        </is>
      </c>
      <c r="AW1964" t="inlineStr">
        <is>
          <t>991005097429702656</t>
        </is>
      </c>
      <c r="AX1964" t="inlineStr">
        <is>
          <t>991005097429702656</t>
        </is>
      </c>
      <c r="AY1964" t="inlineStr">
        <is>
          <t>2259946250002656</t>
        </is>
      </c>
      <c r="AZ1964" t="inlineStr">
        <is>
          <t>BOOK</t>
        </is>
      </c>
      <c r="BB1964" t="inlineStr">
        <is>
          <t>9780132230247</t>
        </is>
      </c>
      <c r="BC1964" t="inlineStr">
        <is>
          <t>32285001359727</t>
        </is>
      </c>
      <c r="BD1964" t="inlineStr">
        <is>
          <t>893263601</t>
        </is>
      </c>
    </row>
    <row r="1965">
      <c r="A1965" t="inlineStr">
        <is>
          <t>No</t>
        </is>
      </c>
      <c r="B1965" t="inlineStr">
        <is>
          <t>HQ756 .C667 2006</t>
        </is>
      </c>
      <c r="C1965" t="inlineStr">
        <is>
          <t>0                      HQ 0756000C  667         2006</t>
        </is>
      </c>
      <c r="D1965" t="inlineStr">
        <is>
          <t>Black fathers : an invisible presence in America / edited by Michael E. Connor, Joseph L. White.</t>
        </is>
      </c>
      <c r="F1965" t="inlineStr">
        <is>
          <t>No</t>
        </is>
      </c>
      <c r="G1965" t="inlineStr">
        <is>
          <t>1</t>
        </is>
      </c>
      <c r="H1965" t="inlineStr">
        <is>
          <t>No</t>
        </is>
      </c>
      <c r="I1965" t="inlineStr">
        <is>
          <t>No</t>
        </is>
      </c>
      <c r="J1965" t="inlineStr">
        <is>
          <t>0</t>
        </is>
      </c>
      <c r="L1965" t="inlineStr">
        <is>
          <t>Mahwah, N.J. : Lawrence Erlbaum Associates, Publishers, 2006.</t>
        </is>
      </c>
      <c r="M1965" t="inlineStr">
        <is>
          <t>2006</t>
        </is>
      </c>
      <c r="O1965" t="inlineStr">
        <is>
          <t>eng</t>
        </is>
      </c>
      <c r="P1965" t="inlineStr">
        <is>
          <t>nju</t>
        </is>
      </c>
      <c r="R1965" t="inlineStr">
        <is>
          <t xml:space="preserve">HQ </t>
        </is>
      </c>
      <c r="S1965" t="n">
        <v>1</v>
      </c>
      <c r="T1965" t="n">
        <v>1</v>
      </c>
      <c r="U1965" t="inlineStr">
        <is>
          <t>2006-09-11</t>
        </is>
      </c>
      <c r="V1965" t="inlineStr">
        <is>
          <t>2006-09-11</t>
        </is>
      </c>
      <c r="W1965" t="inlineStr">
        <is>
          <t>2006-09-11</t>
        </is>
      </c>
      <c r="X1965" t="inlineStr">
        <is>
          <t>2006-09-11</t>
        </is>
      </c>
      <c r="Y1965" t="n">
        <v>619</v>
      </c>
      <c r="Z1965" t="n">
        <v>586</v>
      </c>
      <c r="AA1965" t="n">
        <v>692</v>
      </c>
      <c r="AB1965" t="n">
        <v>2</v>
      </c>
      <c r="AC1965" t="n">
        <v>3</v>
      </c>
      <c r="AD1965" t="n">
        <v>21</v>
      </c>
      <c r="AE1965" t="n">
        <v>25</v>
      </c>
      <c r="AF1965" t="n">
        <v>10</v>
      </c>
      <c r="AG1965" t="n">
        <v>12</v>
      </c>
      <c r="AH1965" t="n">
        <v>6</v>
      </c>
      <c r="AI1965" t="n">
        <v>7</v>
      </c>
      <c r="AJ1965" t="n">
        <v>8</v>
      </c>
      <c r="AK1965" t="n">
        <v>9</v>
      </c>
      <c r="AL1965" t="n">
        <v>1</v>
      </c>
      <c r="AM1965" t="n">
        <v>2</v>
      </c>
      <c r="AN1965" t="n">
        <v>0</v>
      </c>
      <c r="AO1965" t="n">
        <v>0</v>
      </c>
      <c r="AP1965" t="inlineStr">
        <is>
          <t>No</t>
        </is>
      </c>
      <c r="AQ1965" t="inlineStr">
        <is>
          <t>No</t>
        </is>
      </c>
      <c r="AS1965">
        <f>HYPERLINK("https://creighton-primo.hosted.exlibrisgroup.com/primo-explore/search?tab=default_tab&amp;search_scope=EVERYTHING&amp;vid=01CRU&amp;lang=en_US&amp;offset=0&amp;query=any,contains,991004851619702656","Catalog Record")</f>
        <v/>
      </c>
      <c r="AT1965">
        <f>HYPERLINK("http://www.worldcat.org/oclc/61027777","WorldCat Record")</f>
        <v/>
      </c>
      <c r="AU1965" t="inlineStr">
        <is>
          <t>800625467:eng</t>
        </is>
      </c>
      <c r="AV1965" t="inlineStr">
        <is>
          <t>61027777</t>
        </is>
      </c>
      <c r="AW1965" t="inlineStr">
        <is>
          <t>991004851619702656</t>
        </is>
      </c>
      <c r="AX1965" t="inlineStr">
        <is>
          <t>991004851619702656</t>
        </is>
      </c>
      <c r="AY1965" t="inlineStr">
        <is>
          <t>2259864200002656</t>
        </is>
      </c>
      <c r="AZ1965" t="inlineStr">
        <is>
          <t>BOOK</t>
        </is>
      </c>
      <c r="BB1965" t="inlineStr">
        <is>
          <t>9780805845099</t>
        </is>
      </c>
      <c r="BC1965" t="inlineStr">
        <is>
          <t>32285005222640</t>
        </is>
      </c>
      <c r="BD1965" t="inlineStr">
        <is>
          <t>893901837</t>
        </is>
      </c>
    </row>
    <row r="1966">
      <c r="A1966" t="inlineStr">
        <is>
          <t>No</t>
        </is>
      </c>
      <c r="B1966" t="inlineStr">
        <is>
          <t>HQ756 .C68</t>
        </is>
      </c>
      <c r="C1966" t="inlineStr">
        <is>
          <t>0                      HQ 0756000C  68</t>
        </is>
      </c>
      <c r="D1966" t="inlineStr">
        <is>
          <t>Like fathers, like sons : portraits of intimacy and strain / by Thomas J. Cottle.</t>
        </is>
      </c>
      <c r="F1966" t="inlineStr">
        <is>
          <t>No</t>
        </is>
      </c>
      <c r="G1966" t="inlineStr">
        <is>
          <t>1</t>
        </is>
      </c>
      <c r="H1966" t="inlineStr">
        <is>
          <t>No</t>
        </is>
      </c>
      <c r="I1966" t="inlineStr">
        <is>
          <t>No</t>
        </is>
      </c>
      <c r="J1966" t="inlineStr">
        <is>
          <t>0</t>
        </is>
      </c>
      <c r="K1966" t="inlineStr">
        <is>
          <t>Cottle, Thomas J.</t>
        </is>
      </c>
      <c r="L1966" t="inlineStr">
        <is>
          <t>Norwood, N.J. : Ablex Pub. Corp., c1981.</t>
        </is>
      </c>
      <c r="M1966" t="inlineStr">
        <is>
          <t>1981</t>
        </is>
      </c>
      <c r="O1966" t="inlineStr">
        <is>
          <t>eng</t>
        </is>
      </c>
      <c r="P1966" t="inlineStr">
        <is>
          <t>nju</t>
        </is>
      </c>
      <c r="Q1966" t="inlineStr">
        <is>
          <t>Modern sociology</t>
        </is>
      </c>
      <c r="R1966" t="inlineStr">
        <is>
          <t xml:space="preserve">HQ </t>
        </is>
      </c>
      <c r="S1966" t="n">
        <v>1</v>
      </c>
      <c r="T1966" t="n">
        <v>1</v>
      </c>
      <c r="U1966" t="inlineStr">
        <is>
          <t>2001-05-25</t>
        </is>
      </c>
      <c r="V1966" t="inlineStr">
        <is>
          <t>2001-05-25</t>
        </is>
      </c>
      <c r="W1966" t="inlineStr">
        <is>
          <t>1992-11-04</t>
        </is>
      </c>
      <c r="X1966" t="inlineStr">
        <is>
          <t>1992-11-04</t>
        </is>
      </c>
      <c r="Y1966" t="n">
        <v>354</v>
      </c>
      <c r="Z1966" t="n">
        <v>287</v>
      </c>
      <c r="AA1966" t="n">
        <v>294</v>
      </c>
      <c r="AB1966" t="n">
        <v>2</v>
      </c>
      <c r="AC1966" t="n">
        <v>2</v>
      </c>
      <c r="AD1966" t="n">
        <v>10</v>
      </c>
      <c r="AE1966" t="n">
        <v>10</v>
      </c>
      <c r="AF1966" t="n">
        <v>1</v>
      </c>
      <c r="AG1966" t="n">
        <v>1</v>
      </c>
      <c r="AH1966" t="n">
        <v>2</v>
      </c>
      <c r="AI1966" t="n">
        <v>2</v>
      </c>
      <c r="AJ1966" t="n">
        <v>8</v>
      </c>
      <c r="AK1966" t="n">
        <v>8</v>
      </c>
      <c r="AL1966" t="n">
        <v>1</v>
      </c>
      <c r="AM1966" t="n">
        <v>1</v>
      </c>
      <c r="AN1966" t="n">
        <v>0</v>
      </c>
      <c r="AO1966" t="n">
        <v>0</v>
      </c>
      <c r="AP1966" t="inlineStr">
        <is>
          <t>No</t>
        </is>
      </c>
      <c r="AQ1966" t="inlineStr">
        <is>
          <t>Yes</t>
        </is>
      </c>
      <c r="AR1966">
        <f>HYPERLINK("http://catalog.hathitrust.org/Record/000143884","HathiTrust Record")</f>
        <v/>
      </c>
      <c r="AS1966">
        <f>HYPERLINK("https://creighton-primo.hosted.exlibrisgroup.com/primo-explore/search?tab=default_tab&amp;search_scope=EVERYTHING&amp;vid=01CRU&amp;lang=en_US&amp;offset=0&amp;query=any,contains,991005105159702656","Catalog Record")</f>
        <v/>
      </c>
      <c r="AT1966">
        <f>HYPERLINK("http://www.worldcat.org/oclc/7328764","WorldCat Record")</f>
        <v/>
      </c>
      <c r="AU1966" t="inlineStr">
        <is>
          <t>311848194:eng</t>
        </is>
      </c>
      <c r="AV1966" t="inlineStr">
        <is>
          <t>7328764</t>
        </is>
      </c>
      <c r="AW1966" t="inlineStr">
        <is>
          <t>991005105159702656</t>
        </is>
      </c>
      <c r="AX1966" t="inlineStr">
        <is>
          <t>991005105159702656</t>
        </is>
      </c>
      <c r="AY1966" t="inlineStr">
        <is>
          <t>2272516760002656</t>
        </is>
      </c>
      <c r="AZ1966" t="inlineStr">
        <is>
          <t>BOOK</t>
        </is>
      </c>
      <c r="BB1966" t="inlineStr">
        <is>
          <t>9780893910549</t>
        </is>
      </c>
      <c r="BC1966" t="inlineStr">
        <is>
          <t>32285001359735</t>
        </is>
      </c>
      <c r="BD1966" t="inlineStr">
        <is>
          <t>893807825</t>
        </is>
      </c>
    </row>
    <row r="1967">
      <c r="A1967" t="inlineStr">
        <is>
          <t>No</t>
        </is>
      </c>
      <c r="B1967" t="inlineStr">
        <is>
          <t>HQ756 .D47 2008</t>
        </is>
      </c>
      <c r="C1967" t="inlineStr">
        <is>
          <t>0                      HQ 0756000D  47          2008</t>
        </is>
      </c>
      <c r="D1967" t="inlineStr">
        <is>
          <t>Intimate fatherhood : a sociological analysis / Esther Dermott.</t>
        </is>
      </c>
      <c r="F1967" t="inlineStr">
        <is>
          <t>No</t>
        </is>
      </c>
      <c r="G1967" t="inlineStr">
        <is>
          <t>1</t>
        </is>
      </c>
      <c r="H1967" t="inlineStr">
        <is>
          <t>No</t>
        </is>
      </c>
      <c r="I1967" t="inlineStr">
        <is>
          <t>No</t>
        </is>
      </c>
      <c r="J1967" t="inlineStr">
        <is>
          <t>0</t>
        </is>
      </c>
      <c r="K1967" t="inlineStr">
        <is>
          <t>Dermott, Esther, 1973-</t>
        </is>
      </c>
      <c r="L1967" t="inlineStr">
        <is>
          <t>London ; New York : Routledge; 2008.</t>
        </is>
      </c>
      <c r="M1967" t="inlineStr">
        <is>
          <t>2008</t>
        </is>
      </c>
      <c r="O1967" t="inlineStr">
        <is>
          <t>eng</t>
        </is>
      </c>
      <c r="P1967" t="inlineStr">
        <is>
          <t>enk</t>
        </is>
      </c>
      <c r="R1967" t="inlineStr">
        <is>
          <t xml:space="preserve">HQ </t>
        </is>
      </c>
      <c r="S1967" t="n">
        <v>1</v>
      </c>
      <c r="T1967" t="n">
        <v>1</v>
      </c>
      <c r="U1967" t="inlineStr">
        <is>
          <t>2010-01-27</t>
        </is>
      </c>
      <c r="V1967" t="inlineStr">
        <is>
          <t>2010-01-27</t>
        </is>
      </c>
      <c r="W1967" t="inlineStr">
        <is>
          <t>2010-01-27</t>
        </is>
      </c>
      <c r="X1967" t="inlineStr">
        <is>
          <t>2010-01-27</t>
        </is>
      </c>
      <c r="Y1967" t="n">
        <v>298</v>
      </c>
      <c r="Z1967" t="n">
        <v>192</v>
      </c>
      <c r="AA1967" t="n">
        <v>219</v>
      </c>
      <c r="AB1967" t="n">
        <v>3</v>
      </c>
      <c r="AC1967" t="n">
        <v>3</v>
      </c>
      <c r="AD1967" t="n">
        <v>10</v>
      </c>
      <c r="AE1967" t="n">
        <v>10</v>
      </c>
      <c r="AF1967" t="n">
        <v>3</v>
      </c>
      <c r="AG1967" t="n">
        <v>3</v>
      </c>
      <c r="AH1967" t="n">
        <v>3</v>
      </c>
      <c r="AI1967" t="n">
        <v>3</v>
      </c>
      <c r="AJ1967" t="n">
        <v>5</v>
      </c>
      <c r="AK1967" t="n">
        <v>5</v>
      </c>
      <c r="AL1967" t="n">
        <v>2</v>
      </c>
      <c r="AM1967" t="n">
        <v>2</v>
      </c>
      <c r="AN1967" t="n">
        <v>0</v>
      </c>
      <c r="AO1967" t="n">
        <v>0</v>
      </c>
      <c r="AP1967" t="inlineStr">
        <is>
          <t>No</t>
        </is>
      </c>
      <c r="AQ1967" t="inlineStr">
        <is>
          <t>Yes</t>
        </is>
      </c>
      <c r="AR1967">
        <f>HYPERLINK("http://catalog.hathitrust.org/Record/005843724","HathiTrust Record")</f>
        <v/>
      </c>
      <c r="AS1967">
        <f>HYPERLINK("https://creighton-primo.hosted.exlibrisgroup.com/primo-explore/search?tab=default_tab&amp;search_scope=EVERYTHING&amp;vid=01CRU&amp;lang=en_US&amp;offset=0&amp;query=any,contains,991005349179702656","Catalog Record")</f>
        <v/>
      </c>
      <c r="AT1967">
        <f>HYPERLINK("http://www.worldcat.org/oclc/182552917","WorldCat Record")</f>
        <v/>
      </c>
      <c r="AU1967" t="inlineStr">
        <is>
          <t>224233596:eng</t>
        </is>
      </c>
      <c r="AV1967" t="inlineStr">
        <is>
          <t>182552917</t>
        </is>
      </c>
      <c r="AW1967" t="inlineStr">
        <is>
          <t>991005349179702656</t>
        </is>
      </c>
      <c r="AX1967" t="inlineStr">
        <is>
          <t>991005349179702656</t>
        </is>
      </c>
      <c r="AY1967" t="inlineStr">
        <is>
          <t>2269825570002656</t>
        </is>
      </c>
      <c r="AZ1967" t="inlineStr">
        <is>
          <t>BOOK</t>
        </is>
      </c>
      <c r="BB1967" t="inlineStr">
        <is>
          <t>9780415422611</t>
        </is>
      </c>
      <c r="BC1967" t="inlineStr">
        <is>
          <t>32285005559520</t>
        </is>
      </c>
      <c r="BD1967" t="inlineStr">
        <is>
          <t>893601019</t>
        </is>
      </c>
    </row>
    <row r="1968">
      <c r="A1968" t="inlineStr">
        <is>
          <t>No</t>
        </is>
      </c>
      <c r="B1968" t="inlineStr">
        <is>
          <t>HQ756 .D53 1985</t>
        </is>
      </c>
      <c r="C1968" t="inlineStr">
        <is>
          <t>0                      HQ 0756000D  53          1985</t>
        </is>
      </c>
      <c r="D1968" t="inlineStr">
        <is>
          <t>Dimensions of fatherhood / [edited by] Shirley M.H. Hanson, Frederick W. Bozett.</t>
        </is>
      </c>
      <c r="F1968" t="inlineStr">
        <is>
          <t>No</t>
        </is>
      </c>
      <c r="G1968" t="inlineStr">
        <is>
          <t>1</t>
        </is>
      </c>
      <c r="H1968" t="inlineStr">
        <is>
          <t>No</t>
        </is>
      </c>
      <c r="I1968" t="inlineStr">
        <is>
          <t>No</t>
        </is>
      </c>
      <c r="J1968" t="inlineStr">
        <is>
          <t>0</t>
        </is>
      </c>
      <c r="L1968" t="inlineStr">
        <is>
          <t>Beverly Hills, Calif. : Sage Publications, c1985.</t>
        </is>
      </c>
      <c r="M1968" t="inlineStr">
        <is>
          <t>1985</t>
        </is>
      </c>
      <c r="O1968" t="inlineStr">
        <is>
          <t>eng</t>
        </is>
      </c>
      <c r="P1968" t="inlineStr">
        <is>
          <t>cau</t>
        </is>
      </c>
      <c r="R1968" t="inlineStr">
        <is>
          <t xml:space="preserve">HQ </t>
        </is>
      </c>
      <c r="S1968" t="n">
        <v>7</v>
      </c>
      <c r="T1968" t="n">
        <v>7</v>
      </c>
      <c r="U1968" t="inlineStr">
        <is>
          <t>1997-06-24</t>
        </is>
      </c>
      <c r="V1968" t="inlineStr">
        <is>
          <t>1997-06-24</t>
        </is>
      </c>
      <c r="W1968" t="inlineStr">
        <is>
          <t>1991-12-06</t>
        </is>
      </c>
      <c r="X1968" t="inlineStr">
        <is>
          <t>1991-12-06</t>
        </is>
      </c>
      <c r="Y1968" t="n">
        <v>574</v>
      </c>
      <c r="Z1968" t="n">
        <v>461</v>
      </c>
      <c r="AA1968" t="n">
        <v>464</v>
      </c>
      <c r="AB1968" t="n">
        <v>3</v>
      </c>
      <c r="AC1968" t="n">
        <v>3</v>
      </c>
      <c r="AD1968" t="n">
        <v>20</v>
      </c>
      <c r="AE1968" t="n">
        <v>20</v>
      </c>
      <c r="AF1968" t="n">
        <v>8</v>
      </c>
      <c r="AG1968" t="n">
        <v>8</v>
      </c>
      <c r="AH1968" t="n">
        <v>4</v>
      </c>
      <c r="AI1968" t="n">
        <v>4</v>
      </c>
      <c r="AJ1968" t="n">
        <v>12</v>
      </c>
      <c r="AK1968" t="n">
        <v>12</v>
      </c>
      <c r="AL1968" t="n">
        <v>2</v>
      </c>
      <c r="AM1968" t="n">
        <v>2</v>
      </c>
      <c r="AN1968" t="n">
        <v>0</v>
      </c>
      <c r="AO1968" t="n">
        <v>0</v>
      </c>
      <c r="AP1968" t="inlineStr">
        <is>
          <t>No</t>
        </is>
      </c>
      <c r="AQ1968" t="inlineStr">
        <is>
          <t>Yes</t>
        </is>
      </c>
      <c r="AR1968">
        <f>HYPERLINK("http://catalog.hathitrust.org/Record/000569714","HathiTrust Record")</f>
        <v/>
      </c>
      <c r="AS1968">
        <f>HYPERLINK("https://creighton-primo.hosted.exlibrisgroup.com/primo-explore/search?tab=default_tab&amp;search_scope=EVERYTHING&amp;vid=01CRU&amp;lang=en_US&amp;offset=0&amp;query=any,contains,991000535329702656","Catalog Record")</f>
        <v/>
      </c>
      <c r="AT1968">
        <f>HYPERLINK("http://www.worldcat.org/oclc/11444329","WorldCat Record")</f>
        <v/>
      </c>
      <c r="AU1968" t="inlineStr">
        <is>
          <t>353837732:eng</t>
        </is>
      </c>
      <c r="AV1968" t="inlineStr">
        <is>
          <t>11444329</t>
        </is>
      </c>
      <c r="AW1968" t="inlineStr">
        <is>
          <t>991000535329702656</t>
        </is>
      </c>
      <c r="AX1968" t="inlineStr">
        <is>
          <t>991000535329702656</t>
        </is>
      </c>
      <c r="AY1968" t="inlineStr">
        <is>
          <t>2260096280002656</t>
        </is>
      </c>
      <c r="AZ1968" t="inlineStr">
        <is>
          <t>BOOK</t>
        </is>
      </c>
      <c r="BB1968" t="inlineStr">
        <is>
          <t>9780803924222</t>
        </is>
      </c>
      <c r="BC1968" t="inlineStr">
        <is>
          <t>32285000829225</t>
        </is>
      </c>
      <c r="BD1968" t="inlineStr">
        <is>
          <t>893249442</t>
        </is>
      </c>
    </row>
    <row r="1969">
      <c r="A1969" t="inlineStr">
        <is>
          <t>No</t>
        </is>
      </c>
      <c r="B1969" t="inlineStr">
        <is>
          <t>HQ756 .F369 1992</t>
        </is>
      </c>
      <c r="C1969" t="inlineStr">
        <is>
          <t>0                      HQ 0756000F  369         1992</t>
        </is>
      </c>
      <c r="D1969" t="inlineStr">
        <is>
          <t>Father-child relations : cultural and biosocial contexts / Barry S. Hewlett, editor.</t>
        </is>
      </c>
      <c r="F1969" t="inlineStr">
        <is>
          <t>No</t>
        </is>
      </c>
      <c r="G1969" t="inlineStr">
        <is>
          <t>1</t>
        </is>
      </c>
      <c r="H1969" t="inlineStr">
        <is>
          <t>No</t>
        </is>
      </c>
      <c r="I1969" t="inlineStr">
        <is>
          <t>No</t>
        </is>
      </c>
      <c r="J1969" t="inlineStr">
        <is>
          <t>0</t>
        </is>
      </c>
      <c r="L1969" t="inlineStr">
        <is>
          <t>Hawthorne, N.Y. : Aldine De Gruyter, c1992.</t>
        </is>
      </c>
      <c r="M1969" t="inlineStr">
        <is>
          <t>1992</t>
        </is>
      </c>
      <c r="O1969" t="inlineStr">
        <is>
          <t>eng</t>
        </is>
      </c>
      <c r="P1969" t="inlineStr">
        <is>
          <t>nyu</t>
        </is>
      </c>
      <c r="Q1969" t="inlineStr">
        <is>
          <t>Foundations of human behavior</t>
        </is>
      </c>
      <c r="R1969" t="inlineStr">
        <is>
          <t xml:space="preserve">HQ </t>
        </is>
      </c>
      <c r="S1969" t="n">
        <v>12</v>
      </c>
      <c r="T1969" t="n">
        <v>12</v>
      </c>
      <c r="U1969" t="inlineStr">
        <is>
          <t>2009-02-16</t>
        </is>
      </c>
      <c r="V1969" t="inlineStr">
        <is>
          <t>2009-02-16</t>
        </is>
      </c>
      <c r="W1969" t="inlineStr">
        <is>
          <t>1992-06-16</t>
        </is>
      </c>
      <c r="X1969" t="inlineStr">
        <is>
          <t>1992-06-16</t>
        </is>
      </c>
      <c r="Y1969" t="n">
        <v>503</v>
      </c>
      <c r="Z1969" t="n">
        <v>408</v>
      </c>
      <c r="AA1969" t="n">
        <v>450</v>
      </c>
      <c r="AB1969" t="n">
        <v>3</v>
      </c>
      <c r="AC1969" t="n">
        <v>3</v>
      </c>
      <c r="AD1969" t="n">
        <v>22</v>
      </c>
      <c r="AE1969" t="n">
        <v>22</v>
      </c>
      <c r="AF1969" t="n">
        <v>9</v>
      </c>
      <c r="AG1969" t="n">
        <v>9</v>
      </c>
      <c r="AH1969" t="n">
        <v>5</v>
      </c>
      <c r="AI1969" t="n">
        <v>5</v>
      </c>
      <c r="AJ1969" t="n">
        <v>13</v>
      </c>
      <c r="AK1969" t="n">
        <v>13</v>
      </c>
      <c r="AL1969" t="n">
        <v>2</v>
      </c>
      <c r="AM1969" t="n">
        <v>2</v>
      </c>
      <c r="AN1969" t="n">
        <v>0</v>
      </c>
      <c r="AO1969" t="n">
        <v>0</v>
      </c>
      <c r="AP1969" t="inlineStr">
        <is>
          <t>No</t>
        </is>
      </c>
      <c r="AQ1969" t="inlineStr">
        <is>
          <t>No</t>
        </is>
      </c>
      <c r="AS1969">
        <f>HYPERLINK("https://creighton-primo.hosted.exlibrisgroup.com/primo-explore/search?tab=default_tab&amp;search_scope=EVERYTHING&amp;vid=01CRU&amp;lang=en_US&amp;offset=0&amp;query=any,contains,991001992239702656","Catalog Record")</f>
        <v/>
      </c>
      <c r="AT1969">
        <f>HYPERLINK("http://www.worldcat.org/oclc/25316027","WorldCat Record")</f>
        <v/>
      </c>
      <c r="AU1969" t="inlineStr">
        <is>
          <t>836658658:eng</t>
        </is>
      </c>
      <c r="AV1969" t="inlineStr">
        <is>
          <t>25316027</t>
        </is>
      </c>
      <c r="AW1969" t="inlineStr">
        <is>
          <t>991001992239702656</t>
        </is>
      </c>
      <c r="AX1969" t="inlineStr">
        <is>
          <t>991001992239702656</t>
        </is>
      </c>
      <c r="AY1969" t="inlineStr">
        <is>
          <t>2268212890002656</t>
        </is>
      </c>
      <c r="AZ1969" t="inlineStr">
        <is>
          <t>BOOK</t>
        </is>
      </c>
      <c r="BB1969" t="inlineStr">
        <is>
          <t>9780202011882</t>
        </is>
      </c>
      <c r="BC1969" t="inlineStr">
        <is>
          <t>32285001129369</t>
        </is>
      </c>
      <c r="BD1969" t="inlineStr">
        <is>
          <t>893523062</t>
        </is>
      </c>
    </row>
    <row r="1970">
      <c r="A1970" t="inlineStr">
        <is>
          <t>No</t>
        </is>
      </c>
      <c r="B1970" t="inlineStr">
        <is>
          <t>HQ756 .F37 1982</t>
        </is>
      </c>
      <c r="C1970" t="inlineStr">
        <is>
          <t>0                      HQ 0756000F  37          1982</t>
        </is>
      </c>
      <c r="D1970" t="inlineStr">
        <is>
          <t>The Father figure / edited by Lorna McKee &amp; Margaret O'Brien.</t>
        </is>
      </c>
      <c r="F1970" t="inlineStr">
        <is>
          <t>No</t>
        </is>
      </c>
      <c r="G1970" t="inlineStr">
        <is>
          <t>1</t>
        </is>
      </c>
      <c r="H1970" t="inlineStr">
        <is>
          <t>No</t>
        </is>
      </c>
      <c r="I1970" t="inlineStr">
        <is>
          <t>No</t>
        </is>
      </c>
      <c r="J1970" t="inlineStr">
        <is>
          <t>0</t>
        </is>
      </c>
      <c r="L1970" t="inlineStr">
        <is>
          <t>London ; New York : Tavistock Publications, 1982.</t>
        </is>
      </c>
      <c r="M1970" t="inlineStr">
        <is>
          <t>1982</t>
        </is>
      </c>
      <c r="O1970" t="inlineStr">
        <is>
          <t>eng</t>
        </is>
      </c>
      <c r="P1970" t="inlineStr">
        <is>
          <t>enk</t>
        </is>
      </c>
      <c r="R1970" t="inlineStr">
        <is>
          <t xml:space="preserve">HQ </t>
        </is>
      </c>
      <c r="S1970" t="n">
        <v>6</v>
      </c>
      <c r="T1970" t="n">
        <v>6</v>
      </c>
      <c r="U1970" t="inlineStr">
        <is>
          <t>2000-11-27</t>
        </is>
      </c>
      <c r="V1970" t="inlineStr">
        <is>
          <t>2000-11-27</t>
        </is>
      </c>
      <c r="W1970" t="inlineStr">
        <is>
          <t>1992-11-04</t>
        </is>
      </c>
      <c r="X1970" t="inlineStr">
        <is>
          <t>1992-11-04</t>
        </is>
      </c>
      <c r="Y1970" t="n">
        <v>703</v>
      </c>
      <c r="Z1970" t="n">
        <v>490</v>
      </c>
      <c r="AA1970" t="n">
        <v>499</v>
      </c>
      <c r="AB1970" t="n">
        <v>6</v>
      </c>
      <c r="AC1970" t="n">
        <v>6</v>
      </c>
      <c r="AD1970" t="n">
        <v>23</v>
      </c>
      <c r="AE1970" t="n">
        <v>23</v>
      </c>
      <c r="AF1970" t="n">
        <v>9</v>
      </c>
      <c r="AG1970" t="n">
        <v>9</v>
      </c>
      <c r="AH1970" t="n">
        <v>6</v>
      </c>
      <c r="AI1970" t="n">
        <v>6</v>
      </c>
      <c r="AJ1970" t="n">
        <v>8</v>
      </c>
      <c r="AK1970" t="n">
        <v>8</v>
      </c>
      <c r="AL1970" t="n">
        <v>5</v>
      </c>
      <c r="AM1970" t="n">
        <v>5</v>
      </c>
      <c r="AN1970" t="n">
        <v>0</v>
      </c>
      <c r="AO1970" t="n">
        <v>0</v>
      </c>
      <c r="AP1970" t="inlineStr">
        <is>
          <t>No</t>
        </is>
      </c>
      <c r="AQ1970" t="inlineStr">
        <is>
          <t>Yes</t>
        </is>
      </c>
      <c r="AR1970">
        <f>HYPERLINK("http://catalog.hathitrust.org/Record/000764893","HathiTrust Record")</f>
        <v/>
      </c>
      <c r="AS1970">
        <f>HYPERLINK("https://creighton-primo.hosted.exlibrisgroup.com/primo-explore/search?tab=default_tab&amp;search_scope=EVERYTHING&amp;vid=01CRU&amp;lang=en_US&amp;offset=0&amp;query=any,contains,991005193499702656","Catalog Record")</f>
        <v/>
      </c>
      <c r="AT1970">
        <f>HYPERLINK("http://www.worldcat.org/oclc/8032434","WorldCat Record")</f>
        <v/>
      </c>
      <c r="AU1970" t="inlineStr">
        <is>
          <t>365987499:eng</t>
        </is>
      </c>
      <c r="AV1970" t="inlineStr">
        <is>
          <t>8032434</t>
        </is>
      </c>
      <c r="AW1970" t="inlineStr">
        <is>
          <t>991005193499702656</t>
        </is>
      </c>
      <c r="AX1970" t="inlineStr">
        <is>
          <t>991005193499702656</t>
        </is>
      </c>
      <c r="AY1970" t="inlineStr">
        <is>
          <t>2268915840002656</t>
        </is>
      </c>
      <c r="AZ1970" t="inlineStr">
        <is>
          <t>BOOK</t>
        </is>
      </c>
      <c r="BB1970" t="inlineStr">
        <is>
          <t>9780422777209</t>
        </is>
      </c>
      <c r="BC1970" t="inlineStr">
        <is>
          <t>32285001359743</t>
        </is>
      </c>
      <c r="BD1970" t="inlineStr">
        <is>
          <t>893326338</t>
        </is>
      </c>
    </row>
    <row r="1971">
      <c r="A1971" t="inlineStr">
        <is>
          <t>No</t>
        </is>
      </c>
      <c r="B1971" t="inlineStr">
        <is>
          <t>HQ756 .F3744 1995</t>
        </is>
      </c>
      <c r="C1971" t="inlineStr">
        <is>
          <t>0                      HQ 0756000F  3744        1995</t>
        </is>
      </c>
      <c r="D1971" t="inlineStr">
        <is>
          <t>Fatherhood : contemporary theory, research, and social policy / edited by William Marsiglio.</t>
        </is>
      </c>
      <c r="F1971" t="inlineStr">
        <is>
          <t>No</t>
        </is>
      </c>
      <c r="G1971" t="inlineStr">
        <is>
          <t>1</t>
        </is>
      </c>
      <c r="H1971" t="inlineStr">
        <is>
          <t>Yes</t>
        </is>
      </c>
      <c r="I1971" t="inlineStr">
        <is>
          <t>No</t>
        </is>
      </c>
      <c r="J1971" t="inlineStr">
        <is>
          <t>0</t>
        </is>
      </c>
      <c r="L1971" t="inlineStr">
        <is>
          <t>Thousand Oaks : Sage Publications, c1995.</t>
        </is>
      </c>
      <c r="M1971" t="inlineStr">
        <is>
          <t>1995</t>
        </is>
      </c>
      <c r="O1971" t="inlineStr">
        <is>
          <t>eng</t>
        </is>
      </c>
      <c r="P1971" t="inlineStr">
        <is>
          <t>cau</t>
        </is>
      </c>
      <c r="Q1971" t="inlineStr">
        <is>
          <t>Research on men and masculinities series ; 7</t>
        </is>
      </c>
      <c r="R1971" t="inlineStr">
        <is>
          <t xml:space="preserve">HQ </t>
        </is>
      </c>
      <c r="S1971" t="n">
        <v>12</v>
      </c>
      <c r="T1971" t="n">
        <v>17</v>
      </c>
      <c r="U1971" t="inlineStr">
        <is>
          <t>2010-12-06</t>
        </is>
      </c>
      <c r="V1971" t="inlineStr">
        <is>
          <t>2010-12-06</t>
        </is>
      </c>
      <c r="W1971" t="inlineStr">
        <is>
          <t>1995-11-15</t>
        </is>
      </c>
      <c r="X1971" t="inlineStr">
        <is>
          <t>1996-12-12</t>
        </is>
      </c>
      <c r="Y1971" t="n">
        <v>499</v>
      </c>
      <c r="Z1971" t="n">
        <v>359</v>
      </c>
      <c r="AA1971" t="n">
        <v>423</v>
      </c>
      <c r="AB1971" t="n">
        <v>6</v>
      </c>
      <c r="AC1971" t="n">
        <v>6</v>
      </c>
      <c r="AD1971" t="n">
        <v>22</v>
      </c>
      <c r="AE1971" t="n">
        <v>25</v>
      </c>
      <c r="AF1971" t="n">
        <v>7</v>
      </c>
      <c r="AG1971" t="n">
        <v>8</v>
      </c>
      <c r="AH1971" t="n">
        <v>4</v>
      </c>
      <c r="AI1971" t="n">
        <v>6</v>
      </c>
      <c r="AJ1971" t="n">
        <v>13</v>
      </c>
      <c r="AK1971" t="n">
        <v>13</v>
      </c>
      <c r="AL1971" t="n">
        <v>4</v>
      </c>
      <c r="AM1971" t="n">
        <v>4</v>
      </c>
      <c r="AN1971" t="n">
        <v>0</v>
      </c>
      <c r="AO1971" t="n">
        <v>0</v>
      </c>
      <c r="AP1971" t="inlineStr">
        <is>
          <t>No</t>
        </is>
      </c>
      <c r="AQ1971" t="inlineStr">
        <is>
          <t>No</t>
        </is>
      </c>
      <c r="AS1971">
        <f>HYPERLINK("https://creighton-primo.hosted.exlibrisgroup.com/primo-explore/search?tab=default_tab&amp;search_scope=EVERYTHING&amp;vid=01CRU&amp;lang=en_US&amp;offset=0&amp;query=any,contains,991001665649702656","Catalog Record")</f>
        <v/>
      </c>
      <c r="AT1971">
        <f>HYPERLINK("http://www.worldcat.org/oclc/31899962","WorldCat Record")</f>
        <v/>
      </c>
      <c r="AU1971" t="inlineStr">
        <is>
          <t>837013829:eng</t>
        </is>
      </c>
      <c r="AV1971" t="inlineStr">
        <is>
          <t>31899962</t>
        </is>
      </c>
      <c r="AW1971" t="inlineStr">
        <is>
          <t>991001665649702656</t>
        </is>
      </c>
      <c r="AX1971" t="inlineStr">
        <is>
          <t>991001665649702656</t>
        </is>
      </c>
      <c r="AY1971" t="inlineStr">
        <is>
          <t>2266951400002656</t>
        </is>
      </c>
      <c r="AZ1971" t="inlineStr">
        <is>
          <t>BOOK</t>
        </is>
      </c>
      <c r="BB1971" t="inlineStr">
        <is>
          <t>9780803957824</t>
        </is>
      </c>
      <c r="BC1971" t="inlineStr">
        <is>
          <t>32285002098472</t>
        </is>
      </c>
      <c r="BD1971" t="inlineStr">
        <is>
          <t>893897956</t>
        </is>
      </c>
    </row>
    <row r="1972">
      <c r="A1972" t="inlineStr">
        <is>
          <t>No</t>
        </is>
      </c>
      <c r="B1972" t="inlineStr">
        <is>
          <t>HQ756 .F38 1983</t>
        </is>
      </c>
      <c r="C1972" t="inlineStr">
        <is>
          <t>0                      HQ 0756000F  38          1983</t>
        </is>
      </c>
      <c r="D1972" t="inlineStr">
        <is>
          <t>Fatherhood and family policy / edited by Michael E. Lamb, Abraham Sagi.</t>
        </is>
      </c>
      <c r="F1972" t="inlineStr">
        <is>
          <t>No</t>
        </is>
      </c>
      <c r="G1972" t="inlineStr">
        <is>
          <t>1</t>
        </is>
      </c>
      <c r="H1972" t="inlineStr">
        <is>
          <t>No</t>
        </is>
      </c>
      <c r="I1972" t="inlineStr">
        <is>
          <t>No</t>
        </is>
      </c>
      <c r="J1972" t="inlineStr">
        <is>
          <t>0</t>
        </is>
      </c>
      <c r="L1972" t="inlineStr">
        <is>
          <t>Hillsdale, N.J. : L. Erlbaum Associates, 1983.</t>
        </is>
      </c>
      <c r="M1972" t="inlineStr">
        <is>
          <t>1983</t>
        </is>
      </c>
      <c r="O1972" t="inlineStr">
        <is>
          <t>eng</t>
        </is>
      </c>
      <c r="P1972" t="inlineStr">
        <is>
          <t>nju</t>
        </is>
      </c>
      <c r="R1972" t="inlineStr">
        <is>
          <t xml:space="preserve">HQ </t>
        </is>
      </c>
      <c r="S1972" t="n">
        <v>12</v>
      </c>
      <c r="T1972" t="n">
        <v>12</v>
      </c>
      <c r="U1972" t="inlineStr">
        <is>
          <t>2003-04-09</t>
        </is>
      </c>
      <c r="V1972" t="inlineStr">
        <is>
          <t>2003-04-09</t>
        </is>
      </c>
      <c r="W1972" t="inlineStr">
        <is>
          <t>1991-12-06</t>
        </is>
      </c>
      <c r="X1972" t="inlineStr">
        <is>
          <t>1991-12-06</t>
        </is>
      </c>
      <c r="Y1972" t="n">
        <v>688</v>
      </c>
      <c r="Z1972" t="n">
        <v>580</v>
      </c>
      <c r="AA1972" t="n">
        <v>605</v>
      </c>
      <c r="AB1972" t="n">
        <v>7</v>
      </c>
      <c r="AC1972" t="n">
        <v>7</v>
      </c>
      <c r="AD1972" t="n">
        <v>25</v>
      </c>
      <c r="AE1972" t="n">
        <v>25</v>
      </c>
      <c r="AF1972" t="n">
        <v>9</v>
      </c>
      <c r="AG1972" t="n">
        <v>9</v>
      </c>
      <c r="AH1972" t="n">
        <v>4</v>
      </c>
      <c r="AI1972" t="n">
        <v>4</v>
      </c>
      <c r="AJ1972" t="n">
        <v>12</v>
      </c>
      <c r="AK1972" t="n">
        <v>12</v>
      </c>
      <c r="AL1972" t="n">
        <v>6</v>
      </c>
      <c r="AM1972" t="n">
        <v>6</v>
      </c>
      <c r="AN1972" t="n">
        <v>0</v>
      </c>
      <c r="AO1972" t="n">
        <v>0</v>
      </c>
      <c r="AP1972" t="inlineStr">
        <is>
          <t>No</t>
        </is>
      </c>
      <c r="AQ1972" t="inlineStr">
        <is>
          <t>Yes</t>
        </is>
      </c>
      <c r="AR1972">
        <f>HYPERLINK("http://catalog.hathitrust.org/Record/000155228","HathiTrust Record")</f>
        <v/>
      </c>
      <c r="AS1972">
        <f>HYPERLINK("https://creighton-primo.hosted.exlibrisgroup.com/primo-explore/search?tab=default_tab&amp;search_scope=EVERYTHING&amp;vid=01CRU&amp;lang=en_US&amp;offset=0&amp;query=any,contains,991000193409702656","Catalog Record")</f>
        <v/>
      </c>
      <c r="AT1972">
        <f>HYPERLINK("http://www.worldcat.org/oclc/21627617","WorldCat Record")</f>
        <v/>
      </c>
      <c r="AU1972" t="inlineStr">
        <is>
          <t>350163692:eng</t>
        </is>
      </c>
      <c r="AV1972" t="inlineStr">
        <is>
          <t>21627617</t>
        </is>
      </c>
      <c r="AW1972" t="inlineStr">
        <is>
          <t>991000193409702656</t>
        </is>
      </c>
      <c r="AX1972" t="inlineStr">
        <is>
          <t>991000193409702656</t>
        </is>
      </c>
      <c r="AY1972" t="inlineStr">
        <is>
          <t>2258990880002656</t>
        </is>
      </c>
      <c r="AZ1972" t="inlineStr">
        <is>
          <t>BOOK</t>
        </is>
      </c>
      <c r="BB1972" t="inlineStr">
        <is>
          <t>9780898591903</t>
        </is>
      </c>
      <c r="BC1972" t="inlineStr">
        <is>
          <t>32285000829233</t>
        </is>
      </c>
      <c r="BD1972" t="inlineStr">
        <is>
          <t>893515097</t>
        </is>
      </c>
    </row>
    <row r="1973">
      <c r="A1973" t="inlineStr">
        <is>
          <t>No</t>
        </is>
      </c>
      <c r="B1973" t="inlineStr">
        <is>
          <t>HQ756 .F3834 1989</t>
        </is>
      </c>
      <c r="C1973" t="inlineStr">
        <is>
          <t>0                      HQ 0756000F  3834        1989</t>
        </is>
      </c>
      <c r="D1973" t="inlineStr">
        <is>
          <t>Fathers and their families / edited by Stanley H. Cath, Alan Gurwitt, Linda Gunsberg.</t>
        </is>
      </c>
      <c r="F1973" t="inlineStr">
        <is>
          <t>No</t>
        </is>
      </c>
      <c r="G1973" t="inlineStr">
        <is>
          <t>1</t>
        </is>
      </c>
      <c r="H1973" t="inlineStr">
        <is>
          <t>No</t>
        </is>
      </c>
      <c r="I1973" t="inlineStr">
        <is>
          <t>No</t>
        </is>
      </c>
      <c r="J1973" t="inlineStr">
        <is>
          <t>0</t>
        </is>
      </c>
      <c r="L1973" t="inlineStr">
        <is>
          <t>Hillsdale, NJ : Analytic Press, 1989.</t>
        </is>
      </c>
      <c r="M1973" t="inlineStr">
        <is>
          <t>1989</t>
        </is>
      </c>
      <c r="O1973" t="inlineStr">
        <is>
          <t>eng</t>
        </is>
      </c>
      <c r="P1973" t="inlineStr">
        <is>
          <t>nju</t>
        </is>
      </c>
      <c r="R1973" t="inlineStr">
        <is>
          <t xml:space="preserve">HQ </t>
        </is>
      </c>
      <c r="S1973" t="n">
        <v>12</v>
      </c>
      <c r="T1973" t="n">
        <v>12</v>
      </c>
      <c r="U1973" t="inlineStr">
        <is>
          <t>2003-04-09</t>
        </is>
      </c>
      <c r="V1973" t="inlineStr">
        <is>
          <t>2003-04-09</t>
        </is>
      </c>
      <c r="W1973" t="inlineStr">
        <is>
          <t>1992-11-04</t>
        </is>
      </c>
      <c r="X1973" t="inlineStr">
        <is>
          <t>1992-11-04</t>
        </is>
      </c>
      <c r="Y1973" t="n">
        <v>394</v>
      </c>
      <c r="Z1973" t="n">
        <v>330</v>
      </c>
      <c r="AA1973" t="n">
        <v>363</v>
      </c>
      <c r="AB1973" t="n">
        <v>4</v>
      </c>
      <c r="AC1973" t="n">
        <v>4</v>
      </c>
      <c r="AD1973" t="n">
        <v>20</v>
      </c>
      <c r="AE1973" t="n">
        <v>22</v>
      </c>
      <c r="AF1973" t="n">
        <v>4</v>
      </c>
      <c r="AG1973" t="n">
        <v>6</v>
      </c>
      <c r="AH1973" t="n">
        <v>7</v>
      </c>
      <c r="AI1973" t="n">
        <v>7</v>
      </c>
      <c r="AJ1973" t="n">
        <v>12</v>
      </c>
      <c r="AK1973" t="n">
        <v>12</v>
      </c>
      <c r="AL1973" t="n">
        <v>3</v>
      </c>
      <c r="AM1973" t="n">
        <v>3</v>
      </c>
      <c r="AN1973" t="n">
        <v>0</v>
      </c>
      <c r="AO1973" t="n">
        <v>0</v>
      </c>
      <c r="AP1973" t="inlineStr">
        <is>
          <t>No</t>
        </is>
      </c>
      <c r="AQ1973" t="inlineStr">
        <is>
          <t>No</t>
        </is>
      </c>
      <c r="AS1973">
        <f>HYPERLINK("https://creighton-primo.hosted.exlibrisgroup.com/primo-explore/search?tab=default_tab&amp;search_scope=EVERYTHING&amp;vid=01CRU&amp;lang=en_US&amp;offset=0&amp;query=any,contains,991001281229702656","Catalog Record")</f>
        <v/>
      </c>
      <c r="AT1973">
        <f>HYPERLINK("http://www.worldcat.org/oclc/17918037","WorldCat Record")</f>
        <v/>
      </c>
      <c r="AU1973" t="inlineStr">
        <is>
          <t>350980471:eng</t>
        </is>
      </c>
      <c r="AV1973" t="inlineStr">
        <is>
          <t>17918037</t>
        </is>
      </c>
      <c r="AW1973" t="inlineStr">
        <is>
          <t>991001281229702656</t>
        </is>
      </c>
      <c r="AX1973" t="inlineStr">
        <is>
          <t>991001281229702656</t>
        </is>
      </c>
      <c r="AY1973" t="inlineStr">
        <is>
          <t>2270847180002656</t>
        </is>
      </c>
      <c r="AZ1973" t="inlineStr">
        <is>
          <t>BOOK</t>
        </is>
      </c>
      <c r="BB1973" t="inlineStr">
        <is>
          <t>9780881630527</t>
        </is>
      </c>
      <c r="BC1973" t="inlineStr">
        <is>
          <t>32285001359750</t>
        </is>
      </c>
      <c r="BD1973" t="inlineStr">
        <is>
          <t>893432756</t>
        </is>
      </c>
    </row>
    <row r="1974">
      <c r="A1974" t="inlineStr">
        <is>
          <t>No</t>
        </is>
      </c>
      <c r="B1974" t="inlineStr">
        <is>
          <t>HQ756 .F385 1988</t>
        </is>
      </c>
      <c r="C1974" t="inlineStr">
        <is>
          <t>0                      HQ 0756000F  385         1988</t>
        </is>
      </c>
      <c r="D1974" t="inlineStr">
        <is>
          <t>Fatherhood today : men's changing role in the family / edited by Phyllis Bronstein, Carolyn Pape Cowan.</t>
        </is>
      </c>
      <c r="F1974" t="inlineStr">
        <is>
          <t>No</t>
        </is>
      </c>
      <c r="G1974" t="inlineStr">
        <is>
          <t>1</t>
        </is>
      </c>
      <c r="H1974" t="inlineStr">
        <is>
          <t>No</t>
        </is>
      </c>
      <c r="I1974" t="inlineStr">
        <is>
          <t>No</t>
        </is>
      </c>
      <c r="J1974" t="inlineStr">
        <is>
          <t>0</t>
        </is>
      </c>
      <c r="L1974" t="inlineStr">
        <is>
          <t>New York : Wiley, c1988.</t>
        </is>
      </c>
      <c r="M1974" t="inlineStr">
        <is>
          <t>1988</t>
        </is>
      </c>
      <c r="O1974" t="inlineStr">
        <is>
          <t>eng</t>
        </is>
      </c>
      <c r="P1974" t="inlineStr">
        <is>
          <t>nyu</t>
        </is>
      </c>
      <c r="Q1974" t="inlineStr">
        <is>
          <t>Wiley series on personality processes</t>
        </is>
      </c>
      <c r="R1974" t="inlineStr">
        <is>
          <t xml:space="preserve">HQ </t>
        </is>
      </c>
      <c r="S1974" t="n">
        <v>18</v>
      </c>
      <c r="T1974" t="n">
        <v>18</v>
      </c>
      <c r="U1974" t="inlineStr">
        <is>
          <t>2003-04-09</t>
        </is>
      </c>
      <c r="V1974" t="inlineStr">
        <is>
          <t>2003-04-09</t>
        </is>
      </c>
      <c r="W1974" t="inlineStr">
        <is>
          <t>1991-12-06</t>
        </is>
      </c>
      <c r="X1974" t="inlineStr">
        <is>
          <t>1991-12-06</t>
        </is>
      </c>
      <c r="Y1974" t="n">
        <v>772</v>
      </c>
      <c r="Z1974" t="n">
        <v>639</v>
      </c>
      <c r="AA1974" t="n">
        <v>646</v>
      </c>
      <c r="AB1974" t="n">
        <v>4</v>
      </c>
      <c r="AC1974" t="n">
        <v>4</v>
      </c>
      <c r="AD1974" t="n">
        <v>31</v>
      </c>
      <c r="AE1974" t="n">
        <v>31</v>
      </c>
      <c r="AF1974" t="n">
        <v>14</v>
      </c>
      <c r="AG1974" t="n">
        <v>14</v>
      </c>
      <c r="AH1974" t="n">
        <v>8</v>
      </c>
      <c r="AI1974" t="n">
        <v>8</v>
      </c>
      <c r="AJ1974" t="n">
        <v>15</v>
      </c>
      <c r="AK1974" t="n">
        <v>15</v>
      </c>
      <c r="AL1974" t="n">
        <v>3</v>
      </c>
      <c r="AM1974" t="n">
        <v>3</v>
      </c>
      <c r="AN1974" t="n">
        <v>0</v>
      </c>
      <c r="AO1974" t="n">
        <v>0</v>
      </c>
      <c r="AP1974" t="inlineStr">
        <is>
          <t>No</t>
        </is>
      </c>
      <c r="AQ1974" t="inlineStr">
        <is>
          <t>Yes</t>
        </is>
      </c>
      <c r="AR1974">
        <f>HYPERLINK("http://catalog.hathitrust.org/Record/000922055","HathiTrust Record")</f>
        <v/>
      </c>
      <c r="AS1974">
        <f>HYPERLINK("https://creighton-primo.hosted.exlibrisgroup.com/primo-explore/search?tab=default_tab&amp;search_scope=EVERYTHING&amp;vid=01CRU&amp;lang=en_US&amp;offset=0&amp;query=any,contains,991001248389702656","Catalog Record")</f>
        <v/>
      </c>
      <c r="AT1974">
        <f>HYPERLINK("http://www.worldcat.org/oclc/17653112","WorldCat Record")</f>
        <v/>
      </c>
      <c r="AU1974" t="inlineStr">
        <is>
          <t>836839629:eng</t>
        </is>
      </c>
      <c r="AV1974" t="inlineStr">
        <is>
          <t>17653112</t>
        </is>
      </c>
      <c r="AW1974" t="inlineStr">
        <is>
          <t>991001248389702656</t>
        </is>
      </c>
      <c r="AX1974" t="inlineStr">
        <is>
          <t>991001248389702656</t>
        </is>
      </c>
      <c r="AY1974" t="inlineStr">
        <is>
          <t>2267036330002656</t>
        </is>
      </c>
      <c r="AZ1974" t="inlineStr">
        <is>
          <t>BOOK</t>
        </is>
      </c>
      <c r="BB1974" t="inlineStr">
        <is>
          <t>9780471836278</t>
        </is>
      </c>
      <c r="BC1974" t="inlineStr">
        <is>
          <t>32285000829241</t>
        </is>
      </c>
      <c r="BD1974" t="inlineStr">
        <is>
          <t>893243983</t>
        </is>
      </c>
    </row>
    <row r="1975">
      <c r="A1975" t="inlineStr">
        <is>
          <t>No</t>
        </is>
      </c>
      <c r="B1975" t="inlineStr">
        <is>
          <t>HQ756 .F386 1987</t>
        </is>
      </c>
      <c r="C1975" t="inlineStr">
        <is>
          <t>0                      HQ 0756000F  386         1987</t>
        </is>
      </c>
      <c r="D1975" t="inlineStr">
        <is>
          <t>The Father's role : cross-cultural perspectives / edited by Michael E. Lamb.</t>
        </is>
      </c>
      <c r="F1975" t="inlineStr">
        <is>
          <t>No</t>
        </is>
      </c>
      <c r="G1975" t="inlineStr">
        <is>
          <t>1</t>
        </is>
      </c>
      <c r="H1975" t="inlineStr">
        <is>
          <t>No</t>
        </is>
      </c>
      <c r="I1975" t="inlineStr">
        <is>
          <t>No</t>
        </is>
      </c>
      <c r="J1975" t="inlineStr">
        <is>
          <t>0</t>
        </is>
      </c>
      <c r="L1975" t="inlineStr">
        <is>
          <t>Hillsdale, NJ : L. Erlbaum Associates, 1987.</t>
        </is>
      </c>
      <c r="M1975" t="inlineStr">
        <is>
          <t>1987</t>
        </is>
      </c>
      <c r="O1975" t="inlineStr">
        <is>
          <t>eng</t>
        </is>
      </c>
      <c r="P1975" t="inlineStr">
        <is>
          <t>nju</t>
        </is>
      </c>
      <c r="R1975" t="inlineStr">
        <is>
          <t xml:space="preserve">HQ </t>
        </is>
      </c>
      <c r="S1975" t="n">
        <v>12</v>
      </c>
      <c r="T1975" t="n">
        <v>12</v>
      </c>
      <c r="U1975" t="inlineStr">
        <is>
          <t>2003-04-09</t>
        </is>
      </c>
      <c r="V1975" t="inlineStr">
        <is>
          <t>2003-04-09</t>
        </is>
      </c>
      <c r="W1975" t="inlineStr">
        <is>
          <t>1991-12-06</t>
        </is>
      </c>
      <c r="X1975" t="inlineStr">
        <is>
          <t>1991-12-06</t>
        </is>
      </c>
      <c r="Y1975" t="n">
        <v>593</v>
      </c>
      <c r="Z1975" t="n">
        <v>487</v>
      </c>
      <c r="AA1975" t="n">
        <v>539</v>
      </c>
      <c r="AB1975" t="n">
        <v>4</v>
      </c>
      <c r="AC1975" t="n">
        <v>4</v>
      </c>
      <c r="AD1975" t="n">
        <v>19</v>
      </c>
      <c r="AE1975" t="n">
        <v>20</v>
      </c>
      <c r="AF1975" t="n">
        <v>4</v>
      </c>
      <c r="AG1975" t="n">
        <v>4</v>
      </c>
      <c r="AH1975" t="n">
        <v>4</v>
      </c>
      <c r="AI1975" t="n">
        <v>5</v>
      </c>
      <c r="AJ1975" t="n">
        <v>12</v>
      </c>
      <c r="AK1975" t="n">
        <v>13</v>
      </c>
      <c r="AL1975" t="n">
        <v>3</v>
      </c>
      <c r="AM1975" t="n">
        <v>3</v>
      </c>
      <c r="AN1975" t="n">
        <v>0</v>
      </c>
      <c r="AO1975" t="n">
        <v>0</v>
      </c>
      <c r="AP1975" t="inlineStr">
        <is>
          <t>No</t>
        </is>
      </c>
      <c r="AQ1975" t="inlineStr">
        <is>
          <t>Yes</t>
        </is>
      </c>
      <c r="AR1975">
        <f>HYPERLINK("http://catalog.hathitrust.org/Record/000811587","HathiTrust Record")</f>
        <v/>
      </c>
      <c r="AS1975">
        <f>HYPERLINK("https://creighton-primo.hosted.exlibrisgroup.com/primo-explore/search?tab=default_tab&amp;search_scope=EVERYTHING&amp;vid=01CRU&amp;lang=en_US&amp;offset=0&amp;query=any,contains,991000956129702656","Catalog Record")</f>
        <v/>
      </c>
      <c r="AT1975">
        <f>HYPERLINK("http://www.worldcat.org/oclc/14718632","WorldCat Record")</f>
        <v/>
      </c>
      <c r="AU1975" t="inlineStr">
        <is>
          <t>827461580:eng</t>
        </is>
      </c>
      <c r="AV1975" t="inlineStr">
        <is>
          <t>14718632</t>
        </is>
      </c>
      <c r="AW1975" t="inlineStr">
        <is>
          <t>991000956129702656</t>
        </is>
      </c>
      <c r="AX1975" t="inlineStr">
        <is>
          <t>991000956129702656</t>
        </is>
      </c>
      <c r="AY1975" t="inlineStr">
        <is>
          <t>2255339310002656</t>
        </is>
      </c>
      <c r="AZ1975" t="inlineStr">
        <is>
          <t>BOOK</t>
        </is>
      </c>
      <c r="BB1975" t="inlineStr">
        <is>
          <t>9780898595956</t>
        </is>
      </c>
      <c r="BC1975" t="inlineStr">
        <is>
          <t>32285000829258</t>
        </is>
      </c>
      <c r="BD1975" t="inlineStr">
        <is>
          <t>893243744</t>
        </is>
      </c>
    </row>
    <row r="1976">
      <c r="A1976" t="inlineStr">
        <is>
          <t>No</t>
        </is>
      </c>
      <c r="B1976" t="inlineStr">
        <is>
          <t>HQ756 .F7 1998</t>
        </is>
      </c>
      <c r="C1976" t="inlineStr">
        <is>
          <t>0                      HQ 0756000F  7           1998</t>
        </is>
      </c>
      <c r="D1976" t="inlineStr">
        <is>
          <t>Life with father : parenthood and masculinity in the nineteenth-century American North / Stephen M. Frank.</t>
        </is>
      </c>
      <c r="F1976" t="inlineStr">
        <is>
          <t>No</t>
        </is>
      </c>
      <c r="G1976" t="inlineStr">
        <is>
          <t>1</t>
        </is>
      </c>
      <c r="H1976" t="inlineStr">
        <is>
          <t>No</t>
        </is>
      </c>
      <c r="I1976" t="inlineStr">
        <is>
          <t>No</t>
        </is>
      </c>
      <c r="J1976" t="inlineStr">
        <is>
          <t>0</t>
        </is>
      </c>
      <c r="K1976" t="inlineStr">
        <is>
          <t>Frank, Stephen M., 1951-</t>
        </is>
      </c>
      <c r="L1976" t="inlineStr">
        <is>
          <t>Baltimore, MD : Johns Hopkins University Press, c1998.</t>
        </is>
      </c>
      <c r="M1976" t="inlineStr">
        <is>
          <t>1998</t>
        </is>
      </c>
      <c r="O1976" t="inlineStr">
        <is>
          <t>eng</t>
        </is>
      </c>
      <c r="P1976" t="inlineStr">
        <is>
          <t>mdu</t>
        </is>
      </c>
      <c r="Q1976" t="inlineStr">
        <is>
          <t>Gender relations in the American experience</t>
        </is>
      </c>
      <c r="R1976" t="inlineStr">
        <is>
          <t xml:space="preserve">HQ </t>
        </is>
      </c>
      <c r="S1976" t="n">
        <v>2</v>
      </c>
      <c r="T1976" t="n">
        <v>2</v>
      </c>
      <c r="U1976" t="inlineStr">
        <is>
          <t>2002-06-16</t>
        </is>
      </c>
      <c r="V1976" t="inlineStr">
        <is>
          <t>2002-06-16</t>
        </is>
      </c>
      <c r="W1976" t="inlineStr">
        <is>
          <t>1999-11-15</t>
        </is>
      </c>
      <c r="X1976" t="inlineStr">
        <is>
          <t>1999-11-15</t>
        </is>
      </c>
      <c r="Y1976" t="n">
        <v>514</v>
      </c>
      <c r="Z1976" t="n">
        <v>446</v>
      </c>
      <c r="AA1976" t="n">
        <v>450</v>
      </c>
      <c r="AB1976" t="n">
        <v>2</v>
      </c>
      <c r="AC1976" t="n">
        <v>2</v>
      </c>
      <c r="AD1976" t="n">
        <v>25</v>
      </c>
      <c r="AE1976" t="n">
        <v>25</v>
      </c>
      <c r="AF1976" t="n">
        <v>8</v>
      </c>
      <c r="AG1976" t="n">
        <v>8</v>
      </c>
      <c r="AH1976" t="n">
        <v>9</v>
      </c>
      <c r="AI1976" t="n">
        <v>9</v>
      </c>
      <c r="AJ1976" t="n">
        <v>15</v>
      </c>
      <c r="AK1976" t="n">
        <v>15</v>
      </c>
      <c r="AL1976" t="n">
        <v>1</v>
      </c>
      <c r="AM1976" t="n">
        <v>1</v>
      </c>
      <c r="AN1976" t="n">
        <v>0</v>
      </c>
      <c r="AO1976" t="n">
        <v>0</v>
      </c>
      <c r="AP1976" t="inlineStr">
        <is>
          <t>No</t>
        </is>
      </c>
      <c r="AQ1976" t="inlineStr">
        <is>
          <t>Yes</t>
        </is>
      </c>
      <c r="AR1976">
        <f>HYPERLINK("http://catalog.hathitrust.org/Record/003992016","HathiTrust Record")</f>
        <v/>
      </c>
      <c r="AS1976">
        <f>HYPERLINK("https://creighton-primo.hosted.exlibrisgroup.com/primo-explore/search?tab=default_tab&amp;search_scope=EVERYTHING&amp;vid=01CRU&amp;lang=en_US&amp;offset=0&amp;query=any,contains,991002884309702656","Catalog Record")</f>
        <v/>
      </c>
      <c r="AT1976">
        <f>HYPERLINK("http://www.worldcat.org/oclc/38010754","WorldCat Record")</f>
        <v/>
      </c>
      <c r="AU1976" t="inlineStr">
        <is>
          <t>610588:eng</t>
        </is>
      </c>
      <c r="AV1976" t="inlineStr">
        <is>
          <t>38010754</t>
        </is>
      </c>
      <c r="AW1976" t="inlineStr">
        <is>
          <t>991002884309702656</t>
        </is>
      </c>
      <c r="AX1976" t="inlineStr">
        <is>
          <t>991002884309702656</t>
        </is>
      </c>
      <c r="AY1976" t="inlineStr">
        <is>
          <t>2261029950002656</t>
        </is>
      </c>
      <c r="AZ1976" t="inlineStr">
        <is>
          <t>BOOK</t>
        </is>
      </c>
      <c r="BB1976" t="inlineStr">
        <is>
          <t>9780801858550</t>
        </is>
      </c>
      <c r="BC1976" t="inlineStr">
        <is>
          <t>32285003622080</t>
        </is>
      </c>
      <c r="BD1976" t="inlineStr">
        <is>
          <t>893251740</t>
        </is>
      </c>
    </row>
    <row r="1977">
      <c r="A1977" t="inlineStr">
        <is>
          <t>No</t>
        </is>
      </c>
      <c r="B1977" t="inlineStr">
        <is>
          <t>HQ756 .G59 1993</t>
        </is>
      </c>
      <c r="C1977" t="inlineStr">
        <is>
          <t>0                      HQ 0756000G  59          1993</t>
        </is>
      </c>
      <c r="D1977" t="inlineStr">
        <is>
          <t>Reinventing fatherhood / Jonathan W. Gould and Robert E. Gunther.</t>
        </is>
      </c>
      <c r="F1977" t="inlineStr">
        <is>
          <t>No</t>
        </is>
      </c>
      <c r="G1977" t="inlineStr">
        <is>
          <t>1</t>
        </is>
      </c>
      <c r="H1977" t="inlineStr">
        <is>
          <t>No</t>
        </is>
      </c>
      <c r="I1977" t="inlineStr">
        <is>
          <t>No</t>
        </is>
      </c>
      <c r="J1977" t="inlineStr">
        <is>
          <t>0</t>
        </is>
      </c>
      <c r="K1977" t="inlineStr">
        <is>
          <t>Gould, Jonathan W., 1953-</t>
        </is>
      </c>
      <c r="L1977" t="inlineStr">
        <is>
          <t>Bradenton, FL : Human Services Institute ; Blue Ridge Summit, PA : TAB Books, c1993.</t>
        </is>
      </c>
      <c r="M1977" t="inlineStr">
        <is>
          <t>1993</t>
        </is>
      </c>
      <c r="N1977" t="inlineStr">
        <is>
          <t>1st ed.</t>
        </is>
      </c>
      <c r="O1977" t="inlineStr">
        <is>
          <t>eng</t>
        </is>
      </c>
      <c r="P1977" t="inlineStr">
        <is>
          <t>flu</t>
        </is>
      </c>
      <c r="R1977" t="inlineStr">
        <is>
          <t xml:space="preserve">HQ </t>
        </is>
      </c>
      <c r="S1977" t="n">
        <v>16</v>
      </c>
      <c r="T1977" t="n">
        <v>16</v>
      </c>
      <c r="U1977" t="inlineStr">
        <is>
          <t>2005-03-28</t>
        </is>
      </c>
      <c r="V1977" t="inlineStr">
        <is>
          <t>2005-03-28</t>
        </is>
      </c>
      <c r="W1977" t="inlineStr">
        <is>
          <t>1994-11-07</t>
        </is>
      </c>
      <c r="X1977" t="inlineStr">
        <is>
          <t>1994-11-07</t>
        </is>
      </c>
      <c r="Y1977" t="n">
        <v>97</v>
      </c>
      <c r="Z1977" t="n">
        <v>73</v>
      </c>
      <c r="AA1977" t="n">
        <v>73</v>
      </c>
      <c r="AB1977" t="n">
        <v>2</v>
      </c>
      <c r="AC1977" t="n">
        <v>2</v>
      </c>
      <c r="AD1977" t="n">
        <v>1</v>
      </c>
      <c r="AE1977" t="n">
        <v>1</v>
      </c>
      <c r="AF1977" t="n">
        <v>0</v>
      </c>
      <c r="AG1977" t="n">
        <v>0</v>
      </c>
      <c r="AH1977" t="n">
        <v>0</v>
      </c>
      <c r="AI1977" t="n">
        <v>0</v>
      </c>
      <c r="AJ1977" t="n">
        <v>0</v>
      </c>
      <c r="AK1977" t="n">
        <v>0</v>
      </c>
      <c r="AL1977" t="n">
        <v>1</v>
      </c>
      <c r="AM1977" t="n">
        <v>1</v>
      </c>
      <c r="AN1977" t="n">
        <v>0</v>
      </c>
      <c r="AO1977" t="n">
        <v>0</v>
      </c>
      <c r="AP1977" t="inlineStr">
        <is>
          <t>No</t>
        </is>
      </c>
      <c r="AQ1977" t="inlineStr">
        <is>
          <t>No</t>
        </is>
      </c>
      <c r="AS1977">
        <f>HYPERLINK("https://creighton-primo.hosted.exlibrisgroup.com/primo-explore/search?tab=default_tab&amp;search_scope=EVERYTHING&amp;vid=01CRU&amp;lang=en_US&amp;offset=0&amp;query=any,contains,991002172439702656","Catalog Record")</f>
        <v/>
      </c>
      <c r="AT1977">
        <f>HYPERLINK("http://www.worldcat.org/oclc/27973629","WorldCat Record")</f>
        <v/>
      </c>
      <c r="AU1977" t="inlineStr">
        <is>
          <t>2517306043:eng</t>
        </is>
      </c>
      <c r="AV1977" t="inlineStr">
        <is>
          <t>27973629</t>
        </is>
      </c>
      <c r="AW1977" t="inlineStr">
        <is>
          <t>991002172439702656</t>
        </is>
      </c>
      <c r="AX1977" t="inlineStr">
        <is>
          <t>991002172439702656</t>
        </is>
      </c>
      <c r="AY1977" t="inlineStr">
        <is>
          <t>2263817750002656</t>
        </is>
      </c>
      <c r="AZ1977" t="inlineStr">
        <is>
          <t>BOOK</t>
        </is>
      </c>
      <c r="BB1977" t="inlineStr">
        <is>
          <t>9780830642199</t>
        </is>
      </c>
      <c r="BC1977" t="inlineStr">
        <is>
          <t>32285001956530</t>
        </is>
      </c>
      <c r="BD1977" t="inlineStr">
        <is>
          <t>893497794</t>
        </is>
      </c>
    </row>
    <row r="1978">
      <c r="A1978" t="inlineStr">
        <is>
          <t>No</t>
        </is>
      </c>
      <c r="B1978" t="inlineStr">
        <is>
          <t>HQ756 .G73 1982</t>
        </is>
      </c>
      <c r="C1978" t="inlineStr">
        <is>
          <t>0                      HQ 0756000G  73          1982</t>
        </is>
      </c>
      <c r="D1978" t="inlineStr">
        <is>
          <t>Patriarchy as a conceptual trap / Elizabeth Dodson Gray.</t>
        </is>
      </c>
      <c r="F1978" t="inlineStr">
        <is>
          <t>No</t>
        </is>
      </c>
      <c r="G1978" t="inlineStr">
        <is>
          <t>1</t>
        </is>
      </c>
      <c r="H1978" t="inlineStr">
        <is>
          <t>No</t>
        </is>
      </c>
      <c r="I1978" t="inlineStr">
        <is>
          <t>No</t>
        </is>
      </c>
      <c r="J1978" t="inlineStr">
        <is>
          <t>0</t>
        </is>
      </c>
      <c r="K1978" t="inlineStr">
        <is>
          <t>Gray, Elizabeth Dodson, 1929-</t>
        </is>
      </c>
      <c r="L1978" t="inlineStr">
        <is>
          <t>Wellesley, Mass. : Roundtable Press, c1982.</t>
        </is>
      </c>
      <c r="M1978" t="inlineStr">
        <is>
          <t>1982</t>
        </is>
      </c>
      <c r="O1978" t="inlineStr">
        <is>
          <t>eng</t>
        </is>
      </c>
      <c r="P1978" t="inlineStr">
        <is>
          <t>mau</t>
        </is>
      </c>
      <c r="R1978" t="inlineStr">
        <is>
          <t xml:space="preserve">HQ </t>
        </is>
      </c>
      <c r="S1978" t="n">
        <v>1</v>
      </c>
      <c r="T1978" t="n">
        <v>1</v>
      </c>
      <c r="U1978" t="inlineStr">
        <is>
          <t>1992-04-15</t>
        </is>
      </c>
      <c r="V1978" t="inlineStr">
        <is>
          <t>1992-04-15</t>
        </is>
      </c>
      <c r="W1978" t="inlineStr">
        <is>
          <t>1992-04-15</t>
        </is>
      </c>
      <c r="X1978" t="inlineStr">
        <is>
          <t>1992-04-15</t>
        </is>
      </c>
      <c r="Y1978" t="n">
        <v>385</v>
      </c>
      <c r="Z1978" t="n">
        <v>339</v>
      </c>
      <c r="AA1978" t="n">
        <v>339</v>
      </c>
      <c r="AB1978" t="n">
        <v>2</v>
      </c>
      <c r="AC1978" t="n">
        <v>2</v>
      </c>
      <c r="AD1978" t="n">
        <v>15</v>
      </c>
      <c r="AE1978" t="n">
        <v>15</v>
      </c>
      <c r="AF1978" t="n">
        <v>6</v>
      </c>
      <c r="AG1978" t="n">
        <v>6</v>
      </c>
      <c r="AH1978" t="n">
        <v>2</v>
      </c>
      <c r="AI1978" t="n">
        <v>2</v>
      </c>
      <c r="AJ1978" t="n">
        <v>10</v>
      </c>
      <c r="AK1978" t="n">
        <v>10</v>
      </c>
      <c r="AL1978" t="n">
        <v>1</v>
      </c>
      <c r="AM1978" t="n">
        <v>1</v>
      </c>
      <c r="AN1978" t="n">
        <v>0</v>
      </c>
      <c r="AO1978" t="n">
        <v>0</v>
      </c>
      <c r="AP1978" t="inlineStr">
        <is>
          <t>No</t>
        </is>
      </c>
      <c r="AQ1978" t="inlineStr">
        <is>
          <t>No</t>
        </is>
      </c>
      <c r="AS1978">
        <f>HYPERLINK("https://creighton-primo.hosted.exlibrisgroup.com/primo-explore/search?tab=default_tab&amp;search_scope=EVERYTHING&amp;vid=01CRU&amp;lang=en_US&amp;offset=0&amp;query=any,contains,991000118569702656","Catalog Record")</f>
        <v/>
      </c>
      <c r="AT1978">
        <f>HYPERLINK("http://www.worldcat.org/oclc/9050822","WorldCat Record")</f>
        <v/>
      </c>
      <c r="AU1978" t="inlineStr">
        <is>
          <t>42921650:eng</t>
        </is>
      </c>
      <c r="AV1978" t="inlineStr">
        <is>
          <t>9050822</t>
        </is>
      </c>
      <c r="AW1978" t="inlineStr">
        <is>
          <t>991000118569702656</t>
        </is>
      </c>
      <c r="AX1978" t="inlineStr">
        <is>
          <t>991000118569702656</t>
        </is>
      </c>
      <c r="AY1978" t="inlineStr">
        <is>
          <t>2269778890002656</t>
        </is>
      </c>
      <c r="AZ1978" t="inlineStr">
        <is>
          <t>BOOK</t>
        </is>
      </c>
      <c r="BB1978" t="inlineStr">
        <is>
          <t>9780934512046</t>
        </is>
      </c>
      <c r="BC1978" t="inlineStr">
        <is>
          <t>32285001062693</t>
        </is>
      </c>
      <c r="BD1978" t="inlineStr">
        <is>
          <t>893689444</t>
        </is>
      </c>
    </row>
    <row r="1979">
      <c r="A1979" t="inlineStr">
        <is>
          <t>No</t>
        </is>
      </c>
      <c r="B1979" t="inlineStr">
        <is>
          <t>HQ756 .G78 1993</t>
        </is>
      </c>
      <c r="C1979" t="inlineStr">
        <is>
          <t>0                      HQ 0756000G  78          1993</t>
        </is>
      </c>
      <c r="D1979" t="inlineStr">
        <is>
          <t>Fatherhood in America : a history / Robert L. Griswold.</t>
        </is>
      </c>
      <c r="F1979" t="inlineStr">
        <is>
          <t>No</t>
        </is>
      </c>
      <c r="G1979" t="inlineStr">
        <is>
          <t>1</t>
        </is>
      </c>
      <c r="H1979" t="inlineStr">
        <is>
          <t>No</t>
        </is>
      </c>
      <c r="I1979" t="inlineStr">
        <is>
          <t>No</t>
        </is>
      </c>
      <c r="J1979" t="inlineStr">
        <is>
          <t>0</t>
        </is>
      </c>
      <c r="K1979" t="inlineStr">
        <is>
          <t>Griswold, Robert L., 1950-</t>
        </is>
      </c>
      <c r="L1979" t="inlineStr">
        <is>
          <t>New York : BasicBooks, c1993.</t>
        </is>
      </c>
      <c r="M1979" t="inlineStr">
        <is>
          <t>1993</t>
        </is>
      </c>
      <c r="O1979" t="inlineStr">
        <is>
          <t>eng</t>
        </is>
      </c>
      <c r="P1979" t="inlineStr">
        <is>
          <t>nyu</t>
        </is>
      </c>
      <c r="R1979" t="inlineStr">
        <is>
          <t xml:space="preserve">HQ </t>
        </is>
      </c>
      <c r="S1979" t="n">
        <v>8</v>
      </c>
      <c r="T1979" t="n">
        <v>8</v>
      </c>
      <c r="U1979" t="inlineStr">
        <is>
          <t>2006-03-06</t>
        </is>
      </c>
      <c r="V1979" t="inlineStr">
        <is>
          <t>2006-03-06</t>
        </is>
      </c>
      <c r="W1979" t="inlineStr">
        <is>
          <t>1993-09-14</t>
        </is>
      </c>
      <c r="X1979" t="inlineStr">
        <is>
          <t>1993-09-14</t>
        </is>
      </c>
      <c r="Y1979" t="n">
        <v>1143</v>
      </c>
      <c r="Z1979" t="n">
        <v>1065</v>
      </c>
      <c r="AA1979" t="n">
        <v>1075</v>
      </c>
      <c r="AB1979" t="n">
        <v>8</v>
      </c>
      <c r="AC1979" t="n">
        <v>8</v>
      </c>
      <c r="AD1979" t="n">
        <v>38</v>
      </c>
      <c r="AE1979" t="n">
        <v>38</v>
      </c>
      <c r="AF1979" t="n">
        <v>15</v>
      </c>
      <c r="AG1979" t="n">
        <v>15</v>
      </c>
      <c r="AH1979" t="n">
        <v>7</v>
      </c>
      <c r="AI1979" t="n">
        <v>7</v>
      </c>
      <c r="AJ1979" t="n">
        <v>18</v>
      </c>
      <c r="AK1979" t="n">
        <v>18</v>
      </c>
      <c r="AL1979" t="n">
        <v>7</v>
      </c>
      <c r="AM1979" t="n">
        <v>7</v>
      </c>
      <c r="AN1979" t="n">
        <v>0</v>
      </c>
      <c r="AO1979" t="n">
        <v>0</v>
      </c>
      <c r="AP1979" t="inlineStr">
        <is>
          <t>No</t>
        </is>
      </c>
      <c r="AQ1979" t="inlineStr">
        <is>
          <t>Yes</t>
        </is>
      </c>
      <c r="AR1979">
        <f>HYPERLINK("http://catalog.hathitrust.org/Record/002648133","HathiTrust Record")</f>
        <v/>
      </c>
      <c r="AS1979">
        <f>HYPERLINK("https://creighton-primo.hosted.exlibrisgroup.com/primo-explore/search?tab=default_tab&amp;search_scope=EVERYTHING&amp;vid=01CRU&amp;lang=en_US&amp;offset=0&amp;query=any,contains,991002140509702656","Catalog Record")</f>
        <v/>
      </c>
      <c r="AT1979">
        <f>HYPERLINK("http://www.worldcat.org/oclc/27431607","WorldCat Record")</f>
        <v/>
      </c>
      <c r="AU1979" t="inlineStr">
        <is>
          <t>196725920:eng</t>
        </is>
      </c>
      <c r="AV1979" t="inlineStr">
        <is>
          <t>27431607</t>
        </is>
      </c>
      <c r="AW1979" t="inlineStr">
        <is>
          <t>991002140509702656</t>
        </is>
      </c>
      <c r="AX1979" t="inlineStr">
        <is>
          <t>991002140509702656</t>
        </is>
      </c>
      <c r="AY1979" t="inlineStr">
        <is>
          <t>2264479480002656</t>
        </is>
      </c>
      <c r="AZ1979" t="inlineStr">
        <is>
          <t>BOOK</t>
        </is>
      </c>
      <c r="BB1979" t="inlineStr">
        <is>
          <t>9780465001408</t>
        </is>
      </c>
      <c r="BC1979" t="inlineStr">
        <is>
          <t>32285001766194</t>
        </is>
      </c>
      <c r="BD1979" t="inlineStr">
        <is>
          <t>893262100</t>
        </is>
      </c>
    </row>
    <row r="1980">
      <c r="A1980" t="inlineStr">
        <is>
          <t>No</t>
        </is>
      </c>
      <c r="B1980" t="inlineStr">
        <is>
          <t>HQ756 .H35</t>
        </is>
      </c>
      <c r="C1980" t="inlineStr">
        <is>
          <t>0                      HQ 0756000H  35</t>
        </is>
      </c>
      <c r="D1980" t="inlineStr">
        <is>
          <t>Father's influence on children / Marshall L. Hamilton.</t>
        </is>
      </c>
      <c r="F1980" t="inlineStr">
        <is>
          <t>No</t>
        </is>
      </c>
      <c r="G1980" t="inlineStr">
        <is>
          <t>1</t>
        </is>
      </c>
      <c r="H1980" t="inlineStr">
        <is>
          <t>No</t>
        </is>
      </c>
      <c r="I1980" t="inlineStr">
        <is>
          <t>No</t>
        </is>
      </c>
      <c r="J1980" t="inlineStr">
        <is>
          <t>0</t>
        </is>
      </c>
      <c r="K1980" t="inlineStr">
        <is>
          <t>Hamilton, Marshall L., 1937-</t>
        </is>
      </c>
      <c r="L1980" t="inlineStr">
        <is>
          <t>Chicago : Nelson-Hall, c1977.</t>
        </is>
      </c>
      <c r="M1980" t="inlineStr">
        <is>
          <t>1977</t>
        </is>
      </c>
      <c r="O1980" t="inlineStr">
        <is>
          <t>eng</t>
        </is>
      </c>
      <c r="P1980" t="inlineStr">
        <is>
          <t>ilu</t>
        </is>
      </c>
      <c r="R1980" t="inlineStr">
        <is>
          <t xml:space="preserve">HQ </t>
        </is>
      </c>
      <c r="S1980" t="n">
        <v>18</v>
      </c>
      <c r="T1980" t="n">
        <v>18</v>
      </c>
      <c r="U1980" t="inlineStr">
        <is>
          <t>2010-12-08</t>
        </is>
      </c>
      <c r="V1980" t="inlineStr">
        <is>
          <t>2010-12-08</t>
        </is>
      </c>
      <c r="W1980" t="inlineStr">
        <is>
          <t>1991-12-11</t>
        </is>
      </c>
      <c r="X1980" t="inlineStr">
        <is>
          <t>1991-12-11</t>
        </is>
      </c>
      <c r="Y1980" t="n">
        <v>763</v>
      </c>
      <c r="Z1980" t="n">
        <v>678</v>
      </c>
      <c r="AA1980" t="n">
        <v>680</v>
      </c>
      <c r="AB1980" t="n">
        <v>11</v>
      </c>
      <c r="AC1980" t="n">
        <v>11</v>
      </c>
      <c r="AD1980" t="n">
        <v>19</v>
      </c>
      <c r="AE1980" t="n">
        <v>19</v>
      </c>
      <c r="AF1980" t="n">
        <v>4</v>
      </c>
      <c r="AG1980" t="n">
        <v>4</v>
      </c>
      <c r="AH1980" t="n">
        <v>2</v>
      </c>
      <c r="AI1980" t="n">
        <v>2</v>
      </c>
      <c r="AJ1980" t="n">
        <v>11</v>
      </c>
      <c r="AK1980" t="n">
        <v>11</v>
      </c>
      <c r="AL1980" t="n">
        <v>6</v>
      </c>
      <c r="AM1980" t="n">
        <v>6</v>
      </c>
      <c r="AN1980" t="n">
        <v>0</v>
      </c>
      <c r="AO1980" t="n">
        <v>0</v>
      </c>
      <c r="AP1980" t="inlineStr">
        <is>
          <t>No</t>
        </is>
      </c>
      <c r="AQ1980" t="inlineStr">
        <is>
          <t>Yes</t>
        </is>
      </c>
      <c r="AR1980">
        <f>HYPERLINK("http://catalog.hathitrust.org/Record/007113891","HathiTrust Record")</f>
        <v/>
      </c>
      <c r="AS1980">
        <f>HYPERLINK("https://creighton-primo.hosted.exlibrisgroup.com/primo-explore/search?tab=default_tab&amp;search_scope=EVERYTHING&amp;vid=01CRU&amp;lang=en_US&amp;offset=0&amp;query=any,contains,991004119209702656","Catalog Record")</f>
        <v/>
      </c>
      <c r="AT1980">
        <f>HYPERLINK("http://www.worldcat.org/oclc/2423727","WorldCat Record")</f>
        <v/>
      </c>
      <c r="AU1980" t="inlineStr">
        <is>
          <t>541176:eng</t>
        </is>
      </c>
      <c r="AV1980" t="inlineStr">
        <is>
          <t>2423727</t>
        </is>
      </c>
      <c r="AW1980" t="inlineStr">
        <is>
          <t>991004119209702656</t>
        </is>
      </c>
      <c r="AX1980" t="inlineStr">
        <is>
          <t>991004119209702656</t>
        </is>
      </c>
      <c r="AY1980" t="inlineStr">
        <is>
          <t>2263012460002656</t>
        </is>
      </c>
      <c r="AZ1980" t="inlineStr">
        <is>
          <t>BOOK</t>
        </is>
      </c>
      <c r="BB1980" t="inlineStr">
        <is>
          <t>9780882291420</t>
        </is>
      </c>
      <c r="BC1980" t="inlineStr">
        <is>
          <t>32285000875855</t>
        </is>
      </c>
      <c r="BD1980" t="inlineStr">
        <is>
          <t>893324945</t>
        </is>
      </c>
    </row>
    <row r="1981">
      <c r="A1981" t="inlineStr">
        <is>
          <t>No</t>
        </is>
      </c>
      <c r="B1981" t="inlineStr">
        <is>
          <t>HQ756 .K55 1984</t>
        </is>
      </c>
      <c r="C1981" t="inlineStr">
        <is>
          <t>0                      HQ 0756000K  55          1984</t>
        </is>
      </c>
      <c r="D1981" t="inlineStr">
        <is>
          <t>Fatherhood U.S.A. : the first national guide to programs, services, and resources for and about fathers / Debra G. Klinman, Rhiana Kohl.</t>
        </is>
      </c>
      <c r="F1981" t="inlineStr">
        <is>
          <t>No</t>
        </is>
      </c>
      <c r="G1981" t="inlineStr">
        <is>
          <t>1</t>
        </is>
      </c>
      <c r="H1981" t="inlineStr">
        <is>
          <t>No</t>
        </is>
      </c>
      <c r="I1981" t="inlineStr">
        <is>
          <t>No</t>
        </is>
      </c>
      <c r="J1981" t="inlineStr">
        <is>
          <t>0</t>
        </is>
      </c>
      <c r="K1981" t="inlineStr">
        <is>
          <t>Klinman, Debra G.</t>
        </is>
      </c>
      <c r="L1981" t="inlineStr">
        <is>
          <t>New York : Garland Pub., 1984.</t>
        </is>
      </c>
      <c r="M1981" t="inlineStr">
        <is>
          <t>1984</t>
        </is>
      </c>
      <c r="O1981" t="inlineStr">
        <is>
          <t>eng</t>
        </is>
      </c>
      <c r="P1981" t="inlineStr">
        <is>
          <t>nyu</t>
        </is>
      </c>
      <c r="R1981" t="inlineStr">
        <is>
          <t xml:space="preserve">HQ </t>
        </is>
      </c>
      <c r="S1981" t="n">
        <v>14</v>
      </c>
      <c r="T1981" t="n">
        <v>14</v>
      </c>
      <c r="U1981" t="inlineStr">
        <is>
          <t>2002-08-12</t>
        </is>
      </c>
      <c r="V1981" t="inlineStr">
        <is>
          <t>2002-08-12</t>
        </is>
      </c>
      <c r="W1981" t="inlineStr">
        <is>
          <t>1992-11-04</t>
        </is>
      </c>
      <c r="X1981" t="inlineStr">
        <is>
          <t>1992-11-04</t>
        </is>
      </c>
      <c r="Y1981" t="n">
        <v>401</v>
      </c>
      <c r="Z1981" t="n">
        <v>379</v>
      </c>
      <c r="AA1981" t="n">
        <v>394</v>
      </c>
      <c r="AB1981" t="n">
        <v>4</v>
      </c>
      <c r="AC1981" t="n">
        <v>4</v>
      </c>
      <c r="AD1981" t="n">
        <v>7</v>
      </c>
      <c r="AE1981" t="n">
        <v>8</v>
      </c>
      <c r="AF1981" t="n">
        <v>1</v>
      </c>
      <c r="AG1981" t="n">
        <v>2</v>
      </c>
      <c r="AH1981" t="n">
        <v>3</v>
      </c>
      <c r="AI1981" t="n">
        <v>3</v>
      </c>
      <c r="AJ1981" t="n">
        <v>3</v>
      </c>
      <c r="AK1981" t="n">
        <v>3</v>
      </c>
      <c r="AL1981" t="n">
        <v>2</v>
      </c>
      <c r="AM1981" t="n">
        <v>2</v>
      </c>
      <c r="AN1981" t="n">
        <v>0</v>
      </c>
      <c r="AO1981" t="n">
        <v>0</v>
      </c>
      <c r="AP1981" t="inlineStr">
        <is>
          <t>No</t>
        </is>
      </c>
      <c r="AQ1981" t="inlineStr">
        <is>
          <t>Yes</t>
        </is>
      </c>
      <c r="AR1981">
        <f>HYPERLINK("http://catalog.hathitrust.org/Record/000123966","HathiTrust Record")</f>
        <v/>
      </c>
      <c r="AS1981">
        <f>HYPERLINK("https://creighton-primo.hosted.exlibrisgroup.com/primo-explore/search?tab=default_tab&amp;search_scope=EVERYTHING&amp;vid=01CRU&amp;lang=en_US&amp;offset=0&amp;query=any,contains,991000417549702656","Catalog Record")</f>
        <v/>
      </c>
      <c r="AT1981">
        <f>HYPERLINK("http://www.worldcat.org/oclc/10725661","WorldCat Record")</f>
        <v/>
      </c>
      <c r="AU1981" t="inlineStr">
        <is>
          <t>904686582:eng</t>
        </is>
      </c>
      <c r="AV1981" t="inlineStr">
        <is>
          <t>10725661</t>
        </is>
      </c>
      <c r="AW1981" t="inlineStr">
        <is>
          <t>991000417549702656</t>
        </is>
      </c>
      <c r="AX1981" t="inlineStr">
        <is>
          <t>991000417549702656</t>
        </is>
      </c>
      <c r="AY1981" t="inlineStr">
        <is>
          <t>2263753190002656</t>
        </is>
      </c>
      <c r="AZ1981" t="inlineStr">
        <is>
          <t>BOOK</t>
        </is>
      </c>
      <c r="BB1981" t="inlineStr">
        <is>
          <t>9780824090111</t>
        </is>
      </c>
      <c r="BC1981" t="inlineStr">
        <is>
          <t>32285001359768</t>
        </is>
      </c>
      <c r="BD1981" t="inlineStr">
        <is>
          <t>893708352</t>
        </is>
      </c>
    </row>
    <row r="1982">
      <c r="A1982" t="inlineStr">
        <is>
          <t>No</t>
        </is>
      </c>
      <c r="B1982" t="inlineStr">
        <is>
          <t>HQ756 .L37 1997</t>
        </is>
      </c>
      <c r="C1982" t="inlineStr">
        <is>
          <t>0                      HQ 0756000L  37          1997</t>
        </is>
      </c>
      <c r="D1982" t="inlineStr">
        <is>
          <t>The modernization of fatherhood : a social and political history / Ralph LaRossa.</t>
        </is>
      </c>
      <c r="F1982" t="inlineStr">
        <is>
          <t>No</t>
        </is>
      </c>
      <c r="G1982" t="inlineStr">
        <is>
          <t>1</t>
        </is>
      </c>
      <c r="H1982" t="inlineStr">
        <is>
          <t>No</t>
        </is>
      </c>
      <c r="I1982" t="inlineStr">
        <is>
          <t>No</t>
        </is>
      </c>
      <c r="J1982" t="inlineStr">
        <is>
          <t>0</t>
        </is>
      </c>
      <c r="K1982" t="inlineStr">
        <is>
          <t>LaRossa, Ralph.</t>
        </is>
      </c>
      <c r="L1982" t="inlineStr">
        <is>
          <t>Chicago : University of Chicago Press, c1997.</t>
        </is>
      </c>
      <c r="M1982" t="inlineStr">
        <is>
          <t>1997</t>
        </is>
      </c>
      <c r="O1982" t="inlineStr">
        <is>
          <t>eng</t>
        </is>
      </c>
      <c r="P1982" t="inlineStr">
        <is>
          <t>ilu</t>
        </is>
      </c>
      <c r="R1982" t="inlineStr">
        <is>
          <t xml:space="preserve">HQ </t>
        </is>
      </c>
      <c r="S1982" t="n">
        <v>15</v>
      </c>
      <c r="T1982" t="n">
        <v>15</v>
      </c>
      <c r="U1982" t="inlineStr">
        <is>
          <t>2000-11-25</t>
        </is>
      </c>
      <c r="V1982" t="inlineStr">
        <is>
          <t>2000-11-25</t>
        </is>
      </c>
      <c r="W1982" t="inlineStr">
        <is>
          <t>1997-12-05</t>
        </is>
      </c>
      <c r="X1982" t="inlineStr">
        <is>
          <t>1997-12-05</t>
        </is>
      </c>
      <c r="Y1982" t="n">
        <v>903</v>
      </c>
      <c r="Z1982" t="n">
        <v>771</v>
      </c>
      <c r="AA1982" t="n">
        <v>775</v>
      </c>
      <c r="AB1982" t="n">
        <v>6</v>
      </c>
      <c r="AC1982" t="n">
        <v>6</v>
      </c>
      <c r="AD1982" t="n">
        <v>37</v>
      </c>
      <c r="AE1982" t="n">
        <v>37</v>
      </c>
      <c r="AF1982" t="n">
        <v>14</v>
      </c>
      <c r="AG1982" t="n">
        <v>14</v>
      </c>
      <c r="AH1982" t="n">
        <v>9</v>
      </c>
      <c r="AI1982" t="n">
        <v>9</v>
      </c>
      <c r="AJ1982" t="n">
        <v>18</v>
      </c>
      <c r="AK1982" t="n">
        <v>18</v>
      </c>
      <c r="AL1982" t="n">
        <v>5</v>
      </c>
      <c r="AM1982" t="n">
        <v>5</v>
      </c>
      <c r="AN1982" t="n">
        <v>2</v>
      </c>
      <c r="AO1982" t="n">
        <v>2</v>
      </c>
      <c r="AP1982" t="inlineStr">
        <is>
          <t>No</t>
        </is>
      </c>
      <c r="AQ1982" t="inlineStr">
        <is>
          <t>No</t>
        </is>
      </c>
      <c r="AS1982">
        <f>HYPERLINK("https://creighton-primo.hosted.exlibrisgroup.com/primo-explore/search?tab=default_tab&amp;search_scope=EVERYTHING&amp;vid=01CRU&amp;lang=en_US&amp;offset=0&amp;query=any,contains,991002664969702656","Catalog Record")</f>
        <v/>
      </c>
      <c r="AT1982">
        <f>HYPERLINK("http://www.worldcat.org/oclc/34850048","WorldCat Record")</f>
        <v/>
      </c>
      <c r="AU1982" t="inlineStr">
        <is>
          <t>20446762:eng</t>
        </is>
      </c>
      <c r="AV1982" t="inlineStr">
        <is>
          <t>34850048</t>
        </is>
      </c>
      <c r="AW1982" t="inlineStr">
        <is>
          <t>991002664969702656</t>
        </is>
      </c>
      <c r="AX1982" t="inlineStr">
        <is>
          <t>991002664969702656</t>
        </is>
      </c>
      <c r="AY1982" t="inlineStr">
        <is>
          <t>2264346020002656</t>
        </is>
      </c>
      <c r="AZ1982" t="inlineStr">
        <is>
          <t>BOOK</t>
        </is>
      </c>
      <c r="BB1982" t="inlineStr">
        <is>
          <t>9780226469034</t>
        </is>
      </c>
      <c r="BC1982" t="inlineStr">
        <is>
          <t>32285003281606</t>
        </is>
      </c>
      <c r="BD1982" t="inlineStr">
        <is>
          <t>893517573</t>
        </is>
      </c>
    </row>
    <row r="1983">
      <c r="A1983" t="inlineStr">
        <is>
          <t>No</t>
        </is>
      </c>
      <c r="B1983" t="inlineStr">
        <is>
          <t>HQ756 .L47</t>
        </is>
      </c>
      <c r="C1983" t="inlineStr">
        <is>
          <t>0                      HQ 0756000L  47</t>
        </is>
      </c>
      <c r="D1983" t="inlineStr">
        <is>
          <t>Who will raise the children? : New options for fathers (and mothers) / James A. Levine.</t>
        </is>
      </c>
      <c r="F1983" t="inlineStr">
        <is>
          <t>No</t>
        </is>
      </c>
      <c r="G1983" t="inlineStr">
        <is>
          <t>1</t>
        </is>
      </c>
      <c r="H1983" t="inlineStr">
        <is>
          <t>No</t>
        </is>
      </c>
      <c r="I1983" t="inlineStr">
        <is>
          <t>No</t>
        </is>
      </c>
      <c r="J1983" t="inlineStr">
        <is>
          <t>0</t>
        </is>
      </c>
      <c r="K1983" t="inlineStr">
        <is>
          <t>Levine, James A.</t>
        </is>
      </c>
      <c r="L1983" t="inlineStr">
        <is>
          <t>Philadelphia : Lippincott, c1976.</t>
        </is>
      </c>
      <c r="M1983" t="inlineStr">
        <is>
          <t>1976</t>
        </is>
      </c>
      <c r="N1983" t="inlineStr">
        <is>
          <t>1st ed.</t>
        </is>
      </c>
      <c r="O1983" t="inlineStr">
        <is>
          <t>eng</t>
        </is>
      </c>
      <c r="P1983" t="inlineStr">
        <is>
          <t>pau</t>
        </is>
      </c>
      <c r="R1983" t="inlineStr">
        <is>
          <t xml:space="preserve">HQ </t>
        </is>
      </c>
      <c r="S1983" t="n">
        <v>3</v>
      </c>
      <c r="T1983" t="n">
        <v>3</v>
      </c>
      <c r="U1983" t="inlineStr">
        <is>
          <t>2002-11-20</t>
        </is>
      </c>
      <c r="V1983" t="inlineStr">
        <is>
          <t>2002-11-20</t>
        </is>
      </c>
      <c r="W1983" t="inlineStr">
        <is>
          <t>1994-11-10</t>
        </is>
      </c>
      <c r="X1983" t="inlineStr">
        <is>
          <t>1994-11-10</t>
        </is>
      </c>
      <c r="Y1983" t="n">
        <v>682</v>
      </c>
      <c r="Z1983" t="n">
        <v>635</v>
      </c>
      <c r="AA1983" t="n">
        <v>654</v>
      </c>
      <c r="AB1983" t="n">
        <v>6</v>
      </c>
      <c r="AC1983" t="n">
        <v>6</v>
      </c>
      <c r="AD1983" t="n">
        <v>18</v>
      </c>
      <c r="AE1983" t="n">
        <v>18</v>
      </c>
      <c r="AF1983" t="n">
        <v>8</v>
      </c>
      <c r="AG1983" t="n">
        <v>8</v>
      </c>
      <c r="AH1983" t="n">
        <v>4</v>
      </c>
      <c r="AI1983" t="n">
        <v>4</v>
      </c>
      <c r="AJ1983" t="n">
        <v>7</v>
      </c>
      <c r="AK1983" t="n">
        <v>7</v>
      </c>
      <c r="AL1983" t="n">
        <v>3</v>
      </c>
      <c r="AM1983" t="n">
        <v>3</v>
      </c>
      <c r="AN1983" t="n">
        <v>0</v>
      </c>
      <c r="AO1983" t="n">
        <v>0</v>
      </c>
      <c r="AP1983" t="inlineStr">
        <is>
          <t>No</t>
        </is>
      </c>
      <c r="AQ1983" t="inlineStr">
        <is>
          <t>Yes</t>
        </is>
      </c>
      <c r="AR1983">
        <f>HYPERLINK("http://catalog.hathitrust.org/Record/000729550","HathiTrust Record")</f>
        <v/>
      </c>
      <c r="AS1983">
        <f>HYPERLINK("https://creighton-primo.hosted.exlibrisgroup.com/primo-explore/search?tab=default_tab&amp;search_scope=EVERYTHING&amp;vid=01CRU&amp;lang=en_US&amp;offset=0&amp;query=any,contains,991004076069702656","Catalog Record")</f>
        <v/>
      </c>
      <c r="AT1983">
        <f>HYPERLINK("http://www.worldcat.org/oclc/2318098","WorldCat Record")</f>
        <v/>
      </c>
      <c r="AU1983" t="inlineStr">
        <is>
          <t>4648853:eng</t>
        </is>
      </c>
      <c r="AV1983" t="inlineStr">
        <is>
          <t>2318098</t>
        </is>
      </c>
      <c r="AW1983" t="inlineStr">
        <is>
          <t>991004076069702656</t>
        </is>
      </c>
      <c r="AX1983" t="inlineStr">
        <is>
          <t>991004076069702656</t>
        </is>
      </c>
      <c r="AY1983" t="inlineStr">
        <is>
          <t>2263958540002656</t>
        </is>
      </c>
      <c r="AZ1983" t="inlineStr">
        <is>
          <t>BOOK</t>
        </is>
      </c>
      <c r="BB1983" t="inlineStr">
        <is>
          <t>9780397011209</t>
        </is>
      </c>
      <c r="BC1983" t="inlineStr">
        <is>
          <t>32285001965218</t>
        </is>
      </c>
      <c r="BD1983" t="inlineStr">
        <is>
          <t>893775579</t>
        </is>
      </c>
    </row>
    <row r="1984">
      <c r="A1984" t="inlineStr">
        <is>
          <t>No</t>
        </is>
      </c>
      <c r="B1984" t="inlineStr">
        <is>
          <t>HQ756 .L476 1986</t>
        </is>
      </c>
      <c r="C1984" t="inlineStr">
        <is>
          <t>0                      HQ 0756000L  476         1986</t>
        </is>
      </c>
      <c r="D1984" t="inlineStr">
        <is>
          <t>Becoming a father / Charlie Lewis.</t>
        </is>
      </c>
      <c r="F1984" t="inlineStr">
        <is>
          <t>No</t>
        </is>
      </c>
      <c r="G1984" t="inlineStr">
        <is>
          <t>1</t>
        </is>
      </c>
      <c r="H1984" t="inlineStr">
        <is>
          <t>No</t>
        </is>
      </c>
      <c r="I1984" t="inlineStr">
        <is>
          <t>No</t>
        </is>
      </c>
      <c r="J1984" t="inlineStr">
        <is>
          <t>0</t>
        </is>
      </c>
      <c r="K1984" t="inlineStr">
        <is>
          <t>Lewis, Charlie.</t>
        </is>
      </c>
      <c r="L1984" t="inlineStr">
        <is>
          <t>Milton Keynes ; Philadelphia : Open University Press, 1986.</t>
        </is>
      </c>
      <c r="M1984" t="inlineStr">
        <is>
          <t>1986</t>
        </is>
      </c>
      <c r="O1984" t="inlineStr">
        <is>
          <t>eng</t>
        </is>
      </c>
      <c r="P1984" t="inlineStr">
        <is>
          <t>enk</t>
        </is>
      </c>
      <c r="R1984" t="inlineStr">
        <is>
          <t xml:space="preserve">HQ </t>
        </is>
      </c>
      <c r="S1984" t="n">
        <v>2</v>
      </c>
      <c r="T1984" t="n">
        <v>2</v>
      </c>
      <c r="U1984" t="inlineStr">
        <is>
          <t>1994-09-16</t>
        </is>
      </c>
      <c r="V1984" t="inlineStr">
        <is>
          <t>1994-09-16</t>
        </is>
      </c>
      <c r="W1984" t="inlineStr">
        <is>
          <t>1992-11-04</t>
        </is>
      </c>
      <c r="X1984" t="inlineStr">
        <is>
          <t>1992-11-04</t>
        </is>
      </c>
      <c r="Y1984" t="n">
        <v>439</v>
      </c>
      <c r="Z1984" t="n">
        <v>328</v>
      </c>
      <c r="AA1984" t="n">
        <v>335</v>
      </c>
      <c r="AB1984" t="n">
        <v>3</v>
      </c>
      <c r="AC1984" t="n">
        <v>3</v>
      </c>
      <c r="AD1984" t="n">
        <v>11</v>
      </c>
      <c r="AE1984" t="n">
        <v>11</v>
      </c>
      <c r="AF1984" t="n">
        <v>5</v>
      </c>
      <c r="AG1984" t="n">
        <v>5</v>
      </c>
      <c r="AH1984" t="n">
        <v>1</v>
      </c>
      <c r="AI1984" t="n">
        <v>1</v>
      </c>
      <c r="AJ1984" t="n">
        <v>5</v>
      </c>
      <c r="AK1984" t="n">
        <v>5</v>
      </c>
      <c r="AL1984" t="n">
        <v>2</v>
      </c>
      <c r="AM1984" t="n">
        <v>2</v>
      </c>
      <c r="AN1984" t="n">
        <v>0</v>
      </c>
      <c r="AO1984" t="n">
        <v>0</v>
      </c>
      <c r="AP1984" t="inlineStr">
        <is>
          <t>No</t>
        </is>
      </c>
      <c r="AQ1984" t="inlineStr">
        <is>
          <t>Yes</t>
        </is>
      </c>
      <c r="AR1984">
        <f>HYPERLINK("http://catalog.hathitrust.org/Record/000824860","HathiTrust Record")</f>
        <v/>
      </c>
      <c r="AS1984">
        <f>HYPERLINK("https://creighton-primo.hosted.exlibrisgroup.com/primo-explore/search?tab=default_tab&amp;search_scope=EVERYTHING&amp;vid=01CRU&amp;lang=en_US&amp;offset=0&amp;query=any,contains,991000794449702656","Catalog Record")</f>
        <v/>
      </c>
      <c r="AT1984">
        <f>HYPERLINK("http://www.worldcat.org/oclc/13184118","WorldCat Record")</f>
        <v/>
      </c>
      <c r="AU1984" t="inlineStr">
        <is>
          <t>5842320:eng</t>
        </is>
      </c>
      <c r="AV1984" t="inlineStr">
        <is>
          <t>13184118</t>
        </is>
      </c>
      <c r="AW1984" t="inlineStr">
        <is>
          <t>991000794449702656</t>
        </is>
      </c>
      <c r="AX1984" t="inlineStr">
        <is>
          <t>991000794449702656</t>
        </is>
      </c>
      <c r="AY1984" t="inlineStr">
        <is>
          <t>2255366470002656</t>
        </is>
      </c>
      <c r="AZ1984" t="inlineStr">
        <is>
          <t>BOOK</t>
        </is>
      </c>
      <c r="BB1984" t="inlineStr">
        <is>
          <t>9780335151271</t>
        </is>
      </c>
      <c r="BC1984" t="inlineStr">
        <is>
          <t>32285001359776</t>
        </is>
      </c>
      <c r="BD1984" t="inlineStr">
        <is>
          <t>893333776</t>
        </is>
      </c>
    </row>
    <row r="1985">
      <c r="A1985" t="inlineStr">
        <is>
          <t>No</t>
        </is>
      </c>
      <c r="B1985" t="inlineStr">
        <is>
          <t>HQ756 .L67 1998</t>
        </is>
      </c>
      <c r="C1985" t="inlineStr">
        <is>
          <t>0                      HQ 0756000L  67          1998</t>
        </is>
      </c>
      <c r="D1985" t="inlineStr">
        <is>
          <t>Lost fathers : the politics of fatherlessness in America / edited by Cynthia R. Daniels.</t>
        </is>
      </c>
      <c r="F1985" t="inlineStr">
        <is>
          <t>No</t>
        </is>
      </c>
      <c r="G1985" t="inlineStr">
        <is>
          <t>1</t>
        </is>
      </c>
      <c r="H1985" t="inlineStr">
        <is>
          <t>No</t>
        </is>
      </c>
      <c r="I1985" t="inlineStr">
        <is>
          <t>No</t>
        </is>
      </c>
      <c r="J1985" t="inlineStr">
        <is>
          <t>0</t>
        </is>
      </c>
      <c r="L1985" t="inlineStr">
        <is>
          <t>New York : St. Martin's Press, 1998.</t>
        </is>
      </c>
      <c r="M1985" t="inlineStr">
        <is>
          <t>1998</t>
        </is>
      </c>
      <c r="N1985" t="inlineStr">
        <is>
          <t>1st ed.</t>
        </is>
      </c>
      <c r="O1985" t="inlineStr">
        <is>
          <t>eng</t>
        </is>
      </c>
      <c r="P1985" t="inlineStr">
        <is>
          <t>nyu</t>
        </is>
      </c>
      <c r="R1985" t="inlineStr">
        <is>
          <t xml:space="preserve">HQ </t>
        </is>
      </c>
      <c r="S1985" t="n">
        <v>9</v>
      </c>
      <c r="T1985" t="n">
        <v>9</v>
      </c>
      <c r="U1985" t="inlineStr">
        <is>
          <t>2002-06-16</t>
        </is>
      </c>
      <c r="V1985" t="inlineStr">
        <is>
          <t>2002-06-16</t>
        </is>
      </c>
      <c r="W1985" t="inlineStr">
        <is>
          <t>1998-07-13</t>
        </is>
      </c>
      <c r="X1985" t="inlineStr">
        <is>
          <t>1998-07-13</t>
        </is>
      </c>
      <c r="Y1985" t="n">
        <v>726</v>
      </c>
      <c r="Z1985" t="n">
        <v>667</v>
      </c>
      <c r="AA1985" t="n">
        <v>716</v>
      </c>
      <c r="AB1985" t="n">
        <v>4</v>
      </c>
      <c r="AC1985" t="n">
        <v>5</v>
      </c>
      <c r="AD1985" t="n">
        <v>23</v>
      </c>
      <c r="AE1985" t="n">
        <v>26</v>
      </c>
      <c r="AF1985" t="n">
        <v>7</v>
      </c>
      <c r="AG1985" t="n">
        <v>7</v>
      </c>
      <c r="AH1985" t="n">
        <v>6</v>
      </c>
      <c r="AI1985" t="n">
        <v>6</v>
      </c>
      <c r="AJ1985" t="n">
        <v>13</v>
      </c>
      <c r="AK1985" t="n">
        <v>14</v>
      </c>
      <c r="AL1985" t="n">
        <v>3</v>
      </c>
      <c r="AM1985" t="n">
        <v>4</v>
      </c>
      <c r="AN1985" t="n">
        <v>0</v>
      </c>
      <c r="AO1985" t="n">
        <v>1</v>
      </c>
      <c r="AP1985" t="inlineStr">
        <is>
          <t>No</t>
        </is>
      </c>
      <c r="AQ1985" t="inlineStr">
        <is>
          <t>No</t>
        </is>
      </c>
      <c r="AS1985">
        <f>HYPERLINK("https://creighton-primo.hosted.exlibrisgroup.com/primo-explore/search?tab=default_tab&amp;search_scope=EVERYTHING&amp;vid=01CRU&amp;lang=en_US&amp;offset=0&amp;query=any,contains,991002884209702656","Catalog Record")</f>
        <v/>
      </c>
      <c r="AT1985">
        <f>HYPERLINK("http://www.worldcat.org/oclc/38010711","WorldCat Record")</f>
        <v/>
      </c>
      <c r="AU1985" t="inlineStr">
        <is>
          <t>837034173:eng</t>
        </is>
      </c>
      <c r="AV1985" t="inlineStr">
        <is>
          <t>38010711</t>
        </is>
      </c>
      <c r="AW1985" t="inlineStr">
        <is>
          <t>991002884209702656</t>
        </is>
      </c>
      <c r="AX1985" t="inlineStr">
        <is>
          <t>991002884209702656</t>
        </is>
      </c>
      <c r="AY1985" t="inlineStr">
        <is>
          <t>2261008470002656</t>
        </is>
      </c>
      <c r="AZ1985" t="inlineStr">
        <is>
          <t>BOOK</t>
        </is>
      </c>
      <c r="BB1985" t="inlineStr">
        <is>
          <t>9780312211073</t>
        </is>
      </c>
      <c r="BC1985" t="inlineStr">
        <is>
          <t>32285003431573</t>
        </is>
      </c>
      <c r="BD1985" t="inlineStr">
        <is>
          <t>893717037</t>
        </is>
      </c>
    </row>
    <row r="1986">
      <c r="A1986" t="inlineStr">
        <is>
          <t>No</t>
        </is>
      </c>
      <c r="B1986" t="inlineStr">
        <is>
          <t>HQ756 .M25 1985</t>
        </is>
      </c>
      <c r="C1986" t="inlineStr">
        <is>
          <t>0                      HQ 0756000M  25          1985</t>
        </is>
      </c>
      <c r="D1986" t="inlineStr">
        <is>
          <t>Fathering behaviors : the dynamics of the man-child bond / Wade C. Mackey.</t>
        </is>
      </c>
      <c r="F1986" t="inlineStr">
        <is>
          <t>No</t>
        </is>
      </c>
      <c r="G1986" t="inlineStr">
        <is>
          <t>1</t>
        </is>
      </c>
      <c r="H1986" t="inlineStr">
        <is>
          <t>No</t>
        </is>
      </c>
      <c r="I1986" t="inlineStr">
        <is>
          <t>No</t>
        </is>
      </c>
      <c r="J1986" t="inlineStr">
        <is>
          <t>0</t>
        </is>
      </c>
      <c r="K1986" t="inlineStr">
        <is>
          <t>Mackey, Wade C.</t>
        </is>
      </c>
      <c r="L1986" t="inlineStr">
        <is>
          <t>New York : Plenum Press, c1985.</t>
        </is>
      </c>
      <c r="M1986" t="inlineStr">
        <is>
          <t>1985</t>
        </is>
      </c>
      <c r="O1986" t="inlineStr">
        <is>
          <t>eng</t>
        </is>
      </c>
      <c r="P1986" t="inlineStr">
        <is>
          <t>nyu</t>
        </is>
      </c>
      <c r="Q1986" t="inlineStr">
        <is>
          <t>Perspectives in developmental psychology</t>
        </is>
      </c>
      <c r="R1986" t="inlineStr">
        <is>
          <t xml:space="preserve">HQ </t>
        </is>
      </c>
      <c r="S1986" t="n">
        <v>5</v>
      </c>
      <c r="T1986" t="n">
        <v>5</v>
      </c>
      <c r="U1986" t="inlineStr">
        <is>
          <t>1995-03-17</t>
        </is>
      </c>
      <c r="V1986" t="inlineStr">
        <is>
          <t>1995-03-17</t>
        </is>
      </c>
      <c r="W1986" t="inlineStr">
        <is>
          <t>1991-12-06</t>
        </is>
      </c>
      <c r="X1986" t="inlineStr">
        <is>
          <t>1991-12-06</t>
        </is>
      </c>
      <c r="Y1986" t="n">
        <v>855</v>
      </c>
      <c r="Z1986" t="n">
        <v>716</v>
      </c>
      <c r="AA1986" t="n">
        <v>733</v>
      </c>
      <c r="AB1986" t="n">
        <v>6</v>
      </c>
      <c r="AC1986" t="n">
        <v>6</v>
      </c>
      <c r="AD1986" t="n">
        <v>31</v>
      </c>
      <c r="AE1986" t="n">
        <v>33</v>
      </c>
      <c r="AF1986" t="n">
        <v>13</v>
      </c>
      <c r="AG1986" t="n">
        <v>15</v>
      </c>
      <c r="AH1986" t="n">
        <v>6</v>
      </c>
      <c r="AI1986" t="n">
        <v>6</v>
      </c>
      <c r="AJ1986" t="n">
        <v>14</v>
      </c>
      <c r="AK1986" t="n">
        <v>15</v>
      </c>
      <c r="AL1986" t="n">
        <v>5</v>
      </c>
      <c r="AM1986" t="n">
        <v>5</v>
      </c>
      <c r="AN1986" t="n">
        <v>0</v>
      </c>
      <c r="AO1986" t="n">
        <v>0</v>
      </c>
      <c r="AP1986" t="inlineStr">
        <is>
          <t>No</t>
        </is>
      </c>
      <c r="AQ1986" t="inlineStr">
        <is>
          <t>No</t>
        </is>
      </c>
      <c r="AS1986">
        <f>HYPERLINK("https://creighton-primo.hosted.exlibrisgroup.com/primo-explore/search?tab=default_tab&amp;search_scope=EVERYTHING&amp;vid=01CRU&amp;lang=en_US&amp;offset=0&amp;query=any,contains,991005265109702656","Catalog Record")</f>
        <v/>
      </c>
      <c r="AT1986">
        <f>HYPERLINK("http://www.worldcat.org/oclc/11969879","WorldCat Record")</f>
        <v/>
      </c>
      <c r="AU1986" t="inlineStr">
        <is>
          <t>309109594:eng</t>
        </is>
      </c>
      <c r="AV1986" t="inlineStr">
        <is>
          <t>11969879</t>
        </is>
      </c>
      <c r="AW1986" t="inlineStr">
        <is>
          <t>991005265109702656</t>
        </is>
      </c>
      <c r="AX1986" t="inlineStr">
        <is>
          <t>991005265109702656</t>
        </is>
      </c>
      <c r="AY1986" t="inlineStr">
        <is>
          <t>2260740110002656</t>
        </is>
      </c>
      <c r="AZ1986" t="inlineStr">
        <is>
          <t>BOOK</t>
        </is>
      </c>
      <c r="BB1986" t="inlineStr">
        <is>
          <t>9780306418686</t>
        </is>
      </c>
      <c r="BC1986" t="inlineStr">
        <is>
          <t>32285000829266</t>
        </is>
      </c>
      <c r="BD1986" t="inlineStr">
        <is>
          <t>893722871</t>
        </is>
      </c>
    </row>
    <row r="1987">
      <c r="A1987" t="inlineStr">
        <is>
          <t>No</t>
        </is>
      </c>
      <c r="B1987" t="inlineStr">
        <is>
          <t>HQ756 .M46 1987</t>
        </is>
      </c>
      <c r="C1987" t="inlineStr">
        <is>
          <t>0                      HQ 0756000M  46          1987</t>
        </is>
      </c>
      <c r="D1987" t="inlineStr">
        <is>
          <t>Men's transitions to parenthood : longitudinal studies of early family experience / edited by Phyllis W. Berman, Frank A. Pedersen.</t>
        </is>
      </c>
      <c r="F1987" t="inlineStr">
        <is>
          <t>No</t>
        </is>
      </c>
      <c r="G1987" t="inlineStr">
        <is>
          <t>1</t>
        </is>
      </c>
      <c r="H1987" t="inlineStr">
        <is>
          <t>No</t>
        </is>
      </c>
      <c r="I1987" t="inlineStr">
        <is>
          <t>No</t>
        </is>
      </c>
      <c r="J1987" t="inlineStr">
        <is>
          <t>0</t>
        </is>
      </c>
      <c r="L1987" t="inlineStr">
        <is>
          <t>Hillsdale, N.J. : L. Erlbaum Associates, 1987.</t>
        </is>
      </c>
      <c r="M1987" t="inlineStr">
        <is>
          <t>1987</t>
        </is>
      </c>
      <c r="O1987" t="inlineStr">
        <is>
          <t>eng</t>
        </is>
      </c>
      <c r="P1987" t="inlineStr">
        <is>
          <t>nju</t>
        </is>
      </c>
      <c r="R1987" t="inlineStr">
        <is>
          <t xml:space="preserve">HQ </t>
        </is>
      </c>
      <c r="S1987" t="n">
        <v>1</v>
      </c>
      <c r="T1987" t="n">
        <v>1</v>
      </c>
      <c r="U1987" t="inlineStr">
        <is>
          <t>2003-04-09</t>
        </is>
      </c>
      <c r="V1987" t="inlineStr">
        <is>
          <t>2003-04-09</t>
        </is>
      </c>
      <c r="W1987" t="inlineStr">
        <is>
          <t>1990-05-24</t>
        </is>
      </c>
      <c r="X1987" t="inlineStr">
        <is>
          <t>1990-05-24</t>
        </is>
      </c>
      <c r="Y1987" t="n">
        <v>402</v>
      </c>
      <c r="Z1987" t="n">
        <v>333</v>
      </c>
      <c r="AA1987" t="n">
        <v>358</v>
      </c>
      <c r="AB1987" t="n">
        <v>3</v>
      </c>
      <c r="AC1987" t="n">
        <v>3</v>
      </c>
      <c r="AD1987" t="n">
        <v>16</v>
      </c>
      <c r="AE1987" t="n">
        <v>16</v>
      </c>
      <c r="AF1987" t="n">
        <v>4</v>
      </c>
      <c r="AG1987" t="n">
        <v>4</v>
      </c>
      <c r="AH1987" t="n">
        <v>5</v>
      </c>
      <c r="AI1987" t="n">
        <v>5</v>
      </c>
      <c r="AJ1987" t="n">
        <v>10</v>
      </c>
      <c r="AK1987" t="n">
        <v>10</v>
      </c>
      <c r="AL1987" t="n">
        <v>2</v>
      </c>
      <c r="AM1987" t="n">
        <v>2</v>
      </c>
      <c r="AN1987" t="n">
        <v>0</v>
      </c>
      <c r="AO1987" t="n">
        <v>0</v>
      </c>
      <c r="AP1987" t="inlineStr">
        <is>
          <t>No</t>
        </is>
      </c>
      <c r="AQ1987" t="inlineStr">
        <is>
          <t>Yes</t>
        </is>
      </c>
      <c r="AR1987">
        <f>HYPERLINK("http://catalog.hathitrust.org/Record/000924664","HathiTrust Record")</f>
        <v/>
      </c>
      <c r="AS1987">
        <f>HYPERLINK("https://creighton-primo.hosted.exlibrisgroup.com/primo-explore/search?tab=default_tab&amp;search_scope=EVERYTHING&amp;vid=01CRU&amp;lang=en_US&amp;offset=0&amp;query=any,contains,991000960529702656","Catalog Record")</f>
        <v/>
      </c>
      <c r="AT1987">
        <f>HYPERLINK("http://www.worldcat.org/oclc/14818455","WorldCat Record")</f>
        <v/>
      </c>
      <c r="AU1987" t="inlineStr">
        <is>
          <t>836692448:eng</t>
        </is>
      </c>
      <c r="AV1987" t="inlineStr">
        <is>
          <t>14818455</t>
        </is>
      </c>
      <c r="AW1987" t="inlineStr">
        <is>
          <t>991000960529702656</t>
        </is>
      </c>
      <c r="AX1987" t="inlineStr">
        <is>
          <t>991000960529702656</t>
        </is>
      </c>
      <c r="AY1987" t="inlineStr">
        <is>
          <t>2263882340002656</t>
        </is>
      </c>
      <c r="AZ1987" t="inlineStr">
        <is>
          <t>BOOK</t>
        </is>
      </c>
      <c r="BB1987" t="inlineStr">
        <is>
          <t>9780898598148</t>
        </is>
      </c>
      <c r="BC1987" t="inlineStr">
        <is>
          <t>32285000165364</t>
        </is>
      </c>
      <c r="BD1987" t="inlineStr">
        <is>
          <t>893797173</t>
        </is>
      </c>
    </row>
    <row r="1988">
      <c r="A1988" t="inlineStr">
        <is>
          <t>No</t>
        </is>
      </c>
      <c r="B1988" t="inlineStr">
        <is>
          <t>HQ756 .O24 1984</t>
        </is>
      </c>
      <c r="C1988" t="inlineStr">
        <is>
          <t>0                      HQ 0756000O  24          1984</t>
        </is>
      </c>
      <c r="D1988" t="inlineStr">
        <is>
          <t>Divorced fathers : reconstructing a quality life / Thomas Oakland ; with contributions from Nancy Voight Wedemeyer, Edwin J. Terry, Jr., Jane Manaster.</t>
        </is>
      </c>
      <c r="F1988" t="inlineStr">
        <is>
          <t>No</t>
        </is>
      </c>
      <c r="G1988" t="inlineStr">
        <is>
          <t>1</t>
        </is>
      </c>
      <c r="H1988" t="inlineStr">
        <is>
          <t>No</t>
        </is>
      </c>
      <c r="I1988" t="inlineStr">
        <is>
          <t>No</t>
        </is>
      </c>
      <c r="J1988" t="inlineStr">
        <is>
          <t>0</t>
        </is>
      </c>
      <c r="K1988" t="inlineStr">
        <is>
          <t>Oakland, Thomas.</t>
        </is>
      </c>
      <c r="L1988" t="inlineStr">
        <is>
          <t>New York, N.Y. : Human Sciences Press, 1984.</t>
        </is>
      </c>
      <c r="M1988" t="inlineStr">
        <is>
          <t>1983</t>
        </is>
      </c>
      <c r="O1988" t="inlineStr">
        <is>
          <t>eng</t>
        </is>
      </c>
      <c r="P1988" t="inlineStr">
        <is>
          <t>nyu</t>
        </is>
      </c>
      <c r="R1988" t="inlineStr">
        <is>
          <t xml:space="preserve">HQ </t>
        </is>
      </c>
      <c r="S1988" t="n">
        <v>13</v>
      </c>
      <c r="T1988" t="n">
        <v>13</v>
      </c>
      <c r="U1988" t="inlineStr">
        <is>
          <t>2009-11-02</t>
        </is>
      </c>
      <c r="V1988" t="inlineStr">
        <is>
          <t>2009-11-02</t>
        </is>
      </c>
      <c r="W1988" t="inlineStr">
        <is>
          <t>1990-04-30</t>
        </is>
      </c>
      <c r="X1988" t="inlineStr">
        <is>
          <t>1990-04-30</t>
        </is>
      </c>
      <c r="Y1988" t="n">
        <v>508</v>
      </c>
      <c r="Z1988" t="n">
        <v>450</v>
      </c>
      <c r="AA1988" t="n">
        <v>464</v>
      </c>
      <c r="AB1988" t="n">
        <v>5</v>
      </c>
      <c r="AC1988" t="n">
        <v>5</v>
      </c>
      <c r="AD1988" t="n">
        <v>18</v>
      </c>
      <c r="AE1988" t="n">
        <v>18</v>
      </c>
      <c r="AF1988" t="n">
        <v>7</v>
      </c>
      <c r="AG1988" t="n">
        <v>7</v>
      </c>
      <c r="AH1988" t="n">
        <v>2</v>
      </c>
      <c r="AI1988" t="n">
        <v>2</v>
      </c>
      <c r="AJ1988" t="n">
        <v>9</v>
      </c>
      <c r="AK1988" t="n">
        <v>9</v>
      </c>
      <c r="AL1988" t="n">
        <v>4</v>
      </c>
      <c r="AM1988" t="n">
        <v>4</v>
      </c>
      <c r="AN1988" t="n">
        <v>0</v>
      </c>
      <c r="AO1988" t="n">
        <v>0</v>
      </c>
      <c r="AP1988" t="inlineStr">
        <is>
          <t>No</t>
        </is>
      </c>
      <c r="AQ1988" t="inlineStr">
        <is>
          <t>No</t>
        </is>
      </c>
      <c r="AS1988">
        <f>HYPERLINK("https://creighton-primo.hosted.exlibrisgroup.com/primo-explore/search?tab=default_tab&amp;search_scope=EVERYTHING&amp;vid=01CRU&amp;lang=en_US&amp;offset=0&amp;query=any,contains,991000154199702656","Catalog Record")</f>
        <v/>
      </c>
      <c r="AT1988">
        <f>HYPERLINK("http://www.worldcat.org/oclc/9219426","WorldCat Record")</f>
        <v/>
      </c>
      <c r="AU1988" t="inlineStr">
        <is>
          <t>1153011976:eng</t>
        </is>
      </c>
      <c r="AV1988" t="inlineStr">
        <is>
          <t>9219426</t>
        </is>
      </c>
      <c r="AW1988" t="inlineStr">
        <is>
          <t>991000154199702656</t>
        </is>
      </c>
      <c r="AX1988" t="inlineStr">
        <is>
          <t>991000154199702656</t>
        </is>
      </c>
      <c r="AY1988" t="inlineStr">
        <is>
          <t>2268224190002656</t>
        </is>
      </c>
      <c r="AZ1988" t="inlineStr">
        <is>
          <t>BOOK</t>
        </is>
      </c>
      <c r="BB1988" t="inlineStr">
        <is>
          <t>9780898851014</t>
        </is>
      </c>
      <c r="BC1988" t="inlineStr">
        <is>
          <t>32285000134998</t>
        </is>
      </c>
      <c r="BD1988" t="inlineStr">
        <is>
          <t>893714368</t>
        </is>
      </c>
    </row>
    <row r="1989">
      <c r="A1989" t="inlineStr">
        <is>
          <t>No</t>
        </is>
      </c>
      <c r="B1989" t="inlineStr">
        <is>
          <t>HQ756 .O25 2005</t>
        </is>
      </c>
      <c r="C1989" t="inlineStr">
        <is>
          <t>0                      HQ 0756000O  25          2005</t>
        </is>
      </c>
      <c r="D1989" t="inlineStr">
        <is>
          <t>The good father : on men, masculinity, and life in the family / Mark O'Connell.</t>
        </is>
      </c>
      <c r="F1989" t="inlineStr">
        <is>
          <t>No</t>
        </is>
      </c>
      <c r="G1989" t="inlineStr">
        <is>
          <t>1</t>
        </is>
      </c>
      <c r="H1989" t="inlineStr">
        <is>
          <t>No</t>
        </is>
      </c>
      <c r="I1989" t="inlineStr">
        <is>
          <t>No</t>
        </is>
      </c>
      <c r="J1989" t="inlineStr">
        <is>
          <t>0</t>
        </is>
      </c>
      <c r="K1989" t="inlineStr">
        <is>
          <t>O'Connell, Mark, 1954-</t>
        </is>
      </c>
      <c r="L1989" t="inlineStr">
        <is>
          <t>New York : Scribner, c2005.</t>
        </is>
      </c>
      <c r="M1989" t="inlineStr">
        <is>
          <t>2005</t>
        </is>
      </c>
      <c r="O1989" t="inlineStr">
        <is>
          <t>eng</t>
        </is>
      </c>
      <c r="P1989" t="inlineStr">
        <is>
          <t>nyu</t>
        </is>
      </c>
      <c r="R1989" t="inlineStr">
        <is>
          <t xml:space="preserve">HQ </t>
        </is>
      </c>
      <c r="S1989" t="n">
        <v>6</v>
      </c>
      <c r="T1989" t="n">
        <v>6</v>
      </c>
      <c r="U1989" t="inlineStr">
        <is>
          <t>2006-04-09</t>
        </is>
      </c>
      <c r="V1989" t="inlineStr">
        <is>
          <t>2006-04-09</t>
        </is>
      </c>
      <c r="W1989" t="inlineStr">
        <is>
          <t>2005-01-18</t>
        </is>
      </c>
      <c r="X1989" t="inlineStr">
        <is>
          <t>2005-01-18</t>
        </is>
      </c>
      <c r="Y1989" t="n">
        <v>585</v>
      </c>
      <c r="Z1989" t="n">
        <v>554</v>
      </c>
      <c r="AA1989" t="n">
        <v>573</v>
      </c>
      <c r="AB1989" t="n">
        <v>2</v>
      </c>
      <c r="AC1989" t="n">
        <v>2</v>
      </c>
      <c r="AD1989" t="n">
        <v>8</v>
      </c>
      <c r="AE1989" t="n">
        <v>8</v>
      </c>
      <c r="AF1989" t="n">
        <v>2</v>
      </c>
      <c r="AG1989" t="n">
        <v>2</v>
      </c>
      <c r="AH1989" t="n">
        <v>3</v>
      </c>
      <c r="AI1989" t="n">
        <v>3</v>
      </c>
      <c r="AJ1989" t="n">
        <v>4</v>
      </c>
      <c r="AK1989" t="n">
        <v>4</v>
      </c>
      <c r="AL1989" t="n">
        <v>1</v>
      </c>
      <c r="AM1989" t="n">
        <v>1</v>
      </c>
      <c r="AN1989" t="n">
        <v>0</v>
      </c>
      <c r="AO1989" t="n">
        <v>0</v>
      </c>
      <c r="AP1989" t="inlineStr">
        <is>
          <t>No</t>
        </is>
      </c>
      <c r="AQ1989" t="inlineStr">
        <is>
          <t>No</t>
        </is>
      </c>
      <c r="AS1989">
        <f>HYPERLINK("https://creighton-primo.hosted.exlibrisgroup.com/primo-explore/search?tab=default_tab&amp;search_scope=EVERYTHING&amp;vid=01CRU&amp;lang=en_US&amp;offset=0&amp;query=any,contains,991004427019702656","Catalog Record")</f>
        <v/>
      </c>
      <c r="AT1989">
        <f>HYPERLINK("http://www.worldcat.org/oclc/55596648","WorldCat Record")</f>
        <v/>
      </c>
      <c r="AU1989" t="inlineStr">
        <is>
          <t>132360:eng</t>
        </is>
      </c>
      <c r="AV1989" t="inlineStr">
        <is>
          <t>55596648</t>
        </is>
      </c>
      <c r="AW1989" t="inlineStr">
        <is>
          <t>991004427019702656</t>
        </is>
      </c>
      <c r="AX1989" t="inlineStr">
        <is>
          <t>991004427019702656</t>
        </is>
      </c>
      <c r="AY1989" t="inlineStr">
        <is>
          <t>2255376180002656</t>
        </is>
      </c>
      <c r="AZ1989" t="inlineStr">
        <is>
          <t>BOOK</t>
        </is>
      </c>
      <c r="BB1989" t="inlineStr">
        <is>
          <t>9780743258012</t>
        </is>
      </c>
      <c r="BC1989" t="inlineStr">
        <is>
          <t>32285005021802</t>
        </is>
      </c>
      <c r="BD1989" t="inlineStr">
        <is>
          <t>893423786</t>
        </is>
      </c>
    </row>
    <row r="1990">
      <c r="A1990" t="inlineStr">
        <is>
          <t>No</t>
        </is>
      </c>
      <c r="B1990" t="inlineStr">
        <is>
          <t>HQ756 .O3 1995</t>
        </is>
      </c>
      <c r="C1990" t="inlineStr">
        <is>
          <t>0                      HQ 0756000O  3           1995</t>
        </is>
      </c>
      <c r="D1990" t="inlineStr">
        <is>
          <t>Black fatherhood : the guide to male parenting / Earl Ofari Hutchinson.</t>
        </is>
      </c>
      <c r="F1990" t="inlineStr">
        <is>
          <t>No</t>
        </is>
      </c>
      <c r="G1990" t="inlineStr">
        <is>
          <t>1</t>
        </is>
      </c>
      <c r="H1990" t="inlineStr">
        <is>
          <t>No</t>
        </is>
      </c>
      <c r="I1990" t="inlineStr">
        <is>
          <t>No</t>
        </is>
      </c>
      <c r="J1990" t="inlineStr">
        <is>
          <t>0</t>
        </is>
      </c>
      <c r="K1990" t="inlineStr">
        <is>
          <t>Hutchinson, Earl Ofari.</t>
        </is>
      </c>
      <c r="L1990" t="inlineStr">
        <is>
          <t>Los Angeles, Calif. : Middle Passage Press, c1995.</t>
        </is>
      </c>
      <c r="M1990" t="inlineStr">
        <is>
          <t>1995</t>
        </is>
      </c>
      <c r="O1990" t="inlineStr">
        <is>
          <t>eng</t>
        </is>
      </c>
      <c r="P1990" t="inlineStr">
        <is>
          <t>cau</t>
        </is>
      </c>
      <c r="R1990" t="inlineStr">
        <is>
          <t xml:space="preserve">HQ </t>
        </is>
      </c>
      <c r="S1990" t="n">
        <v>11</v>
      </c>
      <c r="T1990" t="n">
        <v>11</v>
      </c>
      <c r="U1990" t="inlineStr">
        <is>
          <t>1998-01-28</t>
        </is>
      </c>
      <c r="V1990" t="inlineStr">
        <is>
          <t>1998-01-28</t>
        </is>
      </c>
      <c r="W1990" t="inlineStr">
        <is>
          <t>1995-05-01</t>
        </is>
      </c>
      <c r="X1990" t="inlineStr">
        <is>
          <t>1995-05-01</t>
        </is>
      </c>
      <c r="Y1990" t="n">
        <v>158</v>
      </c>
      <c r="Z1990" t="n">
        <v>156</v>
      </c>
      <c r="AA1990" t="n">
        <v>516</v>
      </c>
      <c r="AB1990" t="n">
        <v>1</v>
      </c>
      <c r="AC1990" t="n">
        <v>1</v>
      </c>
      <c r="AD1990" t="n">
        <v>1</v>
      </c>
      <c r="AE1990" t="n">
        <v>5</v>
      </c>
      <c r="AF1990" t="n">
        <v>1</v>
      </c>
      <c r="AG1990" t="n">
        <v>3</v>
      </c>
      <c r="AH1990" t="n">
        <v>0</v>
      </c>
      <c r="AI1990" t="n">
        <v>1</v>
      </c>
      <c r="AJ1990" t="n">
        <v>0</v>
      </c>
      <c r="AK1990" t="n">
        <v>2</v>
      </c>
      <c r="AL1990" t="n">
        <v>0</v>
      </c>
      <c r="AM1990" t="n">
        <v>0</v>
      </c>
      <c r="AN1990" t="n">
        <v>0</v>
      </c>
      <c r="AO1990" t="n">
        <v>0</v>
      </c>
      <c r="AP1990" t="inlineStr">
        <is>
          <t>No</t>
        </is>
      </c>
      <c r="AQ1990" t="inlineStr">
        <is>
          <t>No</t>
        </is>
      </c>
      <c r="AS1990">
        <f>HYPERLINK("https://creighton-primo.hosted.exlibrisgroup.com/primo-explore/search?tab=default_tab&amp;search_scope=EVERYTHING&amp;vid=01CRU&amp;lang=en_US&amp;offset=0&amp;query=any,contains,991002450099702656","Catalog Record")</f>
        <v/>
      </c>
      <c r="AT1990">
        <f>HYPERLINK("http://www.worldcat.org/oclc/31946769","WorldCat Record")</f>
        <v/>
      </c>
      <c r="AU1990" t="inlineStr">
        <is>
          <t>28453928:eng</t>
        </is>
      </c>
      <c r="AV1990" t="inlineStr">
        <is>
          <t>31946769</t>
        </is>
      </c>
      <c r="AW1990" t="inlineStr">
        <is>
          <t>991002450099702656</t>
        </is>
      </c>
      <c r="AX1990" t="inlineStr">
        <is>
          <t>991002450099702656</t>
        </is>
      </c>
      <c r="AY1990" t="inlineStr">
        <is>
          <t>2263759380002656</t>
        </is>
      </c>
      <c r="AZ1990" t="inlineStr">
        <is>
          <t>BOOK</t>
        </is>
      </c>
      <c r="BB1990" t="inlineStr">
        <is>
          <t>9781881032090</t>
        </is>
      </c>
      <c r="BC1990" t="inlineStr">
        <is>
          <t>32285002036852</t>
        </is>
      </c>
      <c r="BD1990" t="inlineStr">
        <is>
          <t>893603617</t>
        </is>
      </c>
    </row>
    <row r="1991">
      <c r="A1991" t="inlineStr">
        <is>
          <t>No</t>
        </is>
      </c>
      <c r="B1991" t="inlineStr">
        <is>
          <t>HQ756 .O57 2008</t>
        </is>
      </c>
      <c r="C1991" t="inlineStr">
        <is>
          <t>0                      HQ 0756000O  57          2008</t>
        </is>
      </c>
      <c r="D1991" t="inlineStr">
        <is>
          <t>On new shores : understanding immigrant fathers in North America / edited by Susan S. Chuang and Robert P. Moreno.</t>
        </is>
      </c>
      <c r="F1991" t="inlineStr">
        <is>
          <t>No</t>
        </is>
      </c>
      <c r="G1991" t="inlineStr">
        <is>
          <t>1</t>
        </is>
      </c>
      <c r="H1991" t="inlineStr">
        <is>
          <t>No</t>
        </is>
      </c>
      <c r="I1991" t="inlineStr">
        <is>
          <t>No</t>
        </is>
      </c>
      <c r="J1991" t="inlineStr">
        <is>
          <t>0</t>
        </is>
      </c>
      <c r="L1991" t="inlineStr">
        <is>
          <t>Lanham, MD : Lexington Books, c2008.</t>
        </is>
      </c>
      <c r="M1991" t="inlineStr">
        <is>
          <t>2008</t>
        </is>
      </c>
      <c r="O1991" t="inlineStr">
        <is>
          <t>eng</t>
        </is>
      </c>
      <c r="P1991" t="inlineStr">
        <is>
          <t>mdu</t>
        </is>
      </c>
      <c r="R1991" t="inlineStr">
        <is>
          <t xml:space="preserve">HQ </t>
        </is>
      </c>
      <c r="S1991" t="n">
        <v>1</v>
      </c>
      <c r="T1991" t="n">
        <v>1</v>
      </c>
      <c r="U1991" t="inlineStr">
        <is>
          <t>2010-02-16</t>
        </is>
      </c>
      <c r="V1991" t="inlineStr">
        <is>
          <t>2010-02-16</t>
        </is>
      </c>
      <c r="W1991" t="inlineStr">
        <is>
          <t>2010-02-16</t>
        </is>
      </c>
      <c r="X1991" t="inlineStr">
        <is>
          <t>2010-02-16</t>
        </is>
      </c>
      <c r="Y1991" t="n">
        <v>217</v>
      </c>
      <c r="Z1991" t="n">
        <v>180</v>
      </c>
      <c r="AA1991" t="n">
        <v>220</v>
      </c>
      <c r="AB1991" t="n">
        <v>2</v>
      </c>
      <c r="AC1991" t="n">
        <v>2</v>
      </c>
      <c r="AD1991" t="n">
        <v>11</v>
      </c>
      <c r="AE1991" t="n">
        <v>13</v>
      </c>
      <c r="AF1991" t="n">
        <v>4</v>
      </c>
      <c r="AG1991" t="n">
        <v>5</v>
      </c>
      <c r="AH1991" t="n">
        <v>5</v>
      </c>
      <c r="AI1991" t="n">
        <v>6</v>
      </c>
      <c r="AJ1991" t="n">
        <v>5</v>
      </c>
      <c r="AK1991" t="n">
        <v>6</v>
      </c>
      <c r="AL1991" t="n">
        <v>1</v>
      </c>
      <c r="AM1991" t="n">
        <v>1</v>
      </c>
      <c r="AN1991" t="n">
        <v>0</v>
      </c>
      <c r="AO1991" t="n">
        <v>0</v>
      </c>
      <c r="AP1991" t="inlineStr">
        <is>
          <t>No</t>
        </is>
      </c>
      <c r="AQ1991" t="inlineStr">
        <is>
          <t>Yes</t>
        </is>
      </c>
      <c r="AR1991">
        <f>HYPERLINK("http://catalog.hathitrust.org/Record/005896484","HathiTrust Record")</f>
        <v/>
      </c>
      <c r="AS1991">
        <f>HYPERLINK("https://creighton-primo.hosted.exlibrisgroup.com/primo-explore/search?tab=default_tab&amp;search_scope=EVERYTHING&amp;vid=01CRU&amp;lang=en_US&amp;offset=0&amp;query=any,contains,991005349159702656","Catalog Record")</f>
        <v/>
      </c>
      <c r="AT1991">
        <f>HYPERLINK("http://www.worldcat.org/oclc/230729475","WorldCat Record")</f>
        <v/>
      </c>
      <c r="AU1991" t="inlineStr">
        <is>
          <t>803069807:eng</t>
        </is>
      </c>
      <c r="AV1991" t="inlineStr">
        <is>
          <t>230729475</t>
        </is>
      </c>
      <c r="AW1991" t="inlineStr">
        <is>
          <t>991005349159702656</t>
        </is>
      </c>
      <c r="AX1991" t="inlineStr">
        <is>
          <t>991005349159702656</t>
        </is>
      </c>
      <c r="AY1991" t="inlineStr">
        <is>
          <t>2269057610002656</t>
        </is>
      </c>
      <c r="AZ1991" t="inlineStr">
        <is>
          <t>BOOK</t>
        </is>
      </c>
      <c r="BB1991" t="inlineStr">
        <is>
          <t>9780739118801</t>
        </is>
      </c>
      <c r="BC1991" t="inlineStr">
        <is>
          <t>32285005574065</t>
        </is>
      </c>
      <c r="BD1991" t="inlineStr">
        <is>
          <t>893619832</t>
        </is>
      </c>
    </row>
    <row r="1992">
      <c r="A1992" t="inlineStr">
        <is>
          <t>No</t>
        </is>
      </c>
      <c r="B1992" t="inlineStr">
        <is>
          <t>HQ756 .P38</t>
        </is>
      </c>
      <c r="C1992" t="inlineStr">
        <is>
          <t>0                      HQ 0756000P  38</t>
        </is>
      </c>
      <c r="D1992" t="inlineStr">
        <is>
          <t>Fathers / Ross D. Parke.</t>
        </is>
      </c>
      <c r="F1992" t="inlineStr">
        <is>
          <t>No</t>
        </is>
      </c>
      <c r="G1992" t="inlineStr">
        <is>
          <t>1</t>
        </is>
      </c>
      <c r="H1992" t="inlineStr">
        <is>
          <t>No</t>
        </is>
      </c>
      <c r="I1992" t="inlineStr">
        <is>
          <t>No</t>
        </is>
      </c>
      <c r="J1992" t="inlineStr">
        <is>
          <t>0</t>
        </is>
      </c>
      <c r="K1992" t="inlineStr">
        <is>
          <t>Parke, Ross D.</t>
        </is>
      </c>
      <c r="L1992" t="inlineStr">
        <is>
          <t>Cambridge, Mass. : Harvard University Press, 1981.</t>
        </is>
      </c>
      <c r="M1992" t="inlineStr">
        <is>
          <t>1981</t>
        </is>
      </c>
      <c r="O1992" t="inlineStr">
        <is>
          <t>eng</t>
        </is>
      </c>
      <c r="P1992" t="inlineStr">
        <is>
          <t>mau</t>
        </is>
      </c>
      <c r="Q1992" t="inlineStr">
        <is>
          <t>The Developing child</t>
        </is>
      </c>
      <c r="R1992" t="inlineStr">
        <is>
          <t xml:space="preserve">HQ </t>
        </is>
      </c>
      <c r="S1992" t="n">
        <v>6</v>
      </c>
      <c r="T1992" t="n">
        <v>6</v>
      </c>
      <c r="U1992" t="inlineStr">
        <is>
          <t>1997-06-11</t>
        </is>
      </c>
      <c r="V1992" t="inlineStr">
        <is>
          <t>1997-06-11</t>
        </is>
      </c>
      <c r="W1992" t="inlineStr">
        <is>
          <t>1990-05-24</t>
        </is>
      </c>
      <c r="X1992" t="inlineStr">
        <is>
          <t>1990-05-24</t>
        </is>
      </c>
      <c r="Y1992" t="n">
        <v>852</v>
      </c>
      <c r="Z1992" t="n">
        <v>770</v>
      </c>
      <c r="AA1992" t="n">
        <v>777</v>
      </c>
      <c r="AB1992" t="n">
        <v>5</v>
      </c>
      <c r="AC1992" t="n">
        <v>5</v>
      </c>
      <c r="AD1992" t="n">
        <v>23</v>
      </c>
      <c r="AE1992" t="n">
        <v>23</v>
      </c>
      <c r="AF1992" t="n">
        <v>8</v>
      </c>
      <c r="AG1992" t="n">
        <v>8</v>
      </c>
      <c r="AH1992" t="n">
        <v>6</v>
      </c>
      <c r="AI1992" t="n">
        <v>6</v>
      </c>
      <c r="AJ1992" t="n">
        <v>14</v>
      </c>
      <c r="AK1992" t="n">
        <v>14</v>
      </c>
      <c r="AL1992" t="n">
        <v>2</v>
      </c>
      <c r="AM1992" t="n">
        <v>2</v>
      </c>
      <c r="AN1992" t="n">
        <v>0</v>
      </c>
      <c r="AO1992" t="n">
        <v>0</v>
      </c>
      <c r="AP1992" t="inlineStr">
        <is>
          <t>No</t>
        </is>
      </c>
      <c r="AQ1992" t="inlineStr">
        <is>
          <t>Yes</t>
        </is>
      </c>
      <c r="AR1992">
        <f>HYPERLINK("http://catalog.hathitrust.org/Record/000098142","HathiTrust Record")</f>
        <v/>
      </c>
      <c r="AS1992">
        <f>HYPERLINK("https://creighton-primo.hosted.exlibrisgroup.com/primo-explore/search?tab=default_tab&amp;search_scope=EVERYTHING&amp;vid=01CRU&amp;lang=en_US&amp;offset=0&amp;query=any,contains,991005265119702656","Catalog Record")</f>
        <v/>
      </c>
      <c r="AT1992">
        <f>HYPERLINK("http://www.worldcat.org/oclc/7174421","WorldCat Record")</f>
        <v/>
      </c>
      <c r="AU1992" t="inlineStr">
        <is>
          <t>521305:eng</t>
        </is>
      </c>
      <c r="AV1992" t="inlineStr">
        <is>
          <t>7174421</t>
        </is>
      </c>
      <c r="AW1992" t="inlineStr">
        <is>
          <t>991005265119702656</t>
        </is>
      </c>
      <c r="AX1992" t="inlineStr">
        <is>
          <t>991005265119702656</t>
        </is>
      </c>
      <c r="AY1992" t="inlineStr">
        <is>
          <t>2271826690002656</t>
        </is>
      </c>
      <c r="AZ1992" t="inlineStr">
        <is>
          <t>BOOK</t>
        </is>
      </c>
      <c r="BB1992" t="inlineStr">
        <is>
          <t>9780674295155</t>
        </is>
      </c>
      <c r="BC1992" t="inlineStr">
        <is>
          <t>32285000165372</t>
        </is>
      </c>
      <c r="BD1992" t="inlineStr">
        <is>
          <t>893501605</t>
        </is>
      </c>
    </row>
    <row r="1993">
      <c r="A1993" t="inlineStr">
        <is>
          <t>No</t>
        </is>
      </c>
      <c r="B1993" t="inlineStr">
        <is>
          <t>HQ756 .P65 1996</t>
        </is>
      </c>
      <c r="C1993" t="inlineStr">
        <is>
          <t>0                      HQ 0756000P  65          1996</t>
        </is>
      </c>
      <c r="D1993" t="inlineStr">
        <is>
          <t>Life without father : compelling new evidence that fatherhood and marriage are indispensable for the good of children and society / David Popenoe.</t>
        </is>
      </c>
      <c r="F1993" t="inlineStr">
        <is>
          <t>No</t>
        </is>
      </c>
      <c r="G1993" t="inlineStr">
        <is>
          <t>1</t>
        </is>
      </c>
      <c r="H1993" t="inlineStr">
        <is>
          <t>No</t>
        </is>
      </c>
      <c r="I1993" t="inlineStr">
        <is>
          <t>No</t>
        </is>
      </c>
      <c r="J1993" t="inlineStr">
        <is>
          <t>0</t>
        </is>
      </c>
      <c r="K1993" t="inlineStr">
        <is>
          <t>Popenoe, David, 1932-</t>
        </is>
      </c>
      <c r="L1993" t="inlineStr">
        <is>
          <t>New York : Martin Kessler Books, c1996.</t>
        </is>
      </c>
      <c r="M1993" t="inlineStr">
        <is>
          <t>1996</t>
        </is>
      </c>
      <c r="O1993" t="inlineStr">
        <is>
          <t>eng</t>
        </is>
      </c>
      <c r="P1993" t="inlineStr">
        <is>
          <t>nyu</t>
        </is>
      </c>
      <c r="R1993" t="inlineStr">
        <is>
          <t xml:space="preserve">HQ </t>
        </is>
      </c>
      <c r="S1993" t="n">
        <v>116</v>
      </c>
      <c r="T1993" t="n">
        <v>116</v>
      </c>
      <c r="U1993" t="inlineStr">
        <is>
          <t>2010-09-08</t>
        </is>
      </c>
      <c r="V1993" t="inlineStr">
        <is>
          <t>2010-09-08</t>
        </is>
      </c>
      <c r="W1993" t="inlineStr">
        <is>
          <t>1996-06-05</t>
        </is>
      </c>
      <c r="X1993" t="inlineStr">
        <is>
          <t>1996-06-05</t>
        </is>
      </c>
      <c r="Y1993" t="n">
        <v>1444</v>
      </c>
      <c r="Z1993" t="n">
        <v>1332</v>
      </c>
      <c r="AA1993" t="n">
        <v>1370</v>
      </c>
      <c r="AB1993" t="n">
        <v>9</v>
      </c>
      <c r="AC1993" t="n">
        <v>9</v>
      </c>
      <c r="AD1993" t="n">
        <v>43</v>
      </c>
      <c r="AE1993" t="n">
        <v>44</v>
      </c>
      <c r="AF1993" t="n">
        <v>19</v>
      </c>
      <c r="AG1993" t="n">
        <v>20</v>
      </c>
      <c r="AH1993" t="n">
        <v>8</v>
      </c>
      <c r="AI1993" t="n">
        <v>8</v>
      </c>
      <c r="AJ1993" t="n">
        <v>21</v>
      </c>
      <c r="AK1993" t="n">
        <v>21</v>
      </c>
      <c r="AL1993" t="n">
        <v>7</v>
      </c>
      <c r="AM1993" t="n">
        <v>7</v>
      </c>
      <c r="AN1993" t="n">
        <v>0</v>
      </c>
      <c r="AO1993" t="n">
        <v>0</v>
      </c>
      <c r="AP1993" t="inlineStr">
        <is>
          <t>No</t>
        </is>
      </c>
      <c r="AQ1993" t="inlineStr">
        <is>
          <t>Yes</t>
        </is>
      </c>
      <c r="AR1993">
        <f>HYPERLINK("http://catalog.hathitrust.org/Record/003043556","HathiTrust Record")</f>
        <v/>
      </c>
      <c r="AS1993">
        <f>HYPERLINK("https://creighton-primo.hosted.exlibrisgroup.com/primo-explore/search?tab=default_tab&amp;search_scope=EVERYTHING&amp;vid=01CRU&amp;lang=en_US&amp;offset=0&amp;query=any,contains,991002566919702656","Catalog Record")</f>
        <v/>
      </c>
      <c r="AT1993">
        <f>HYPERLINK("http://www.worldcat.org/oclc/33359622","WorldCat Record")</f>
        <v/>
      </c>
      <c r="AU1993" t="inlineStr">
        <is>
          <t>837012769:eng</t>
        </is>
      </c>
      <c r="AV1993" t="inlineStr">
        <is>
          <t>33359622</t>
        </is>
      </c>
      <c r="AW1993" t="inlineStr">
        <is>
          <t>991002566919702656</t>
        </is>
      </c>
      <c r="AX1993" t="inlineStr">
        <is>
          <t>991002566919702656</t>
        </is>
      </c>
      <c r="AY1993" t="inlineStr">
        <is>
          <t>2263229110002656</t>
        </is>
      </c>
      <c r="AZ1993" t="inlineStr">
        <is>
          <t>BOOK</t>
        </is>
      </c>
      <c r="BB1993" t="inlineStr">
        <is>
          <t>9780684822976</t>
        </is>
      </c>
      <c r="BC1993" t="inlineStr">
        <is>
          <t>32285002187523</t>
        </is>
      </c>
      <c r="BD1993" t="inlineStr">
        <is>
          <t>893792616</t>
        </is>
      </c>
    </row>
    <row r="1994">
      <c r="A1994" t="inlineStr">
        <is>
          <t>No</t>
        </is>
      </c>
      <c r="B1994" t="inlineStr">
        <is>
          <t>HQ756 .P78 1987</t>
        </is>
      </c>
      <c r="C1994" t="inlineStr">
        <is>
          <t>0                      HQ 0756000P  78          1987</t>
        </is>
      </c>
      <c r="D1994" t="inlineStr">
        <is>
          <t>The nurturing father : journey toward the complete man / Kyle D. Pruett.</t>
        </is>
      </c>
      <c r="F1994" t="inlineStr">
        <is>
          <t>No</t>
        </is>
      </c>
      <c r="G1994" t="inlineStr">
        <is>
          <t>1</t>
        </is>
      </c>
      <c r="H1994" t="inlineStr">
        <is>
          <t>No</t>
        </is>
      </c>
      <c r="I1994" t="inlineStr">
        <is>
          <t>No</t>
        </is>
      </c>
      <c r="J1994" t="inlineStr">
        <is>
          <t>0</t>
        </is>
      </c>
      <c r="K1994" t="inlineStr">
        <is>
          <t>Pruett, Kyle D.</t>
        </is>
      </c>
      <c r="L1994" t="inlineStr">
        <is>
          <t>New York : Warner Books, c1987.</t>
        </is>
      </c>
      <c r="M1994" t="inlineStr">
        <is>
          <t>1987</t>
        </is>
      </c>
      <c r="O1994" t="inlineStr">
        <is>
          <t>eng</t>
        </is>
      </c>
      <c r="P1994" t="inlineStr">
        <is>
          <t>nyu</t>
        </is>
      </c>
      <c r="R1994" t="inlineStr">
        <is>
          <t xml:space="preserve">HQ </t>
        </is>
      </c>
      <c r="S1994" t="n">
        <v>10</v>
      </c>
      <c r="T1994" t="n">
        <v>10</v>
      </c>
      <c r="U1994" t="inlineStr">
        <is>
          <t>2008-10-30</t>
        </is>
      </c>
      <c r="V1994" t="inlineStr">
        <is>
          <t>2008-10-30</t>
        </is>
      </c>
      <c r="W1994" t="inlineStr">
        <is>
          <t>1992-11-04</t>
        </is>
      </c>
      <c r="X1994" t="inlineStr">
        <is>
          <t>1992-11-04</t>
        </is>
      </c>
      <c r="Y1994" t="n">
        <v>798</v>
      </c>
      <c r="Z1994" t="n">
        <v>752</v>
      </c>
      <c r="AA1994" t="n">
        <v>767</v>
      </c>
      <c r="AB1994" t="n">
        <v>5</v>
      </c>
      <c r="AC1994" t="n">
        <v>5</v>
      </c>
      <c r="AD1994" t="n">
        <v>15</v>
      </c>
      <c r="AE1994" t="n">
        <v>15</v>
      </c>
      <c r="AF1994" t="n">
        <v>6</v>
      </c>
      <c r="AG1994" t="n">
        <v>6</v>
      </c>
      <c r="AH1994" t="n">
        <v>3</v>
      </c>
      <c r="AI1994" t="n">
        <v>3</v>
      </c>
      <c r="AJ1994" t="n">
        <v>5</v>
      </c>
      <c r="AK1994" t="n">
        <v>5</v>
      </c>
      <c r="AL1994" t="n">
        <v>2</v>
      </c>
      <c r="AM1994" t="n">
        <v>2</v>
      </c>
      <c r="AN1994" t="n">
        <v>0</v>
      </c>
      <c r="AO1994" t="n">
        <v>0</v>
      </c>
      <c r="AP1994" t="inlineStr">
        <is>
          <t>No</t>
        </is>
      </c>
      <c r="AQ1994" t="inlineStr">
        <is>
          <t>No</t>
        </is>
      </c>
      <c r="AS1994">
        <f>HYPERLINK("https://creighton-primo.hosted.exlibrisgroup.com/primo-explore/search?tab=default_tab&amp;search_scope=EVERYTHING&amp;vid=01CRU&amp;lang=en_US&amp;offset=0&amp;query=any,contains,991000853239702656","Catalog Record")</f>
        <v/>
      </c>
      <c r="AT1994">
        <f>HYPERLINK("http://www.worldcat.org/oclc/13642171","WorldCat Record")</f>
        <v/>
      </c>
      <c r="AU1994" t="inlineStr">
        <is>
          <t>7661712:eng</t>
        </is>
      </c>
      <c r="AV1994" t="inlineStr">
        <is>
          <t>13642171</t>
        </is>
      </c>
      <c r="AW1994" t="inlineStr">
        <is>
          <t>991000853239702656</t>
        </is>
      </c>
      <c r="AX1994" t="inlineStr">
        <is>
          <t>991000853239702656</t>
        </is>
      </c>
      <c r="AY1994" t="inlineStr">
        <is>
          <t>2271877580002656</t>
        </is>
      </c>
      <c r="AZ1994" t="inlineStr">
        <is>
          <t>BOOK</t>
        </is>
      </c>
      <c r="BB1994" t="inlineStr">
        <is>
          <t>9780446512695</t>
        </is>
      </c>
      <c r="BC1994" t="inlineStr">
        <is>
          <t>32285001359792</t>
        </is>
      </c>
      <c r="BD1994" t="inlineStr">
        <is>
          <t>893620857</t>
        </is>
      </c>
    </row>
    <row r="1995">
      <c r="A1995" t="inlineStr">
        <is>
          <t>No</t>
        </is>
      </c>
      <c r="B1995" t="inlineStr">
        <is>
          <t>HQ756 .R43 1987</t>
        </is>
      </c>
      <c r="C1995" t="inlineStr">
        <is>
          <t>0                      HQ 0756000R  43          1987</t>
        </is>
      </c>
      <c r="D1995" t="inlineStr">
        <is>
          <t>Reassessing fatherhood : new observations on fathers and the modern family / edited by Charlie Lewis and Margaret O'Brien.</t>
        </is>
      </c>
      <c r="F1995" t="inlineStr">
        <is>
          <t>No</t>
        </is>
      </c>
      <c r="G1995" t="inlineStr">
        <is>
          <t>1</t>
        </is>
      </c>
      <c r="H1995" t="inlineStr">
        <is>
          <t>No</t>
        </is>
      </c>
      <c r="I1995" t="inlineStr">
        <is>
          <t>No</t>
        </is>
      </c>
      <c r="J1995" t="inlineStr">
        <is>
          <t>0</t>
        </is>
      </c>
      <c r="L1995" t="inlineStr">
        <is>
          <t>London : Sage, 1987.</t>
        </is>
      </c>
      <c r="M1995" t="inlineStr">
        <is>
          <t>1987</t>
        </is>
      </c>
      <c r="O1995" t="inlineStr">
        <is>
          <t>eng</t>
        </is>
      </c>
      <c r="P1995" t="inlineStr">
        <is>
          <t>enk</t>
        </is>
      </c>
      <c r="R1995" t="inlineStr">
        <is>
          <t xml:space="preserve">HQ </t>
        </is>
      </c>
      <c r="S1995" t="n">
        <v>9</v>
      </c>
      <c r="T1995" t="n">
        <v>9</v>
      </c>
      <c r="U1995" t="inlineStr">
        <is>
          <t>2003-04-11</t>
        </is>
      </c>
      <c r="V1995" t="inlineStr">
        <is>
          <t>2003-04-11</t>
        </is>
      </c>
      <c r="W1995" t="inlineStr">
        <is>
          <t>1992-11-04</t>
        </is>
      </c>
      <c r="X1995" t="inlineStr">
        <is>
          <t>1992-11-04</t>
        </is>
      </c>
      <c r="Y1995" t="n">
        <v>763</v>
      </c>
      <c r="Z1995" t="n">
        <v>566</v>
      </c>
      <c r="AA1995" t="n">
        <v>573</v>
      </c>
      <c r="AB1995" t="n">
        <v>6</v>
      </c>
      <c r="AC1995" t="n">
        <v>6</v>
      </c>
      <c r="AD1995" t="n">
        <v>26</v>
      </c>
      <c r="AE1995" t="n">
        <v>26</v>
      </c>
      <c r="AF1995" t="n">
        <v>10</v>
      </c>
      <c r="AG1995" t="n">
        <v>10</v>
      </c>
      <c r="AH1995" t="n">
        <v>7</v>
      </c>
      <c r="AI1995" t="n">
        <v>7</v>
      </c>
      <c r="AJ1995" t="n">
        <v>10</v>
      </c>
      <c r="AK1995" t="n">
        <v>10</v>
      </c>
      <c r="AL1995" t="n">
        <v>5</v>
      </c>
      <c r="AM1995" t="n">
        <v>5</v>
      </c>
      <c r="AN1995" t="n">
        <v>0</v>
      </c>
      <c r="AO1995" t="n">
        <v>0</v>
      </c>
      <c r="AP1995" t="inlineStr">
        <is>
          <t>No</t>
        </is>
      </c>
      <c r="AQ1995" t="inlineStr">
        <is>
          <t>Yes</t>
        </is>
      </c>
      <c r="AR1995">
        <f>HYPERLINK("http://catalog.hathitrust.org/Record/000830235","HathiTrust Record")</f>
        <v/>
      </c>
      <c r="AS1995">
        <f>HYPERLINK("https://creighton-primo.hosted.exlibrisgroup.com/primo-explore/search?tab=default_tab&amp;search_scope=EVERYTHING&amp;vid=01CRU&amp;lang=en_US&amp;offset=0&amp;query=any,contains,991001010439702656","Catalog Record")</f>
        <v/>
      </c>
      <c r="AT1995">
        <f>HYPERLINK("http://www.worldcat.org/oclc/17428243","WorldCat Record")</f>
        <v/>
      </c>
      <c r="AU1995" t="inlineStr">
        <is>
          <t>836756714:eng</t>
        </is>
      </c>
      <c r="AV1995" t="inlineStr">
        <is>
          <t>17428243</t>
        </is>
      </c>
      <c r="AW1995" t="inlineStr">
        <is>
          <t>991001010439702656</t>
        </is>
      </c>
      <c r="AX1995" t="inlineStr">
        <is>
          <t>991001010439702656</t>
        </is>
      </c>
      <c r="AY1995" t="inlineStr">
        <is>
          <t>2266029980002656</t>
        </is>
      </c>
      <c r="AZ1995" t="inlineStr">
        <is>
          <t>BOOK</t>
        </is>
      </c>
      <c r="BB1995" t="inlineStr">
        <is>
          <t>9780803980204</t>
        </is>
      </c>
      <c r="BC1995" t="inlineStr">
        <is>
          <t>32285001359800</t>
        </is>
      </c>
      <c r="BD1995" t="inlineStr">
        <is>
          <t>893496750</t>
        </is>
      </c>
    </row>
    <row r="1996">
      <c r="A1996" t="inlineStr">
        <is>
          <t>No</t>
        </is>
      </c>
      <c r="B1996" t="inlineStr">
        <is>
          <t>HQ756 .R63 1986</t>
        </is>
      </c>
      <c r="C1996" t="inlineStr">
        <is>
          <t>0                      HQ 0756000R  63          1986</t>
        </is>
      </c>
      <c r="D1996" t="inlineStr">
        <is>
          <t>The developing father : emerging roles in contemporary society / Bryan E. Robinson and Robert L. Barret.</t>
        </is>
      </c>
      <c r="F1996" t="inlineStr">
        <is>
          <t>No</t>
        </is>
      </c>
      <c r="G1996" t="inlineStr">
        <is>
          <t>1</t>
        </is>
      </c>
      <c r="H1996" t="inlineStr">
        <is>
          <t>No</t>
        </is>
      </c>
      <c r="I1996" t="inlineStr">
        <is>
          <t>No</t>
        </is>
      </c>
      <c r="J1996" t="inlineStr">
        <is>
          <t>0</t>
        </is>
      </c>
      <c r="K1996" t="inlineStr">
        <is>
          <t>Robinson, Bryan E.</t>
        </is>
      </c>
      <c r="L1996" t="inlineStr">
        <is>
          <t>New York : Guilford Press, 1986.</t>
        </is>
      </c>
      <c r="M1996" t="inlineStr">
        <is>
          <t>1986</t>
        </is>
      </c>
      <c r="O1996" t="inlineStr">
        <is>
          <t>eng</t>
        </is>
      </c>
      <c r="P1996" t="inlineStr">
        <is>
          <t>nyu</t>
        </is>
      </c>
      <c r="R1996" t="inlineStr">
        <is>
          <t xml:space="preserve">HQ </t>
        </is>
      </c>
      <c r="S1996" t="n">
        <v>4</v>
      </c>
      <c r="T1996" t="n">
        <v>4</v>
      </c>
      <c r="U1996" t="inlineStr">
        <is>
          <t>2003-04-09</t>
        </is>
      </c>
      <c r="V1996" t="inlineStr">
        <is>
          <t>2003-04-09</t>
        </is>
      </c>
      <c r="W1996" t="inlineStr">
        <is>
          <t>1992-02-25</t>
        </is>
      </c>
      <c r="X1996" t="inlineStr">
        <is>
          <t>1992-02-25</t>
        </is>
      </c>
      <c r="Y1996" t="n">
        <v>555</v>
      </c>
      <c r="Z1996" t="n">
        <v>469</v>
      </c>
      <c r="AA1996" t="n">
        <v>475</v>
      </c>
      <c r="AB1996" t="n">
        <v>7</v>
      </c>
      <c r="AC1996" t="n">
        <v>7</v>
      </c>
      <c r="AD1996" t="n">
        <v>21</v>
      </c>
      <c r="AE1996" t="n">
        <v>21</v>
      </c>
      <c r="AF1996" t="n">
        <v>6</v>
      </c>
      <c r="AG1996" t="n">
        <v>6</v>
      </c>
      <c r="AH1996" t="n">
        <v>2</v>
      </c>
      <c r="AI1996" t="n">
        <v>2</v>
      </c>
      <c r="AJ1996" t="n">
        <v>11</v>
      </c>
      <c r="AK1996" t="n">
        <v>11</v>
      </c>
      <c r="AL1996" t="n">
        <v>5</v>
      </c>
      <c r="AM1996" t="n">
        <v>5</v>
      </c>
      <c r="AN1996" t="n">
        <v>1</v>
      </c>
      <c r="AO1996" t="n">
        <v>1</v>
      </c>
      <c r="AP1996" t="inlineStr">
        <is>
          <t>No</t>
        </is>
      </c>
      <c r="AQ1996" t="inlineStr">
        <is>
          <t>No</t>
        </is>
      </c>
      <c r="AS1996">
        <f>HYPERLINK("https://creighton-primo.hosted.exlibrisgroup.com/primo-explore/search?tab=default_tab&amp;search_scope=EVERYTHING&amp;vid=01CRU&amp;lang=en_US&amp;offset=0&amp;query=any,contains,991000802429702656","Catalog Record")</f>
        <v/>
      </c>
      <c r="AT1996">
        <f>HYPERLINK("http://www.worldcat.org/oclc/13268880","WorldCat Record")</f>
        <v/>
      </c>
      <c r="AU1996" t="inlineStr">
        <is>
          <t>7000202:eng</t>
        </is>
      </c>
      <c r="AV1996" t="inlineStr">
        <is>
          <t>13268880</t>
        </is>
      </c>
      <c r="AW1996" t="inlineStr">
        <is>
          <t>991000802429702656</t>
        </is>
      </c>
      <c r="AX1996" t="inlineStr">
        <is>
          <t>991000802429702656</t>
        </is>
      </c>
      <c r="AY1996" t="inlineStr">
        <is>
          <t>2260109770002656</t>
        </is>
      </c>
      <c r="AZ1996" t="inlineStr">
        <is>
          <t>BOOK</t>
        </is>
      </c>
      <c r="BB1996" t="inlineStr">
        <is>
          <t>9780898629057</t>
        </is>
      </c>
      <c r="BC1996" t="inlineStr">
        <is>
          <t>32285000976018</t>
        </is>
      </c>
      <c r="BD1996" t="inlineStr">
        <is>
          <t>893522030</t>
        </is>
      </c>
    </row>
    <row r="1997">
      <c r="A1997" t="inlineStr">
        <is>
          <t>No</t>
        </is>
      </c>
      <c r="B1997" t="inlineStr">
        <is>
          <t>HQ756 .R635 1988</t>
        </is>
      </c>
      <c r="C1997" t="inlineStr">
        <is>
          <t>0                      HQ 0756000R  635         1988</t>
        </is>
      </c>
      <c r="D1997" t="inlineStr">
        <is>
          <t>Teenage fathers / Bryan E. Robinson ; foreword by Harriet McAdoo.</t>
        </is>
      </c>
      <c r="F1997" t="inlineStr">
        <is>
          <t>No</t>
        </is>
      </c>
      <c r="G1997" t="inlineStr">
        <is>
          <t>1</t>
        </is>
      </c>
      <c r="H1997" t="inlineStr">
        <is>
          <t>No</t>
        </is>
      </c>
      <c r="I1997" t="inlineStr">
        <is>
          <t>No</t>
        </is>
      </c>
      <c r="J1997" t="inlineStr">
        <is>
          <t>0</t>
        </is>
      </c>
      <c r="K1997" t="inlineStr">
        <is>
          <t>Robinson, Bryan E.</t>
        </is>
      </c>
      <c r="L1997" t="inlineStr">
        <is>
          <t>Lexington, Mass. : Lexington Books, c1988.</t>
        </is>
      </c>
      <c r="M1997" t="inlineStr">
        <is>
          <t>1988</t>
        </is>
      </c>
      <c r="O1997" t="inlineStr">
        <is>
          <t>eng</t>
        </is>
      </c>
      <c r="P1997" t="inlineStr">
        <is>
          <t>mau</t>
        </is>
      </c>
      <c r="R1997" t="inlineStr">
        <is>
          <t xml:space="preserve">HQ </t>
        </is>
      </c>
      <c r="S1997" t="n">
        <v>9</v>
      </c>
      <c r="T1997" t="n">
        <v>9</v>
      </c>
      <c r="U1997" t="inlineStr">
        <is>
          <t>1998-11-09</t>
        </is>
      </c>
      <c r="V1997" t="inlineStr">
        <is>
          <t>1998-11-09</t>
        </is>
      </c>
      <c r="W1997" t="inlineStr">
        <is>
          <t>1992-11-04</t>
        </is>
      </c>
      <c r="X1997" t="inlineStr">
        <is>
          <t>1992-11-04</t>
        </is>
      </c>
      <c r="Y1997" t="n">
        <v>924</v>
      </c>
      <c r="Z1997" t="n">
        <v>853</v>
      </c>
      <c r="AA1997" t="n">
        <v>874</v>
      </c>
      <c r="AB1997" t="n">
        <v>4</v>
      </c>
      <c r="AC1997" t="n">
        <v>4</v>
      </c>
      <c r="AD1997" t="n">
        <v>28</v>
      </c>
      <c r="AE1997" t="n">
        <v>28</v>
      </c>
      <c r="AF1997" t="n">
        <v>12</v>
      </c>
      <c r="AG1997" t="n">
        <v>12</v>
      </c>
      <c r="AH1997" t="n">
        <v>6</v>
      </c>
      <c r="AI1997" t="n">
        <v>6</v>
      </c>
      <c r="AJ1997" t="n">
        <v>13</v>
      </c>
      <c r="AK1997" t="n">
        <v>13</v>
      </c>
      <c r="AL1997" t="n">
        <v>3</v>
      </c>
      <c r="AM1997" t="n">
        <v>3</v>
      </c>
      <c r="AN1997" t="n">
        <v>0</v>
      </c>
      <c r="AO1997" t="n">
        <v>0</v>
      </c>
      <c r="AP1997" t="inlineStr">
        <is>
          <t>No</t>
        </is>
      </c>
      <c r="AQ1997" t="inlineStr">
        <is>
          <t>Yes</t>
        </is>
      </c>
      <c r="AR1997">
        <f>HYPERLINK("http://catalog.hathitrust.org/Record/000886388","HathiTrust Record")</f>
        <v/>
      </c>
      <c r="AS1997">
        <f>HYPERLINK("https://creighton-primo.hosted.exlibrisgroup.com/primo-explore/search?tab=default_tab&amp;search_scope=EVERYTHING&amp;vid=01CRU&amp;lang=en_US&amp;offset=0&amp;query=any,contains,991001118589702656","Catalog Record")</f>
        <v/>
      </c>
      <c r="AT1997">
        <f>HYPERLINK("http://www.worldcat.org/oclc/16577490","WorldCat Record")</f>
        <v/>
      </c>
      <c r="AU1997" t="inlineStr">
        <is>
          <t>12373771:eng</t>
        </is>
      </c>
      <c r="AV1997" t="inlineStr">
        <is>
          <t>16577490</t>
        </is>
      </c>
      <c r="AW1997" t="inlineStr">
        <is>
          <t>991001118589702656</t>
        </is>
      </c>
      <c r="AX1997" t="inlineStr">
        <is>
          <t>991001118589702656</t>
        </is>
      </c>
      <c r="AY1997" t="inlineStr">
        <is>
          <t>2256091870002656</t>
        </is>
      </c>
      <c r="AZ1997" t="inlineStr">
        <is>
          <t>BOOK</t>
        </is>
      </c>
      <c r="BB1997" t="inlineStr">
        <is>
          <t>9780669145878</t>
        </is>
      </c>
      <c r="BC1997" t="inlineStr">
        <is>
          <t>32285001359826</t>
        </is>
      </c>
      <c r="BD1997" t="inlineStr">
        <is>
          <t>893225618</t>
        </is>
      </c>
    </row>
    <row r="1998">
      <c r="A1998" t="inlineStr">
        <is>
          <t>No</t>
        </is>
      </c>
      <c r="B1998" t="inlineStr">
        <is>
          <t>HQ756 .R64 1981</t>
        </is>
      </c>
      <c r="C1998" t="inlineStr">
        <is>
          <t>0                      HQ 0756000R  64          1981</t>
        </is>
      </c>
      <c r="D1998" t="inlineStr">
        <is>
          <t>The Role of the father in child development / edited by Michael E. Lamb.</t>
        </is>
      </c>
      <c r="F1998" t="inlineStr">
        <is>
          <t>No</t>
        </is>
      </c>
      <c r="G1998" t="inlineStr">
        <is>
          <t>1</t>
        </is>
      </c>
      <c r="H1998" t="inlineStr">
        <is>
          <t>Yes</t>
        </is>
      </c>
      <c r="I1998" t="inlineStr">
        <is>
          <t>No</t>
        </is>
      </c>
      <c r="J1998" t="inlineStr">
        <is>
          <t>0</t>
        </is>
      </c>
      <c r="L1998" t="inlineStr">
        <is>
          <t>New York : Wiley, c1981.</t>
        </is>
      </c>
      <c r="M1998" t="inlineStr">
        <is>
          <t>1981</t>
        </is>
      </c>
      <c r="N1998" t="inlineStr">
        <is>
          <t>2nd ed. completely rev. and updated.</t>
        </is>
      </c>
      <c r="O1998" t="inlineStr">
        <is>
          <t>eng</t>
        </is>
      </c>
      <c r="P1998" t="inlineStr">
        <is>
          <t>nyu</t>
        </is>
      </c>
      <c r="Q1998" t="inlineStr">
        <is>
          <t>Wiley series on personality processes, 0195-4008</t>
        </is>
      </c>
      <c r="R1998" t="inlineStr">
        <is>
          <t xml:space="preserve">HQ </t>
        </is>
      </c>
      <c r="S1998" t="n">
        <v>13</v>
      </c>
      <c r="T1998" t="n">
        <v>16</v>
      </c>
      <c r="U1998" t="inlineStr">
        <is>
          <t>2001-05-25</t>
        </is>
      </c>
      <c r="V1998" t="inlineStr">
        <is>
          <t>2001-05-25</t>
        </is>
      </c>
      <c r="W1998" t="inlineStr">
        <is>
          <t>1992-11-04</t>
        </is>
      </c>
      <c r="X1998" t="inlineStr">
        <is>
          <t>1992-11-04</t>
        </is>
      </c>
      <c r="Y1998" t="n">
        <v>896</v>
      </c>
      <c r="Z1998" t="n">
        <v>759</v>
      </c>
      <c r="AA1998" t="n">
        <v>2066</v>
      </c>
      <c r="AB1998" t="n">
        <v>8</v>
      </c>
      <c r="AC1998" t="n">
        <v>38</v>
      </c>
      <c r="AD1998" t="n">
        <v>34</v>
      </c>
      <c r="AE1998" t="n">
        <v>67</v>
      </c>
      <c r="AF1998" t="n">
        <v>15</v>
      </c>
      <c r="AG1998" t="n">
        <v>27</v>
      </c>
      <c r="AH1998" t="n">
        <v>4</v>
      </c>
      <c r="AI1998" t="n">
        <v>10</v>
      </c>
      <c r="AJ1998" t="n">
        <v>16</v>
      </c>
      <c r="AK1998" t="n">
        <v>26</v>
      </c>
      <c r="AL1998" t="n">
        <v>5</v>
      </c>
      <c r="AM1998" t="n">
        <v>16</v>
      </c>
      <c r="AN1998" t="n">
        <v>0</v>
      </c>
      <c r="AO1998" t="n">
        <v>1</v>
      </c>
      <c r="AP1998" t="inlineStr">
        <is>
          <t>No</t>
        </is>
      </c>
      <c r="AQ1998" t="inlineStr">
        <is>
          <t>Yes</t>
        </is>
      </c>
      <c r="AR1998">
        <f>HYPERLINK("http://catalog.hathitrust.org/Record/000143854","HathiTrust Record")</f>
        <v/>
      </c>
      <c r="AS1998">
        <f>HYPERLINK("https://creighton-primo.hosted.exlibrisgroup.com/primo-explore/search?tab=default_tab&amp;search_scope=EVERYTHING&amp;vid=01CRU&amp;lang=en_US&amp;offset=0&amp;query=any,contains,991001785109702656","Catalog Record")</f>
        <v/>
      </c>
      <c r="AT1998">
        <f>HYPERLINK("http://www.worldcat.org/oclc/7464066","WorldCat Record")</f>
        <v/>
      </c>
      <c r="AU1998" t="inlineStr">
        <is>
          <t>888352855:eng</t>
        </is>
      </c>
      <c r="AV1998" t="inlineStr">
        <is>
          <t>7464066</t>
        </is>
      </c>
      <c r="AW1998" t="inlineStr">
        <is>
          <t>991001785109702656</t>
        </is>
      </c>
      <c r="AX1998" t="inlineStr">
        <is>
          <t>991001785109702656</t>
        </is>
      </c>
      <c r="AY1998" t="inlineStr">
        <is>
          <t>2262351480002656</t>
        </is>
      </c>
      <c r="AZ1998" t="inlineStr">
        <is>
          <t>BOOK</t>
        </is>
      </c>
      <c r="BB1998" t="inlineStr">
        <is>
          <t>9780471077398</t>
        </is>
      </c>
      <c r="BC1998" t="inlineStr">
        <is>
          <t>32285001359834</t>
        </is>
      </c>
      <c r="BD1998" t="inlineStr">
        <is>
          <t>893250505</t>
        </is>
      </c>
    </row>
    <row r="1999">
      <c r="A1999" t="inlineStr">
        <is>
          <t>No</t>
        </is>
      </c>
      <c r="B1999" t="inlineStr">
        <is>
          <t>HQ756 .R67 1981</t>
        </is>
      </c>
      <c r="C1999" t="inlineStr">
        <is>
          <t>0                      HQ 0756000R  67          1981</t>
        </is>
      </c>
      <c r="D1999" t="inlineStr">
        <is>
          <t>Fathers without partners : a study of fathers and the family after marital separation / Kristine M. Rosenthal, Harry F. Keshet.</t>
        </is>
      </c>
      <c r="F1999" t="inlineStr">
        <is>
          <t>No</t>
        </is>
      </c>
      <c r="G1999" t="inlineStr">
        <is>
          <t>1</t>
        </is>
      </c>
      <c r="H1999" t="inlineStr">
        <is>
          <t>No</t>
        </is>
      </c>
      <c r="I1999" t="inlineStr">
        <is>
          <t>No</t>
        </is>
      </c>
      <c r="J1999" t="inlineStr">
        <is>
          <t>0</t>
        </is>
      </c>
      <c r="K1999" t="inlineStr">
        <is>
          <t>Keese, Kristine, 1933-2016.</t>
        </is>
      </c>
      <c r="L1999" t="inlineStr">
        <is>
          <t>Totowa, N.J. : Rowman and Littlefield, 1981.</t>
        </is>
      </c>
      <c r="M1999" t="inlineStr">
        <is>
          <t>1981</t>
        </is>
      </c>
      <c r="O1999" t="inlineStr">
        <is>
          <t>eng</t>
        </is>
      </c>
      <c r="P1999" t="inlineStr">
        <is>
          <t>nju</t>
        </is>
      </c>
      <c r="R1999" t="inlineStr">
        <is>
          <t xml:space="preserve">HQ </t>
        </is>
      </c>
      <c r="S1999" t="n">
        <v>5</v>
      </c>
      <c r="T1999" t="n">
        <v>5</v>
      </c>
      <c r="U1999" t="inlineStr">
        <is>
          <t>2010-12-06</t>
        </is>
      </c>
      <c r="V1999" t="inlineStr">
        <is>
          <t>2010-12-06</t>
        </is>
      </c>
      <c r="W1999" t="inlineStr">
        <is>
          <t>1992-11-04</t>
        </is>
      </c>
      <c r="X1999" t="inlineStr">
        <is>
          <t>1992-11-04</t>
        </is>
      </c>
      <c r="Y1999" t="n">
        <v>750</v>
      </c>
      <c r="Z1999" t="n">
        <v>643</v>
      </c>
      <c r="AA1999" t="n">
        <v>653</v>
      </c>
      <c r="AB1999" t="n">
        <v>7</v>
      </c>
      <c r="AC1999" t="n">
        <v>7</v>
      </c>
      <c r="AD1999" t="n">
        <v>29</v>
      </c>
      <c r="AE1999" t="n">
        <v>29</v>
      </c>
      <c r="AF1999" t="n">
        <v>11</v>
      </c>
      <c r="AG1999" t="n">
        <v>11</v>
      </c>
      <c r="AH1999" t="n">
        <v>7</v>
      </c>
      <c r="AI1999" t="n">
        <v>7</v>
      </c>
      <c r="AJ1999" t="n">
        <v>13</v>
      </c>
      <c r="AK1999" t="n">
        <v>13</v>
      </c>
      <c r="AL1999" t="n">
        <v>5</v>
      </c>
      <c r="AM1999" t="n">
        <v>5</v>
      </c>
      <c r="AN1999" t="n">
        <v>0</v>
      </c>
      <c r="AO1999" t="n">
        <v>0</v>
      </c>
      <c r="AP1999" t="inlineStr">
        <is>
          <t>No</t>
        </is>
      </c>
      <c r="AQ1999" t="inlineStr">
        <is>
          <t>Yes</t>
        </is>
      </c>
      <c r="AR1999">
        <f>HYPERLINK("http://catalog.hathitrust.org/Record/000138631","HathiTrust Record")</f>
        <v/>
      </c>
      <c r="AS1999">
        <f>HYPERLINK("https://creighton-primo.hosted.exlibrisgroup.com/primo-explore/search?tab=default_tab&amp;search_scope=EVERYTHING&amp;vid=01CRU&amp;lang=en_US&amp;offset=0&amp;query=any,contains,991004921169702656","Catalog Record")</f>
        <v/>
      </c>
      <c r="AT1999">
        <f>HYPERLINK("http://www.worldcat.org/oclc/6043119","WorldCat Record")</f>
        <v/>
      </c>
      <c r="AU1999" t="inlineStr">
        <is>
          <t>197966450:eng</t>
        </is>
      </c>
      <c r="AV1999" t="inlineStr">
        <is>
          <t>6043119</t>
        </is>
      </c>
      <c r="AW1999" t="inlineStr">
        <is>
          <t>991004921169702656</t>
        </is>
      </c>
      <c r="AX1999" t="inlineStr">
        <is>
          <t>991004921169702656</t>
        </is>
      </c>
      <c r="AY1999" t="inlineStr">
        <is>
          <t>2255583070002656</t>
        </is>
      </c>
      <c r="AZ1999" t="inlineStr">
        <is>
          <t>BOOK</t>
        </is>
      </c>
      <c r="BB1999" t="inlineStr">
        <is>
          <t>9780847662814</t>
        </is>
      </c>
      <c r="BC1999" t="inlineStr">
        <is>
          <t>32285001359842</t>
        </is>
      </c>
      <c r="BD1999" t="inlineStr">
        <is>
          <t>893901898</t>
        </is>
      </c>
    </row>
    <row r="2000">
      <c r="A2000" t="inlineStr">
        <is>
          <t>No</t>
        </is>
      </c>
      <c r="B2000" t="inlineStr">
        <is>
          <t>HQ756 .R86 1983</t>
        </is>
      </c>
      <c r="C2000" t="inlineStr">
        <is>
          <t>0                      HQ 0756000R  86          1983</t>
        </is>
      </c>
      <c r="D2000" t="inlineStr">
        <is>
          <t>The changing role of fathers? / Graeme Russell.</t>
        </is>
      </c>
      <c r="F2000" t="inlineStr">
        <is>
          <t>No</t>
        </is>
      </c>
      <c r="G2000" t="inlineStr">
        <is>
          <t>1</t>
        </is>
      </c>
      <c r="H2000" t="inlineStr">
        <is>
          <t>No</t>
        </is>
      </c>
      <c r="I2000" t="inlineStr">
        <is>
          <t>No</t>
        </is>
      </c>
      <c r="J2000" t="inlineStr">
        <is>
          <t>0</t>
        </is>
      </c>
      <c r="K2000" t="inlineStr">
        <is>
          <t>Russell, Graeme, 1947-</t>
        </is>
      </c>
      <c r="L2000" t="inlineStr">
        <is>
          <t>St. Lucia [Queensland] ; New York : University of Queensland Press, c1983.</t>
        </is>
      </c>
      <c r="M2000" t="inlineStr">
        <is>
          <t>1983</t>
        </is>
      </c>
      <c r="O2000" t="inlineStr">
        <is>
          <t>eng</t>
        </is>
      </c>
      <c r="P2000" t="inlineStr">
        <is>
          <t xml:space="preserve">at </t>
        </is>
      </c>
      <c r="R2000" t="inlineStr">
        <is>
          <t xml:space="preserve">HQ </t>
        </is>
      </c>
      <c r="S2000" t="n">
        <v>9</v>
      </c>
      <c r="T2000" t="n">
        <v>9</v>
      </c>
      <c r="U2000" t="inlineStr">
        <is>
          <t>2004-04-04</t>
        </is>
      </c>
      <c r="V2000" t="inlineStr">
        <is>
          <t>2004-04-04</t>
        </is>
      </c>
      <c r="W2000" t="inlineStr">
        <is>
          <t>1992-03-30</t>
        </is>
      </c>
      <c r="X2000" t="inlineStr">
        <is>
          <t>1992-03-30</t>
        </is>
      </c>
      <c r="Y2000" t="n">
        <v>476</v>
      </c>
      <c r="Z2000" t="n">
        <v>383</v>
      </c>
      <c r="AA2000" t="n">
        <v>408</v>
      </c>
      <c r="AB2000" t="n">
        <v>4</v>
      </c>
      <c r="AC2000" t="n">
        <v>4</v>
      </c>
      <c r="AD2000" t="n">
        <v>14</v>
      </c>
      <c r="AE2000" t="n">
        <v>14</v>
      </c>
      <c r="AF2000" t="n">
        <v>5</v>
      </c>
      <c r="AG2000" t="n">
        <v>5</v>
      </c>
      <c r="AH2000" t="n">
        <v>2</v>
      </c>
      <c r="AI2000" t="n">
        <v>2</v>
      </c>
      <c r="AJ2000" t="n">
        <v>6</v>
      </c>
      <c r="AK2000" t="n">
        <v>6</v>
      </c>
      <c r="AL2000" t="n">
        <v>3</v>
      </c>
      <c r="AM2000" t="n">
        <v>3</v>
      </c>
      <c r="AN2000" t="n">
        <v>0</v>
      </c>
      <c r="AO2000" t="n">
        <v>0</v>
      </c>
      <c r="AP2000" t="inlineStr">
        <is>
          <t>No</t>
        </is>
      </c>
      <c r="AQ2000" t="inlineStr">
        <is>
          <t>Yes</t>
        </is>
      </c>
      <c r="AR2000">
        <f>HYPERLINK("http://catalog.hathitrust.org/Record/007130199","HathiTrust Record")</f>
        <v/>
      </c>
      <c r="AS2000">
        <f>HYPERLINK("https://creighton-primo.hosted.exlibrisgroup.com/primo-explore/search?tab=default_tab&amp;search_scope=EVERYTHING&amp;vid=01CRU&amp;lang=en_US&amp;offset=0&amp;query=any,contains,991000082539702656","Catalog Record")</f>
        <v/>
      </c>
      <c r="AT2000">
        <f>HYPERLINK("http://www.worldcat.org/oclc/8845951","WorldCat Record")</f>
        <v/>
      </c>
      <c r="AU2000" t="inlineStr">
        <is>
          <t>3247388:eng</t>
        </is>
      </c>
      <c r="AV2000" t="inlineStr">
        <is>
          <t>8845951</t>
        </is>
      </c>
      <c r="AW2000" t="inlineStr">
        <is>
          <t>991000082539702656</t>
        </is>
      </c>
      <c r="AX2000" t="inlineStr">
        <is>
          <t>991000082539702656</t>
        </is>
      </c>
      <c r="AY2000" t="inlineStr">
        <is>
          <t>2255096690002656</t>
        </is>
      </c>
      <c r="AZ2000" t="inlineStr">
        <is>
          <t>BOOK</t>
        </is>
      </c>
      <c r="BB2000" t="inlineStr">
        <is>
          <t>9780702219528</t>
        </is>
      </c>
      <c r="BC2000" t="inlineStr">
        <is>
          <t>32285001030450</t>
        </is>
      </c>
      <c r="BD2000" t="inlineStr">
        <is>
          <t>893237056</t>
        </is>
      </c>
    </row>
    <row r="2001">
      <c r="A2001" t="inlineStr">
        <is>
          <t>No</t>
        </is>
      </c>
      <c r="B2001" t="inlineStr">
        <is>
          <t>HQ756 .S547 1993</t>
        </is>
      </c>
      <c r="C2001" t="inlineStr">
        <is>
          <t>0                      HQ 0756000S  547         1993</t>
        </is>
      </c>
      <c r="D2001" t="inlineStr">
        <is>
          <t>How fathers care for the next generation : a four-decade study / John Snarey.</t>
        </is>
      </c>
      <c r="F2001" t="inlineStr">
        <is>
          <t>No</t>
        </is>
      </c>
      <c r="G2001" t="inlineStr">
        <is>
          <t>1</t>
        </is>
      </c>
      <c r="H2001" t="inlineStr">
        <is>
          <t>No</t>
        </is>
      </c>
      <c r="I2001" t="inlineStr">
        <is>
          <t>No</t>
        </is>
      </c>
      <c r="J2001" t="inlineStr">
        <is>
          <t>0</t>
        </is>
      </c>
      <c r="K2001" t="inlineStr">
        <is>
          <t>Snarey, John R., 1948-</t>
        </is>
      </c>
      <c r="L2001" t="inlineStr">
        <is>
          <t>Cambridge, Mass. : Harvard University Press, 1993.</t>
        </is>
      </c>
      <c r="M2001" t="inlineStr">
        <is>
          <t>1993</t>
        </is>
      </c>
      <c r="O2001" t="inlineStr">
        <is>
          <t>eng</t>
        </is>
      </c>
      <c r="P2001" t="inlineStr">
        <is>
          <t>mau</t>
        </is>
      </c>
      <c r="R2001" t="inlineStr">
        <is>
          <t xml:space="preserve">HQ </t>
        </is>
      </c>
      <c r="S2001" t="n">
        <v>6</v>
      </c>
      <c r="T2001" t="n">
        <v>6</v>
      </c>
      <c r="U2001" t="inlineStr">
        <is>
          <t>2005-10-27</t>
        </is>
      </c>
      <c r="V2001" t="inlineStr">
        <is>
          <t>2005-10-27</t>
        </is>
      </c>
      <c r="W2001" t="inlineStr">
        <is>
          <t>1994-04-07</t>
        </is>
      </c>
      <c r="X2001" t="inlineStr">
        <is>
          <t>1994-04-07</t>
        </is>
      </c>
      <c r="Y2001" t="n">
        <v>734</v>
      </c>
      <c r="Z2001" t="n">
        <v>637</v>
      </c>
      <c r="AA2001" t="n">
        <v>647</v>
      </c>
      <c r="AB2001" t="n">
        <v>6</v>
      </c>
      <c r="AC2001" t="n">
        <v>6</v>
      </c>
      <c r="AD2001" t="n">
        <v>35</v>
      </c>
      <c r="AE2001" t="n">
        <v>35</v>
      </c>
      <c r="AF2001" t="n">
        <v>14</v>
      </c>
      <c r="AG2001" t="n">
        <v>14</v>
      </c>
      <c r="AH2001" t="n">
        <v>9</v>
      </c>
      <c r="AI2001" t="n">
        <v>9</v>
      </c>
      <c r="AJ2001" t="n">
        <v>17</v>
      </c>
      <c r="AK2001" t="n">
        <v>17</v>
      </c>
      <c r="AL2001" t="n">
        <v>5</v>
      </c>
      <c r="AM2001" t="n">
        <v>5</v>
      </c>
      <c r="AN2001" t="n">
        <v>0</v>
      </c>
      <c r="AO2001" t="n">
        <v>0</v>
      </c>
      <c r="AP2001" t="inlineStr">
        <is>
          <t>No</t>
        </is>
      </c>
      <c r="AQ2001" t="inlineStr">
        <is>
          <t>Yes</t>
        </is>
      </c>
      <c r="AR2001">
        <f>HYPERLINK("http://catalog.hathitrust.org/Record/002700569","HathiTrust Record")</f>
        <v/>
      </c>
      <c r="AS2001">
        <f>HYPERLINK("https://creighton-primo.hosted.exlibrisgroup.com/primo-explore/search?tab=default_tab&amp;search_scope=EVERYTHING&amp;vid=01CRU&amp;lang=en_US&amp;offset=0&amp;query=any,contains,991002068089702656","Catalog Record")</f>
        <v/>
      </c>
      <c r="AT2001">
        <f>HYPERLINK("http://www.worldcat.org/oclc/26502407","WorldCat Record")</f>
        <v/>
      </c>
      <c r="AU2001" t="inlineStr">
        <is>
          <t>152320970:eng</t>
        </is>
      </c>
      <c r="AV2001" t="inlineStr">
        <is>
          <t>26502407</t>
        </is>
      </c>
      <c r="AW2001" t="inlineStr">
        <is>
          <t>991002068089702656</t>
        </is>
      </c>
      <c r="AX2001" t="inlineStr">
        <is>
          <t>991002068089702656</t>
        </is>
      </c>
      <c r="AY2001" t="inlineStr">
        <is>
          <t>2257029910002656</t>
        </is>
      </c>
      <c r="AZ2001" t="inlineStr">
        <is>
          <t>BOOK</t>
        </is>
      </c>
      <c r="BB2001" t="inlineStr">
        <is>
          <t>9780674409408</t>
        </is>
      </c>
      <c r="BC2001" t="inlineStr">
        <is>
          <t>32285001859684</t>
        </is>
      </c>
      <c r="BD2001" t="inlineStr">
        <is>
          <t>893716007</t>
        </is>
      </c>
    </row>
    <row r="2002">
      <c r="A2002" t="inlineStr">
        <is>
          <t>No</t>
        </is>
      </c>
      <c r="B2002" t="inlineStr">
        <is>
          <t>HQ756 .V64 1991</t>
        </is>
      </c>
      <c r="C2002" t="inlineStr">
        <is>
          <t>0                      HQ 0756000V  64          1991</t>
        </is>
      </c>
      <c r="D2002" t="inlineStr">
        <is>
          <t>Like son, like father : healing the father-son wound in men's lives / Gregory Max Vogt and Stephen T. Sirridge.</t>
        </is>
      </c>
      <c r="F2002" t="inlineStr">
        <is>
          <t>No</t>
        </is>
      </c>
      <c r="G2002" t="inlineStr">
        <is>
          <t>1</t>
        </is>
      </c>
      <c r="H2002" t="inlineStr">
        <is>
          <t>No</t>
        </is>
      </c>
      <c r="I2002" t="inlineStr">
        <is>
          <t>No</t>
        </is>
      </c>
      <c r="J2002" t="inlineStr">
        <is>
          <t>0</t>
        </is>
      </c>
      <c r="K2002" t="inlineStr">
        <is>
          <t>Vogt, Gregory Max.</t>
        </is>
      </c>
      <c r="L2002" t="inlineStr">
        <is>
          <t>New York : Plenum, c1991.</t>
        </is>
      </c>
      <c r="M2002" t="inlineStr">
        <is>
          <t>1991</t>
        </is>
      </c>
      <c r="O2002" t="inlineStr">
        <is>
          <t>eng</t>
        </is>
      </c>
      <c r="P2002" t="inlineStr">
        <is>
          <t>nyu</t>
        </is>
      </c>
      <c r="R2002" t="inlineStr">
        <is>
          <t xml:space="preserve">HQ </t>
        </is>
      </c>
      <c r="S2002" t="n">
        <v>7</v>
      </c>
      <c r="T2002" t="n">
        <v>7</v>
      </c>
      <c r="U2002" t="inlineStr">
        <is>
          <t>2003-06-11</t>
        </is>
      </c>
      <c r="V2002" t="inlineStr">
        <is>
          <t>2003-06-11</t>
        </is>
      </c>
      <c r="W2002" t="inlineStr">
        <is>
          <t>1992-08-04</t>
        </is>
      </c>
      <c r="X2002" t="inlineStr">
        <is>
          <t>1992-08-04</t>
        </is>
      </c>
      <c r="Y2002" t="n">
        <v>258</v>
      </c>
      <c r="Z2002" t="n">
        <v>209</v>
      </c>
      <c r="AA2002" t="n">
        <v>232</v>
      </c>
      <c r="AB2002" t="n">
        <v>3</v>
      </c>
      <c r="AC2002" t="n">
        <v>3</v>
      </c>
      <c r="AD2002" t="n">
        <v>9</v>
      </c>
      <c r="AE2002" t="n">
        <v>11</v>
      </c>
      <c r="AF2002" t="n">
        <v>1</v>
      </c>
      <c r="AG2002" t="n">
        <v>3</v>
      </c>
      <c r="AH2002" t="n">
        <v>2</v>
      </c>
      <c r="AI2002" t="n">
        <v>2</v>
      </c>
      <c r="AJ2002" t="n">
        <v>4</v>
      </c>
      <c r="AK2002" t="n">
        <v>5</v>
      </c>
      <c r="AL2002" t="n">
        <v>2</v>
      </c>
      <c r="AM2002" t="n">
        <v>2</v>
      </c>
      <c r="AN2002" t="n">
        <v>0</v>
      </c>
      <c r="AO2002" t="n">
        <v>0</v>
      </c>
      <c r="AP2002" t="inlineStr">
        <is>
          <t>No</t>
        </is>
      </c>
      <c r="AQ2002" t="inlineStr">
        <is>
          <t>Yes</t>
        </is>
      </c>
      <c r="AR2002">
        <f>HYPERLINK("http://catalog.hathitrust.org/Record/002483855","HathiTrust Record")</f>
        <v/>
      </c>
      <c r="AS2002">
        <f>HYPERLINK("https://creighton-primo.hosted.exlibrisgroup.com/primo-explore/search?tab=default_tab&amp;search_scope=EVERYTHING&amp;vid=01CRU&amp;lang=en_US&amp;offset=0&amp;query=any,contains,991001901909702656","Catalog Record")</f>
        <v/>
      </c>
      <c r="AT2002">
        <f>HYPERLINK("http://www.worldcat.org/oclc/24011335","WorldCat Record")</f>
        <v/>
      </c>
      <c r="AU2002" t="inlineStr">
        <is>
          <t>290639339:eng</t>
        </is>
      </c>
      <c r="AV2002" t="inlineStr">
        <is>
          <t>24011335</t>
        </is>
      </c>
      <c r="AW2002" t="inlineStr">
        <is>
          <t>991001901909702656</t>
        </is>
      </c>
      <c r="AX2002" t="inlineStr">
        <is>
          <t>991001901909702656</t>
        </is>
      </c>
      <c r="AY2002" t="inlineStr">
        <is>
          <t>2262679620002656</t>
        </is>
      </c>
      <c r="AZ2002" t="inlineStr">
        <is>
          <t>BOOK</t>
        </is>
      </c>
      <c r="BB2002" t="inlineStr">
        <is>
          <t>9780306439704</t>
        </is>
      </c>
      <c r="BC2002" t="inlineStr">
        <is>
          <t>32285001196400</t>
        </is>
      </c>
      <c r="BD2002" t="inlineStr">
        <is>
          <t>893352052</t>
        </is>
      </c>
    </row>
    <row r="2003">
      <c r="A2003" t="inlineStr">
        <is>
          <t>No</t>
        </is>
      </c>
      <c r="B2003" t="inlineStr">
        <is>
          <t>HQ756.7 .P37 2006</t>
        </is>
      </c>
      <c r="C2003" t="inlineStr">
        <is>
          <t>0                      HQ 0756700P  37          2006</t>
        </is>
      </c>
      <c r="D2003" t="inlineStr">
        <is>
          <t>Voices of African-American teen fathers : "I'm doing what I got to do" / Angelia M. Paschal.</t>
        </is>
      </c>
      <c r="F2003" t="inlineStr">
        <is>
          <t>No</t>
        </is>
      </c>
      <c r="G2003" t="inlineStr">
        <is>
          <t>1</t>
        </is>
      </c>
      <c r="H2003" t="inlineStr">
        <is>
          <t>No</t>
        </is>
      </c>
      <c r="I2003" t="inlineStr">
        <is>
          <t>No</t>
        </is>
      </c>
      <c r="J2003" t="inlineStr">
        <is>
          <t>0</t>
        </is>
      </c>
      <c r="K2003" t="inlineStr">
        <is>
          <t>Paschal, Angelia M.</t>
        </is>
      </c>
      <c r="L2003" t="inlineStr">
        <is>
          <t>New York : Haworth Press, c2006.</t>
        </is>
      </c>
      <c r="M2003" t="inlineStr">
        <is>
          <t>2006</t>
        </is>
      </c>
      <c r="O2003" t="inlineStr">
        <is>
          <t>eng</t>
        </is>
      </c>
      <c r="P2003" t="inlineStr">
        <is>
          <t>nyu</t>
        </is>
      </c>
      <c r="Q2003" t="inlineStr">
        <is>
          <t>Haworth health and social policy</t>
        </is>
      </c>
      <c r="R2003" t="inlineStr">
        <is>
          <t xml:space="preserve">HQ </t>
        </is>
      </c>
      <c r="S2003" t="n">
        <v>2</v>
      </c>
      <c r="T2003" t="n">
        <v>2</v>
      </c>
      <c r="U2003" t="inlineStr">
        <is>
          <t>2010-06-15</t>
        </is>
      </c>
      <c r="V2003" t="inlineStr">
        <is>
          <t>2010-06-15</t>
        </is>
      </c>
      <c r="W2003" t="inlineStr">
        <is>
          <t>2006-09-05</t>
        </is>
      </c>
      <c r="X2003" t="inlineStr">
        <is>
          <t>2006-09-05</t>
        </is>
      </c>
      <c r="Y2003" t="n">
        <v>322</v>
      </c>
      <c r="Z2003" t="n">
        <v>297</v>
      </c>
      <c r="AA2003" t="n">
        <v>321</v>
      </c>
      <c r="AB2003" t="n">
        <v>4</v>
      </c>
      <c r="AC2003" t="n">
        <v>4</v>
      </c>
      <c r="AD2003" t="n">
        <v>11</v>
      </c>
      <c r="AE2003" t="n">
        <v>11</v>
      </c>
      <c r="AF2003" t="n">
        <v>2</v>
      </c>
      <c r="AG2003" t="n">
        <v>2</v>
      </c>
      <c r="AH2003" t="n">
        <v>5</v>
      </c>
      <c r="AI2003" t="n">
        <v>5</v>
      </c>
      <c r="AJ2003" t="n">
        <v>6</v>
      </c>
      <c r="AK2003" t="n">
        <v>6</v>
      </c>
      <c r="AL2003" t="n">
        <v>2</v>
      </c>
      <c r="AM2003" t="n">
        <v>2</v>
      </c>
      <c r="AN2003" t="n">
        <v>0</v>
      </c>
      <c r="AO2003" t="n">
        <v>0</v>
      </c>
      <c r="AP2003" t="inlineStr">
        <is>
          <t>No</t>
        </is>
      </c>
      <c r="AQ2003" t="inlineStr">
        <is>
          <t>Yes</t>
        </is>
      </c>
      <c r="AR2003">
        <f>HYPERLINK("http://catalog.hathitrust.org/Record/005262603","HathiTrust Record")</f>
        <v/>
      </c>
      <c r="AS2003">
        <f>HYPERLINK("https://creighton-primo.hosted.exlibrisgroup.com/primo-explore/search?tab=default_tab&amp;search_scope=EVERYTHING&amp;vid=01CRU&amp;lang=en_US&amp;offset=0&amp;query=any,contains,991004903009702656","Catalog Record")</f>
        <v/>
      </c>
      <c r="AT2003">
        <f>HYPERLINK("http://www.worldcat.org/oclc/62084280","WorldCat Record")</f>
        <v/>
      </c>
      <c r="AU2003" t="inlineStr">
        <is>
          <t>46509543:eng</t>
        </is>
      </c>
      <c r="AV2003" t="inlineStr">
        <is>
          <t>62084280</t>
        </is>
      </c>
      <c r="AW2003" t="inlineStr">
        <is>
          <t>991004903009702656</t>
        </is>
      </c>
      <c r="AX2003" t="inlineStr">
        <is>
          <t>991004903009702656</t>
        </is>
      </c>
      <c r="AY2003" t="inlineStr">
        <is>
          <t>2269231860002656</t>
        </is>
      </c>
      <c r="AZ2003" t="inlineStr">
        <is>
          <t>BOOK</t>
        </is>
      </c>
      <c r="BB2003" t="inlineStr">
        <is>
          <t>9780789027375</t>
        </is>
      </c>
      <c r="BC2003" t="inlineStr">
        <is>
          <t>32285005221428</t>
        </is>
      </c>
      <c r="BD2003" t="inlineStr">
        <is>
          <t>893229978</t>
        </is>
      </c>
    </row>
    <row r="2004">
      <c r="A2004" t="inlineStr">
        <is>
          <t>No</t>
        </is>
      </c>
      <c r="B2004" t="inlineStr">
        <is>
          <t>HQ756.8 .B37 2002</t>
        </is>
      </c>
      <c r="C2004" t="inlineStr">
        <is>
          <t>0                      HQ 0756800B  37          2002</t>
        </is>
      </c>
      <c r="D2004" t="inlineStr">
        <is>
          <t>Whatever happened to daddy's little girl? : the impact of fatherlessness on Black women / Jonetta Rose Barras.</t>
        </is>
      </c>
      <c r="F2004" t="inlineStr">
        <is>
          <t>No</t>
        </is>
      </c>
      <c r="G2004" t="inlineStr">
        <is>
          <t>1</t>
        </is>
      </c>
      <c r="H2004" t="inlineStr">
        <is>
          <t>No</t>
        </is>
      </c>
      <c r="I2004" t="inlineStr">
        <is>
          <t>No</t>
        </is>
      </c>
      <c r="J2004" t="inlineStr">
        <is>
          <t>0</t>
        </is>
      </c>
      <c r="K2004" t="inlineStr">
        <is>
          <t>Barras, Jonetta Rose.</t>
        </is>
      </c>
      <c r="L2004" t="inlineStr">
        <is>
          <t>New York : Ballantine Pub. Group, 2002.</t>
        </is>
      </c>
      <c r="M2004" t="inlineStr">
        <is>
          <t>2002</t>
        </is>
      </c>
      <c r="N2004" t="inlineStr">
        <is>
          <t>1st trade paperback ed.</t>
        </is>
      </c>
      <c r="O2004" t="inlineStr">
        <is>
          <t>eng</t>
        </is>
      </c>
      <c r="P2004" t="inlineStr">
        <is>
          <t>nyu</t>
        </is>
      </c>
      <c r="R2004" t="inlineStr">
        <is>
          <t xml:space="preserve">HQ </t>
        </is>
      </c>
      <c r="S2004" t="n">
        <v>2</v>
      </c>
      <c r="T2004" t="n">
        <v>2</v>
      </c>
      <c r="U2004" t="inlineStr">
        <is>
          <t>2002-04-22</t>
        </is>
      </c>
      <c r="V2004" t="inlineStr">
        <is>
          <t>2002-04-22</t>
        </is>
      </c>
      <c r="W2004" t="inlineStr">
        <is>
          <t>2002-04-09</t>
        </is>
      </c>
      <c r="X2004" t="inlineStr">
        <is>
          <t>2002-04-09</t>
        </is>
      </c>
      <c r="Y2004" t="n">
        <v>171</v>
      </c>
      <c r="Z2004" t="n">
        <v>169</v>
      </c>
      <c r="AA2004" t="n">
        <v>913</v>
      </c>
      <c r="AB2004" t="n">
        <v>4</v>
      </c>
      <c r="AC2004" t="n">
        <v>10</v>
      </c>
      <c r="AD2004" t="n">
        <v>6</v>
      </c>
      <c r="AE2004" t="n">
        <v>24</v>
      </c>
      <c r="AF2004" t="n">
        <v>2</v>
      </c>
      <c r="AG2004" t="n">
        <v>6</v>
      </c>
      <c r="AH2004" t="n">
        <v>1</v>
      </c>
      <c r="AI2004" t="n">
        <v>3</v>
      </c>
      <c r="AJ2004" t="n">
        <v>0</v>
      </c>
      <c r="AK2004" t="n">
        <v>11</v>
      </c>
      <c r="AL2004" t="n">
        <v>3</v>
      </c>
      <c r="AM2004" t="n">
        <v>7</v>
      </c>
      <c r="AN2004" t="n">
        <v>0</v>
      </c>
      <c r="AO2004" t="n">
        <v>0</v>
      </c>
      <c r="AP2004" t="inlineStr">
        <is>
          <t>No</t>
        </is>
      </c>
      <c r="AQ2004" t="inlineStr">
        <is>
          <t>No</t>
        </is>
      </c>
      <c r="AS2004">
        <f>HYPERLINK("https://creighton-primo.hosted.exlibrisgroup.com/primo-explore/search?tab=default_tab&amp;search_scope=EVERYTHING&amp;vid=01CRU&amp;lang=en_US&amp;offset=0&amp;query=any,contains,991003774389702656","Catalog Record")</f>
        <v/>
      </c>
      <c r="AT2004">
        <f>HYPERLINK("http://www.worldcat.org/oclc/48971369","WorldCat Record")</f>
        <v/>
      </c>
      <c r="AU2004" t="inlineStr">
        <is>
          <t>20601116:eng</t>
        </is>
      </c>
      <c r="AV2004" t="inlineStr">
        <is>
          <t>48971369</t>
        </is>
      </c>
      <c r="AW2004" t="inlineStr">
        <is>
          <t>991003774389702656</t>
        </is>
      </c>
      <c r="AX2004" t="inlineStr">
        <is>
          <t>991003774389702656</t>
        </is>
      </c>
      <c r="AY2004" t="inlineStr">
        <is>
          <t>2266515110002656</t>
        </is>
      </c>
      <c r="AZ2004" t="inlineStr">
        <is>
          <t>BOOK</t>
        </is>
      </c>
      <c r="BB2004" t="inlineStr">
        <is>
          <t>9780345434838</t>
        </is>
      </c>
      <c r="BC2004" t="inlineStr">
        <is>
          <t>32285004477906</t>
        </is>
      </c>
      <c r="BD2004" t="inlineStr">
        <is>
          <t>893330769</t>
        </is>
      </c>
    </row>
    <row r="2005">
      <c r="A2005" t="inlineStr">
        <is>
          <t>No</t>
        </is>
      </c>
      <c r="B2005" t="inlineStr">
        <is>
          <t>HQ756.D34 A33 1978</t>
        </is>
      </c>
      <c r="C2005" t="inlineStr">
        <is>
          <t>0                      HQ 0756000D  34                 A  33          1978</t>
        </is>
      </c>
      <c r="D2005" t="inlineStr">
        <is>
          <t>Father feelings / Eliot A. Daley.</t>
        </is>
      </c>
      <c r="F2005" t="inlineStr">
        <is>
          <t>No</t>
        </is>
      </c>
      <c r="G2005" t="inlineStr">
        <is>
          <t>1</t>
        </is>
      </c>
      <c r="H2005" t="inlineStr">
        <is>
          <t>No</t>
        </is>
      </c>
      <c r="I2005" t="inlineStr">
        <is>
          <t>No</t>
        </is>
      </c>
      <c r="J2005" t="inlineStr">
        <is>
          <t>0</t>
        </is>
      </c>
      <c r="K2005" t="inlineStr">
        <is>
          <t>Daley, Eliot A.</t>
        </is>
      </c>
      <c r="L2005" t="inlineStr">
        <is>
          <t>New York : Morrow, 1978, c1977.</t>
        </is>
      </c>
      <c r="M2005" t="inlineStr">
        <is>
          <t>1978</t>
        </is>
      </c>
      <c r="O2005" t="inlineStr">
        <is>
          <t>eng</t>
        </is>
      </c>
      <c r="P2005" t="inlineStr">
        <is>
          <t>nyu</t>
        </is>
      </c>
      <c r="R2005" t="inlineStr">
        <is>
          <t xml:space="preserve">HQ </t>
        </is>
      </c>
      <c r="S2005" t="n">
        <v>1</v>
      </c>
      <c r="T2005" t="n">
        <v>1</v>
      </c>
      <c r="U2005" t="inlineStr">
        <is>
          <t>1992-03-30</t>
        </is>
      </c>
      <c r="V2005" t="inlineStr">
        <is>
          <t>1992-03-30</t>
        </is>
      </c>
      <c r="W2005" t="inlineStr">
        <is>
          <t>1992-03-30</t>
        </is>
      </c>
      <c r="X2005" t="inlineStr">
        <is>
          <t>1992-03-30</t>
        </is>
      </c>
      <c r="Y2005" t="n">
        <v>207</v>
      </c>
      <c r="Z2005" t="n">
        <v>191</v>
      </c>
      <c r="AA2005" t="n">
        <v>199</v>
      </c>
      <c r="AB2005" t="n">
        <v>2</v>
      </c>
      <c r="AC2005" t="n">
        <v>2</v>
      </c>
      <c r="AD2005" t="n">
        <v>1</v>
      </c>
      <c r="AE2005" t="n">
        <v>1</v>
      </c>
      <c r="AF2005" t="n">
        <v>0</v>
      </c>
      <c r="AG2005" t="n">
        <v>0</v>
      </c>
      <c r="AH2005" t="n">
        <v>0</v>
      </c>
      <c r="AI2005" t="n">
        <v>0</v>
      </c>
      <c r="AJ2005" t="n">
        <v>0</v>
      </c>
      <c r="AK2005" t="n">
        <v>0</v>
      </c>
      <c r="AL2005" t="n">
        <v>1</v>
      </c>
      <c r="AM2005" t="n">
        <v>1</v>
      </c>
      <c r="AN2005" t="n">
        <v>0</v>
      </c>
      <c r="AO2005" t="n">
        <v>0</v>
      </c>
      <c r="AP2005" t="inlineStr">
        <is>
          <t>No</t>
        </is>
      </c>
      <c r="AQ2005" t="inlineStr">
        <is>
          <t>No</t>
        </is>
      </c>
      <c r="AS2005">
        <f>HYPERLINK("https://creighton-primo.hosted.exlibrisgroup.com/primo-explore/search?tab=default_tab&amp;search_scope=EVERYTHING&amp;vid=01CRU&amp;lang=en_US&amp;offset=0&amp;query=any,contains,991004352549702656","Catalog Record")</f>
        <v/>
      </c>
      <c r="AT2005">
        <f>HYPERLINK("http://www.worldcat.org/oclc/3121174","WorldCat Record")</f>
        <v/>
      </c>
      <c r="AU2005" t="inlineStr">
        <is>
          <t>8141735:eng</t>
        </is>
      </c>
      <c r="AV2005" t="inlineStr">
        <is>
          <t>3121174</t>
        </is>
      </c>
      <c r="AW2005" t="inlineStr">
        <is>
          <t>991004352549702656</t>
        </is>
      </c>
      <c r="AX2005" t="inlineStr">
        <is>
          <t>991004352549702656</t>
        </is>
      </c>
      <c r="AY2005" t="inlineStr">
        <is>
          <t>2263395240002656</t>
        </is>
      </c>
      <c r="AZ2005" t="inlineStr">
        <is>
          <t>BOOK</t>
        </is>
      </c>
      <c r="BB2005" t="inlineStr">
        <is>
          <t>9780688032517</t>
        </is>
      </c>
      <c r="BC2005" t="inlineStr">
        <is>
          <t>32285001008654</t>
        </is>
      </c>
      <c r="BD2005" t="inlineStr">
        <is>
          <t>893612243</t>
        </is>
      </c>
    </row>
    <row r="2006">
      <c r="A2006" t="inlineStr">
        <is>
          <t>No</t>
        </is>
      </c>
      <c r="B2006" t="inlineStr">
        <is>
          <t>HQ759 .A45 2005</t>
        </is>
      </c>
      <c r="C2006" t="inlineStr">
        <is>
          <t>0                      HQ 0759000A  45          2005</t>
        </is>
      </c>
      <c r="D2006" t="inlineStr">
        <is>
          <t>Feminism and motherhood in Western Europe 1890-1970 : the maternal dilemma / Ann Taylor Allen.</t>
        </is>
      </c>
      <c r="F2006" t="inlineStr">
        <is>
          <t>No</t>
        </is>
      </c>
      <c r="G2006" t="inlineStr">
        <is>
          <t>1</t>
        </is>
      </c>
      <c r="H2006" t="inlineStr">
        <is>
          <t>No</t>
        </is>
      </c>
      <c r="I2006" t="inlineStr">
        <is>
          <t>No</t>
        </is>
      </c>
      <c r="J2006" t="inlineStr">
        <is>
          <t>0</t>
        </is>
      </c>
      <c r="K2006" t="inlineStr">
        <is>
          <t>Allen, Ann Taylor, 1944-</t>
        </is>
      </c>
      <c r="L2006" t="inlineStr">
        <is>
          <t>New York ; Basingstoke : Palgrave Macmillan, 2005.</t>
        </is>
      </c>
      <c r="M2006" t="inlineStr">
        <is>
          <t>2005</t>
        </is>
      </c>
      <c r="N2006" t="inlineStr">
        <is>
          <t>1st ed.</t>
        </is>
      </c>
      <c r="O2006" t="inlineStr">
        <is>
          <t>eng</t>
        </is>
      </c>
      <c r="P2006" t="inlineStr">
        <is>
          <t>nyu</t>
        </is>
      </c>
      <c r="R2006" t="inlineStr">
        <is>
          <t xml:space="preserve">HQ </t>
        </is>
      </c>
      <c r="S2006" t="n">
        <v>2</v>
      </c>
      <c r="T2006" t="n">
        <v>2</v>
      </c>
      <c r="U2006" t="inlineStr">
        <is>
          <t>2007-02-04</t>
        </is>
      </c>
      <c r="V2006" t="inlineStr">
        <is>
          <t>2007-02-04</t>
        </is>
      </c>
      <c r="W2006" t="inlineStr">
        <is>
          <t>2006-07-20</t>
        </is>
      </c>
      <c r="X2006" t="inlineStr">
        <is>
          <t>2006-07-20</t>
        </is>
      </c>
      <c r="Y2006" t="n">
        <v>414</v>
      </c>
      <c r="Z2006" t="n">
        <v>304</v>
      </c>
      <c r="AA2006" t="n">
        <v>666</v>
      </c>
      <c r="AB2006" t="n">
        <v>3</v>
      </c>
      <c r="AC2006" t="n">
        <v>5</v>
      </c>
      <c r="AD2006" t="n">
        <v>17</v>
      </c>
      <c r="AE2006" t="n">
        <v>33</v>
      </c>
      <c r="AF2006" t="n">
        <v>3</v>
      </c>
      <c r="AG2006" t="n">
        <v>11</v>
      </c>
      <c r="AH2006" t="n">
        <v>7</v>
      </c>
      <c r="AI2006" t="n">
        <v>10</v>
      </c>
      <c r="AJ2006" t="n">
        <v>9</v>
      </c>
      <c r="AK2006" t="n">
        <v>15</v>
      </c>
      <c r="AL2006" t="n">
        <v>2</v>
      </c>
      <c r="AM2006" t="n">
        <v>4</v>
      </c>
      <c r="AN2006" t="n">
        <v>0</v>
      </c>
      <c r="AO2006" t="n">
        <v>1</v>
      </c>
      <c r="AP2006" t="inlineStr">
        <is>
          <t>No</t>
        </is>
      </c>
      <c r="AQ2006" t="inlineStr">
        <is>
          <t>No</t>
        </is>
      </c>
      <c r="AS2006">
        <f>HYPERLINK("https://creighton-primo.hosted.exlibrisgroup.com/primo-explore/search?tab=default_tab&amp;search_scope=EVERYTHING&amp;vid=01CRU&amp;lang=en_US&amp;offset=0&amp;query=any,contains,991004849449702656","Catalog Record")</f>
        <v/>
      </c>
      <c r="AT2006">
        <f>HYPERLINK("http://www.worldcat.org/oclc/58455538","WorldCat Record")</f>
        <v/>
      </c>
      <c r="AU2006" t="inlineStr">
        <is>
          <t>793983162:eng</t>
        </is>
      </c>
      <c r="AV2006" t="inlineStr">
        <is>
          <t>58455538</t>
        </is>
      </c>
      <c r="AW2006" t="inlineStr">
        <is>
          <t>991004849449702656</t>
        </is>
      </c>
      <c r="AX2006" t="inlineStr">
        <is>
          <t>991004849449702656</t>
        </is>
      </c>
      <c r="AY2006" t="inlineStr">
        <is>
          <t>2265799330002656</t>
        </is>
      </c>
      <c r="AZ2006" t="inlineStr">
        <is>
          <t>BOOK</t>
        </is>
      </c>
      <c r="BB2006" t="inlineStr">
        <is>
          <t>9781403962362</t>
        </is>
      </c>
      <c r="BC2006" t="inlineStr">
        <is>
          <t>32285005196547</t>
        </is>
      </c>
      <c r="BD2006" t="inlineStr">
        <is>
          <t>893722632</t>
        </is>
      </c>
    </row>
    <row r="2007">
      <c r="A2007" t="inlineStr">
        <is>
          <t>No</t>
        </is>
      </c>
      <c r="B2007" t="inlineStr">
        <is>
          <t>HQ759 .A5</t>
        </is>
      </c>
      <c r="C2007" t="inlineStr">
        <is>
          <t>0                      HQ 0759000A  5</t>
        </is>
      </c>
      <c r="D2007" t="inlineStr">
        <is>
          <t>Homemakers, the forgotten workers / Rae André.</t>
        </is>
      </c>
      <c r="F2007" t="inlineStr">
        <is>
          <t>No</t>
        </is>
      </c>
      <c r="G2007" t="inlineStr">
        <is>
          <t>1</t>
        </is>
      </c>
      <c r="H2007" t="inlineStr">
        <is>
          <t>No</t>
        </is>
      </c>
      <c r="I2007" t="inlineStr">
        <is>
          <t>No</t>
        </is>
      </c>
      <c r="J2007" t="inlineStr">
        <is>
          <t>0</t>
        </is>
      </c>
      <c r="K2007" t="inlineStr">
        <is>
          <t>André, Rae.</t>
        </is>
      </c>
      <c r="L2007" t="inlineStr">
        <is>
          <t>Chicago : University of Chicago Press, c1981.</t>
        </is>
      </c>
      <c r="M2007" t="inlineStr">
        <is>
          <t>1981</t>
        </is>
      </c>
      <c r="O2007" t="inlineStr">
        <is>
          <t>eng</t>
        </is>
      </c>
      <c r="P2007" t="inlineStr">
        <is>
          <t>ilu</t>
        </is>
      </c>
      <c r="R2007" t="inlineStr">
        <is>
          <t xml:space="preserve">HQ </t>
        </is>
      </c>
      <c r="S2007" t="n">
        <v>9</v>
      </c>
      <c r="T2007" t="n">
        <v>9</v>
      </c>
      <c r="U2007" t="inlineStr">
        <is>
          <t>2006-03-16</t>
        </is>
      </c>
      <c r="V2007" t="inlineStr">
        <is>
          <t>2006-03-16</t>
        </is>
      </c>
      <c r="W2007" t="inlineStr">
        <is>
          <t>1992-11-04</t>
        </is>
      </c>
      <c r="X2007" t="inlineStr">
        <is>
          <t>1992-11-04</t>
        </is>
      </c>
      <c r="Y2007" t="n">
        <v>886</v>
      </c>
      <c r="Z2007" t="n">
        <v>779</v>
      </c>
      <c r="AA2007" t="n">
        <v>784</v>
      </c>
      <c r="AB2007" t="n">
        <v>7</v>
      </c>
      <c r="AC2007" t="n">
        <v>7</v>
      </c>
      <c r="AD2007" t="n">
        <v>32</v>
      </c>
      <c r="AE2007" t="n">
        <v>32</v>
      </c>
      <c r="AF2007" t="n">
        <v>12</v>
      </c>
      <c r="AG2007" t="n">
        <v>12</v>
      </c>
      <c r="AH2007" t="n">
        <v>8</v>
      </c>
      <c r="AI2007" t="n">
        <v>8</v>
      </c>
      <c r="AJ2007" t="n">
        <v>15</v>
      </c>
      <c r="AK2007" t="n">
        <v>15</v>
      </c>
      <c r="AL2007" t="n">
        <v>5</v>
      </c>
      <c r="AM2007" t="n">
        <v>5</v>
      </c>
      <c r="AN2007" t="n">
        <v>1</v>
      </c>
      <c r="AO2007" t="n">
        <v>1</v>
      </c>
      <c r="AP2007" t="inlineStr">
        <is>
          <t>No</t>
        </is>
      </c>
      <c r="AQ2007" t="inlineStr">
        <is>
          <t>No</t>
        </is>
      </c>
      <c r="AS2007">
        <f>HYPERLINK("https://creighton-primo.hosted.exlibrisgroup.com/primo-explore/search?tab=default_tab&amp;search_scope=EVERYTHING&amp;vid=01CRU&amp;lang=en_US&amp;offset=0&amp;query=any,contains,991005023449702656","Catalog Record")</f>
        <v/>
      </c>
      <c r="AT2007">
        <f>HYPERLINK("http://www.worldcat.org/oclc/6666745","WorldCat Record")</f>
        <v/>
      </c>
      <c r="AU2007" t="inlineStr">
        <is>
          <t>11420101:eng</t>
        </is>
      </c>
      <c r="AV2007" t="inlineStr">
        <is>
          <t>6666745</t>
        </is>
      </c>
      <c r="AW2007" t="inlineStr">
        <is>
          <t>991005023449702656</t>
        </is>
      </c>
      <c r="AX2007" t="inlineStr">
        <is>
          <t>991005023449702656</t>
        </is>
      </c>
      <c r="AY2007" t="inlineStr">
        <is>
          <t>2261155450002656</t>
        </is>
      </c>
      <c r="AZ2007" t="inlineStr">
        <is>
          <t>BOOK</t>
        </is>
      </c>
      <c r="BB2007" t="inlineStr">
        <is>
          <t>9780226019932</t>
        </is>
      </c>
      <c r="BC2007" t="inlineStr">
        <is>
          <t>32285001359867</t>
        </is>
      </c>
      <c r="BD2007" t="inlineStr">
        <is>
          <t>893424444</t>
        </is>
      </c>
    </row>
    <row r="2008">
      <c r="A2008" t="inlineStr">
        <is>
          <t>No</t>
        </is>
      </c>
      <c r="B2008" t="inlineStr">
        <is>
          <t>HQ759 .A64 1985</t>
        </is>
      </c>
      <c r="C2008" t="inlineStr">
        <is>
          <t>0                      HQ 0759000A  64          1985</t>
        </is>
      </c>
      <c r="D2008" t="inlineStr">
        <is>
          <t>Why women don't have wives : professional success and motherhood / Terri Apter.</t>
        </is>
      </c>
      <c r="F2008" t="inlineStr">
        <is>
          <t>No</t>
        </is>
      </c>
      <c r="G2008" t="inlineStr">
        <is>
          <t>1</t>
        </is>
      </c>
      <c r="H2008" t="inlineStr">
        <is>
          <t>No</t>
        </is>
      </c>
      <c r="I2008" t="inlineStr">
        <is>
          <t>No</t>
        </is>
      </c>
      <c r="J2008" t="inlineStr">
        <is>
          <t>0</t>
        </is>
      </c>
      <c r="K2008" t="inlineStr">
        <is>
          <t>Apter, T. E.</t>
        </is>
      </c>
      <c r="L2008" t="inlineStr">
        <is>
          <t>New York : Schocken Books, 1985.</t>
        </is>
      </c>
      <c r="M2008" t="inlineStr">
        <is>
          <t>1985</t>
        </is>
      </c>
      <c r="N2008" t="inlineStr">
        <is>
          <t>1st American ed.</t>
        </is>
      </c>
      <c r="O2008" t="inlineStr">
        <is>
          <t>eng</t>
        </is>
      </c>
      <c r="P2008" t="inlineStr">
        <is>
          <t>nyu</t>
        </is>
      </c>
      <c r="R2008" t="inlineStr">
        <is>
          <t xml:space="preserve">HQ </t>
        </is>
      </c>
      <c r="S2008" t="n">
        <v>2</v>
      </c>
      <c r="T2008" t="n">
        <v>2</v>
      </c>
      <c r="U2008" t="inlineStr">
        <is>
          <t>1995-03-28</t>
        </is>
      </c>
      <c r="V2008" t="inlineStr">
        <is>
          <t>1995-03-28</t>
        </is>
      </c>
      <c r="W2008" t="inlineStr">
        <is>
          <t>1992-11-04</t>
        </is>
      </c>
      <c r="X2008" t="inlineStr">
        <is>
          <t>1992-11-04</t>
        </is>
      </c>
      <c r="Y2008" t="n">
        <v>283</v>
      </c>
      <c r="Z2008" t="n">
        <v>268</v>
      </c>
      <c r="AA2008" t="n">
        <v>320</v>
      </c>
      <c r="AB2008" t="n">
        <v>1</v>
      </c>
      <c r="AC2008" t="n">
        <v>3</v>
      </c>
      <c r="AD2008" t="n">
        <v>8</v>
      </c>
      <c r="AE2008" t="n">
        <v>10</v>
      </c>
      <c r="AF2008" t="n">
        <v>1</v>
      </c>
      <c r="AG2008" t="n">
        <v>1</v>
      </c>
      <c r="AH2008" t="n">
        <v>4</v>
      </c>
      <c r="AI2008" t="n">
        <v>4</v>
      </c>
      <c r="AJ2008" t="n">
        <v>5</v>
      </c>
      <c r="AK2008" t="n">
        <v>5</v>
      </c>
      <c r="AL2008" t="n">
        <v>0</v>
      </c>
      <c r="AM2008" t="n">
        <v>2</v>
      </c>
      <c r="AN2008" t="n">
        <v>0</v>
      </c>
      <c r="AO2008" t="n">
        <v>0</v>
      </c>
      <c r="AP2008" t="inlineStr">
        <is>
          <t>No</t>
        </is>
      </c>
      <c r="AQ2008" t="inlineStr">
        <is>
          <t>Yes</t>
        </is>
      </c>
      <c r="AR2008">
        <f>HYPERLINK("http://catalog.hathitrust.org/Record/000348358","HathiTrust Record")</f>
        <v/>
      </c>
      <c r="AS2008">
        <f>HYPERLINK("https://creighton-primo.hosted.exlibrisgroup.com/primo-explore/search?tab=default_tab&amp;search_scope=EVERYTHING&amp;vid=01CRU&amp;lang=en_US&amp;offset=0&amp;query=any,contains,991000542169702656","Catalog Record")</f>
        <v/>
      </c>
      <c r="AT2008">
        <f>HYPERLINK("http://www.worldcat.org/oclc/11496578","WorldCat Record")</f>
        <v/>
      </c>
      <c r="AU2008" t="inlineStr">
        <is>
          <t>4238903:eng</t>
        </is>
      </c>
      <c r="AV2008" t="inlineStr">
        <is>
          <t>11496578</t>
        </is>
      </c>
      <c r="AW2008" t="inlineStr">
        <is>
          <t>991000542169702656</t>
        </is>
      </c>
      <c r="AX2008" t="inlineStr">
        <is>
          <t>991000542169702656</t>
        </is>
      </c>
      <c r="AY2008" t="inlineStr">
        <is>
          <t>2260810860002656</t>
        </is>
      </c>
      <c r="AZ2008" t="inlineStr">
        <is>
          <t>BOOK</t>
        </is>
      </c>
      <c r="BB2008" t="inlineStr">
        <is>
          <t>9780805239584</t>
        </is>
      </c>
      <c r="BC2008" t="inlineStr">
        <is>
          <t>32285001359875</t>
        </is>
      </c>
      <c r="BD2008" t="inlineStr">
        <is>
          <t>893884511</t>
        </is>
      </c>
    </row>
    <row r="2009">
      <c r="A2009" t="inlineStr">
        <is>
          <t>No</t>
        </is>
      </c>
      <c r="B2009" t="inlineStr">
        <is>
          <t>HQ759 .B2213</t>
        </is>
      </c>
      <c r="C2009" t="inlineStr">
        <is>
          <t>0                      HQ 0759000B  2213</t>
        </is>
      </c>
      <c r="D2009" t="inlineStr">
        <is>
          <t>Mother love : myth and reality / Elisabeth Badinter ; foreword by Francine du Plessix Gray.</t>
        </is>
      </c>
      <c r="F2009" t="inlineStr">
        <is>
          <t>No</t>
        </is>
      </c>
      <c r="G2009" t="inlineStr">
        <is>
          <t>1</t>
        </is>
      </c>
      <c r="H2009" t="inlineStr">
        <is>
          <t>No</t>
        </is>
      </c>
      <c r="I2009" t="inlineStr">
        <is>
          <t>No</t>
        </is>
      </c>
      <c r="J2009" t="inlineStr">
        <is>
          <t>0</t>
        </is>
      </c>
      <c r="K2009" t="inlineStr">
        <is>
          <t>Badinter, Élisabeth.</t>
        </is>
      </c>
      <c r="L2009" t="inlineStr">
        <is>
          <t>New York : Macmillan, c1981.</t>
        </is>
      </c>
      <c r="M2009" t="inlineStr">
        <is>
          <t>1981</t>
        </is>
      </c>
      <c r="O2009" t="inlineStr">
        <is>
          <t>eng</t>
        </is>
      </c>
      <c r="P2009" t="inlineStr">
        <is>
          <t>nyu</t>
        </is>
      </c>
      <c r="R2009" t="inlineStr">
        <is>
          <t xml:space="preserve">HQ </t>
        </is>
      </c>
      <c r="S2009" t="n">
        <v>5</v>
      </c>
      <c r="T2009" t="n">
        <v>5</v>
      </c>
      <c r="U2009" t="inlineStr">
        <is>
          <t>2001-04-27</t>
        </is>
      </c>
      <c r="V2009" t="inlineStr">
        <is>
          <t>2001-04-27</t>
        </is>
      </c>
      <c r="W2009" t="inlineStr">
        <is>
          <t>1992-11-03</t>
        </is>
      </c>
      <c r="X2009" t="inlineStr">
        <is>
          <t>1992-11-03</t>
        </is>
      </c>
      <c r="Y2009" t="n">
        <v>650</v>
      </c>
      <c r="Z2009" t="n">
        <v>591</v>
      </c>
      <c r="AA2009" t="n">
        <v>623</v>
      </c>
      <c r="AB2009" t="n">
        <v>6</v>
      </c>
      <c r="AC2009" t="n">
        <v>7</v>
      </c>
      <c r="AD2009" t="n">
        <v>13</v>
      </c>
      <c r="AE2009" t="n">
        <v>16</v>
      </c>
      <c r="AF2009" t="n">
        <v>6</v>
      </c>
      <c r="AG2009" t="n">
        <v>7</v>
      </c>
      <c r="AH2009" t="n">
        <v>3</v>
      </c>
      <c r="AI2009" t="n">
        <v>4</v>
      </c>
      <c r="AJ2009" t="n">
        <v>7</v>
      </c>
      <c r="AK2009" t="n">
        <v>9</v>
      </c>
      <c r="AL2009" t="n">
        <v>1</v>
      </c>
      <c r="AM2009" t="n">
        <v>2</v>
      </c>
      <c r="AN2009" t="n">
        <v>0</v>
      </c>
      <c r="AO2009" t="n">
        <v>0</v>
      </c>
      <c r="AP2009" t="inlineStr">
        <is>
          <t>No</t>
        </is>
      </c>
      <c r="AQ2009" t="inlineStr">
        <is>
          <t>Yes</t>
        </is>
      </c>
      <c r="AR2009">
        <f>HYPERLINK("http://catalog.hathitrust.org/Record/007116673","HathiTrust Record")</f>
        <v/>
      </c>
      <c r="AS2009">
        <f>HYPERLINK("https://creighton-primo.hosted.exlibrisgroup.com/primo-explore/search?tab=default_tab&amp;search_scope=EVERYTHING&amp;vid=01CRU&amp;lang=en_US&amp;offset=0&amp;query=any,contains,991005387829702656","Catalog Record")</f>
        <v/>
      </c>
      <c r="AT2009">
        <f>HYPERLINK("http://www.worldcat.org/oclc/7555714","WorldCat Record")</f>
        <v/>
      </c>
      <c r="AU2009" t="inlineStr">
        <is>
          <t>3855698548:eng</t>
        </is>
      </c>
      <c r="AV2009" t="inlineStr">
        <is>
          <t>7555714</t>
        </is>
      </c>
      <c r="AW2009" t="inlineStr">
        <is>
          <t>991005387829702656</t>
        </is>
      </c>
      <c r="AX2009" t="inlineStr">
        <is>
          <t>991005387829702656</t>
        </is>
      </c>
      <c r="AY2009" t="inlineStr">
        <is>
          <t>2266217140002656</t>
        </is>
      </c>
      <c r="AZ2009" t="inlineStr">
        <is>
          <t>BOOK</t>
        </is>
      </c>
      <c r="BB2009" t="inlineStr">
        <is>
          <t>9780025046108</t>
        </is>
      </c>
      <c r="BC2009" t="inlineStr">
        <is>
          <t>32285001381507</t>
        </is>
      </c>
      <c r="BD2009" t="inlineStr">
        <is>
          <t>893431433</t>
        </is>
      </c>
    </row>
    <row r="2010">
      <c r="A2010" t="inlineStr">
        <is>
          <t>No</t>
        </is>
      </c>
      <c r="B2010" t="inlineStr">
        <is>
          <t>HQ759 .B465 1989</t>
        </is>
      </c>
      <c r="C2010" t="inlineStr">
        <is>
          <t>0                      HQ 0759000B  465         1989</t>
        </is>
      </c>
      <c r="D2010" t="inlineStr">
        <is>
          <t>Woman to mother : a transformation / Vangie Bergum ; foreword by Michel Odent.</t>
        </is>
      </c>
      <c r="F2010" t="inlineStr">
        <is>
          <t>No</t>
        </is>
      </c>
      <c r="G2010" t="inlineStr">
        <is>
          <t>1</t>
        </is>
      </c>
      <c r="H2010" t="inlineStr">
        <is>
          <t>No</t>
        </is>
      </c>
      <c r="I2010" t="inlineStr">
        <is>
          <t>No</t>
        </is>
      </c>
      <c r="J2010" t="inlineStr">
        <is>
          <t>0</t>
        </is>
      </c>
      <c r="K2010" t="inlineStr">
        <is>
          <t>Bergum, Vangie.</t>
        </is>
      </c>
      <c r="L2010" t="inlineStr">
        <is>
          <t>Granby, Mass. : Bergin &amp; Garvey Publishers, 1989.</t>
        </is>
      </c>
      <c r="M2010" t="inlineStr">
        <is>
          <t>1989</t>
        </is>
      </c>
      <c r="O2010" t="inlineStr">
        <is>
          <t>eng</t>
        </is>
      </c>
      <c r="P2010" t="inlineStr">
        <is>
          <t>mau</t>
        </is>
      </c>
      <c r="R2010" t="inlineStr">
        <is>
          <t xml:space="preserve">HQ </t>
        </is>
      </c>
      <c r="S2010" t="n">
        <v>9</v>
      </c>
      <c r="T2010" t="n">
        <v>9</v>
      </c>
      <c r="U2010" t="inlineStr">
        <is>
          <t>1994-11-01</t>
        </is>
      </c>
      <c r="V2010" t="inlineStr">
        <is>
          <t>1994-11-01</t>
        </is>
      </c>
      <c r="W2010" t="inlineStr">
        <is>
          <t>1991-02-08</t>
        </is>
      </c>
      <c r="X2010" t="inlineStr">
        <is>
          <t>1991-02-08</t>
        </is>
      </c>
      <c r="Y2010" t="n">
        <v>283</v>
      </c>
      <c r="Z2010" t="n">
        <v>221</v>
      </c>
      <c r="AA2010" t="n">
        <v>225</v>
      </c>
      <c r="AB2010" t="n">
        <v>2</v>
      </c>
      <c r="AC2010" t="n">
        <v>2</v>
      </c>
      <c r="AD2010" t="n">
        <v>8</v>
      </c>
      <c r="AE2010" t="n">
        <v>8</v>
      </c>
      <c r="AF2010" t="n">
        <v>3</v>
      </c>
      <c r="AG2010" t="n">
        <v>3</v>
      </c>
      <c r="AH2010" t="n">
        <v>1</v>
      </c>
      <c r="AI2010" t="n">
        <v>1</v>
      </c>
      <c r="AJ2010" t="n">
        <v>6</v>
      </c>
      <c r="AK2010" t="n">
        <v>6</v>
      </c>
      <c r="AL2010" t="n">
        <v>1</v>
      </c>
      <c r="AM2010" t="n">
        <v>1</v>
      </c>
      <c r="AN2010" t="n">
        <v>0</v>
      </c>
      <c r="AO2010" t="n">
        <v>0</v>
      </c>
      <c r="AP2010" t="inlineStr">
        <is>
          <t>No</t>
        </is>
      </c>
      <c r="AQ2010" t="inlineStr">
        <is>
          <t>Yes</t>
        </is>
      </c>
      <c r="AR2010">
        <f>HYPERLINK("http://catalog.hathitrust.org/Record/001099887","HathiTrust Record")</f>
        <v/>
      </c>
      <c r="AS2010">
        <f>HYPERLINK("https://creighton-primo.hosted.exlibrisgroup.com/primo-explore/search?tab=default_tab&amp;search_scope=EVERYTHING&amp;vid=01CRU&amp;lang=en_US&amp;offset=0&amp;query=any,contains,991001343719702656","Catalog Record")</f>
        <v/>
      </c>
      <c r="AT2010">
        <f>HYPERLINK("http://www.worldcat.org/oclc/18411333","WorldCat Record")</f>
        <v/>
      </c>
      <c r="AU2010" t="inlineStr">
        <is>
          <t>199114554:eng</t>
        </is>
      </c>
      <c r="AV2010" t="inlineStr">
        <is>
          <t>18411333</t>
        </is>
      </c>
      <c r="AW2010" t="inlineStr">
        <is>
          <t>991001343719702656</t>
        </is>
      </c>
      <c r="AX2010" t="inlineStr">
        <is>
          <t>991001343719702656</t>
        </is>
      </c>
      <c r="AY2010" t="inlineStr">
        <is>
          <t>2255242510002656</t>
        </is>
      </c>
      <c r="AZ2010" t="inlineStr">
        <is>
          <t>BOOK</t>
        </is>
      </c>
      <c r="BB2010" t="inlineStr">
        <is>
          <t>9780897891837</t>
        </is>
      </c>
      <c r="BC2010" t="inlineStr">
        <is>
          <t>32285000463660</t>
        </is>
      </c>
      <c r="BD2010" t="inlineStr">
        <is>
          <t>893778729</t>
        </is>
      </c>
    </row>
    <row r="2011">
      <c r="A2011" t="inlineStr">
        <is>
          <t>No</t>
        </is>
      </c>
      <c r="B2011" t="inlineStr">
        <is>
          <t>HQ759 .B618 1999</t>
        </is>
      </c>
      <c r="C2011" t="inlineStr">
        <is>
          <t>0                      HQ 0759000B  618         1999</t>
        </is>
      </c>
      <c r="D2011" t="inlineStr">
        <is>
          <t>At the breast : ideologies of breastfeeding and motherhood in the contemporary United States / Linda M. Blum.</t>
        </is>
      </c>
      <c r="F2011" t="inlineStr">
        <is>
          <t>No</t>
        </is>
      </c>
      <c r="G2011" t="inlineStr">
        <is>
          <t>1</t>
        </is>
      </c>
      <c r="H2011" t="inlineStr">
        <is>
          <t>No</t>
        </is>
      </c>
      <c r="I2011" t="inlineStr">
        <is>
          <t>No</t>
        </is>
      </c>
      <c r="J2011" t="inlineStr">
        <is>
          <t>0</t>
        </is>
      </c>
      <c r="K2011" t="inlineStr">
        <is>
          <t>Blum, Linda M.</t>
        </is>
      </c>
      <c r="L2011" t="inlineStr">
        <is>
          <t>Boston : Beacon Press, c1999.</t>
        </is>
      </c>
      <c r="M2011" t="inlineStr">
        <is>
          <t>1999</t>
        </is>
      </c>
      <c r="O2011" t="inlineStr">
        <is>
          <t>eng</t>
        </is>
      </c>
      <c r="P2011" t="inlineStr">
        <is>
          <t>mau</t>
        </is>
      </c>
      <c r="R2011" t="inlineStr">
        <is>
          <t xml:space="preserve">HQ </t>
        </is>
      </c>
      <c r="S2011" t="n">
        <v>7</v>
      </c>
      <c r="T2011" t="n">
        <v>7</v>
      </c>
      <c r="U2011" t="inlineStr">
        <is>
          <t>2007-05-18</t>
        </is>
      </c>
      <c r="V2011" t="inlineStr">
        <is>
          <t>2007-05-18</t>
        </is>
      </c>
      <c r="W2011" t="inlineStr">
        <is>
          <t>2000-02-28</t>
        </is>
      </c>
      <c r="X2011" t="inlineStr">
        <is>
          <t>2000-02-28</t>
        </is>
      </c>
      <c r="Y2011" t="n">
        <v>572</v>
      </c>
      <c r="Z2011" t="n">
        <v>505</v>
      </c>
      <c r="AA2011" t="n">
        <v>528</v>
      </c>
      <c r="AB2011" t="n">
        <v>3</v>
      </c>
      <c r="AC2011" t="n">
        <v>3</v>
      </c>
      <c r="AD2011" t="n">
        <v>23</v>
      </c>
      <c r="AE2011" t="n">
        <v>26</v>
      </c>
      <c r="AF2011" t="n">
        <v>8</v>
      </c>
      <c r="AG2011" t="n">
        <v>9</v>
      </c>
      <c r="AH2011" t="n">
        <v>4</v>
      </c>
      <c r="AI2011" t="n">
        <v>5</v>
      </c>
      <c r="AJ2011" t="n">
        <v>14</v>
      </c>
      <c r="AK2011" t="n">
        <v>15</v>
      </c>
      <c r="AL2011" t="n">
        <v>2</v>
      </c>
      <c r="AM2011" t="n">
        <v>2</v>
      </c>
      <c r="AN2011" t="n">
        <v>0</v>
      </c>
      <c r="AO2011" t="n">
        <v>0</v>
      </c>
      <c r="AP2011" t="inlineStr">
        <is>
          <t>No</t>
        </is>
      </c>
      <c r="AQ2011" t="inlineStr">
        <is>
          <t>Yes</t>
        </is>
      </c>
      <c r="AR2011">
        <f>HYPERLINK("http://catalog.hathitrust.org/Record/004030526","HathiTrust Record")</f>
        <v/>
      </c>
      <c r="AS2011">
        <f>HYPERLINK("https://creighton-primo.hosted.exlibrisgroup.com/primo-explore/search?tab=default_tab&amp;search_scope=EVERYTHING&amp;vid=01CRU&amp;lang=en_US&amp;offset=0&amp;query=any,contains,991002977129702656","Catalog Record")</f>
        <v/>
      </c>
      <c r="AT2011">
        <f>HYPERLINK("http://www.worldcat.org/oclc/39930562","WorldCat Record")</f>
        <v/>
      </c>
      <c r="AU2011" t="inlineStr">
        <is>
          <t>197769662:eng</t>
        </is>
      </c>
      <c r="AV2011" t="inlineStr">
        <is>
          <t>39930562</t>
        </is>
      </c>
      <c r="AW2011" t="inlineStr">
        <is>
          <t>991002977129702656</t>
        </is>
      </c>
      <c r="AX2011" t="inlineStr">
        <is>
          <t>991002977129702656</t>
        </is>
      </c>
      <c r="AY2011" t="inlineStr">
        <is>
          <t>2258414610002656</t>
        </is>
      </c>
      <c r="AZ2011" t="inlineStr">
        <is>
          <t>BOOK</t>
        </is>
      </c>
      <c r="BB2011" t="inlineStr">
        <is>
          <t>9780807021408</t>
        </is>
      </c>
      <c r="BC2011" t="inlineStr">
        <is>
          <t>32285003664900</t>
        </is>
      </c>
      <c r="BD2011" t="inlineStr">
        <is>
          <t>893786828</t>
        </is>
      </c>
    </row>
    <row r="2012">
      <c r="A2012" t="inlineStr">
        <is>
          <t>No</t>
        </is>
      </c>
      <c r="B2012" t="inlineStr">
        <is>
          <t>HQ759 .B75 1983</t>
        </is>
      </c>
      <c r="C2012" t="inlineStr">
        <is>
          <t>0                      HQ 0759000B  75          1983</t>
        </is>
      </c>
      <c r="D2012" t="inlineStr">
        <is>
          <t>On being a mother : a study of women with pre-school children / Mary Georgina Boulton.</t>
        </is>
      </c>
      <c r="F2012" t="inlineStr">
        <is>
          <t>No</t>
        </is>
      </c>
      <c r="G2012" t="inlineStr">
        <is>
          <t>1</t>
        </is>
      </c>
      <c r="H2012" t="inlineStr">
        <is>
          <t>No</t>
        </is>
      </c>
      <c r="I2012" t="inlineStr">
        <is>
          <t>No</t>
        </is>
      </c>
      <c r="J2012" t="inlineStr">
        <is>
          <t>0</t>
        </is>
      </c>
      <c r="K2012" t="inlineStr">
        <is>
          <t>Boulton, Mary Georgina.</t>
        </is>
      </c>
      <c r="L2012" t="inlineStr">
        <is>
          <t>London ; New York : Tavistock Publications, 1983.</t>
        </is>
      </c>
      <c r="M2012" t="inlineStr">
        <is>
          <t>1983</t>
        </is>
      </c>
      <c r="O2012" t="inlineStr">
        <is>
          <t>eng</t>
        </is>
      </c>
      <c r="P2012" t="inlineStr">
        <is>
          <t>enk</t>
        </is>
      </c>
      <c r="R2012" t="inlineStr">
        <is>
          <t xml:space="preserve">HQ </t>
        </is>
      </c>
      <c r="S2012" t="n">
        <v>4</v>
      </c>
      <c r="T2012" t="n">
        <v>4</v>
      </c>
      <c r="U2012" t="inlineStr">
        <is>
          <t>2007-03-21</t>
        </is>
      </c>
      <c r="V2012" t="inlineStr">
        <is>
          <t>2007-03-21</t>
        </is>
      </c>
      <c r="W2012" t="inlineStr">
        <is>
          <t>1992-11-09</t>
        </is>
      </c>
      <c r="X2012" t="inlineStr">
        <is>
          <t>1992-11-09</t>
        </is>
      </c>
      <c r="Y2012" t="n">
        <v>522</v>
      </c>
      <c r="Z2012" t="n">
        <v>355</v>
      </c>
      <c r="AA2012" t="n">
        <v>355</v>
      </c>
      <c r="AB2012" t="n">
        <v>2</v>
      </c>
      <c r="AC2012" t="n">
        <v>2</v>
      </c>
      <c r="AD2012" t="n">
        <v>18</v>
      </c>
      <c r="AE2012" t="n">
        <v>18</v>
      </c>
      <c r="AF2012" t="n">
        <v>7</v>
      </c>
      <c r="AG2012" t="n">
        <v>7</v>
      </c>
      <c r="AH2012" t="n">
        <v>5</v>
      </c>
      <c r="AI2012" t="n">
        <v>5</v>
      </c>
      <c r="AJ2012" t="n">
        <v>12</v>
      </c>
      <c r="AK2012" t="n">
        <v>12</v>
      </c>
      <c r="AL2012" t="n">
        <v>1</v>
      </c>
      <c r="AM2012" t="n">
        <v>1</v>
      </c>
      <c r="AN2012" t="n">
        <v>0</v>
      </c>
      <c r="AO2012" t="n">
        <v>0</v>
      </c>
      <c r="AP2012" t="inlineStr">
        <is>
          <t>No</t>
        </is>
      </c>
      <c r="AQ2012" t="inlineStr">
        <is>
          <t>No</t>
        </is>
      </c>
      <c r="AS2012">
        <f>HYPERLINK("https://creighton-primo.hosted.exlibrisgroup.com/primo-explore/search?tab=default_tab&amp;search_scope=EVERYTHING&amp;vid=01CRU&amp;lang=en_US&amp;offset=0&amp;query=any,contains,991000244119702656","Catalog Record")</f>
        <v/>
      </c>
      <c r="AT2012">
        <f>HYPERLINK("http://www.worldcat.org/oclc/9687023","WorldCat Record")</f>
        <v/>
      </c>
      <c r="AU2012" t="inlineStr">
        <is>
          <t>836624350:eng</t>
        </is>
      </c>
      <c r="AV2012" t="inlineStr">
        <is>
          <t>9687023</t>
        </is>
      </c>
      <c r="AW2012" t="inlineStr">
        <is>
          <t>991000244119702656</t>
        </is>
      </c>
      <c r="AX2012" t="inlineStr">
        <is>
          <t>991000244119702656</t>
        </is>
      </c>
      <c r="AY2012" t="inlineStr">
        <is>
          <t>2257036490002656</t>
        </is>
      </c>
      <c r="AZ2012" t="inlineStr">
        <is>
          <t>BOOK</t>
        </is>
      </c>
      <c r="BB2012" t="inlineStr">
        <is>
          <t>9780422785501</t>
        </is>
      </c>
      <c r="BC2012" t="inlineStr">
        <is>
          <t>32285001359883</t>
        </is>
      </c>
      <c r="BD2012" t="inlineStr">
        <is>
          <t>893777808</t>
        </is>
      </c>
    </row>
    <row r="2013">
      <c r="A2013" t="inlineStr">
        <is>
          <t>No</t>
        </is>
      </c>
      <c r="B2013" t="inlineStr">
        <is>
          <t>HQ759 .C334 2007</t>
        </is>
      </c>
      <c r="C2013" t="inlineStr">
        <is>
          <t>0                      HQ 0759000C  334         2007</t>
        </is>
      </c>
      <c r="D2013" t="inlineStr">
        <is>
          <t>The impact of Internet pornography on married women : a psychodynamic perspective / Susan Cebulko.</t>
        </is>
      </c>
      <c r="F2013" t="inlineStr">
        <is>
          <t>No</t>
        </is>
      </c>
      <c r="G2013" t="inlineStr">
        <is>
          <t>1</t>
        </is>
      </c>
      <c r="H2013" t="inlineStr">
        <is>
          <t>No</t>
        </is>
      </c>
      <c r="I2013" t="inlineStr">
        <is>
          <t>No</t>
        </is>
      </c>
      <c r="J2013" t="inlineStr">
        <is>
          <t>0</t>
        </is>
      </c>
      <c r="K2013" t="inlineStr">
        <is>
          <t>Cebulko, Susan.</t>
        </is>
      </c>
      <c r="L2013" t="inlineStr">
        <is>
          <t>Youngstown, N.Y. : Cambria Press, c2007.</t>
        </is>
      </c>
      <c r="M2013" t="inlineStr">
        <is>
          <t>2007</t>
        </is>
      </c>
      <c r="O2013" t="inlineStr">
        <is>
          <t>eng</t>
        </is>
      </c>
      <c r="P2013" t="inlineStr">
        <is>
          <t>nyu</t>
        </is>
      </c>
      <c r="R2013" t="inlineStr">
        <is>
          <t xml:space="preserve">HQ </t>
        </is>
      </c>
      <c r="S2013" t="n">
        <v>3</v>
      </c>
      <c r="T2013" t="n">
        <v>3</v>
      </c>
      <c r="U2013" t="inlineStr">
        <is>
          <t>2009-10-23</t>
        </is>
      </c>
      <c r="V2013" t="inlineStr">
        <is>
          <t>2009-10-23</t>
        </is>
      </c>
      <c r="W2013" t="inlineStr">
        <is>
          <t>2007-06-06</t>
        </is>
      </c>
      <c r="X2013" t="inlineStr">
        <is>
          <t>2007-06-06</t>
        </is>
      </c>
      <c r="Y2013" t="n">
        <v>184</v>
      </c>
      <c r="Z2013" t="n">
        <v>141</v>
      </c>
      <c r="AA2013" t="n">
        <v>414</v>
      </c>
      <c r="AB2013" t="n">
        <v>1</v>
      </c>
      <c r="AC2013" t="n">
        <v>5</v>
      </c>
      <c r="AD2013" t="n">
        <v>4</v>
      </c>
      <c r="AE2013" t="n">
        <v>10</v>
      </c>
      <c r="AF2013" t="n">
        <v>1</v>
      </c>
      <c r="AG2013" t="n">
        <v>1</v>
      </c>
      <c r="AH2013" t="n">
        <v>1</v>
      </c>
      <c r="AI2013" t="n">
        <v>2</v>
      </c>
      <c r="AJ2013" t="n">
        <v>4</v>
      </c>
      <c r="AK2013" t="n">
        <v>6</v>
      </c>
      <c r="AL2013" t="n">
        <v>0</v>
      </c>
      <c r="AM2013" t="n">
        <v>4</v>
      </c>
      <c r="AN2013" t="n">
        <v>0</v>
      </c>
      <c r="AO2013" t="n">
        <v>0</v>
      </c>
      <c r="AP2013" t="inlineStr">
        <is>
          <t>No</t>
        </is>
      </c>
      <c r="AQ2013" t="inlineStr">
        <is>
          <t>Yes</t>
        </is>
      </c>
      <c r="AR2013">
        <f>HYPERLINK("http://catalog.hathitrust.org/Record/005543226","HathiTrust Record")</f>
        <v/>
      </c>
      <c r="AS2013">
        <f>HYPERLINK("https://creighton-primo.hosted.exlibrisgroup.com/primo-explore/search?tab=default_tab&amp;search_scope=EVERYTHING&amp;vid=01CRU&amp;lang=en_US&amp;offset=0&amp;query=any,contains,991005074909702656","Catalog Record")</f>
        <v/>
      </c>
      <c r="AT2013">
        <f>HYPERLINK("http://www.worldcat.org/oclc/82772639","WorldCat Record")</f>
        <v/>
      </c>
      <c r="AU2013" t="inlineStr">
        <is>
          <t>453452944:eng</t>
        </is>
      </c>
      <c r="AV2013" t="inlineStr">
        <is>
          <t>82772639</t>
        </is>
      </c>
      <c r="AW2013" t="inlineStr">
        <is>
          <t>991005074909702656</t>
        </is>
      </c>
      <c r="AX2013" t="inlineStr">
        <is>
          <t>991005074909702656</t>
        </is>
      </c>
      <c r="AY2013" t="inlineStr">
        <is>
          <t>2264969450002656</t>
        </is>
      </c>
      <c r="AZ2013" t="inlineStr">
        <is>
          <t>BOOK</t>
        </is>
      </c>
      <c r="BB2013" t="inlineStr">
        <is>
          <t>9781934043172</t>
        </is>
      </c>
      <c r="BC2013" t="inlineStr">
        <is>
          <t>32285005315451</t>
        </is>
      </c>
      <c r="BD2013" t="inlineStr">
        <is>
          <t>893707207</t>
        </is>
      </c>
    </row>
    <row r="2014">
      <c r="A2014" t="inlineStr">
        <is>
          <t>No</t>
        </is>
      </c>
      <c r="B2014" t="inlineStr">
        <is>
          <t>HQ759 .C56</t>
        </is>
      </c>
      <c r="C2014" t="inlineStr">
        <is>
          <t>0                      HQ 0759000C  56</t>
        </is>
      </c>
      <c r="D2014" t="inlineStr">
        <is>
          <t>The reproduction of mothering : psychoanalysis and the sociology of gender / Nancy Chodorow. --</t>
        </is>
      </c>
      <c r="F2014" t="inlineStr">
        <is>
          <t>No</t>
        </is>
      </c>
      <c r="G2014" t="inlineStr">
        <is>
          <t>1</t>
        </is>
      </c>
      <c r="H2014" t="inlineStr">
        <is>
          <t>No</t>
        </is>
      </c>
      <c r="I2014" t="inlineStr">
        <is>
          <t>No</t>
        </is>
      </c>
      <c r="J2014" t="inlineStr">
        <is>
          <t>0</t>
        </is>
      </c>
      <c r="K2014" t="inlineStr">
        <is>
          <t>Chodorow, Nancy, 1944-</t>
        </is>
      </c>
      <c r="L2014" t="inlineStr">
        <is>
          <t>Berkeley : University of California Press, c1978.</t>
        </is>
      </c>
      <c r="M2014" t="inlineStr">
        <is>
          <t>1978</t>
        </is>
      </c>
      <c r="O2014" t="inlineStr">
        <is>
          <t>eng</t>
        </is>
      </c>
      <c r="P2014" t="inlineStr">
        <is>
          <t>cau</t>
        </is>
      </c>
      <c r="R2014" t="inlineStr">
        <is>
          <t xml:space="preserve">HQ </t>
        </is>
      </c>
      <c r="S2014" t="n">
        <v>10</v>
      </c>
      <c r="T2014" t="n">
        <v>10</v>
      </c>
      <c r="U2014" t="inlineStr">
        <is>
          <t>2004-07-21</t>
        </is>
      </c>
      <c r="V2014" t="inlineStr">
        <is>
          <t>2004-07-21</t>
        </is>
      </c>
      <c r="W2014" t="inlineStr">
        <is>
          <t>1990-03-19</t>
        </is>
      </c>
      <c r="X2014" t="inlineStr">
        <is>
          <t>1990-03-19</t>
        </is>
      </c>
      <c r="Y2014" t="n">
        <v>1107</v>
      </c>
      <c r="Z2014" t="n">
        <v>894</v>
      </c>
      <c r="AA2014" t="n">
        <v>1228</v>
      </c>
      <c r="AB2014" t="n">
        <v>5</v>
      </c>
      <c r="AC2014" t="n">
        <v>8</v>
      </c>
      <c r="AD2014" t="n">
        <v>35</v>
      </c>
      <c r="AE2014" t="n">
        <v>52</v>
      </c>
      <c r="AF2014" t="n">
        <v>14</v>
      </c>
      <c r="AG2014" t="n">
        <v>23</v>
      </c>
      <c r="AH2014" t="n">
        <v>9</v>
      </c>
      <c r="AI2014" t="n">
        <v>10</v>
      </c>
      <c r="AJ2014" t="n">
        <v>14</v>
      </c>
      <c r="AK2014" t="n">
        <v>21</v>
      </c>
      <c r="AL2014" t="n">
        <v>4</v>
      </c>
      <c r="AM2014" t="n">
        <v>7</v>
      </c>
      <c r="AN2014" t="n">
        <v>2</v>
      </c>
      <c r="AO2014" t="n">
        <v>4</v>
      </c>
      <c r="AP2014" t="inlineStr">
        <is>
          <t>No</t>
        </is>
      </c>
      <c r="AQ2014" t="inlineStr">
        <is>
          <t>No</t>
        </is>
      </c>
      <c r="AS2014">
        <f>HYPERLINK("https://creighton-primo.hosted.exlibrisgroup.com/primo-explore/search?tab=default_tab&amp;search_scope=EVERYTHING&amp;vid=01CRU&amp;lang=en_US&amp;offset=0&amp;query=any,contains,991004557519702656","Catalog Record")</f>
        <v/>
      </c>
      <c r="AT2014">
        <f>HYPERLINK("http://www.worldcat.org/oclc/3973571","WorldCat Record")</f>
        <v/>
      </c>
      <c r="AU2014" t="inlineStr">
        <is>
          <t>57852593:eng</t>
        </is>
      </c>
      <c r="AV2014" t="inlineStr">
        <is>
          <t>3973571</t>
        </is>
      </c>
      <c r="AW2014" t="inlineStr">
        <is>
          <t>991004557519702656</t>
        </is>
      </c>
      <c r="AX2014" t="inlineStr">
        <is>
          <t>991004557519702656</t>
        </is>
      </c>
      <c r="AY2014" t="inlineStr">
        <is>
          <t>2262490690002656</t>
        </is>
      </c>
      <c r="AZ2014" t="inlineStr">
        <is>
          <t>BOOK</t>
        </is>
      </c>
      <c r="BB2014" t="inlineStr">
        <is>
          <t>9780520031333</t>
        </is>
      </c>
      <c r="BC2014" t="inlineStr">
        <is>
          <t>32285000087964</t>
        </is>
      </c>
      <c r="BD2014" t="inlineStr">
        <is>
          <t>893500729</t>
        </is>
      </c>
    </row>
    <row r="2015">
      <c r="A2015" t="inlineStr">
        <is>
          <t>No</t>
        </is>
      </c>
      <c r="B2015" t="inlineStr">
        <is>
          <t>HQ759 .C66 1999</t>
        </is>
      </c>
      <c r="C2015" t="inlineStr">
        <is>
          <t>0                      HQ 0759000C  66          1999</t>
        </is>
      </c>
      <c r="D2015" t="inlineStr">
        <is>
          <t>Conflict as a context for understanding maternal beliefs about child rearing and children's misbehavior / Caroline C. Piotrowski, Paul D. Hastings, editors.</t>
        </is>
      </c>
      <c r="F2015" t="inlineStr">
        <is>
          <t>No</t>
        </is>
      </c>
      <c r="G2015" t="inlineStr">
        <is>
          <t>1</t>
        </is>
      </c>
      <c r="H2015" t="inlineStr">
        <is>
          <t>No</t>
        </is>
      </c>
      <c r="I2015" t="inlineStr">
        <is>
          <t>No</t>
        </is>
      </c>
      <c r="J2015" t="inlineStr">
        <is>
          <t>0</t>
        </is>
      </c>
      <c r="L2015" t="inlineStr">
        <is>
          <t>San Francisco : Jossey-Bass Publishers, c1999.</t>
        </is>
      </c>
      <c r="M2015" t="inlineStr">
        <is>
          <t>1999</t>
        </is>
      </c>
      <c r="O2015" t="inlineStr">
        <is>
          <t>eng</t>
        </is>
      </c>
      <c r="P2015" t="inlineStr">
        <is>
          <t>cau</t>
        </is>
      </c>
      <c r="Q2015" t="inlineStr">
        <is>
          <t>New directions for child and adolescent development, 1520-3247 ; no. 86</t>
        </is>
      </c>
      <c r="R2015" t="inlineStr">
        <is>
          <t xml:space="preserve">HQ </t>
        </is>
      </c>
      <c r="S2015" t="n">
        <v>4</v>
      </c>
      <c r="T2015" t="n">
        <v>4</v>
      </c>
      <c r="U2015" t="inlineStr">
        <is>
          <t>2007-10-31</t>
        </is>
      </c>
      <c r="V2015" t="inlineStr">
        <is>
          <t>2007-10-31</t>
        </is>
      </c>
      <c r="W2015" t="inlineStr">
        <is>
          <t>2001-08-07</t>
        </is>
      </c>
      <c r="X2015" t="inlineStr">
        <is>
          <t>2001-08-07</t>
        </is>
      </c>
      <c r="Y2015" t="n">
        <v>280</v>
      </c>
      <c r="Z2015" t="n">
        <v>242</v>
      </c>
      <c r="AA2015" t="n">
        <v>248</v>
      </c>
      <c r="AB2015" t="n">
        <v>2</v>
      </c>
      <c r="AC2015" t="n">
        <v>2</v>
      </c>
      <c r="AD2015" t="n">
        <v>17</v>
      </c>
      <c r="AE2015" t="n">
        <v>17</v>
      </c>
      <c r="AF2015" t="n">
        <v>6</v>
      </c>
      <c r="AG2015" t="n">
        <v>6</v>
      </c>
      <c r="AH2015" t="n">
        <v>4</v>
      </c>
      <c r="AI2015" t="n">
        <v>4</v>
      </c>
      <c r="AJ2015" t="n">
        <v>12</v>
      </c>
      <c r="AK2015" t="n">
        <v>12</v>
      </c>
      <c r="AL2015" t="n">
        <v>1</v>
      </c>
      <c r="AM2015" t="n">
        <v>1</v>
      </c>
      <c r="AN2015" t="n">
        <v>0</v>
      </c>
      <c r="AO2015" t="n">
        <v>0</v>
      </c>
      <c r="AP2015" t="inlineStr">
        <is>
          <t>No</t>
        </is>
      </c>
      <c r="AQ2015" t="inlineStr">
        <is>
          <t>Yes</t>
        </is>
      </c>
      <c r="AR2015">
        <f>HYPERLINK("http://catalog.hathitrust.org/Record/003513832","HathiTrust Record")</f>
        <v/>
      </c>
      <c r="AS2015">
        <f>HYPERLINK("https://creighton-primo.hosted.exlibrisgroup.com/primo-explore/search?tab=default_tab&amp;search_scope=EVERYTHING&amp;vid=01CRU&amp;lang=en_US&amp;offset=0&amp;query=any,contains,991003572029702656","Catalog Record")</f>
        <v/>
      </c>
      <c r="AT2015">
        <f>HYPERLINK("http://www.worldcat.org/oclc/43099465","WorldCat Record")</f>
        <v/>
      </c>
      <c r="AU2015" t="inlineStr">
        <is>
          <t>477746853:eng</t>
        </is>
      </c>
      <c r="AV2015" t="inlineStr">
        <is>
          <t>43099465</t>
        </is>
      </c>
      <c r="AW2015" t="inlineStr">
        <is>
          <t>991003572029702656</t>
        </is>
      </c>
      <c r="AX2015" t="inlineStr">
        <is>
          <t>991003572029702656</t>
        </is>
      </c>
      <c r="AY2015" t="inlineStr">
        <is>
          <t>2266915420002656</t>
        </is>
      </c>
      <c r="AZ2015" t="inlineStr">
        <is>
          <t>BOOK</t>
        </is>
      </c>
      <c r="BC2015" t="inlineStr">
        <is>
          <t>32285004376355</t>
        </is>
      </c>
      <c r="BD2015" t="inlineStr">
        <is>
          <t>893717805</t>
        </is>
      </c>
    </row>
    <row r="2016">
      <c r="A2016" t="inlineStr">
        <is>
          <t>No</t>
        </is>
      </c>
      <c r="B2016" t="inlineStr">
        <is>
          <t>HQ759 .D43 1990</t>
        </is>
      </c>
      <c r="C2016" t="inlineStr">
        <is>
          <t>0                      HQ 0759000D  43          1990</t>
        </is>
      </c>
      <c r="D2016" t="inlineStr">
        <is>
          <t>Delivering motherhood : maternal ideologies and practices in the 19th and 20th centuries / edited by Katherine Arnup, Andrée Lévesque, and Ruth Roach Pierson ; with the assistance of Margaret Brennan.</t>
        </is>
      </c>
      <c r="F2016" t="inlineStr">
        <is>
          <t>No</t>
        </is>
      </c>
      <c r="G2016" t="inlineStr">
        <is>
          <t>1</t>
        </is>
      </c>
      <c r="H2016" t="inlineStr">
        <is>
          <t>No</t>
        </is>
      </c>
      <c r="I2016" t="inlineStr">
        <is>
          <t>No</t>
        </is>
      </c>
      <c r="J2016" t="inlineStr">
        <is>
          <t>0</t>
        </is>
      </c>
      <c r="L2016" t="inlineStr">
        <is>
          <t>London ; New York : Routledge, 1990.</t>
        </is>
      </c>
      <c r="M2016" t="inlineStr">
        <is>
          <t>1990</t>
        </is>
      </c>
      <c r="O2016" t="inlineStr">
        <is>
          <t>eng</t>
        </is>
      </c>
      <c r="P2016" t="inlineStr">
        <is>
          <t>enk</t>
        </is>
      </c>
      <c r="R2016" t="inlineStr">
        <is>
          <t xml:space="preserve">HQ </t>
        </is>
      </c>
      <c r="S2016" t="n">
        <v>3</v>
      </c>
      <c r="T2016" t="n">
        <v>3</v>
      </c>
      <c r="U2016" t="inlineStr">
        <is>
          <t>1997-09-09</t>
        </is>
      </c>
      <c r="V2016" t="inlineStr">
        <is>
          <t>1997-09-09</t>
        </is>
      </c>
      <c r="W2016" t="inlineStr">
        <is>
          <t>1990-10-09</t>
        </is>
      </c>
      <c r="X2016" t="inlineStr">
        <is>
          <t>1990-10-09</t>
        </is>
      </c>
      <c r="Y2016" t="n">
        <v>297</v>
      </c>
      <c r="Z2016" t="n">
        <v>183</v>
      </c>
      <c r="AA2016" t="n">
        <v>192</v>
      </c>
      <c r="AB2016" t="n">
        <v>2</v>
      </c>
      <c r="AC2016" t="n">
        <v>2</v>
      </c>
      <c r="AD2016" t="n">
        <v>5</v>
      </c>
      <c r="AE2016" t="n">
        <v>5</v>
      </c>
      <c r="AF2016" t="n">
        <v>1</v>
      </c>
      <c r="AG2016" t="n">
        <v>1</v>
      </c>
      <c r="AH2016" t="n">
        <v>2</v>
      </c>
      <c r="AI2016" t="n">
        <v>2</v>
      </c>
      <c r="AJ2016" t="n">
        <v>3</v>
      </c>
      <c r="AK2016" t="n">
        <v>3</v>
      </c>
      <c r="AL2016" t="n">
        <v>1</v>
      </c>
      <c r="AM2016" t="n">
        <v>1</v>
      </c>
      <c r="AN2016" t="n">
        <v>0</v>
      </c>
      <c r="AO2016" t="n">
        <v>0</v>
      </c>
      <c r="AP2016" t="inlineStr">
        <is>
          <t>No</t>
        </is>
      </c>
      <c r="AQ2016" t="inlineStr">
        <is>
          <t>No</t>
        </is>
      </c>
      <c r="AS2016">
        <f>HYPERLINK("https://creighton-primo.hosted.exlibrisgroup.com/primo-explore/search?tab=default_tab&amp;search_scope=EVERYTHING&amp;vid=01CRU&amp;lang=en_US&amp;offset=0&amp;query=any,contains,991001506159702656","Catalog Record")</f>
        <v/>
      </c>
      <c r="AT2016">
        <f>HYPERLINK("http://www.worldcat.org/oclc/19845986","WorldCat Record")</f>
        <v/>
      </c>
      <c r="AU2016" t="inlineStr">
        <is>
          <t>890019714:eng</t>
        </is>
      </c>
      <c r="AV2016" t="inlineStr">
        <is>
          <t>19845986</t>
        </is>
      </c>
      <c r="AW2016" t="inlineStr">
        <is>
          <t>991001506159702656</t>
        </is>
      </c>
      <c r="AX2016" t="inlineStr">
        <is>
          <t>991001506159702656</t>
        </is>
      </c>
      <c r="AY2016" t="inlineStr">
        <is>
          <t>2266134550002656</t>
        </is>
      </c>
      <c r="AZ2016" t="inlineStr">
        <is>
          <t>BOOK</t>
        </is>
      </c>
      <c r="BB2016" t="inlineStr">
        <is>
          <t>9780415020183</t>
        </is>
      </c>
      <c r="BC2016" t="inlineStr">
        <is>
          <t>32285000279728</t>
        </is>
      </c>
      <c r="BD2016" t="inlineStr">
        <is>
          <t>893602643</t>
        </is>
      </c>
    </row>
    <row r="2017">
      <c r="A2017" t="inlineStr">
        <is>
          <t>No</t>
        </is>
      </c>
      <c r="B2017" t="inlineStr">
        <is>
          <t>HQ759 .D56 1999</t>
        </is>
      </c>
      <c r="C2017" t="inlineStr">
        <is>
          <t>0                      HQ 0759000D  56          1999</t>
        </is>
      </c>
      <c r="D2017" t="inlineStr">
        <is>
          <t>The impossibility of motherhood : feminism, individualism, and the problem of mothering / Patrice DiQuinzio.</t>
        </is>
      </c>
      <c r="F2017" t="inlineStr">
        <is>
          <t>No</t>
        </is>
      </c>
      <c r="G2017" t="inlineStr">
        <is>
          <t>1</t>
        </is>
      </c>
      <c r="H2017" t="inlineStr">
        <is>
          <t>No</t>
        </is>
      </c>
      <c r="I2017" t="inlineStr">
        <is>
          <t>No</t>
        </is>
      </c>
      <c r="J2017" t="inlineStr">
        <is>
          <t>0</t>
        </is>
      </c>
      <c r="K2017" t="inlineStr">
        <is>
          <t>DiQuinzio, Patrice, 1955-</t>
        </is>
      </c>
      <c r="L2017" t="inlineStr">
        <is>
          <t>New York : Routledge, 1999.</t>
        </is>
      </c>
      <c r="M2017" t="inlineStr">
        <is>
          <t>1999</t>
        </is>
      </c>
      <c r="O2017" t="inlineStr">
        <is>
          <t>eng</t>
        </is>
      </c>
      <c r="P2017" t="inlineStr">
        <is>
          <t>nyu</t>
        </is>
      </c>
      <c r="R2017" t="inlineStr">
        <is>
          <t xml:space="preserve">HQ </t>
        </is>
      </c>
      <c r="S2017" t="n">
        <v>2</v>
      </c>
      <c r="T2017" t="n">
        <v>2</v>
      </c>
      <c r="U2017" t="inlineStr">
        <is>
          <t>2003-04-01</t>
        </is>
      </c>
      <c r="V2017" t="inlineStr">
        <is>
          <t>2003-04-01</t>
        </is>
      </c>
      <c r="W2017" t="inlineStr">
        <is>
          <t>1999-11-23</t>
        </is>
      </c>
      <c r="X2017" t="inlineStr">
        <is>
          <t>1999-11-23</t>
        </is>
      </c>
      <c r="Y2017" t="n">
        <v>380</v>
      </c>
      <c r="Z2017" t="n">
        <v>273</v>
      </c>
      <c r="AA2017" t="n">
        <v>298</v>
      </c>
      <c r="AB2017" t="n">
        <v>3</v>
      </c>
      <c r="AC2017" t="n">
        <v>3</v>
      </c>
      <c r="AD2017" t="n">
        <v>17</v>
      </c>
      <c r="AE2017" t="n">
        <v>17</v>
      </c>
      <c r="AF2017" t="n">
        <v>6</v>
      </c>
      <c r="AG2017" t="n">
        <v>6</v>
      </c>
      <c r="AH2017" t="n">
        <v>7</v>
      </c>
      <c r="AI2017" t="n">
        <v>7</v>
      </c>
      <c r="AJ2017" t="n">
        <v>9</v>
      </c>
      <c r="AK2017" t="n">
        <v>9</v>
      </c>
      <c r="AL2017" t="n">
        <v>2</v>
      </c>
      <c r="AM2017" t="n">
        <v>2</v>
      </c>
      <c r="AN2017" t="n">
        <v>0</v>
      </c>
      <c r="AO2017" t="n">
        <v>0</v>
      </c>
      <c r="AP2017" t="inlineStr">
        <is>
          <t>No</t>
        </is>
      </c>
      <c r="AQ2017" t="inlineStr">
        <is>
          <t>No</t>
        </is>
      </c>
      <c r="AS2017">
        <f>HYPERLINK("https://creighton-primo.hosted.exlibrisgroup.com/primo-explore/search?tab=default_tab&amp;search_scope=EVERYTHING&amp;vid=01CRU&amp;lang=en_US&amp;offset=0&amp;query=any,contains,991002984669702656","Catalog Record")</f>
        <v/>
      </c>
      <c r="AT2017">
        <f>HYPERLINK("http://www.worldcat.org/oclc/40193776","WorldCat Record")</f>
        <v/>
      </c>
      <c r="AU2017" t="inlineStr">
        <is>
          <t>837011498:eng</t>
        </is>
      </c>
      <c r="AV2017" t="inlineStr">
        <is>
          <t>40193776</t>
        </is>
      </c>
      <c r="AW2017" t="inlineStr">
        <is>
          <t>991002984669702656</t>
        </is>
      </c>
      <c r="AX2017" t="inlineStr">
        <is>
          <t>991002984669702656</t>
        </is>
      </c>
      <c r="AY2017" t="inlineStr">
        <is>
          <t>2266970460002656</t>
        </is>
      </c>
      <c r="AZ2017" t="inlineStr">
        <is>
          <t>BOOK</t>
        </is>
      </c>
      <c r="BB2017" t="inlineStr">
        <is>
          <t>9780415910224</t>
        </is>
      </c>
      <c r="BC2017" t="inlineStr">
        <is>
          <t>32285003624367</t>
        </is>
      </c>
      <c r="BD2017" t="inlineStr">
        <is>
          <t>893518026</t>
        </is>
      </c>
    </row>
    <row r="2018">
      <c r="A2018" t="inlineStr">
        <is>
          <t>No</t>
        </is>
      </c>
      <c r="B2018" t="inlineStr">
        <is>
          <t>HQ759 .D58 1991</t>
        </is>
      </c>
      <c r="C2018" t="inlineStr">
        <is>
          <t>0                      HQ 0759000D  58          1991</t>
        </is>
      </c>
      <c r="D2018" t="inlineStr">
        <is>
          <t>Mothers and mothering : an annotated feminist bibliography / Penelope Dixon.</t>
        </is>
      </c>
      <c r="F2018" t="inlineStr">
        <is>
          <t>No</t>
        </is>
      </c>
      <c r="G2018" t="inlineStr">
        <is>
          <t>1</t>
        </is>
      </c>
      <c r="H2018" t="inlineStr">
        <is>
          <t>No</t>
        </is>
      </c>
      <c r="I2018" t="inlineStr">
        <is>
          <t>No</t>
        </is>
      </c>
      <c r="J2018" t="inlineStr">
        <is>
          <t>0</t>
        </is>
      </c>
      <c r="K2018" t="inlineStr">
        <is>
          <t>Dixon, Penelope, 1948-</t>
        </is>
      </c>
      <c r="L2018" t="inlineStr">
        <is>
          <t>New York : Garland Pub., 1991.</t>
        </is>
      </c>
      <c r="M2018" t="inlineStr">
        <is>
          <t>1991</t>
        </is>
      </c>
      <c r="O2018" t="inlineStr">
        <is>
          <t>eng</t>
        </is>
      </c>
      <c r="P2018" t="inlineStr">
        <is>
          <t>nyu</t>
        </is>
      </c>
      <c r="Q2018" t="inlineStr">
        <is>
          <t>Women's history and culture ; 3</t>
        </is>
      </c>
      <c r="R2018" t="inlineStr">
        <is>
          <t xml:space="preserve">HQ </t>
        </is>
      </c>
      <c r="S2018" t="n">
        <v>11</v>
      </c>
      <c r="T2018" t="n">
        <v>11</v>
      </c>
      <c r="U2018" t="inlineStr">
        <is>
          <t>2004-07-21</t>
        </is>
      </c>
      <c r="V2018" t="inlineStr">
        <is>
          <t>2004-07-21</t>
        </is>
      </c>
      <c r="W2018" t="inlineStr">
        <is>
          <t>1991-11-16</t>
        </is>
      </c>
      <c r="X2018" t="inlineStr">
        <is>
          <t>1991-11-16</t>
        </is>
      </c>
      <c r="Y2018" t="n">
        <v>335</v>
      </c>
      <c r="Z2018" t="n">
        <v>291</v>
      </c>
      <c r="AA2018" t="n">
        <v>298</v>
      </c>
      <c r="AB2018" t="n">
        <v>3</v>
      </c>
      <c r="AC2018" t="n">
        <v>3</v>
      </c>
      <c r="AD2018" t="n">
        <v>18</v>
      </c>
      <c r="AE2018" t="n">
        <v>18</v>
      </c>
      <c r="AF2018" t="n">
        <v>6</v>
      </c>
      <c r="AG2018" t="n">
        <v>6</v>
      </c>
      <c r="AH2018" t="n">
        <v>4</v>
      </c>
      <c r="AI2018" t="n">
        <v>4</v>
      </c>
      <c r="AJ2018" t="n">
        <v>8</v>
      </c>
      <c r="AK2018" t="n">
        <v>8</v>
      </c>
      <c r="AL2018" t="n">
        <v>2</v>
      </c>
      <c r="AM2018" t="n">
        <v>2</v>
      </c>
      <c r="AN2018" t="n">
        <v>1</v>
      </c>
      <c r="AO2018" t="n">
        <v>1</v>
      </c>
      <c r="AP2018" t="inlineStr">
        <is>
          <t>No</t>
        </is>
      </c>
      <c r="AQ2018" t="inlineStr">
        <is>
          <t>Yes</t>
        </is>
      </c>
      <c r="AR2018">
        <f>HYPERLINK("http://catalog.hathitrust.org/Record/004516519","HathiTrust Record")</f>
        <v/>
      </c>
      <c r="AS2018">
        <f>HYPERLINK("https://creighton-primo.hosted.exlibrisgroup.com/primo-explore/search?tab=default_tab&amp;search_scope=EVERYTHING&amp;vid=01CRU&amp;lang=en_US&amp;offset=0&amp;query=any,contains,991001816189702656","Catalog Record")</f>
        <v/>
      </c>
      <c r="AT2018">
        <f>HYPERLINK("http://www.worldcat.org/oclc/22812556","WorldCat Record")</f>
        <v/>
      </c>
      <c r="AU2018" t="inlineStr">
        <is>
          <t>289688318:eng</t>
        </is>
      </c>
      <c r="AV2018" t="inlineStr">
        <is>
          <t>22812556</t>
        </is>
      </c>
      <c r="AW2018" t="inlineStr">
        <is>
          <t>991001816189702656</t>
        </is>
      </c>
      <c r="AX2018" t="inlineStr">
        <is>
          <t>991001816189702656</t>
        </is>
      </c>
      <c r="AY2018" t="inlineStr">
        <is>
          <t>2264666310002656</t>
        </is>
      </c>
      <c r="AZ2018" t="inlineStr">
        <is>
          <t>BOOK</t>
        </is>
      </c>
      <c r="BB2018" t="inlineStr">
        <is>
          <t>9780824059491</t>
        </is>
      </c>
      <c r="BC2018" t="inlineStr">
        <is>
          <t>32285000831742</t>
        </is>
      </c>
      <c r="BD2018" t="inlineStr">
        <is>
          <t>893226149</t>
        </is>
      </c>
    </row>
    <row r="2019">
      <c r="A2019" t="inlineStr">
        <is>
          <t>No</t>
        </is>
      </c>
      <c r="B2019" t="inlineStr">
        <is>
          <t>HQ759 .D59 1988b</t>
        </is>
      </c>
      <c r="C2019" t="inlineStr">
        <is>
          <t>0                      HQ 0759000D  59          1988b</t>
        </is>
      </c>
      <c r="D2019" t="inlineStr">
        <is>
          <t>The Roman mother / Suzanne Dixon.</t>
        </is>
      </c>
      <c r="F2019" t="inlineStr">
        <is>
          <t>No</t>
        </is>
      </c>
      <c r="G2019" t="inlineStr">
        <is>
          <t>1</t>
        </is>
      </c>
      <c r="H2019" t="inlineStr">
        <is>
          <t>No</t>
        </is>
      </c>
      <c r="I2019" t="inlineStr">
        <is>
          <t>No</t>
        </is>
      </c>
      <c r="J2019" t="inlineStr">
        <is>
          <t>0</t>
        </is>
      </c>
      <c r="K2019" t="inlineStr">
        <is>
          <t>Dixon, Suzanne.</t>
        </is>
      </c>
      <c r="L2019" t="inlineStr">
        <is>
          <t>London : Croom Helm, c1988.</t>
        </is>
      </c>
      <c r="M2019" t="inlineStr">
        <is>
          <t>1988</t>
        </is>
      </c>
      <c r="O2019" t="inlineStr">
        <is>
          <t>eng</t>
        </is>
      </c>
      <c r="P2019" t="inlineStr">
        <is>
          <t>enk</t>
        </is>
      </c>
      <c r="R2019" t="inlineStr">
        <is>
          <t xml:space="preserve">HQ </t>
        </is>
      </c>
      <c r="S2019" t="n">
        <v>4</v>
      </c>
      <c r="T2019" t="n">
        <v>4</v>
      </c>
      <c r="U2019" t="inlineStr">
        <is>
          <t>2006-07-26</t>
        </is>
      </c>
      <c r="V2019" t="inlineStr">
        <is>
          <t>2006-07-26</t>
        </is>
      </c>
      <c r="W2019" t="inlineStr">
        <is>
          <t>1992-11-03</t>
        </is>
      </c>
      <c r="X2019" t="inlineStr">
        <is>
          <t>1992-11-03</t>
        </is>
      </c>
      <c r="Y2019" t="n">
        <v>149</v>
      </c>
      <c r="Z2019" t="n">
        <v>54</v>
      </c>
      <c r="AA2019" t="n">
        <v>738</v>
      </c>
      <c r="AB2019" t="n">
        <v>3</v>
      </c>
      <c r="AC2019" t="n">
        <v>7</v>
      </c>
      <c r="AD2019" t="n">
        <v>4</v>
      </c>
      <c r="AE2019" t="n">
        <v>36</v>
      </c>
      <c r="AF2019" t="n">
        <v>0</v>
      </c>
      <c r="AG2019" t="n">
        <v>11</v>
      </c>
      <c r="AH2019" t="n">
        <v>2</v>
      </c>
      <c r="AI2019" t="n">
        <v>11</v>
      </c>
      <c r="AJ2019" t="n">
        <v>2</v>
      </c>
      <c r="AK2019" t="n">
        <v>16</v>
      </c>
      <c r="AL2019" t="n">
        <v>2</v>
      </c>
      <c r="AM2019" t="n">
        <v>6</v>
      </c>
      <c r="AN2019" t="n">
        <v>0</v>
      </c>
      <c r="AO2019" t="n">
        <v>1</v>
      </c>
      <c r="AP2019" t="inlineStr">
        <is>
          <t>No</t>
        </is>
      </c>
      <c r="AQ2019" t="inlineStr">
        <is>
          <t>No</t>
        </is>
      </c>
      <c r="AS2019">
        <f>HYPERLINK("https://creighton-primo.hosted.exlibrisgroup.com/primo-explore/search?tab=default_tab&amp;search_scope=EVERYTHING&amp;vid=01CRU&amp;lang=en_US&amp;offset=0&amp;query=any,contains,991001053729702656","Catalog Record")</f>
        <v/>
      </c>
      <c r="AT2019">
        <f>HYPERLINK("http://www.worldcat.org/oclc/59848791","WorldCat Record")</f>
        <v/>
      </c>
      <c r="AU2019" t="inlineStr">
        <is>
          <t>9440657:eng</t>
        </is>
      </c>
      <c r="AV2019" t="inlineStr">
        <is>
          <t>59848791</t>
        </is>
      </c>
      <c r="AW2019" t="inlineStr">
        <is>
          <t>991001053729702656</t>
        </is>
      </c>
      <c r="AX2019" t="inlineStr">
        <is>
          <t>991001053729702656</t>
        </is>
      </c>
      <c r="AY2019" t="inlineStr">
        <is>
          <t>2260761330002656</t>
        </is>
      </c>
      <c r="AZ2019" t="inlineStr">
        <is>
          <t>BOOK</t>
        </is>
      </c>
      <c r="BB2019" t="inlineStr">
        <is>
          <t>9780709945116</t>
        </is>
      </c>
      <c r="BC2019" t="inlineStr">
        <is>
          <t>32285001381499</t>
        </is>
      </c>
      <c r="BD2019" t="inlineStr">
        <is>
          <t>893865921</t>
        </is>
      </c>
    </row>
    <row r="2020">
      <c r="A2020" t="inlineStr">
        <is>
          <t>No</t>
        </is>
      </c>
      <c r="B2020" t="inlineStr">
        <is>
          <t>HQ759 .E16 1985</t>
        </is>
      </c>
      <c r="C2020" t="inlineStr">
        <is>
          <t>0                      HQ 0759000E  16          1985</t>
        </is>
      </c>
      <c r="D2020" t="inlineStr">
        <is>
          <t>The newborn mother : stages of her growth / by Andrea Boroff Eagan.</t>
        </is>
      </c>
      <c r="F2020" t="inlineStr">
        <is>
          <t>No</t>
        </is>
      </c>
      <c r="G2020" t="inlineStr">
        <is>
          <t>1</t>
        </is>
      </c>
      <c r="H2020" t="inlineStr">
        <is>
          <t>No</t>
        </is>
      </c>
      <c r="I2020" t="inlineStr">
        <is>
          <t>No</t>
        </is>
      </c>
      <c r="J2020" t="inlineStr">
        <is>
          <t>0</t>
        </is>
      </c>
      <c r="K2020" t="inlineStr">
        <is>
          <t>Eagan, Andrea Boroff, 1943-</t>
        </is>
      </c>
      <c r="L2020" t="inlineStr">
        <is>
          <t>Boston : Little, Brown, c1985.</t>
        </is>
      </c>
      <c r="M2020" t="inlineStr">
        <is>
          <t>1985</t>
        </is>
      </c>
      <c r="N2020" t="inlineStr">
        <is>
          <t>1st ed.</t>
        </is>
      </c>
      <c r="O2020" t="inlineStr">
        <is>
          <t>eng</t>
        </is>
      </c>
      <c r="P2020" t="inlineStr">
        <is>
          <t>mau</t>
        </is>
      </c>
      <c r="R2020" t="inlineStr">
        <is>
          <t xml:space="preserve">HQ </t>
        </is>
      </c>
      <c r="S2020" t="n">
        <v>1</v>
      </c>
      <c r="T2020" t="n">
        <v>1</v>
      </c>
      <c r="U2020" t="inlineStr">
        <is>
          <t>1996-11-11</t>
        </is>
      </c>
      <c r="V2020" t="inlineStr">
        <is>
          <t>1996-11-11</t>
        </is>
      </c>
      <c r="W2020" t="inlineStr">
        <is>
          <t>1993-01-15</t>
        </is>
      </c>
      <c r="X2020" t="inlineStr">
        <is>
          <t>1993-01-15</t>
        </is>
      </c>
      <c r="Y2020" t="n">
        <v>265</v>
      </c>
      <c r="Z2020" t="n">
        <v>253</v>
      </c>
      <c r="AA2020" t="n">
        <v>273</v>
      </c>
      <c r="AB2020" t="n">
        <v>2</v>
      </c>
      <c r="AC2020" t="n">
        <v>2</v>
      </c>
      <c r="AD2020" t="n">
        <v>4</v>
      </c>
      <c r="AE2020" t="n">
        <v>4</v>
      </c>
      <c r="AF2020" t="n">
        <v>0</v>
      </c>
      <c r="AG2020" t="n">
        <v>0</v>
      </c>
      <c r="AH2020" t="n">
        <v>1</v>
      </c>
      <c r="AI2020" t="n">
        <v>1</v>
      </c>
      <c r="AJ2020" t="n">
        <v>2</v>
      </c>
      <c r="AK2020" t="n">
        <v>2</v>
      </c>
      <c r="AL2020" t="n">
        <v>1</v>
      </c>
      <c r="AM2020" t="n">
        <v>1</v>
      </c>
      <c r="AN2020" t="n">
        <v>0</v>
      </c>
      <c r="AO2020" t="n">
        <v>0</v>
      </c>
      <c r="AP2020" t="inlineStr">
        <is>
          <t>No</t>
        </is>
      </c>
      <c r="AQ2020" t="inlineStr">
        <is>
          <t>No</t>
        </is>
      </c>
      <c r="AS2020">
        <f>HYPERLINK("https://creighton-primo.hosted.exlibrisgroup.com/primo-explore/search?tab=default_tab&amp;search_scope=EVERYTHING&amp;vid=01CRU&amp;lang=en_US&amp;offset=0&amp;query=any,contains,991000589539702656","Catalog Record")</f>
        <v/>
      </c>
      <c r="AT2020">
        <f>HYPERLINK("http://www.worldcat.org/oclc/11784039","WorldCat Record")</f>
        <v/>
      </c>
      <c r="AU2020" t="inlineStr">
        <is>
          <t>4612691:eng</t>
        </is>
      </c>
      <c r="AV2020" t="inlineStr">
        <is>
          <t>11784039</t>
        </is>
      </c>
      <c r="AW2020" t="inlineStr">
        <is>
          <t>991000589539702656</t>
        </is>
      </c>
      <c r="AX2020" t="inlineStr">
        <is>
          <t>991000589539702656</t>
        </is>
      </c>
      <c r="AY2020" t="inlineStr">
        <is>
          <t>2256940190002656</t>
        </is>
      </c>
      <c r="AZ2020" t="inlineStr">
        <is>
          <t>BOOK</t>
        </is>
      </c>
      <c r="BB2020" t="inlineStr">
        <is>
          <t>9780316200561</t>
        </is>
      </c>
      <c r="BC2020" t="inlineStr">
        <is>
          <t>32285001475077</t>
        </is>
      </c>
      <c r="BD2020" t="inlineStr">
        <is>
          <t>893689838</t>
        </is>
      </c>
    </row>
    <row r="2021">
      <c r="A2021" t="inlineStr">
        <is>
          <t>No</t>
        </is>
      </c>
      <c r="B2021" t="inlineStr">
        <is>
          <t>HQ759 .E17 1983</t>
        </is>
      </c>
      <c r="C2021" t="inlineStr">
        <is>
          <t>0                      HQ 0759000E  17          1983</t>
        </is>
      </c>
      <c r="D2021" t="inlineStr">
        <is>
          <t>Mothers in transition : a study of the changing life course / by Pamela S. Eakins.</t>
        </is>
      </c>
      <c r="F2021" t="inlineStr">
        <is>
          <t>No</t>
        </is>
      </c>
      <c r="G2021" t="inlineStr">
        <is>
          <t>1</t>
        </is>
      </c>
      <c r="H2021" t="inlineStr">
        <is>
          <t>No</t>
        </is>
      </c>
      <c r="I2021" t="inlineStr">
        <is>
          <t>No</t>
        </is>
      </c>
      <c r="J2021" t="inlineStr">
        <is>
          <t>0</t>
        </is>
      </c>
      <c r="K2021" t="inlineStr">
        <is>
          <t>Eakins, Pamela.</t>
        </is>
      </c>
      <c r="L2021" t="inlineStr">
        <is>
          <t>Cambridge, Mass. : Schenkman Pub. Co., c1983.</t>
        </is>
      </c>
      <c r="M2021" t="inlineStr">
        <is>
          <t>1983</t>
        </is>
      </c>
      <c r="O2021" t="inlineStr">
        <is>
          <t>eng</t>
        </is>
      </c>
      <c r="P2021" t="inlineStr">
        <is>
          <t>mau</t>
        </is>
      </c>
      <c r="R2021" t="inlineStr">
        <is>
          <t xml:space="preserve">HQ </t>
        </is>
      </c>
      <c r="S2021" t="n">
        <v>3</v>
      </c>
      <c r="T2021" t="n">
        <v>3</v>
      </c>
      <c r="U2021" t="inlineStr">
        <is>
          <t>1995-10-26</t>
        </is>
      </c>
      <c r="V2021" t="inlineStr">
        <is>
          <t>1995-10-26</t>
        </is>
      </c>
      <c r="W2021" t="inlineStr">
        <is>
          <t>1992-11-09</t>
        </is>
      </c>
      <c r="X2021" t="inlineStr">
        <is>
          <t>1992-11-09</t>
        </is>
      </c>
      <c r="Y2021" t="n">
        <v>373</v>
      </c>
      <c r="Z2021" t="n">
        <v>322</v>
      </c>
      <c r="AA2021" t="n">
        <v>323</v>
      </c>
      <c r="AB2021" t="n">
        <v>3</v>
      </c>
      <c r="AC2021" t="n">
        <v>3</v>
      </c>
      <c r="AD2021" t="n">
        <v>9</v>
      </c>
      <c r="AE2021" t="n">
        <v>9</v>
      </c>
      <c r="AF2021" t="n">
        <v>3</v>
      </c>
      <c r="AG2021" t="n">
        <v>3</v>
      </c>
      <c r="AH2021" t="n">
        <v>2</v>
      </c>
      <c r="AI2021" t="n">
        <v>2</v>
      </c>
      <c r="AJ2021" t="n">
        <v>4</v>
      </c>
      <c r="AK2021" t="n">
        <v>4</v>
      </c>
      <c r="AL2021" t="n">
        <v>2</v>
      </c>
      <c r="AM2021" t="n">
        <v>2</v>
      </c>
      <c r="AN2021" t="n">
        <v>0</v>
      </c>
      <c r="AO2021" t="n">
        <v>0</v>
      </c>
      <c r="AP2021" t="inlineStr">
        <is>
          <t>No</t>
        </is>
      </c>
      <c r="AQ2021" t="inlineStr">
        <is>
          <t>Yes</t>
        </is>
      </c>
      <c r="AR2021">
        <f>HYPERLINK("http://catalog.hathitrust.org/Record/000781731","HathiTrust Record")</f>
        <v/>
      </c>
      <c r="AS2021">
        <f>HYPERLINK("https://creighton-primo.hosted.exlibrisgroup.com/primo-explore/search?tab=default_tab&amp;search_scope=EVERYTHING&amp;vid=01CRU&amp;lang=en_US&amp;offset=0&amp;query=any,contains,991005157509702656","Catalog Record")</f>
        <v/>
      </c>
      <c r="AT2021">
        <f>HYPERLINK("http://www.worldcat.org/oclc/7741632","WorldCat Record")</f>
        <v/>
      </c>
      <c r="AU2021" t="inlineStr">
        <is>
          <t>29809661:eng</t>
        </is>
      </c>
      <c r="AV2021" t="inlineStr">
        <is>
          <t>7741632</t>
        </is>
      </c>
      <c r="AW2021" t="inlineStr">
        <is>
          <t>991005157509702656</t>
        </is>
      </c>
      <c r="AX2021" t="inlineStr">
        <is>
          <t>991005157509702656</t>
        </is>
      </c>
      <c r="AY2021" t="inlineStr">
        <is>
          <t>2262420330002656</t>
        </is>
      </c>
      <c r="AZ2021" t="inlineStr">
        <is>
          <t>BOOK</t>
        </is>
      </c>
      <c r="BB2021" t="inlineStr">
        <is>
          <t>9780870734755</t>
        </is>
      </c>
      <c r="BC2021" t="inlineStr">
        <is>
          <t>32285001359909</t>
        </is>
      </c>
      <c r="BD2021" t="inlineStr">
        <is>
          <t>893877033</t>
        </is>
      </c>
    </row>
    <row r="2022">
      <c r="A2022" t="inlineStr">
        <is>
          <t>No</t>
        </is>
      </c>
      <c r="B2022" t="inlineStr">
        <is>
          <t>HQ759 .E25 2006</t>
        </is>
      </c>
      <c r="C2022" t="inlineStr">
        <is>
          <t>0                      HQ 0759000E  25          2006</t>
        </is>
      </c>
      <c r="D2022" t="inlineStr">
        <is>
          <t>Motherless mothers : how mother loss shapes the parents we become / Hope Edelman.</t>
        </is>
      </c>
      <c r="F2022" t="inlineStr">
        <is>
          <t>No</t>
        </is>
      </c>
      <c r="G2022" t="inlineStr">
        <is>
          <t>1</t>
        </is>
      </c>
      <c r="H2022" t="inlineStr">
        <is>
          <t>No</t>
        </is>
      </c>
      <c r="I2022" t="inlineStr">
        <is>
          <t>No</t>
        </is>
      </c>
      <c r="J2022" t="inlineStr">
        <is>
          <t>0</t>
        </is>
      </c>
      <c r="K2022" t="inlineStr">
        <is>
          <t>Edelman, Hope.</t>
        </is>
      </c>
      <c r="L2022" t="inlineStr">
        <is>
          <t>New York : HarperCollins, c2006.</t>
        </is>
      </c>
      <c r="M2022" t="inlineStr">
        <is>
          <t>2006</t>
        </is>
      </c>
      <c r="N2022" t="inlineStr">
        <is>
          <t>1st ed.</t>
        </is>
      </c>
      <c r="O2022" t="inlineStr">
        <is>
          <t>eng</t>
        </is>
      </c>
      <c r="P2022" t="inlineStr">
        <is>
          <t>nyu</t>
        </is>
      </c>
      <c r="R2022" t="inlineStr">
        <is>
          <t xml:space="preserve">HQ </t>
        </is>
      </c>
      <c r="S2022" t="n">
        <v>1</v>
      </c>
      <c r="T2022" t="n">
        <v>1</v>
      </c>
      <c r="U2022" t="inlineStr">
        <is>
          <t>2006-04-03</t>
        </is>
      </c>
      <c r="V2022" t="inlineStr">
        <is>
          <t>2006-04-03</t>
        </is>
      </c>
      <c r="W2022" t="inlineStr">
        <is>
          <t>2006-02-17</t>
        </is>
      </c>
      <c r="X2022" t="inlineStr">
        <is>
          <t>2006-02-17</t>
        </is>
      </c>
      <c r="Y2022" t="n">
        <v>766</v>
      </c>
      <c r="Z2022" t="n">
        <v>714</v>
      </c>
      <c r="AA2022" t="n">
        <v>776</v>
      </c>
      <c r="AB2022" t="n">
        <v>4</v>
      </c>
      <c r="AC2022" t="n">
        <v>4</v>
      </c>
      <c r="AD2022" t="n">
        <v>9</v>
      </c>
      <c r="AE2022" t="n">
        <v>10</v>
      </c>
      <c r="AF2022" t="n">
        <v>2</v>
      </c>
      <c r="AG2022" t="n">
        <v>3</v>
      </c>
      <c r="AH2022" t="n">
        <v>2</v>
      </c>
      <c r="AI2022" t="n">
        <v>2</v>
      </c>
      <c r="AJ2022" t="n">
        <v>4</v>
      </c>
      <c r="AK2022" t="n">
        <v>4</v>
      </c>
      <c r="AL2022" t="n">
        <v>2</v>
      </c>
      <c r="AM2022" t="n">
        <v>2</v>
      </c>
      <c r="AN2022" t="n">
        <v>0</v>
      </c>
      <c r="AO2022" t="n">
        <v>0</v>
      </c>
      <c r="AP2022" t="inlineStr">
        <is>
          <t>No</t>
        </is>
      </c>
      <c r="AQ2022" t="inlineStr">
        <is>
          <t>No</t>
        </is>
      </c>
      <c r="AS2022">
        <f>HYPERLINK("https://creighton-primo.hosted.exlibrisgroup.com/primo-explore/search?tab=default_tab&amp;search_scope=EVERYTHING&amp;vid=01CRU&amp;lang=en_US&amp;offset=0&amp;query=any,contains,991004748009702656","Catalog Record")</f>
        <v/>
      </c>
      <c r="AT2022">
        <f>HYPERLINK("http://www.worldcat.org/oclc/61687910","WorldCat Record")</f>
        <v/>
      </c>
      <c r="AU2022" t="inlineStr">
        <is>
          <t>46232359:eng</t>
        </is>
      </c>
      <c r="AV2022" t="inlineStr">
        <is>
          <t>61687910</t>
        </is>
      </c>
      <c r="AW2022" t="inlineStr">
        <is>
          <t>991004748009702656</t>
        </is>
      </c>
      <c r="AX2022" t="inlineStr">
        <is>
          <t>991004748009702656</t>
        </is>
      </c>
      <c r="AY2022" t="inlineStr">
        <is>
          <t>2260888830002656</t>
        </is>
      </c>
      <c r="AZ2022" t="inlineStr">
        <is>
          <t>BOOK</t>
        </is>
      </c>
      <c r="BB2022" t="inlineStr">
        <is>
          <t>9780060532451</t>
        </is>
      </c>
      <c r="BC2022" t="inlineStr">
        <is>
          <t>32285005169296</t>
        </is>
      </c>
      <c r="BD2022" t="inlineStr">
        <is>
          <t>893436706</t>
        </is>
      </c>
    </row>
    <row r="2023">
      <c r="A2023" t="inlineStr">
        <is>
          <t>No</t>
        </is>
      </c>
      <c r="B2023" t="inlineStr">
        <is>
          <t>HQ759 .G3 1995</t>
        </is>
      </c>
      <c r="C2023" t="inlineStr">
        <is>
          <t>0                      HQ 0759000G  3           1995</t>
        </is>
      </c>
      <c r="D2023" t="inlineStr">
        <is>
          <t>Einstein's wife : work and marriage in the lives of five great twentieth-century women / Andrea Gabor.</t>
        </is>
      </c>
      <c r="F2023" t="inlineStr">
        <is>
          <t>No</t>
        </is>
      </c>
      <c r="G2023" t="inlineStr">
        <is>
          <t>1</t>
        </is>
      </c>
      <c r="H2023" t="inlineStr">
        <is>
          <t>No</t>
        </is>
      </c>
      <c r="I2023" t="inlineStr">
        <is>
          <t>No</t>
        </is>
      </c>
      <c r="J2023" t="inlineStr">
        <is>
          <t>0</t>
        </is>
      </c>
      <c r="K2023" t="inlineStr">
        <is>
          <t>Gabor, Andrea.</t>
        </is>
      </c>
      <c r="L2023" t="inlineStr">
        <is>
          <t>New York, N.Y., U.S.A. : Viking, 1995.</t>
        </is>
      </c>
      <c r="M2023" t="inlineStr">
        <is>
          <t>1995</t>
        </is>
      </c>
      <c r="O2023" t="inlineStr">
        <is>
          <t>eng</t>
        </is>
      </c>
      <c r="P2023" t="inlineStr">
        <is>
          <t>nyu</t>
        </is>
      </c>
      <c r="R2023" t="inlineStr">
        <is>
          <t xml:space="preserve">HQ </t>
        </is>
      </c>
      <c r="S2023" t="n">
        <v>9</v>
      </c>
      <c r="T2023" t="n">
        <v>9</v>
      </c>
      <c r="U2023" t="inlineStr">
        <is>
          <t>2005-08-03</t>
        </is>
      </c>
      <c r="V2023" t="inlineStr">
        <is>
          <t>2005-08-03</t>
        </is>
      </c>
      <c r="W2023" t="inlineStr">
        <is>
          <t>1996-05-16</t>
        </is>
      </c>
      <c r="X2023" t="inlineStr">
        <is>
          <t>1996-05-16</t>
        </is>
      </c>
      <c r="Y2023" t="n">
        <v>864</v>
      </c>
      <c r="Z2023" t="n">
        <v>814</v>
      </c>
      <c r="AA2023" t="n">
        <v>926</v>
      </c>
      <c r="AB2023" t="n">
        <v>10</v>
      </c>
      <c r="AC2023" t="n">
        <v>10</v>
      </c>
      <c r="AD2023" t="n">
        <v>28</v>
      </c>
      <c r="AE2023" t="n">
        <v>32</v>
      </c>
      <c r="AF2023" t="n">
        <v>7</v>
      </c>
      <c r="AG2023" t="n">
        <v>9</v>
      </c>
      <c r="AH2023" t="n">
        <v>7</v>
      </c>
      <c r="AI2023" t="n">
        <v>8</v>
      </c>
      <c r="AJ2023" t="n">
        <v>16</v>
      </c>
      <c r="AK2023" t="n">
        <v>17</v>
      </c>
      <c r="AL2023" t="n">
        <v>5</v>
      </c>
      <c r="AM2023" t="n">
        <v>5</v>
      </c>
      <c r="AN2023" t="n">
        <v>0</v>
      </c>
      <c r="AO2023" t="n">
        <v>0</v>
      </c>
      <c r="AP2023" t="inlineStr">
        <is>
          <t>No</t>
        </is>
      </c>
      <c r="AQ2023" t="inlineStr">
        <is>
          <t>Yes</t>
        </is>
      </c>
      <c r="AR2023">
        <f>HYPERLINK("http://catalog.hathitrust.org/Record/002997700","HathiTrust Record")</f>
        <v/>
      </c>
      <c r="AS2023">
        <f>HYPERLINK("https://creighton-primo.hosted.exlibrisgroup.com/primo-explore/search?tab=default_tab&amp;search_scope=EVERYTHING&amp;vid=01CRU&amp;lang=en_US&amp;offset=0&amp;query=any,contains,991002445969702656","Catalog Record")</f>
        <v/>
      </c>
      <c r="AT2023">
        <f>HYPERLINK("http://www.worldcat.org/oclc/31900919","WorldCat Record")</f>
        <v/>
      </c>
      <c r="AU2023" t="inlineStr">
        <is>
          <t>33570944:eng</t>
        </is>
      </c>
      <c r="AV2023" t="inlineStr">
        <is>
          <t>31900919</t>
        </is>
      </c>
      <c r="AW2023" t="inlineStr">
        <is>
          <t>991002445969702656</t>
        </is>
      </c>
      <c r="AX2023" t="inlineStr">
        <is>
          <t>991002445969702656</t>
        </is>
      </c>
      <c r="AY2023" t="inlineStr">
        <is>
          <t>2264659000002656</t>
        </is>
      </c>
      <c r="AZ2023" t="inlineStr">
        <is>
          <t>BOOK</t>
        </is>
      </c>
      <c r="BB2023" t="inlineStr">
        <is>
          <t>9780670842100</t>
        </is>
      </c>
      <c r="BC2023" t="inlineStr">
        <is>
          <t>32285002169448</t>
        </is>
      </c>
      <c r="BD2023" t="inlineStr">
        <is>
          <t>893427608</t>
        </is>
      </c>
    </row>
    <row r="2024">
      <c r="A2024" t="inlineStr">
        <is>
          <t>No</t>
        </is>
      </c>
      <c r="B2024" t="inlineStr">
        <is>
          <t>HQ759 .G46 1989</t>
        </is>
      </c>
      <c r="C2024" t="inlineStr">
        <is>
          <t>0                      HQ 0759000G  46          1989</t>
        </is>
      </c>
      <c r="D2024" t="inlineStr">
        <is>
          <t>The motherhood report : how women feel about being mothers / Louis Genevie and Eva Margolies.</t>
        </is>
      </c>
      <c r="F2024" t="inlineStr">
        <is>
          <t>No</t>
        </is>
      </c>
      <c r="G2024" t="inlineStr">
        <is>
          <t>1</t>
        </is>
      </c>
      <c r="H2024" t="inlineStr">
        <is>
          <t>No</t>
        </is>
      </c>
      <c r="I2024" t="inlineStr">
        <is>
          <t>No</t>
        </is>
      </c>
      <c r="J2024" t="inlineStr">
        <is>
          <t>0</t>
        </is>
      </c>
      <c r="K2024" t="inlineStr">
        <is>
          <t>Genevie, Louis E.</t>
        </is>
      </c>
      <c r="L2024" t="inlineStr">
        <is>
          <t>New York : McGraw-Hill, 1989, c1987.</t>
        </is>
      </c>
      <c r="M2024" t="inlineStr">
        <is>
          <t>1989</t>
        </is>
      </c>
      <c r="N2024" t="inlineStr">
        <is>
          <t>1st McGraw-Hill pbk. ed.</t>
        </is>
      </c>
      <c r="O2024" t="inlineStr">
        <is>
          <t>eng</t>
        </is>
      </c>
      <c r="P2024" t="inlineStr">
        <is>
          <t>nyu</t>
        </is>
      </c>
      <c r="R2024" t="inlineStr">
        <is>
          <t xml:space="preserve">HQ </t>
        </is>
      </c>
      <c r="S2024" t="n">
        <v>9</v>
      </c>
      <c r="T2024" t="n">
        <v>9</v>
      </c>
      <c r="U2024" t="inlineStr">
        <is>
          <t>1998-04-25</t>
        </is>
      </c>
      <c r="V2024" t="inlineStr">
        <is>
          <t>1998-04-25</t>
        </is>
      </c>
      <c r="W2024" t="inlineStr">
        <is>
          <t>1992-11-09</t>
        </is>
      </c>
      <c r="X2024" t="inlineStr">
        <is>
          <t>1992-11-09</t>
        </is>
      </c>
      <c r="Y2024" t="n">
        <v>39</v>
      </c>
      <c r="Z2024" t="n">
        <v>38</v>
      </c>
      <c r="AA2024" t="n">
        <v>613</v>
      </c>
      <c r="AB2024" t="n">
        <v>1</v>
      </c>
      <c r="AC2024" t="n">
        <v>3</v>
      </c>
      <c r="AD2024" t="n">
        <v>0</v>
      </c>
      <c r="AE2024" t="n">
        <v>11</v>
      </c>
      <c r="AF2024" t="n">
        <v>0</v>
      </c>
      <c r="AG2024" t="n">
        <v>3</v>
      </c>
      <c r="AH2024" t="n">
        <v>0</v>
      </c>
      <c r="AI2024" t="n">
        <v>2</v>
      </c>
      <c r="AJ2024" t="n">
        <v>0</v>
      </c>
      <c r="AK2024" t="n">
        <v>4</v>
      </c>
      <c r="AL2024" t="n">
        <v>0</v>
      </c>
      <c r="AM2024" t="n">
        <v>2</v>
      </c>
      <c r="AN2024" t="n">
        <v>0</v>
      </c>
      <c r="AO2024" t="n">
        <v>0</v>
      </c>
      <c r="AP2024" t="inlineStr">
        <is>
          <t>No</t>
        </is>
      </c>
      <c r="AQ2024" t="inlineStr">
        <is>
          <t>No</t>
        </is>
      </c>
      <c r="AS2024">
        <f>HYPERLINK("https://creighton-primo.hosted.exlibrisgroup.com/primo-explore/search?tab=default_tab&amp;search_scope=EVERYTHING&amp;vid=01CRU&amp;lang=en_US&amp;offset=0&amp;query=any,contains,991001333029702656","Catalog Record")</f>
        <v/>
      </c>
      <c r="AT2024">
        <f>HYPERLINK("http://www.worldcat.org/oclc/18326596","WorldCat Record")</f>
        <v/>
      </c>
      <c r="AU2024" t="inlineStr">
        <is>
          <t>8371629:eng</t>
        </is>
      </c>
      <c r="AV2024" t="inlineStr">
        <is>
          <t>18326596</t>
        </is>
      </c>
      <c r="AW2024" t="inlineStr">
        <is>
          <t>991001333029702656</t>
        </is>
      </c>
      <c r="AX2024" t="inlineStr">
        <is>
          <t>991001333029702656</t>
        </is>
      </c>
      <c r="AY2024" t="inlineStr">
        <is>
          <t>2258650880002656</t>
        </is>
      </c>
      <c r="AZ2024" t="inlineStr">
        <is>
          <t>BOOK</t>
        </is>
      </c>
      <c r="BB2024" t="inlineStr">
        <is>
          <t>9780070230644</t>
        </is>
      </c>
      <c r="BC2024" t="inlineStr">
        <is>
          <t>32285001359925</t>
        </is>
      </c>
      <c r="BD2024" t="inlineStr">
        <is>
          <t>893885233</t>
        </is>
      </c>
    </row>
    <row r="2025">
      <c r="A2025" t="inlineStr">
        <is>
          <t>No</t>
        </is>
      </c>
      <c r="B2025" t="inlineStr">
        <is>
          <t>HQ759 .H422 1984</t>
        </is>
      </c>
      <c r="C2025" t="inlineStr">
        <is>
          <t>0                      HQ 0759000H  422         1984</t>
        </is>
      </c>
      <c r="D2025" t="inlineStr">
        <is>
          <t>Motherhood and God / Margaret Hebblethwaite.</t>
        </is>
      </c>
      <c r="F2025" t="inlineStr">
        <is>
          <t>No</t>
        </is>
      </c>
      <c r="G2025" t="inlineStr">
        <is>
          <t>1</t>
        </is>
      </c>
      <c r="H2025" t="inlineStr">
        <is>
          <t>No</t>
        </is>
      </c>
      <c r="I2025" t="inlineStr">
        <is>
          <t>No</t>
        </is>
      </c>
      <c r="J2025" t="inlineStr">
        <is>
          <t>0</t>
        </is>
      </c>
      <c r="K2025" t="inlineStr">
        <is>
          <t>Hebblethwaite, Margaret.</t>
        </is>
      </c>
      <c r="L2025" t="inlineStr">
        <is>
          <t>London : G. Chapman : Cassell, c1984, 1987 printing.</t>
        </is>
      </c>
      <c r="M2025" t="inlineStr">
        <is>
          <t>1984</t>
        </is>
      </c>
      <c r="O2025" t="inlineStr">
        <is>
          <t>eng</t>
        </is>
      </c>
      <c r="P2025" t="inlineStr">
        <is>
          <t>enk</t>
        </is>
      </c>
      <c r="R2025" t="inlineStr">
        <is>
          <t xml:space="preserve">HQ </t>
        </is>
      </c>
      <c r="S2025" t="n">
        <v>10</v>
      </c>
      <c r="T2025" t="n">
        <v>10</v>
      </c>
      <c r="U2025" t="inlineStr">
        <is>
          <t>2000-09-28</t>
        </is>
      </c>
      <c r="V2025" t="inlineStr">
        <is>
          <t>2000-09-28</t>
        </is>
      </c>
      <c r="W2025" t="inlineStr">
        <is>
          <t>1992-11-09</t>
        </is>
      </c>
      <c r="X2025" t="inlineStr">
        <is>
          <t>1992-11-09</t>
        </is>
      </c>
      <c r="Y2025" t="n">
        <v>175</v>
      </c>
      <c r="Z2025" t="n">
        <v>106</v>
      </c>
      <c r="AA2025" t="n">
        <v>130</v>
      </c>
      <c r="AB2025" t="n">
        <v>3</v>
      </c>
      <c r="AC2025" t="n">
        <v>3</v>
      </c>
      <c r="AD2025" t="n">
        <v>9</v>
      </c>
      <c r="AE2025" t="n">
        <v>10</v>
      </c>
      <c r="AF2025" t="n">
        <v>0</v>
      </c>
      <c r="AG2025" t="n">
        <v>0</v>
      </c>
      <c r="AH2025" t="n">
        <v>2</v>
      </c>
      <c r="AI2025" t="n">
        <v>3</v>
      </c>
      <c r="AJ2025" t="n">
        <v>6</v>
      </c>
      <c r="AK2025" t="n">
        <v>7</v>
      </c>
      <c r="AL2025" t="n">
        <v>1</v>
      </c>
      <c r="AM2025" t="n">
        <v>1</v>
      </c>
      <c r="AN2025" t="n">
        <v>0</v>
      </c>
      <c r="AO2025" t="n">
        <v>0</v>
      </c>
      <c r="AP2025" t="inlineStr">
        <is>
          <t>No</t>
        </is>
      </c>
      <c r="AQ2025" t="inlineStr">
        <is>
          <t>No</t>
        </is>
      </c>
      <c r="AS2025">
        <f>HYPERLINK("https://creighton-primo.hosted.exlibrisgroup.com/primo-explore/search?tab=default_tab&amp;search_scope=EVERYTHING&amp;vid=01CRU&amp;lang=en_US&amp;offset=0&amp;query=any,contains,991000496569702656","Catalog Record")</f>
        <v/>
      </c>
      <c r="AT2025">
        <f>HYPERLINK("http://www.worldcat.org/oclc/11148212","WorldCat Record")</f>
        <v/>
      </c>
      <c r="AU2025" t="inlineStr">
        <is>
          <t>4212668:eng</t>
        </is>
      </c>
      <c r="AV2025" t="inlineStr">
        <is>
          <t>11148212</t>
        </is>
      </c>
      <c r="AW2025" t="inlineStr">
        <is>
          <t>991000496569702656</t>
        </is>
      </c>
      <c r="AX2025" t="inlineStr">
        <is>
          <t>991000496569702656</t>
        </is>
      </c>
      <c r="AY2025" t="inlineStr">
        <is>
          <t>2257587460002656</t>
        </is>
      </c>
      <c r="AZ2025" t="inlineStr">
        <is>
          <t>BOOK</t>
        </is>
      </c>
      <c r="BB2025" t="inlineStr">
        <is>
          <t>9780225663846</t>
        </is>
      </c>
      <c r="BC2025" t="inlineStr">
        <is>
          <t>32285001359941</t>
        </is>
      </c>
      <c r="BD2025" t="inlineStr">
        <is>
          <t>893534176</t>
        </is>
      </c>
    </row>
    <row r="2026">
      <c r="A2026" t="inlineStr">
        <is>
          <t>No</t>
        </is>
      </c>
      <c r="B2026" t="inlineStr">
        <is>
          <t>HQ759 .H667 1999</t>
        </is>
      </c>
      <c r="C2026" t="inlineStr">
        <is>
          <t>0                      HQ 0759000H  667         1999</t>
        </is>
      </c>
      <c r="D2026" t="inlineStr">
        <is>
          <t>Raising Raul : adventures raising myself and my son / Maria Hinojosa.</t>
        </is>
      </c>
      <c r="F2026" t="inlineStr">
        <is>
          <t>No</t>
        </is>
      </c>
      <c r="G2026" t="inlineStr">
        <is>
          <t>1</t>
        </is>
      </c>
      <c r="H2026" t="inlineStr">
        <is>
          <t>No</t>
        </is>
      </c>
      <c r="I2026" t="inlineStr">
        <is>
          <t>No</t>
        </is>
      </c>
      <c r="J2026" t="inlineStr">
        <is>
          <t>0</t>
        </is>
      </c>
      <c r="K2026" t="inlineStr">
        <is>
          <t>Hinojosa, Maria.</t>
        </is>
      </c>
      <c r="L2026" t="inlineStr">
        <is>
          <t>New York, N.Y. : Viking, 1999.</t>
        </is>
      </c>
      <c r="M2026" t="inlineStr">
        <is>
          <t>1999</t>
        </is>
      </c>
      <c r="O2026" t="inlineStr">
        <is>
          <t>eng</t>
        </is>
      </c>
      <c r="P2026" t="inlineStr">
        <is>
          <t>nyu</t>
        </is>
      </c>
      <c r="R2026" t="inlineStr">
        <is>
          <t xml:space="preserve">HQ </t>
        </is>
      </c>
      <c r="S2026" t="n">
        <v>1</v>
      </c>
      <c r="T2026" t="n">
        <v>1</v>
      </c>
      <c r="U2026" t="inlineStr">
        <is>
          <t>2000-08-29</t>
        </is>
      </c>
      <c r="V2026" t="inlineStr">
        <is>
          <t>2000-08-29</t>
        </is>
      </c>
      <c r="W2026" t="inlineStr">
        <is>
          <t>2000-07-24</t>
        </is>
      </c>
      <c r="X2026" t="inlineStr">
        <is>
          <t>2000-07-24</t>
        </is>
      </c>
      <c r="Y2026" t="n">
        <v>427</v>
      </c>
      <c r="Z2026" t="n">
        <v>416</v>
      </c>
      <c r="AA2026" t="n">
        <v>485</v>
      </c>
      <c r="AB2026" t="n">
        <v>4</v>
      </c>
      <c r="AC2026" t="n">
        <v>4</v>
      </c>
      <c r="AD2026" t="n">
        <v>15</v>
      </c>
      <c r="AE2026" t="n">
        <v>17</v>
      </c>
      <c r="AF2026" t="n">
        <v>4</v>
      </c>
      <c r="AG2026" t="n">
        <v>5</v>
      </c>
      <c r="AH2026" t="n">
        <v>5</v>
      </c>
      <c r="AI2026" t="n">
        <v>5</v>
      </c>
      <c r="AJ2026" t="n">
        <v>8</v>
      </c>
      <c r="AK2026" t="n">
        <v>9</v>
      </c>
      <c r="AL2026" t="n">
        <v>2</v>
      </c>
      <c r="AM2026" t="n">
        <v>2</v>
      </c>
      <c r="AN2026" t="n">
        <v>0</v>
      </c>
      <c r="AO2026" t="n">
        <v>0</v>
      </c>
      <c r="AP2026" t="inlineStr">
        <is>
          <t>No</t>
        </is>
      </c>
      <c r="AQ2026" t="inlineStr">
        <is>
          <t>Yes</t>
        </is>
      </c>
      <c r="AR2026">
        <f>HYPERLINK("http://catalog.hathitrust.org/Record/004063081","HathiTrust Record")</f>
        <v/>
      </c>
      <c r="AS2026">
        <f>HYPERLINK("https://creighton-primo.hosted.exlibrisgroup.com/primo-explore/search?tab=default_tab&amp;search_scope=EVERYTHING&amp;vid=01CRU&amp;lang=en_US&amp;offset=0&amp;query=any,contains,991003213679702656","Catalog Record")</f>
        <v/>
      </c>
      <c r="AT2026">
        <f>HYPERLINK("http://www.worldcat.org/oclc/41958970","WorldCat Record")</f>
        <v/>
      </c>
      <c r="AU2026" t="inlineStr">
        <is>
          <t>42923:eng</t>
        </is>
      </c>
      <c r="AV2026" t="inlineStr">
        <is>
          <t>41958970</t>
        </is>
      </c>
      <c r="AW2026" t="inlineStr">
        <is>
          <t>991003213679702656</t>
        </is>
      </c>
      <c r="AX2026" t="inlineStr">
        <is>
          <t>991003213679702656</t>
        </is>
      </c>
      <c r="AY2026" t="inlineStr">
        <is>
          <t>2264338310002656</t>
        </is>
      </c>
      <c r="AZ2026" t="inlineStr">
        <is>
          <t>BOOK</t>
        </is>
      </c>
      <c r="BB2026" t="inlineStr">
        <is>
          <t>9780670884452</t>
        </is>
      </c>
      <c r="BC2026" t="inlineStr">
        <is>
          <t>32285003707972</t>
        </is>
      </c>
      <c r="BD2026" t="inlineStr">
        <is>
          <t>893505337</t>
        </is>
      </c>
    </row>
    <row r="2027">
      <c r="A2027" t="inlineStr">
        <is>
          <t>No</t>
        </is>
      </c>
      <c r="B2027" t="inlineStr">
        <is>
          <t>HQ759 .H848 1991</t>
        </is>
      </c>
      <c r="C2027" t="inlineStr">
        <is>
          <t>0                      HQ 0759000H  848         1991</t>
        </is>
      </c>
      <c r="D2027" t="inlineStr">
        <is>
          <t>Home by choice : facing the effects of mother's absence / Brenda Hunter.</t>
        </is>
      </c>
      <c r="F2027" t="inlineStr">
        <is>
          <t>No</t>
        </is>
      </c>
      <c r="G2027" t="inlineStr">
        <is>
          <t>1</t>
        </is>
      </c>
      <c r="H2027" t="inlineStr">
        <is>
          <t>No</t>
        </is>
      </c>
      <c r="I2027" t="inlineStr">
        <is>
          <t>No</t>
        </is>
      </c>
      <c r="J2027" t="inlineStr">
        <is>
          <t>0</t>
        </is>
      </c>
      <c r="K2027" t="inlineStr">
        <is>
          <t>Hunter, Brenda.</t>
        </is>
      </c>
      <c r="L2027" t="inlineStr">
        <is>
          <t>Portland, Or. : Multnomah, c1991.</t>
        </is>
      </c>
      <c r="M2027" t="inlineStr">
        <is>
          <t>1991</t>
        </is>
      </c>
      <c r="O2027" t="inlineStr">
        <is>
          <t>eng</t>
        </is>
      </c>
      <c r="P2027" t="inlineStr">
        <is>
          <t>oru</t>
        </is>
      </c>
      <c r="R2027" t="inlineStr">
        <is>
          <t xml:space="preserve">HQ </t>
        </is>
      </c>
      <c r="S2027" t="n">
        <v>6</v>
      </c>
      <c r="T2027" t="n">
        <v>6</v>
      </c>
      <c r="U2027" t="inlineStr">
        <is>
          <t>2005-02-02</t>
        </is>
      </c>
      <c r="V2027" t="inlineStr">
        <is>
          <t>2005-02-02</t>
        </is>
      </c>
      <c r="W2027" t="inlineStr">
        <is>
          <t>1992-02-27</t>
        </is>
      </c>
      <c r="X2027" t="inlineStr">
        <is>
          <t>1992-02-27</t>
        </is>
      </c>
      <c r="Y2027" t="n">
        <v>237</v>
      </c>
      <c r="Z2027" t="n">
        <v>228</v>
      </c>
      <c r="AA2027" t="n">
        <v>233</v>
      </c>
      <c r="AB2027" t="n">
        <v>3</v>
      </c>
      <c r="AC2027" t="n">
        <v>3</v>
      </c>
      <c r="AD2027" t="n">
        <v>5</v>
      </c>
      <c r="AE2027" t="n">
        <v>5</v>
      </c>
      <c r="AF2027" t="n">
        <v>3</v>
      </c>
      <c r="AG2027" t="n">
        <v>3</v>
      </c>
      <c r="AH2027" t="n">
        <v>1</v>
      </c>
      <c r="AI2027" t="n">
        <v>1</v>
      </c>
      <c r="AJ2027" t="n">
        <v>3</v>
      </c>
      <c r="AK2027" t="n">
        <v>3</v>
      </c>
      <c r="AL2027" t="n">
        <v>1</v>
      </c>
      <c r="AM2027" t="n">
        <v>1</v>
      </c>
      <c r="AN2027" t="n">
        <v>0</v>
      </c>
      <c r="AO2027" t="n">
        <v>0</v>
      </c>
      <c r="AP2027" t="inlineStr">
        <is>
          <t>No</t>
        </is>
      </c>
      <c r="AQ2027" t="inlineStr">
        <is>
          <t>No</t>
        </is>
      </c>
      <c r="AS2027">
        <f>HYPERLINK("https://creighton-primo.hosted.exlibrisgroup.com/primo-explore/search?tab=default_tab&amp;search_scope=EVERYTHING&amp;vid=01CRU&amp;lang=en_US&amp;offset=0&amp;query=any,contains,991001865999702656","Catalog Record")</f>
        <v/>
      </c>
      <c r="AT2027">
        <f>HYPERLINK("http://www.worldcat.org/oclc/23463097","WorldCat Record")</f>
        <v/>
      </c>
      <c r="AU2027" t="inlineStr">
        <is>
          <t>230246321:eng</t>
        </is>
      </c>
      <c r="AV2027" t="inlineStr">
        <is>
          <t>23463097</t>
        </is>
      </c>
      <c r="AW2027" t="inlineStr">
        <is>
          <t>991001865999702656</t>
        </is>
      </c>
      <c r="AX2027" t="inlineStr">
        <is>
          <t>991001865999702656</t>
        </is>
      </c>
      <c r="AY2027" t="inlineStr">
        <is>
          <t>2255949660002656</t>
        </is>
      </c>
      <c r="AZ2027" t="inlineStr">
        <is>
          <t>BOOK</t>
        </is>
      </c>
      <c r="BB2027" t="inlineStr">
        <is>
          <t>9780880704335</t>
        </is>
      </c>
      <c r="BC2027" t="inlineStr">
        <is>
          <t>32285000936657</t>
        </is>
      </c>
      <c r="BD2027" t="inlineStr">
        <is>
          <t>893256578</t>
        </is>
      </c>
    </row>
    <row r="2028">
      <c r="A2028" t="inlineStr">
        <is>
          <t>No</t>
        </is>
      </c>
      <c r="B2028" t="inlineStr">
        <is>
          <t>HQ759 .K34 1995</t>
        </is>
      </c>
      <c r="C2028" t="inlineStr">
        <is>
          <t>0                      HQ 0759000K  34          1995</t>
        </is>
      </c>
      <c r="D2028" t="inlineStr">
        <is>
          <t>Bearing meaning : the language of birth / Robbie Pfeufer Kahn.</t>
        </is>
      </c>
      <c r="F2028" t="inlineStr">
        <is>
          <t>No</t>
        </is>
      </c>
      <c r="G2028" t="inlineStr">
        <is>
          <t>1</t>
        </is>
      </c>
      <c r="H2028" t="inlineStr">
        <is>
          <t>No</t>
        </is>
      </c>
      <c r="I2028" t="inlineStr">
        <is>
          <t>No</t>
        </is>
      </c>
      <c r="J2028" t="inlineStr">
        <is>
          <t>0</t>
        </is>
      </c>
      <c r="K2028" t="inlineStr">
        <is>
          <t>Kahn, Robbie Pfeufer, 1941-</t>
        </is>
      </c>
      <c r="L2028" t="inlineStr">
        <is>
          <t>Urbana : University of Illinois Press, c1995.</t>
        </is>
      </c>
      <c r="M2028" t="inlineStr">
        <is>
          <t>1995</t>
        </is>
      </c>
      <c r="O2028" t="inlineStr">
        <is>
          <t>eng</t>
        </is>
      </c>
      <c r="P2028" t="inlineStr">
        <is>
          <t>ilu</t>
        </is>
      </c>
      <c r="R2028" t="inlineStr">
        <is>
          <t xml:space="preserve">HQ </t>
        </is>
      </c>
      <c r="S2028" t="n">
        <v>1</v>
      </c>
      <c r="T2028" t="n">
        <v>1</v>
      </c>
      <c r="U2028" t="inlineStr">
        <is>
          <t>2001-04-16</t>
        </is>
      </c>
      <c r="V2028" t="inlineStr">
        <is>
          <t>2001-04-16</t>
        </is>
      </c>
      <c r="W2028" t="inlineStr">
        <is>
          <t>1996-01-17</t>
        </is>
      </c>
      <c r="X2028" t="inlineStr">
        <is>
          <t>1996-01-17</t>
        </is>
      </c>
      <c r="Y2028" t="n">
        <v>399</v>
      </c>
      <c r="Z2028" t="n">
        <v>330</v>
      </c>
      <c r="AA2028" t="n">
        <v>331</v>
      </c>
      <c r="AB2028" t="n">
        <v>4</v>
      </c>
      <c r="AC2028" t="n">
        <v>4</v>
      </c>
      <c r="AD2028" t="n">
        <v>16</v>
      </c>
      <c r="AE2028" t="n">
        <v>16</v>
      </c>
      <c r="AF2028" t="n">
        <v>5</v>
      </c>
      <c r="AG2028" t="n">
        <v>5</v>
      </c>
      <c r="AH2028" t="n">
        <v>3</v>
      </c>
      <c r="AI2028" t="n">
        <v>3</v>
      </c>
      <c r="AJ2028" t="n">
        <v>10</v>
      </c>
      <c r="AK2028" t="n">
        <v>10</v>
      </c>
      <c r="AL2028" t="n">
        <v>3</v>
      </c>
      <c r="AM2028" t="n">
        <v>3</v>
      </c>
      <c r="AN2028" t="n">
        <v>0</v>
      </c>
      <c r="AO2028" t="n">
        <v>0</v>
      </c>
      <c r="AP2028" t="inlineStr">
        <is>
          <t>No</t>
        </is>
      </c>
      <c r="AQ2028" t="inlineStr">
        <is>
          <t>No</t>
        </is>
      </c>
      <c r="AS2028">
        <f>HYPERLINK("https://creighton-primo.hosted.exlibrisgroup.com/primo-explore/search?tab=default_tab&amp;search_scope=EVERYTHING&amp;vid=01CRU&amp;lang=en_US&amp;offset=0&amp;query=any,contains,991002430559702656","Catalog Record")</f>
        <v/>
      </c>
      <c r="AT2028">
        <f>HYPERLINK("http://www.worldcat.org/oclc/31707399","WorldCat Record")</f>
        <v/>
      </c>
      <c r="AU2028" t="inlineStr">
        <is>
          <t>865296411:eng</t>
        </is>
      </c>
      <c r="AV2028" t="inlineStr">
        <is>
          <t>31707399</t>
        </is>
      </c>
      <c r="AW2028" t="inlineStr">
        <is>
          <t>991002430559702656</t>
        </is>
      </c>
      <c r="AX2028" t="inlineStr">
        <is>
          <t>991002430559702656</t>
        </is>
      </c>
      <c r="AY2028" t="inlineStr">
        <is>
          <t>2272173630002656</t>
        </is>
      </c>
      <c r="AZ2028" t="inlineStr">
        <is>
          <t>BOOK</t>
        </is>
      </c>
      <c r="BB2028" t="inlineStr">
        <is>
          <t>9780252021718</t>
        </is>
      </c>
      <c r="BC2028" t="inlineStr">
        <is>
          <t>32285002119138</t>
        </is>
      </c>
      <c r="BD2028" t="inlineStr">
        <is>
          <t>893903890</t>
        </is>
      </c>
    </row>
    <row r="2029">
      <c r="A2029" t="inlineStr">
        <is>
          <t>No</t>
        </is>
      </c>
      <c r="B2029" t="inlineStr">
        <is>
          <t>HQ759 .K548 2005</t>
        </is>
      </c>
      <c r="C2029" t="inlineStr">
        <is>
          <t>0                      HQ 0759000K  548         2005</t>
        </is>
      </c>
      <c r="D2029" t="inlineStr">
        <is>
          <t>The meaning of wife / Anne Kingston.</t>
        </is>
      </c>
      <c r="F2029" t="inlineStr">
        <is>
          <t>No</t>
        </is>
      </c>
      <c r="G2029" t="inlineStr">
        <is>
          <t>1</t>
        </is>
      </c>
      <c r="H2029" t="inlineStr">
        <is>
          <t>No</t>
        </is>
      </c>
      <c r="I2029" t="inlineStr">
        <is>
          <t>No</t>
        </is>
      </c>
      <c r="J2029" t="inlineStr">
        <is>
          <t>0</t>
        </is>
      </c>
      <c r="K2029" t="inlineStr">
        <is>
          <t>Kingston, Anne, 1957-</t>
        </is>
      </c>
      <c r="L2029" t="inlineStr">
        <is>
          <t>New York : Farrar, Straus, and Giroux, 2005.</t>
        </is>
      </c>
      <c r="M2029" t="inlineStr">
        <is>
          <t>2005</t>
        </is>
      </c>
      <c r="N2029" t="inlineStr">
        <is>
          <t>1st U.S. ed.</t>
        </is>
      </c>
      <c r="O2029" t="inlineStr">
        <is>
          <t>eng</t>
        </is>
      </c>
      <c r="P2029" t="inlineStr">
        <is>
          <t>nyu</t>
        </is>
      </c>
      <c r="R2029" t="inlineStr">
        <is>
          <t xml:space="preserve">HQ </t>
        </is>
      </c>
      <c r="S2029" t="n">
        <v>1</v>
      </c>
      <c r="T2029" t="n">
        <v>1</v>
      </c>
      <c r="U2029" t="inlineStr">
        <is>
          <t>2005-05-24</t>
        </is>
      </c>
      <c r="V2029" t="inlineStr">
        <is>
          <t>2005-05-24</t>
        </is>
      </c>
      <c r="W2029" t="inlineStr">
        <is>
          <t>2005-05-24</t>
        </is>
      </c>
      <c r="X2029" t="inlineStr">
        <is>
          <t>2005-05-24</t>
        </is>
      </c>
      <c r="Y2029" t="n">
        <v>686</v>
      </c>
      <c r="Z2029" t="n">
        <v>652</v>
      </c>
      <c r="AA2029" t="n">
        <v>769</v>
      </c>
      <c r="AB2029" t="n">
        <v>4</v>
      </c>
      <c r="AC2029" t="n">
        <v>4</v>
      </c>
      <c r="AD2029" t="n">
        <v>29</v>
      </c>
      <c r="AE2029" t="n">
        <v>29</v>
      </c>
      <c r="AF2029" t="n">
        <v>14</v>
      </c>
      <c r="AG2029" t="n">
        <v>14</v>
      </c>
      <c r="AH2029" t="n">
        <v>8</v>
      </c>
      <c r="AI2029" t="n">
        <v>8</v>
      </c>
      <c r="AJ2029" t="n">
        <v>11</v>
      </c>
      <c r="AK2029" t="n">
        <v>11</v>
      </c>
      <c r="AL2029" t="n">
        <v>3</v>
      </c>
      <c r="AM2029" t="n">
        <v>3</v>
      </c>
      <c r="AN2029" t="n">
        <v>0</v>
      </c>
      <c r="AO2029" t="n">
        <v>0</v>
      </c>
      <c r="AP2029" t="inlineStr">
        <is>
          <t>No</t>
        </is>
      </c>
      <c r="AQ2029" t="inlineStr">
        <is>
          <t>No</t>
        </is>
      </c>
      <c r="AS2029">
        <f>HYPERLINK("https://creighton-primo.hosted.exlibrisgroup.com/primo-explore/search?tab=default_tab&amp;search_scope=EVERYTHING&amp;vid=01CRU&amp;lang=en_US&amp;offset=0&amp;query=any,contains,991004534599702656","Catalog Record")</f>
        <v/>
      </c>
      <c r="AT2029">
        <f>HYPERLINK("http://www.worldcat.org/oclc/55511413","WorldCat Record")</f>
        <v/>
      </c>
      <c r="AU2029" t="inlineStr">
        <is>
          <t>9554202:eng</t>
        </is>
      </c>
      <c r="AV2029" t="inlineStr">
        <is>
          <t>55511413</t>
        </is>
      </c>
      <c r="AW2029" t="inlineStr">
        <is>
          <t>991004534599702656</t>
        </is>
      </c>
      <c r="AX2029" t="inlineStr">
        <is>
          <t>991004534599702656</t>
        </is>
      </c>
      <c r="AY2029" t="inlineStr">
        <is>
          <t>2261119760002656</t>
        </is>
      </c>
      <c r="AZ2029" t="inlineStr">
        <is>
          <t>BOOK</t>
        </is>
      </c>
      <c r="BB2029" t="inlineStr">
        <is>
          <t>9780374205102</t>
        </is>
      </c>
      <c r="BC2029" t="inlineStr">
        <is>
          <t>32285005090179</t>
        </is>
      </c>
      <c r="BD2029" t="inlineStr">
        <is>
          <t>893247692</t>
        </is>
      </c>
    </row>
    <row r="2030">
      <c r="A2030" t="inlineStr">
        <is>
          <t>No</t>
        </is>
      </c>
      <c r="B2030" t="inlineStr">
        <is>
          <t>HQ759 .L475 2000</t>
        </is>
      </c>
      <c r="C2030" t="inlineStr">
        <is>
          <t>0                      HQ 0759000L  475         2000</t>
        </is>
      </c>
      <c r="D2030" t="inlineStr">
        <is>
          <t>Father courage : what happens when men put family first / Suzanne Braun Levine.</t>
        </is>
      </c>
      <c r="F2030" t="inlineStr">
        <is>
          <t>No</t>
        </is>
      </c>
      <c r="G2030" t="inlineStr">
        <is>
          <t>1</t>
        </is>
      </c>
      <c r="H2030" t="inlineStr">
        <is>
          <t>No</t>
        </is>
      </c>
      <c r="I2030" t="inlineStr">
        <is>
          <t>No</t>
        </is>
      </c>
      <c r="J2030" t="inlineStr">
        <is>
          <t>0</t>
        </is>
      </c>
      <c r="K2030" t="inlineStr">
        <is>
          <t>Levine, Suzanne.</t>
        </is>
      </c>
      <c r="L2030" t="inlineStr">
        <is>
          <t>New York : Harcourt, c2000.</t>
        </is>
      </c>
      <c r="M2030" t="inlineStr">
        <is>
          <t>2000</t>
        </is>
      </c>
      <c r="O2030" t="inlineStr">
        <is>
          <t>eng</t>
        </is>
      </c>
      <c r="P2030" t="inlineStr">
        <is>
          <t>nyu</t>
        </is>
      </c>
      <c r="R2030" t="inlineStr">
        <is>
          <t xml:space="preserve">HQ </t>
        </is>
      </c>
      <c r="S2030" t="n">
        <v>7</v>
      </c>
      <c r="T2030" t="n">
        <v>7</v>
      </c>
      <c r="U2030" t="inlineStr">
        <is>
          <t>2006-04-03</t>
        </is>
      </c>
      <c r="V2030" t="inlineStr">
        <is>
          <t>2006-04-03</t>
        </is>
      </c>
      <c r="W2030" t="inlineStr">
        <is>
          <t>2000-08-23</t>
        </is>
      </c>
      <c r="X2030" t="inlineStr">
        <is>
          <t>2000-08-23</t>
        </is>
      </c>
      <c r="Y2030" t="n">
        <v>595</v>
      </c>
      <c r="Z2030" t="n">
        <v>558</v>
      </c>
      <c r="AA2030" t="n">
        <v>564</v>
      </c>
      <c r="AB2030" t="n">
        <v>5</v>
      </c>
      <c r="AC2030" t="n">
        <v>5</v>
      </c>
      <c r="AD2030" t="n">
        <v>6</v>
      </c>
      <c r="AE2030" t="n">
        <v>6</v>
      </c>
      <c r="AF2030" t="n">
        <v>1</v>
      </c>
      <c r="AG2030" t="n">
        <v>1</v>
      </c>
      <c r="AH2030" t="n">
        <v>0</v>
      </c>
      <c r="AI2030" t="n">
        <v>0</v>
      </c>
      <c r="AJ2030" t="n">
        <v>2</v>
      </c>
      <c r="AK2030" t="n">
        <v>2</v>
      </c>
      <c r="AL2030" t="n">
        <v>3</v>
      </c>
      <c r="AM2030" t="n">
        <v>3</v>
      </c>
      <c r="AN2030" t="n">
        <v>0</v>
      </c>
      <c r="AO2030" t="n">
        <v>0</v>
      </c>
      <c r="AP2030" t="inlineStr">
        <is>
          <t>No</t>
        </is>
      </c>
      <c r="AQ2030" t="inlineStr">
        <is>
          <t>Yes</t>
        </is>
      </c>
      <c r="AR2030">
        <f>HYPERLINK("http://catalog.hathitrust.org/Record/102008870","HathiTrust Record")</f>
        <v/>
      </c>
      <c r="AS2030">
        <f>HYPERLINK("https://creighton-primo.hosted.exlibrisgroup.com/primo-explore/search?tab=default_tab&amp;search_scope=EVERYTHING&amp;vid=01CRU&amp;lang=en_US&amp;offset=0&amp;query=any,contains,991003218109702656","Catalog Record")</f>
        <v/>
      </c>
      <c r="AT2030">
        <f>HYPERLINK("http://www.worldcat.org/oclc/42692137","WorldCat Record")</f>
        <v/>
      </c>
      <c r="AU2030" t="inlineStr">
        <is>
          <t>44805796:eng</t>
        </is>
      </c>
      <c r="AV2030" t="inlineStr">
        <is>
          <t>42692137</t>
        </is>
      </c>
      <c r="AW2030" t="inlineStr">
        <is>
          <t>991003218109702656</t>
        </is>
      </c>
      <c r="AX2030" t="inlineStr">
        <is>
          <t>991003218109702656</t>
        </is>
      </c>
      <c r="AY2030" t="inlineStr">
        <is>
          <t>2258040880002656</t>
        </is>
      </c>
      <c r="AZ2030" t="inlineStr">
        <is>
          <t>BOOK</t>
        </is>
      </c>
      <c r="BB2030" t="inlineStr">
        <is>
          <t>9780151003822</t>
        </is>
      </c>
      <c r="BC2030" t="inlineStr">
        <is>
          <t>32285003758751</t>
        </is>
      </c>
      <c r="BD2030" t="inlineStr">
        <is>
          <t>893434767</t>
        </is>
      </c>
    </row>
    <row r="2031">
      <c r="A2031" t="inlineStr">
        <is>
          <t>No</t>
        </is>
      </c>
      <c r="B2031" t="inlineStr">
        <is>
          <t>HQ759 .M28</t>
        </is>
      </c>
      <c r="C2031" t="inlineStr">
        <is>
          <t>0                      HQ 0759000M  28</t>
        </is>
      </c>
      <c r="D2031" t="inlineStr">
        <is>
          <t>The growth and development of mothers.</t>
        </is>
      </c>
      <c r="F2031" t="inlineStr">
        <is>
          <t>No</t>
        </is>
      </c>
      <c r="G2031" t="inlineStr">
        <is>
          <t>1</t>
        </is>
      </c>
      <c r="H2031" t="inlineStr">
        <is>
          <t>No</t>
        </is>
      </c>
      <c r="I2031" t="inlineStr">
        <is>
          <t>No</t>
        </is>
      </c>
      <c r="J2031" t="inlineStr">
        <is>
          <t>0</t>
        </is>
      </c>
      <c r="K2031" t="inlineStr">
        <is>
          <t>McBride, Angela Barron.</t>
        </is>
      </c>
      <c r="L2031" t="inlineStr">
        <is>
          <t>New York : Harper &amp; Row, c1973.</t>
        </is>
      </c>
      <c r="M2031" t="inlineStr">
        <is>
          <t>1973</t>
        </is>
      </c>
      <c r="N2031" t="inlineStr">
        <is>
          <t>[1st ed.]</t>
        </is>
      </c>
      <c r="O2031" t="inlineStr">
        <is>
          <t>eng</t>
        </is>
      </c>
      <c r="P2031" t="inlineStr">
        <is>
          <t>nyu</t>
        </is>
      </c>
      <c r="R2031" t="inlineStr">
        <is>
          <t xml:space="preserve">HQ </t>
        </is>
      </c>
      <c r="S2031" t="n">
        <v>5</v>
      </c>
      <c r="T2031" t="n">
        <v>5</v>
      </c>
      <c r="U2031" t="inlineStr">
        <is>
          <t>2009-02-24</t>
        </is>
      </c>
      <c r="V2031" t="inlineStr">
        <is>
          <t>2009-02-24</t>
        </is>
      </c>
      <c r="W2031" t="inlineStr">
        <is>
          <t>1992-11-09</t>
        </is>
      </c>
      <c r="X2031" t="inlineStr">
        <is>
          <t>1992-11-09</t>
        </is>
      </c>
      <c r="Y2031" t="n">
        <v>714</v>
      </c>
      <c r="Z2031" t="n">
        <v>654</v>
      </c>
      <c r="AA2031" t="n">
        <v>689</v>
      </c>
      <c r="AB2031" t="n">
        <v>8</v>
      </c>
      <c r="AC2031" t="n">
        <v>8</v>
      </c>
      <c r="AD2031" t="n">
        <v>20</v>
      </c>
      <c r="AE2031" t="n">
        <v>20</v>
      </c>
      <c r="AF2031" t="n">
        <v>7</v>
      </c>
      <c r="AG2031" t="n">
        <v>7</v>
      </c>
      <c r="AH2031" t="n">
        <v>4</v>
      </c>
      <c r="AI2031" t="n">
        <v>4</v>
      </c>
      <c r="AJ2031" t="n">
        <v>12</v>
      </c>
      <c r="AK2031" t="n">
        <v>12</v>
      </c>
      <c r="AL2031" t="n">
        <v>2</v>
      </c>
      <c r="AM2031" t="n">
        <v>2</v>
      </c>
      <c r="AN2031" t="n">
        <v>0</v>
      </c>
      <c r="AO2031" t="n">
        <v>0</v>
      </c>
      <c r="AP2031" t="inlineStr">
        <is>
          <t>No</t>
        </is>
      </c>
      <c r="AQ2031" t="inlineStr">
        <is>
          <t>Yes</t>
        </is>
      </c>
      <c r="AR2031">
        <f>HYPERLINK("http://catalog.hathitrust.org/Record/001108318","HathiTrust Record")</f>
        <v/>
      </c>
      <c r="AS2031">
        <f>HYPERLINK("https://creighton-primo.hosted.exlibrisgroup.com/primo-explore/search?tab=default_tab&amp;search_scope=EVERYTHING&amp;vid=01CRU&amp;lang=en_US&amp;offset=0&amp;query=any,contains,991003011119702656","Catalog Record")</f>
        <v/>
      </c>
      <c r="AT2031">
        <f>HYPERLINK("http://www.worldcat.org/oclc/577989","WorldCat Record")</f>
        <v/>
      </c>
      <c r="AU2031" t="inlineStr">
        <is>
          <t>1711898:eng</t>
        </is>
      </c>
      <c r="AV2031" t="inlineStr">
        <is>
          <t>577989</t>
        </is>
      </c>
      <c r="AW2031" t="inlineStr">
        <is>
          <t>991003011119702656</t>
        </is>
      </c>
      <c r="AX2031" t="inlineStr">
        <is>
          <t>991003011119702656</t>
        </is>
      </c>
      <c r="AY2031" t="inlineStr">
        <is>
          <t>2259506470002656</t>
        </is>
      </c>
      <c r="AZ2031" t="inlineStr">
        <is>
          <t>BOOK</t>
        </is>
      </c>
      <c r="BB2031" t="inlineStr">
        <is>
          <t>9780060128890</t>
        </is>
      </c>
      <c r="BC2031" t="inlineStr">
        <is>
          <t>32285001359982</t>
        </is>
      </c>
      <c r="BD2031" t="inlineStr">
        <is>
          <t>893867986</t>
        </is>
      </c>
    </row>
    <row r="2032">
      <c r="A2032" t="inlineStr">
        <is>
          <t>No</t>
        </is>
      </c>
      <c r="B2032" t="inlineStr">
        <is>
          <t>HQ759 .M8743 1991</t>
        </is>
      </c>
      <c r="C2032" t="inlineStr">
        <is>
          <t>0                      HQ 0759000M  8743        1991</t>
        </is>
      </c>
      <c r="D2032" t="inlineStr">
        <is>
          <t>Motherhood : meanings, practices, and ideologies / edited by Ann Phoenix, Anne Woollett, and Eva Lloyd.</t>
        </is>
      </c>
      <c r="F2032" t="inlineStr">
        <is>
          <t>No</t>
        </is>
      </c>
      <c r="G2032" t="inlineStr">
        <is>
          <t>1</t>
        </is>
      </c>
      <c r="H2032" t="inlineStr">
        <is>
          <t>No</t>
        </is>
      </c>
      <c r="I2032" t="inlineStr">
        <is>
          <t>No</t>
        </is>
      </c>
      <c r="J2032" t="inlineStr">
        <is>
          <t>0</t>
        </is>
      </c>
      <c r="L2032" t="inlineStr">
        <is>
          <t>London ; Newbury Park : Sage Publications, 1991.</t>
        </is>
      </c>
      <c r="M2032" t="inlineStr">
        <is>
          <t>1991</t>
        </is>
      </c>
      <c r="O2032" t="inlineStr">
        <is>
          <t>eng</t>
        </is>
      </c>
      <c r="P2032" t="inlineStr">
        <is>
          <t>enk</t>
        </is>
      </c>
      <c r="Q2032" t="inlineStr">
        <is>
          <t>Gender and psychology</t>
        </is>
      </c>
      <c r="R2032" t="inlineStr">
        <is>
          <t xml:space="preserve">HQ </t>
        </is>
      </c>
      <c r="S2032" t="n">
        <v>8</v>
      </c>
      <c r="T2032" t="n">
        <v>8</v>
      </c>
      <c r="U2032" t="inlineStr">
        <is>
          <t>2009-02-24</t>
        </is>
      </c>
      <c r="V2032" t="inlineStr">
        <is>
          <t>2009-02-24</t>
        </is>
      </c>
      <c r="W2032" t="inlineStr">
        <is>
          <t>1992-09-05</t>
        </is>
      </c>
      <c r="X2032" t="inlineStr">
        <is>
          <t>1992-09-05</t>
        </is>
      </c>
      <c r="Y2032" t="n">
        <v>415</v>
      </c>
      <c r="Z2032" t="n">
        <v>215</v>
      </c>
      <c r="AA2032" t="n">
        <v>222</v>
      </c>
      <c r="AB2032" t="n">
        <v>3</v>
      </c>
      <c r="AC2032" t="n">
        <v>3</v>
      </c>
      <c r="AD2032" t="n">
        <v>17</v>
      </c>
      <c r="AE2032" t="n">
        <v>17</v>
      </c>
      <c r="AF2032" t="n">
        <v>6</v>
      </c>
      <c r="AG2032" t="n">
        <v>6</v>
      </c>
      <c r="AH2032" t="n">
        <v>4</v>
      </c>
      <c r="AI2032" t="n">
        <v>4</v>
      </c>
      <c r="AJ2032" t="n">
        <v>10</v>
      </c>
      <c r="AK2032" t="n">
        <v>10</v>
      </c>
      <c r="AL2032" t="n">
        <v>2</v>
      </c>
      <c r="AM2032" t="n">
        <v>2</v>
      </c>
      <c r="AN2032" t="n">
        <v>0</v>
      </c>
      <c r="AO2032" t="n">
        <v>0</v>
      </c>
      <c r="AP2032" t="inlineStr">
        <is>
          <t>No</t>
        </is>
      </c>
      <c r="AQ2032" t="inlineStr">
        <is>
          <t>Yes</t>
        </is>
      </c>
      <c r="AR2032">
        <f>HYPERLINK("http://catalog.hathitrust.org/Record/002507437","HathiTrust Record")</f>
        <v/>
      </c>
      <c r="AS2032">
        <f>HYPERLINK("https://creighton-primo.hosted.exlibrisgroup.com/primo-explore/search?tab=default_tab&amp;search_scope=EVERYTHING&amp;vid=01CRU&amp;lang=en_US&amp;offset=0&amp;query=any,contains,991002030239702656","Catalog Record")</f>
        <v/>
      </c>
      <c r="AT2032">
        <f>HYPERLINK("http://www.worldcat.org/oclc/25834532","WorldCat Record")</f>
        <v/>
      </c>
      <c r="AU2032" t="inlineStr">
        <is>
          <t>836902302:eng</t>
        </is>
      </c>
      <c r="AV2032" t="inlineStr">
        <is>
          <t>25834532</t>
        </is>
      </c>
      <c r="AW2032" t="inlineStr">
        <is>
          <t>991002030239702656</t>
        </is>
      </c>
      <c r="AX2032" t="inlineStr">
        <is>
          <t>991002030239702656</t>
        </is>
      </c>
      <c r="AY2032" t="inlineStr">
        <is>
          <t>2260928330002656</t>
        </is>
      </c>
      <c r="AZ2032" t="inlineStr">
        <is>
          <t>BOOK</t>
        </is>
      </c>
      <c r="BB2032" t="inlineStr">
        <is>
          <t>9780803983137</t>
        </is>
      </c>
      <c r="BC2032" t="inlineStr">
        <is>
          <t>32285001286391</t>
        </is>
      </c>
      <c r="BD2032" t="inlineStr">
        <is>
          <t>893621834</t>
        </is>
      </c>
    </row>
    <row r="2033">
      <c r="A2033" t="inlineStr">
        <is>
          <t>No</t>
        </is>
      </c>
      <c r="B2033" t="inlineStr">
        <is>
          <t>HQ759 .M88 1984</t>
        </is>
      </c>
      <c r="C2033" t="inlineStr">
        <is>
          <t>0                      HQ 0759000M  88          1984</t>
        </is>
      </c>
      <c r="D2033" t="inlineStr">
        <is>
          <t>Mothering : essays in feminist theory / edited by Joyce Trebilcot.</t>
        </is>
      </c>
      <c r="F2033" t="inlineStr">
        <is>
          <t>No</t>
        </is>
      </c>
      <c r="G2033" t="inlineStr">
        <is>
          <t>1</t>
        </is>
      </c>
      <c r="H2033" t="inlineStr">
        <is>
          <t>No</t>
        </is>
      </c>
      <c r="I2033" t="inlineStr">
        <is>
          <t>No</t>
        </is>
      </c>
      <c r="J2033" t="inlineStr">
        <is>
          <t>0</t>
        </is>
      </c>
      <c r="L2033" t="inlineStr">
        <is>
          <t>Totowa, N.J. : Rowman &amp; Allanheld, 1984, c1983.</t>
        </is>
      </c>
      <c r="M2033" t="inlineStr">
        <is>
          <t>1984</t>
        </is>
      </c>
      <c r="O2033" t="inlineStr">
        <is>
          <t>eng</t>
        </is>
      </c>
      <c r="P2033" t="inlineStr">
        <is>
          <t>nju</t>
        </is>
      </c>
      <c r="Q2033" t="inlineStr">
        <is>
          <t>New feminist perspectives</t>
        </is>
      </c>
      <c r="R2033" t="inlineStr">
        <is>
          <t xml:space="preserve">HQ </t>
        </is>
      </c>
      <c r="S2033" t="n">
        <v>6</v>
      </c>
      <c r="T2033" t="n">
        <v>6</v>
      </c>
      <c r="U2033" t="inlineStr">
        <is>
          <t>2002-08-12</t>
        </is>
      </c>
      <c r="V2033" t="inlineStr">
        <is>
          <t>2002-08-12</t>
        </is>
      </c>
      <c r="W2033" t="inlineStr">
        <is>
          <t>1991-12-05</t>
        </is>
      </c>
      <c r="X2033" t="inlineStr">
        <is>
          <t>1991-12-05</t>
        </is>
      </c>
      <c r="Y2033" t="n">
        <v>668</v>
      </c>
      <c r="Z2033" t="n">
        <v>576</v>
      </c>
      <c r="AA2033" t="n">
        <v>598</v>
      </c>
      <c r="AB2033" t="n">
        <v>5</v>
      </c>
      <c r="AC2033" t="n">
        <v>5</v>
      </c>
      <c r="AD2033" t="n">
        <v>32</v>
      </c>
      <c r="AE2033" t="n">
        <v>33</v>
      </c>
      <c r="AF2033" t="n">
        <v>11</v>
      </c>
      <c r="AG2033" t="n">
        <v>12</v>
      </c>
      <c r="AH2033" t="n">
        <v>9</v>
      </c>
      <c r="AI2033" t="n">
        <v>9</v>
      </c>
      <c r="AJ2033" t="n">
        <v>17</v>
      </c>
      <c r="AK2033" t="n">
        <v>18</v>
      </c>
      <c r="AL2033" t="n">
        <v>3</v>
      </c>
      <c r="AM2033" t="n">
        <v>3</v>
      </c>
      <c r="AN2033" t="n">
        <v>2</v>
      </c>
      <c r="AO2033" t="n">
        <v>2</v>
      </c>
      <c r="AP2033" t="inlineStr">
        <is>
          <t>No</t>
        </is>
      </c>
      <c r="AQ2033" t="inlineStr">
        <is>
          <t>Yes</t>
        </is>
      </c>
      <c r="AR2033">
        <f>HYPERLINK("http://catalog.hathitrust.org/Record/007118624","HathiTrust Record")</f>
        <v/>
      </c>
      <c r="AS2033">
        <f>HYPERLINK("https://creighton-primo.hosted.exlibrisgroup.com/primo-explore/search?tab=default_tab&amp;search_scope=EVERYTHING&amp;vid=01CRU&amp;lang=en_US&amp;offset=0&amp;query=any,contains,991000187179702656","Catalog Record")</f>
        <v/>
      </c>
      <c r="AT2033">
        <f>HYPERLINK("http://www.worldcat.org/oclc/9394311","WorldCat Record")</f>
        <v/>
      </c>
      <c r="AU2033" t="inlineStr">
        <is>
          <t>54562467:eng</t>
        </is>
      </c>
      <c r="AV2033" t="inlineStr">
        <is>
          <t>9394311</t>
        </is>
      </c>
      <c r="AW2033" t="inlineStr">
        <is>
          <t>991000187179702656</t>
        </is>
      </c>
      <c r="AX2033" t="inlineStr">
        <is>
          <t>991000187179702656</t>
        </is>
      </c>
      <c r="AY2033" t="inlineStr">
        <is>
          <t>2262890940002656</t>
        </is>
      </c>
      <c r="AZ2033" t="inlineStr">
        <is>
          <t>BOOK</t>
        </is>
      </c>
      <c r="BB2033" t="inlineStr">
        <is>
          <t>9780847672356</t>
        </is>
      </c>
      <c r="BC2033" t="inlineStr">
        <is>
          <t>32285000848175</t>
        </is>
      </c>
      <c r="BD2033" t="inlineStr">
        <is>
          <t>893796501</t>
        </is>
      </c>
    </row>
    <row r="2034">
      <c r="A2034" t="inlineStr">
        <is>
          <t>No</t>
        </is>
      </c>
      <c r="B2034" t="inlineStr">
        <is>
          <t>HQ759 .O3 1976</t>
        </is>
      </c>
      <c r="C2034" t="inlineStr">
        <is>
          <t>0                      HQ 0759000O  3           1976</t>
        </is>
      </c>
      <c r="D2034" t="inlineStr">
        <is>
          <t>Woman's work : the housewife, past and present / Ann Oakley.</t>
        </is>
      </c>
      <c r="F2034" t="inlineStr">
        <is>
          <t>No</t>
        </is>
      </c>
      <c r="G2034" t="inlineStr">
        <is>
          <t>1</t>
        </is>
      </c>
      <c r="H2034" t="inlineStr">
        <is>
          <t>No</t>
        </is>
      </c>
      <c r="I2034" t="inlineStr">
        <is>
          <t>No</t>
        </is>
      </c>
      <c r="J2034" t="inlineStr">
        <is>
          <t>0</t>
        </is>
      </c>
      <c r="K2034" t="inlineStr">
        <is>
          <t>Oakley, Ann.</t>
        </is>
      </c>
      <c r="L2034" t="inlineStr">
        <is>
          <t>New York : Vintage Books, 1976, c1974.</t>
        </is>
      </c>
      <c r="M2034" t="inlineStr">
        <is>
          <t>1976</t>
        </is>
      </c>
      <c r="O2034" t="inlineStr">
        <is>
          <t>eng</t>
        </is>
      </c>
      <c r="P2034" t="inlineStr">
        <is>
          <t>nyu</t>
        </is>
      </c>
      <c r="R2034" t="inlineStr">
        <is>
          <t xml:space="preserve">HQ </t>
        </is>
      </c>
      <c r="S2034" t="n">
        <v>5</v>
      </c>
      <c r="T2034" t="n">
        <v>5</v>
      </c>
      <c r="U2034" t="inlineStr">
        <is>
          <t>2006-03-13</t>
        </is>
      </c>
      <c r="V2034" t="inlineStr">
        <is>
          <t>2006-03-13</t>
        </is>
      </c>
      <c r="W2034" t="inlineStr">
        <is>
          <t>1997-08-11</t>
        </is>
      </c>
      <c r="X2034" t="inlineStr">
        <is>
          <t>1997-08-11</t>
        </is>
      </c>
      <c r="Y2034" t="n">
        <v>355</v>
      </c>
      <c r="Z2034" t="n">
        <v>302</v>
      </c>
      <c r="AA2034" t="n">
        <v>889</v>
      </c>
      <c r="AB2034" t="n">
        <v>2</v>
      </c>
      <c r="AC2034" t="n">
        <v>6</v>
      </c>
      <c r="AD2034" t="n">
        <v>12</v>
      </c>
      <c r="AE2034" t="n">
        <v>30</v>
      </c>
      <c r="AF2034" t="n">
        <v>5</v>
      </c>
      <c r="AG2034" t="n">
        <v>12</v>
      </c>
      <c r="AH2034" t="n">
        <v>5</v>
      </c>
      <c r="AI2034" t="n">
        <v>6</v>
      </c>
      <c r="AJ2034" t="n">
        <v>5</v>
      </c>
      <c r="AK2034" t="n">
        <v>13</v>
      </c>
      <c r="AL2034" t="n">
        <v>1</v>
      </c>
      <c r="AM2034" t="n">
        <v>4</v>
      </c>
      <c r="AN2034" t="n">
        <v>0</v>
      </c>
      <c r="AO2034" t="n">
        <v>1</v>
      </c>
      <c r="AP2034" t="inlineStr">
        <is>
          <t>No</t>
        </is>
      </c>
      <c r="AQ2034" t="inlineStr">
        <is>
          <t>Yes</t>
        </is>
      </c>
      <c r="AR2034">
        <f>HYPERLINK("http://catalog.hathitrust.org/Record/000021845","HathiTrust Record")</f>
        <v/>
      </c>
      <c r="AS2034">
        <f>HYPERLINK("https://creighton-primo.hosted.exlibrisgroup.com/primo-explore/search?tab=default_tab&amp;search_scope=EVERYTHING&amp;vid=01CRU&amp;lang=en_US&amp;offset=0&amp;query=any,contains,991003843679702656","Catalog Record")</f>
        <v/>
      </c>
      <c r="AT2034">
        <f>HYPERLINK("http://www.worldcat.org/oclc/1622318","WorldCat Record")</f>
        <v/>
      </c>
      <c r="AU2034" t="inlineStr">
        <is>
          <t>5181793572:eng</t>
        </is>
      </c>
      <c r="AV2034" t="inlineStr">
        <is>
          <t>1622318</t>
        </is>
      </c>
      <c r="AW2034" t="inlineStr">
        <is>
          <t>991003843679702656</t>
        </is>
      </c>
      <c r="AX2034" t="inlineStr">
        <is>
          <t>991003843679702656</t>
        </is>
      </c>
      <c r="AY2034" t="inlineStr">
        <is>
          <t>2270677680002656</t>
        </is>
      </c>
      <c r="AZ2034" t="inlineStr">
        <is>
          <t>BOOK</t>
        </is>
      </c>
      <c r="BB2034" t="inlineStr">
        <is>
          <t>9780394719603</t>
        </is>
      </c>
      <c r="BC2034" t="inlineStr">
        <is>
          <t>32285003089975</t>
        </is>
      </c>
      <c r="BD2034" t="inlineStr">
        <is>
          <t>893240666</t>
        </is>
      </c>
    </row>
    <row r="2035">
      <c r="A2035" t="inlineStr">
        <is>
          <t>No</t>
        </is>
      </c>
      <c r="B2035" t="inlineStr">
        <is>
          <t>HQ759 .R54 1993</t>
        </is>
      </c>
      <c r="C2035" t="inlineStr">
        <is>
          <t>0                      HQ 0759000R  54          1993</t>
        </is>
      </c>
      <c r="D2035" t="inlineStr">
        <is>
          <t>Women, motherhood, and childrearing / Diane Richardson.</t>
        </is>
      </c>
      <c r="F2035" t="inlineStr">
        <is>
          <t>No</t>
        </is>
      </c>
      <c r="G2035" t="inlineStr">
        <is>
          <t>1</t>
        </is>
      </c>
      <c r="H2035" t="inlineStr">
        <is>
          <t>No</t>
        </is>
      </c>
      <c r="I2035" t="inlineStr">
        <is>
          <t>No</t>
        </is>
      </c>
      <c r="J2035" t="inlineStr">
        <is>
          <t>0</t>
        </is>
      </c>
      <c r="K2035" t="inlineStr">
        <is>
          <t>Richardson, Diane, 1953-</t>
        </is>
      </c>
      <c r="L2035" t="inlineStr">
        <is>
          <t>New York : St. Martin's Press, 1993.</t>
        </is>
      </c>
      <c r="M2035" t="inlineStr">
        <is>
          <t>1993</t>
        </is>
      </c>
      <c r="O2035" t="inlineStr">
        <is>
          <t>eng</t>
        </is>
      </c>
      <c r="P2035" t="inlineStr">
        <is>
          <t>nyu</t>
        </is>
      </c>
      <c r="R2035" t="inlineStr">
        <is>
          <t xml:space="preserve">HQ </t>
        </is>
      </c>
      <c r="S2035" t="n">
        <v>5</v>
      </c>
      <c r="T2035" t="n">
        <v>5</v>
      </c>
      <c r="U2035" t="inlineStr">
        <is>
          <t>2009-09-15</t>
        </is>
      </c>
      <c r="V2035" t="inlineStr">
        <is>
          <t>2009-09-15</t>
        </is>
      </c>
      <c r="W2035" t="inlineStr">
        <is>
          <t>1996-01-10</t>
        </is>
      </c>
      <c r="X2035" t="inlineStr">
        <is>
          <t>1996-01-10</t>
        </is>
      </c>
      <c r="Y2035" t="n">
        <v>201</v>
      </c>
      <c r="Z2035" t="n">
        <v>160</v>
      </c>
      <c r="AA2035" t="n">
        <v>185</v>
      </c>
      <c r="AB2035" t="n">
        <v>1</v>
      </c>
      <c r="AC2035" t="n">
        <v>1</v>
      </c>
      <c r="AD2035" t="n">
        <v>7</v>
      </c>
      <c r="AE2035" t="n">
        <v>7</v>
      </c>
      <c r="AF2035" t="n">
        <v>2</v>
      </c>
      <c r="AG2035" t="n">
        <v>2</v>
      </c>
      <c r="AH2035" t="n">
        <v>3</v>
      </c>
      <c r="AI2035" t="n">
        <v>3</v>
      </c>
      <c r="AJ2035" t="n">
        <v>4</v>
      </c>
      <c r="AK2035" t="n">
        <v>4</v>
      </c>
      <c r="AL2035" t="n">
        <v>0</v>
      </c>
      <c r="AM2035" t="n">
        <v>0</v>
      </c>
      <c r="AN2035" t="n">
        <v>0</v>
      </c>
      <c r="AO2035" t="n">
        <v>0</v>
      </c>
      <c r="AP2035" t="inlineStr">
        <is>
          <t>No</t>
        </is>
      </c>
      <c r="AQ2035" t="inlineStr">
        <is>
          <t>No</t>
        </is>
      </c>
      <c r="AS2035">
        <f>HYPERLINK("https://creighton-primo.hosted.exlibrisgroup.com/primo-explore/search?tab=default_tab&amp;search_scope=EVERYTHING&amp;vid=01CRU&amp;lang=en_US&amp;offset=0&amp;query=any,contains,991002040059702656","Catalog Record")</f>
        <v/>
      </c>
      <c r="AT2035">
        <f>HYPERLINK("http://www.worldcat.org/oclc/26014717","WorldCat Record")</f>
        <v/>
      </c>
      <c r="AU2035" t="inlineStr">
        <is>
          <t>30469619:eng</t>
        </is>
      </c>
      <c r="AV2035" t="inlineStr">
        <is>
          <t>26014717</t>
        </is>
      </c>
      <c r="AW2035" t="inlineStr">
        <is>
          <t>991002040059702656</t>
        </is>
      </c>
      <c r="AX2035" t="inlineStr">
        <is>
          <t>991002040059702656</t>
        </is>
      </c>
      <c r="AY2035" t="inlineStr">
        <is>
          <t>2261357270002656</t>
        </is>
      </c>
      <c r="AZ2035" t="inlineStr">
        <is>
          <t>BOOK</t>
        </is>
      </c>
      <c r="BB2035" t="inlineStr">
        <is>
          <t>9780312085933</t>
        </is>
      </c>
      <c r="BC2035" t="inlineStr">
        <is>
          <t>32285002116688</t>
        </is>
      </c>
      <c r="BD2035" t="inlineStr">
        <is>
          <t>893785640</t>
        </is>
      </c>
    </row>
    <row r="2036">
      <c r="A2036" t="inlineStr">
        <is>
          <t>No</t>
        </is>
      </c>
      <c r="B2036" t="inlineStr">
        <is>
          <t>HQ759 .R636 1997</t>
        </is>
      </c>
      <c r="C2036" t="inlineStr">
        <is>
          <t>0                      HQ 0759000R  636         1997</t>
        </is>
      </c>
      <c r="D2036" t="inlineStr">
        <is>
          <t>Fruitful : living the contradictions : a memoir of modern motherhood / Anne Roiphe.</t>
        </is>
      </c>
      <c r="F2036" t="inlineStr">
        <is>
          <t>No</t>
        </is>
      </c>
      <c r="G2036" t="inlineStr">
        <is>
          <t>1</t>
        </is>
      </c>
      <c r="H2036" t="inlineStr">
        <is>
          <t>No</t>
        </is>
      </c>
      <c r="I2036" t="inlineStr">
        <is>
          <t>No</t>
        </is>
      </c>
      <c r="J2036" t="inlineStr">
        <is>
          <t>0</t>
        </is>
      </c>
      <c r="K2036" t="inlineStr">
        <is>
          <t>Roiphe, Anne Richardson, 1935-</t>
        </is>
      </c>
      <c r="L2036" t="inlineStr">
        <is>
          <t>New York : Penguin Books, 1997.</t>
        </is>
      </c>
      <c r="M2036" t="inlineStr">
        <is>
          <t>1997</t>
        </is>
      </c>
      <c r="O2036" t="inlineStr">
        <is>
          <t>eng</t>
        </is>
      </c>
      <c r="P2036" t="inlineStr">
        <is>
          <t>nyu</t>
        </is>
      </c>
      <c r="R2036" t="inlineStr">
        <is>
          <t xml:space="preserve">HQ </t>
        </is>
      </c>
      <c r="S2036" t="n">
        <v>10</v>
      </c>
      <c r="T2036" t="n">
        <v>10</v>
      </c>
      <c r="U2036" t="inlineStr">
        <is>
          <t>2010-04-12</t>
        </is>
      </c>
      <c r="V2036" t="inlineStr">
        <is>
          <t>2010-04-12</t>
        </is>
      </c>
      <c r="W2036" t="inlineStr">
        <is>
          <t>1997-12-04</t>
        </is>
      </c>
      <c r="X2036" t="inlineStr">
        <is>
          <t>1997-12-04</t>
        </is>
      </c>
      <c r="Y2036" t="n">
        <v>55</v>
      </c>
      <c r="Z2036" t="n">
        <v>52</v>
      </c>
      <c r="AA2036" t="n">
        <v>57</v>
      </c>
      <c r="AB2036" t="n">
        <v>1</v>
      </c>
      <c r="AC2036" t="n">
        <v>1</v>
      </c>
      <c r="AD2036" t="n">
        <v>1</v>
      </c>
      <c r="AE2036" t="n">
        <v>1</v>
      </c>
      <c r="AF2036" t="n">
        <v>0</v>
      </c>
      <c r="AG2036" t="n">
        <v>0</v>
      </c>
      <c r="AH2036" t="n">
        <v>0</v>
      </c>
      <c r="AI2036" t="n">
        <v>0</v>
      </c>
      <c r="AJ2036" t="n">
        <v>1</v>
      </c>
      <c r="AK2036" t="n">
        <v>1</v>
      </c>
      <c r="AL2036" t="n">
        <v>0</v>
      </c>
      <c r="AM2036" t="n">
        <v>0</v>
      </c>
      <c r="AN2036" t="n">
        <v>0</v>
      </c>
      <c r="AO2036" t="n">
        <v>0</v>
      </c>
      <c r="AP2036" t="inlineStr">
        <is>
          <t>No</t>
        </is>
      </c>
      <c r="AQ2036" t="inlineStr">
        <is>
          <t>No</t>
        </is>
      </c>
      <c r="AS2036">
        <f>HYPERLINK("https://creighton-primo.hosted.exlibrisgroup.com/primo-explore/search?tab=default_tab&amp;search_scope=EVERYTHING&amp;vid=01CRU&amp;lang=en_US&amp;offset=0&amp;query=any,contains,991005427369702656","Catalog Record")</f>
        <v/>
      </c>
      <c r="AT2036">
        <f>HYPERLINK("http://www.worldcat.org/oclc/37861151","WorldCat Record")</f>
        <v/>
      </c>
      <c r="AU2036" t="inlineStr">
        <is>
          <t>5093488268:eng</t>
        </is>
      </c>
      <c r="AV2036" t="inlineStr">
        <is>
          <t>37861151</t>
        </is>
      </c>
      <c r="AW2036" t="inlineStr">
        <is>
          <t>991005427369702656</t>
        </is>
      </c>
      <c r="AX2036" t="inlineStr">
        <is>
          <t>991005427369702656</t>
        </is>
      </c>
      <c r="AY2036" t="inlineStr">
        <is>
          <t>2266921200002656</t>
        </is>
      </c>
      <c r="AZ2036" t="inlineStr">
        <is>
          <t>BOOK</t>
        </is>
      </c>
      <c r="BB2036" t="inlineStr">
        <is>
          <t>9780140266726</t>
        </is>
      </c>
      <c r="BC2036" t="inlineStr">
        <is>
          <t>32285003281259</t>
        </is>
      </c>
      <c r="BD2036" t="inlineStr">
        <is>
          <t>893533843</t>
        </is>
      </c>
    </row>
    <row r="2037">
      <c r="A2037" t="inlineStr">
        <is>
          <t>No</t>
        </is>
      </c>
      <c r="B2037" t="inlineStr">
        <is>
          <t>HQ759 .R69 1988</t>
        </is>
      </c>
      <c r="C2037" t="inlineStr">
        <is>
          <t>0                      HQ 0759000R  69          1988</t>
        </is>
      </c>
      <c r="D2037" t="inlineStr">
        <is>
          <t>From private to public : a feminist exploration of early mothering / by Amy Rossiter.</t>
        </is>
      </c>
      <c r="F2037" t="inlineStr">
        <is>
          <t>No</t>
        </is>
      </c>
      <c r="G2037" t="inlineStr">
        <is>
          <t>1</t>
        </is>
      </c>
      <c r="H2037" t="inlineStr">
        <is>
          <t>No</t>
        </is>
      </c>
      <c r="I2037" t="inlineStr">
        <is>
          <t>No</t>
        </is>
      </c>
      <c r="J2037" t="inlineStr">
        <is>
          <t>0</t>
        </is>
      </c>
      <c r="K2037" t="inlineStr">
        <is>
          <t>Rossiter, Amy, 1948-</t>
        </is>
      </c>
      <c r="L2037" t="inlineStr">
        <is>
          <t>Toronto : Women's Press, c1988.</t>
        </is>
      </c>
      <c r="M2037" t="inlineStr">
        <is>
          <t>1988</t>
        </is>
      </c>
      <c r="O2037" t="inlineStr">
        <is>
          <t>eng</t>
        </is>
      </c>
      <c r="P2037" t="inlineStr">
        <is>
          <t>onc</t>
        </is>
      </c>
      <c r="R2037" t="inlineStr">
        <is>
          <t xml:space="preserve">HQ </t>
        </is>
      </c>
      <c r="S2037" t="n">
        <v>6</v>
      </c>
      <c r="T2037" t="n">
        <v>6</v>
      </c>
      <c r="U2037" t="inlineStr">
        <is>
          <t>2002-04-24</t>
        </is>
      </c>
      <c r="V2037" t="inlineStr">
        <is>
          <t>2002-04-24</t>
        </is>
      </c>
      <c r="W2037" t="inlineStr">
        <is>
          <t>1989-11-01</t>
        </is>
      </c>
      <c r="X2037" t="inlineStr">
        <is>
          <t>1989-11-01</t>
        </is>
      </c>
      <c r="Y2037" t="n">
        <v>193</v>
      </c>
      <c r="Z2037" t="n">
        <v>126</v>
      </c>
      <c r="AA2037" t="n">
        <v>128</v>
      </c>
      <c r="AB2037" t="n">
        <v>3</v>
      </c>
      <c r="AC2037" t="n">
        <v>3</v>
      </c>
      <c r="AD2037" t="n">
        <v>6</v>
      </c>
      <c r="AE2037" t="n">
        <v>6</v>
      </c>
      <c r="AF2037" t="n">
        <v>1</v>
      </c>
      <c r="AG2037" t="n">
        <v>1</v>
      </c>
      <c r="AH2037" t="n">
        <v>1</v>
      </c>
      <c r="AI2037" t="n">
        <v>1</v>
      </c>
      <c r="AJ2037" t="n">
        <v>3</v>
      </c>
      <c r="AK2037" t="n">
        <v>3</v>
      </c>
      <c r="AL2037" t="n">
        <v>2</v>
      </c>
      <c r="AM2037" t="n">
        <v>2</v>
      </c>
      <c r="AN2037" t="n">
        <v>0</v>
      </c>
      <c r="AO2037" t="n">
        <v>0</v>
      </c>
      <c r="AP2037" t="inlineStr">
        <is>
          <t>No</t>
        </is>
      </c>
      <c r="AQ2037" t="inlineStr">
        <is>
          <t>Yes</t>
        </is>
      </c>
      <c r="AR2037">
        <f>HYPERLINK("http://catalog.hathitrust.org/Record/001294874","HathiTrust Record")</f>
        <v/>
      </c>
      <c r="AS2037">
        <f>HYPERLINK("https://creighton-primo.hosted.exlibrisgroup.com/primo-explore/search?tab=default_tab&amp;search_scope=EVERYTHING&amp;vid=01CRU&amp;lang=en_US&amp;offset=0&amp;query=any,contains,991001470169702656","Catalog Record")</f>
        <v/>
      </c>
      <c r="AT2037">
        <f>HYPERLINK("http://www.worldcat.org/oclc/19522444","WorldCat Record")</f>
        <v/>
      </c>
      <c r="AU2037" t="inlineStr">
        <is>
          <t>21510053:eng</t>
        </is>
      </c>
      <c r="AV2037" t="inlineStr">
        <is>
          <t>19522444</t>
        </is>
      </c>
      <c r="AW2037" t="inlineStr">
        <is>
          <t>991001470169702656</t>
        </is>
      </c>
      <c r="AX2037" t="inlineStr">
        <is>
          <t>991001470169702656</t>
        </is>
      </c>
      <c r="AY2037" t="inlineStr">
        <is>
          <t>2257096340002656</t>
        </is>
      </c>
      <c r="AZ2037" t="inlineStr">
        <is>
          <t>BOOK</t>
        </is>
      </c>
      <c r="BB2037" t="inlineStr">
        <is>
          <t>9780889611283</t>
        </is>
      </c>
      <c r="BC2037" t="inlineStr">
        <is>
          <t>32285000010933</t>
        </is>
      </c>
      <c r="BD2037" t="inlineStr">
        <is>
          <t>893785119</t>
        </is>
      </c>
    </row>
    <row r="2038">
      <c r="A2038" t="inlineStr">
        <is>
          <t>No</t>
        </is>
      </c>
      <c r="B2038" t="inlineStr">
        <is>
          <t>HQ759 .S273 1984</t>
        </is>
      </c>
      <c r="C2038" t="inlineStr">
        <is>
          <t>0                      HQ 0759000S  273         1984</t>
        </is>
      </c>
      <c r="D2038" t="inlineStr">
        <is>
          <t>Mother care, other care / Sandra Scarr.</t>
        </is>
      </c>
      <c r="F2038" t="inlineStr">
        <is>
          <t>No</t>
        </is>
      </c>
      <c r="G2038" t="inlineStr">
        <is>
          <t>1</t>
        </is>
      </c>
      <c r="H2038" t="inlineStr">
        <is>
          <t>No</t>
        </is>
      </c>
      <c r="I2038" t="inlineStr">
        <is>
          <t>No</t>
        </is>
      </c>
      <c r="J2038" t="inlineStr">
        <is>
          <t>0</t>
        </is>
      </c>
      <c r="K2038" t="inlineStr">
        <is>
          <t>Scarr, Sandra.</t>
        </is>
      </c>
      <c r="L2038" t="inlineStr">
        <is>
          <t>New York : Basic Books, c1984.</t>
        </is>
      </c>
      <c r="M2038" t="inlineStr">
        <is>
          <t>1984</t>
        </is>
      </c>
      <c r="O2038" t="inlineStr">
        <is>
          <t>eng</t>
        </is>
      </c>
      <c r="P2038" t="inlineStr">
        <is>
          <t>nyu</t>
        </is>
      </c>
      <c r="R2038" t="inlineStr">
        <is>
          <t xml:space="preserve">HQ </t>
        </is>
      </c>
      <c r="S2038" t="n">
        <v>8</v>
      </c>
      <c r="T2038" t="n">
        <v>8</v>
      </c>
      <c r="U2038" t="inlineStr">
        <is>
          <t>2006-03-13</t>
        </is>
      </c>
      <c r="V2038" t="inlineStr">
        <is>
          <t>2006-03-13</t>
        </is>
      </c>
      <c r="W2038" t="inlineStr">
        <is>
          <t>1992-04-28</t>
        </is>
      </c>
      <c r="X2038" t="inlineStr">
        <is>
          <t>1992-04-28</t>
        </is>
      </c>
      <c r="Y2038" t="n">
        <v>631</v>
      </c>
      <c r="Z2038" t="n">
        <v>571</v>
      </c>
      <c r="AA2038" t="n">
        <v>604</v>
      </c>
      <c r="AB2038" t="n">
        <v>3</v>
      </c>
      <c r="AC2038" t="n">
        <v>3</v>
      </c>
      <c r="AD2038" t="n">
        <v>20</v>
      </c>
      <c r="AE2038" t="n">
        <v>21</v>
      </c>
      <c r="AF2038" t="n">
        <v>12</v>
      </c>
      <c r="AG2038" t="n">
        <v>12</v>
      </c>
      <c r="AH2038" t="n">
        <v>3</v>
      </c>
      <c r="AI2038" t="n">
        <v>3</v>
      </c>
      <c r="AJ2038" t="n">
        <v>11</v>
      </c>
      <c r="AK2038" t="n">
        <v>12</v>
      </c>
      <c r="AL2038" t="n">
        <v>1</v>
      </c>
      <c r="AM2038" t="n">
        <v>1</v>
      </c>
      <c r="AN2038" t="n">
        <v>0</v>
      </c>
      <c r="AO2038" t="n">
        <v>0</v>
      </c>
      <c r="AP2038" t="inlineStr">
        <is>
          <t>No</t>
        </is>
      </c>
      <c r="AQ2038" t="inlineStr">
        <is>
          <t>No</t>
        </is>
      </c>
      <c r="AS2038">
        <f>HYPERLINK("https://creighton-primo.hosted.exlibrisgroup.com/primo-explore/search?tab=default_tab&amp;search_scope=EVERYTHING&amp;vid=01CRU&amp;lang=en_US&amp;offset=0&amp;query=any,contains,991000464989702656","Catalog Record")</f>
        <v/>
      </c>
      <c r="AT2038">
        <f>HYPERLINK("http://www.worldcat.org/oclc/10950088","WorldCat Record")</f>
        <v/>
      </c>
      <c r="AU2038" t="inlineStr">
        <is>
          <t>180984:eng</t>
        </is>
      </c>
      <c r="AV2038" t="inlineStr">
        <is>
          <t>10950088</t>
        </is>
      </c>
      <c r="AW2038" t="inlineStr">
        <is>
          <t>991000464989702656</t>
        </is>
      </c>
      <c r="AX2038" t="inlineStr">
        <is>
          <t>991000464989702656</t>
        </is>
      </c>
      <c r="AY2038" t="inlineStr">
        <is>
          <t>2261507330002656</t>
        </is>
      </c>
      <c r="AZ2038" t="inlineStr">
        <is>
          <t>BOOK</t>
        </is>
      </c>
      <c r="BB2038" t="inlineStr">
        <is>
          <t>9780465047345</t>
        </is>
      </c>
      <c r="BC2038" t="inlineStr">
        <is>
          <t>32285001090066</t>
        </is>
      </c>
      <c r="BD2038" t="inlineStr">
        <is>
          <t>893508803</t>
        </is>
      </c>
    </row>
    <row r="2039">
      <c r="A2039" t="inlineStr">
        <is>
          <t>No</t>
        </is>
      </c>
      <c r="B2039" t="inlineStr">
        <is>
          <t>HQ759 .S2755 1985</t>
        </is>
      </c>
      <c r="C2039" t="inlineStr">
        <is>
          <t>0                      HQ 0759000S  2755        1985</t>
        </is>
      </c>
      <c r="D2039" t="inlineStr">
        <is>
          <t>Childbearing in American society, 1650-1850 / Catherine M. Scholten.</t>
        </is>
      </c>
      <c r="F2039" t="inlineStr">
        <is>
          <t>No</t>
        </is>
      </c>
      <c r="G2039" t="inlineStr">
        <is>
          <t>1</t>
        </is>
      </c>
      <c r="H2039" t="inlineStr">
        <is>
          <t>No</t>
        </is>
      </c>
      <c r="I2039" t="inlineStr">
        <is>
          <t>No</t>
        </is>
      </c>
      <c r="J2039" t="inlineStr">
        <is>
          <t>0</t>
        </is>
      </c>
      <c r="K2039" t="inlineStr">
        <is>
          <t>Scholten, Catherine M., 1949-1981.</t>
        </is>
      </c>
      <c r="L2039" t="inlineStr">
        <is>
          <t>New York : New York University Press, 1985.</t>
        </is>
      </c>
      <c r="M2039" t="inlineStr">
        <is>
          <t>1985</t>
        </is>
      </c>
      <c r="O2039" t="inlineStr">
        <is>
          <t>eng</t>
        </is>
      </c>
      <c r="P2039" t="inlineStr">
        <is>
          <t>nyu</t>
        </is>
      </c>
      <c r="Q2039" t="inlineStr">
        <is>
          <t>The American social experience series ; 2</t>
        </is>
      </c>
      <c r="R2039" t="inlineStr">
        <is>
          <t xml:space="preserve">HQ </t>
        </is>
      </c>
      <c r="S2039" t="n">
        <v>5</v>
      </c>
      <c r="T2039" t="n">
        <v>5</v>
      </c>
      <c r="U2039" t="inlineStr">
        <is>
          <t>2009-09-26</t>
        </is>
      </c>
      <c r="V2039" t="inlineStr">
        <is>
          <t>2009-09-26</t>
        </is>
      </c>
      <c r="W2039" t="inlineStr">
        <is>
          <t>1992-03-17</t>
        </is>
      </c>
      <c r="X2039" t="inlineStr">
        <is>
          <t>1992-03-17</t>
        </is>
      </c>
      <c r="Y2039" t="n">
        <v>626</v>
      </c>
      <c r="Z2039" t="n">
        <v>544</v>
      </c>
      <c r="AA2039" t="n">
        <v>549</v>
      </c>
      <c r="AB2039" t="n">
        <v>6</v>
      </c>
      <c r="AC2039" t="n">
        <v>6</v>
      </c>
      <c r="AD2039" t="n">
        <v>26</v>
      </c>
      <c r="AE2039" t="n">
        <v>26</v>
      </c>
      <c r="AF2039" t="n">
        <v>8</v>
      </c>
      <c r="AG2039" t="n">
        <v>8</v>
      </c>
      <c r="AH2039" t="n">
        <v>5</v>
      </c>
      <c r="AI2039" t="n">
        <v>5</v>
      </c>
      <c r="AJ2039" t="n">
        <v>15</v>
      </c>
      <c r="AK2039" t="n">
        <v>15</v>
      </c>
      <c r="AL2039" t="n">
        <v>5</v>
      </c>
      <c r="AM2039" t="n">
        <v>5</v>
      </c>
      <c r="AN2039" t="n">
        <v>0</v>
      </c>
      <c r="AO2039" t="n">
        <v>0</v>
      </c>
      <c r="AP2039" t="inlineStr">
        <is>
          <t>No</t>
        </is>
      </c>
      <c r="AQ2039" t="inlineStr">
        <is>
          <t>No</t>
        </is>
      </c>
      <c r="AS2039">
        <f>HYPERLINK("https://creighton-primo.hosted.exlibrisgroup.com/primo-explore/search?tab=default_tab&amp;search_scope=EVERYTHING&amp;vid=01CRU&amp;lang=en_US&amp;offset=0&amp;query=any,contains,991000587959702656","Catalog Record")</f>
        <v/>
      </c>
      <c r="AT2039">
        <f>HYPERLINK("http://www.worldcat.org/oclc/11782776","WorldCat Record")</f>
        <v/>
      </c>
      <c r="AU2039" t="inlineStr">
        <is>
          <t>4594093:eng</t>
        </is>
      </c>
      <c r="AV2039" t="inlineStr">
        <is>
          <t>11782776</t>
        </is>
      </c>
      <c r="AW2039" t="inlineStr">
        <is>
          <t>991000587959702656</t>
        </is>
      </c>
      <c r="AX2039" t="inlineStr">
        <is>
          <t>991000587959702656</t>
        </is>
      </c>
      <c r="AY2039" t="inlineStr">
        <is>
          <t>2255140820002656</t>
        </is>
      </c>
      <c r="AZ2039" t="inlineStr">
        <is>
          <t>BOOK</t>
        </is>
      </c>
      <c r="BB2039" t="inlineStr">
        <is>
          <t>9780814778487</t>
        </is>
      </c>
      <c r="BC2039" t="inlineStr">
        <is>
          <t>32285001022804</t>
        </is>
      </c>
      <c r="BD2039" t="inlineStr">
        <is>
          <t>893790663</t>
        </is>
      </c>
    </row>
    <row r="2040">
      <c r="A2040" t="inlineStr">
        <is>
          <t>No</t>
        </is>
      </c>
      <c r="B2040" t="inlineStr">
        <is>
          <t>HQ759 .T54 1990</t>
        </is>
      </c>
      <c r="C2040" t="inlineStr">
        <is>
          <t>0                      HQ 0759000T  54          1990</t>
        </is>
      </c>
      <c r="D2040" t="inlineStr">
        <is>
          <t>Ties that bind : essays on mothering and patriarchy / edited by Jean F. O'Barr, Deborah Pope, Mary Wyer.</t>
        </is>
      </c>
      <c r="F2040" t="inlineStr">
        <is>
          <t>No</t>
        </is>
      </c>
      <c r="G2040" t="inlineStr">
        <is>
          <t>1</t>
        </is>
      </c>
      <c r="H2040" t="inlineStr">
        <is>
          <t>No</t>
        </is>
      </c>
      <c r="I2040" t="inlineStr">
        <is>
          <t>No</t>
        </is>
      </c>
      <c r="J2040" t="inlineStr">
        <is>
          <t>0</t>
        </is>
      </c>
      <c r="L2040" t="inlineStr">
        <is>
          <t>Chicago : University of Chicago Press, 1990.</t>
        </is>
      </c>
      <c r="M2040" t="inlineStr">
        <is>
          <t>1990</t>
        </is>
      </c>
      <c r="O2040" t="inlineStr">
        <is>
          <t>eng</t>
        </is>
      </c>
      <c r="P2040" t="inlineStr">
        <is>
          <t>ilu</t>
        </is>
      </c>
      <c r="R2040" t="inlineStr">
        <is>
          <t xml:space="preserve">HQ </t>
        </is>
      </c>
      <c r="S2040" t="n">
        <v>7</v>
      </c>
      <c r="T2040" t="n">
        <v>7</v>
      </c>
      <c r="U2040" t="inlineStr">
        <is>
          <t>1997-09-30</t>
        </is>
      </c>
      <c r="V2040" t="inlineStr">
        <is>
          <t>1997-09-30</t>
        </is>
      </c>
      <c r="W2040" t="inlineStr">
        <is>
          <t>1992-07-28</t>
        </is>
      </c>
      <c r="X2040" t="inlineStr">
        <is>
          <t>1992-07-28</t>
        </is>
      </c>
      <c r="Y2040" t="n">
        <v>450</v>
      </c>
      <c r="Z2040" t="n">
        <v>363</v>
      </c>
      <c r="AA2040" t="n">
        <v>369</v>
      </c>
      <c r="AB2040" t="n">
        <v>4</v>
      </c>
      <c r="AC2040" t="n">
        <v>4</v>
      </c>
      <c r="AD2040" t="n">
        <v>22</v>
      </c>
      <c r="AE2040" t="n">
        <v>22</v>
      </c>
      <c r="AF2040" t="n">
        <v>8</v>
      </c>
      <c r="AG2040" t="n">
        <v>8</v>
      </c>
      <c r="AH2040" t="n">
        <v>7</v>
      </c>
      <c r="AI2040" t="n">
        <v>7</v>
      </c>
      <c r="AJ2040" t="n">
        <v>8</v>
      </c>
      <c r="AK2040" t="n">
        <v>8</v>
      </c>
      <c r="AL2040" t="n">
        <v>3</v>
      </c>
      <c r="AM2040" t="n">
        <v>3</v>
      </c>
      <c r="AN2040" t="n">
        <v>0</v>
      </c>
      <c r="AO2040" t="n">
        <v>0</v>
      </c>
      <c r="AP2040" t="inlineStr">
        <is>
          <t>No</t>
        </is>
      </c>
      <c r="AQ2040" t="inlineStr">
        <is>
          <t>No</t>
        </is>
      </c>
      <c r="AS2040">
        <f>HYPERLINK("https://creighton-primo.hosted.exlibrisgroup.com/primo-explore/search?tab=default_tab&amp;search_scope=EVERYTHING&amp;vid=01CRU&amp;lang=en_US&amp;offset=0&amp;query=any,contains,991001712249702656","Catalog Record")</f>
        <v/>
      </c>
      <c r="AT2040">
        <f>HYPERLINK("http://www.worldcat.org/oclc/21600885","WorldCat Record")</f>
        <v/>
      </c>
      <c r="AU2040" t="inlineStr">
        <is>
          <t>836706879:eng</t>
        </is>
      </c>
      <c r="AV2040" t="inlineStr">
        <is>
          <t>21600885</t>
        </is>
      </c>
      <c r="AW2040" t="inlineStr">
        <is>
          <t>991001712249702656</t>
        </is>
      </c>
      <c r="AX2040" t="inlineStr">
        <is>
          <t>991001712249702656</t>
        </is>
      </c>
      <c r="AY2040" t="inlineStr">
        <is>
          <t>2261331420002656</t>
        </is>
      </c>
      <c r="AZ2040" t="inlineStr">
        <is>
          <t>BOOK</t>
        </is>
      </c>
      <c r="BB2040" t="inlineStr">
        <is>
          <t>9780226615462</t>
        </is>
      </c>
      <c r="BC2040" t="inlineStr">
        <is>
          <t>32285001195196</t>
        </is>
      </c>
      <c r="BD2040" t="inlineStr">
        <is>
          <t>893897997</t>
        </is>
      </c>
    </row>
    <row r="2041">
      <c r="A2041" t="inlineStr">
        <is>
          <t>No</t>
        </is>
      </c>
      <c r="B2041" t="inlineStr">
        <is>
          <t>HQ759 .W33 1986</t>
        </is>
      </c>
      <c r="C2041" t="inlineStr">
        <is>
          <t>0                      HQ 0759000W  33          1986</t>
        </is>
      </c>
      <c r="D2041" t="inlineStr">
        <is>
          <t>The timing of motherhood / by Carolyn Ambler Walter.</t>
        </is>
      </c>
      <c r="F2041" t="inlineStr">
        <is>
          <t>No</t>
        </is>
      </c>
      <c r="G2041" t="inlineStr">
        <is>
          <t>1</t>
        </is>
      </c>
      <c r="H2041" t="inlineStr">
        <is>
          <t>No</t>
        </is>
      </c>
      <c r="I2041" t="inlineStr">
        <is>
          <t>No</t>
        </is>
      </c>
      <c r="J2041" t="inlineStr">
        <is>
          <t>0</t>
        </is>
      </c>
      <c r="K2041" t="inlineStr">
        <is>
          <t>Walter, Carolyn Ambler.</t>
        </is>
      </c>
      <c r="L2041" t="inlineStr">
        <is>
          <t>Lexington, Mass. : D.C. Heath, c1986.</t>
        </is>
      </c>
      <c r="M2041" t="inlineStr">
        <is>
          <t>1986</t>
        </is>
      </c>
      <c r="O2041" t="inlineStr">
        <is>
          <t>eng</t>
        </is>
      </c>
      <c r="P2041" t="inlineStr">
        <is>
          <t>mau</t>
        </is>
      </c>
      <c r="R2041" t="inlineStr">
        <is>
          <t xml:space="preserve">HQ </t>
        </is>
      </c>
      <c r="S2041" t="n">
        <v>10</v>
      </c>
      <c r="T2041" t="n">
        <v>10</v>
      </c>
      <c r="U2041" t="inlineStr">
        <is>
          <t>2010-11-08</t>
        </is>
      </c>
      <c r="V2041" t="inlineStr">
        <is>
          <t>2010-11-08</t>
        </is>
      </c>
      <c r="W2041" t="inlineStr">
        <is>
          <t>1992-11-09</t>
        </is>
      </c>
      <c r="X2041" t="inlineStr">
        <is>
          <t>1992-11-09</t>
        </is>
      </c>
      <c r="Y2041" t="n">
        <v>472</v>
      </c>
      <c r="Z2041" t="n">
        <v>432</v>
      </c>
      <c r="AA2041" t="n">
        <v>461</v>
      </c>
      <c r="AB2041" t="n">
        <v>4</v>
      </c>
      <c r="AC2041" t="n">
        <v>4</v>
      </c>
      <c r="AD2041" t="n">
        <v>16</v>
      </c>
      <c r="AE2041" t="n">
        <v>18</v>
      </c>
      <c r="AF2041" t="n">
        <v>6</v>
      </c>
      <c r="AG2041" t="n">
        <v>7</v>
      </c>
      <c r="AH2041" t="n">
        <v>3</v>
      </c>
      <c r="AI2041" t="n">
        <v>4</v>
      </c>
      <c r="AJ2041" t="n">
        <v>10</v>
      </c>
      <c r="AK2041" t="n">
        <v>10</v>
      </c>
      <c r="AL2041" t="n">
        <v>3</v>
      </c>
      <c r="AM2041" t="n">
        <v>3</v>
      </c>
      <c r="AN2041" t="n">
        <v>0</v>
      </c>
      <c r="AO2041" t="n">
        <v>0</v>
      </c>
      <c r="AP2041" t="inlineStr">
        <is>
          <t>No</t>
        </is>
      </c>
      <c r="AQ2041" t="inlineStr">
        <is>
          <t>Yes</t>
        </is>
      </c>
      <c r="AR2041">
        <f>HYPERLINK("http://catalog.hathitrust.org/Record/000664969","HathiTrust Record")</f>
        <v/>
      </c>
      <c r="AS2041">
        <f>HYPERLINK("https://creighton-primo.hosted.exlibrisgroup.com/primo-explore/search?tab=default_tab&amp;search_scope=EVERYTHING&amp;vid=01CRU&amp;lang=en_US&amp;offset=0&amp;query=any,contains,991000765839702656","Catalog Record")</f>
        <v/>
      </c>
      <c r="AT2041">
        <f>HYPERLINK("http://www.worldcat.org/oclc/13002785","WorldCat Record")</f>
        <v/>
      </c>
      <c r="AU2041" t="inlineStr">
        <is>
          <t>5387179:eng</t>
        </is>
      </c>
      <c r="AV2041" t="inlineStr">
        <is>
          <t>13002785</t>
        </is>
      </c>
      <c r="AW2041" t="inlineStr">
        <is>
          <t>991000765839702656</t>
        </is>
      </c>
      <c r="AX2041" t="inlineStr">
        <is>
          <t>991000765839702656</t>
        </is>
      </c>
      <c r="AY2041" t="inlineStr">
        <is>
          <t>2265707760002656</t>
        </is>
      </c>
      <c r="AZ2041" t="inlineStr">
        <is>
          <t>BOOK</t>
        </is>
      </c>
      <c r="BB2041" t="inlineStr">
        <is>
          <t>9780669110999</t>
        </is>
      </c>
      <c r="BC2041" t="inlineStr">
        <is>
          <t>32285001360006</t>
        </is>
      </c>
      <c r="BD2041" t="inlineStr">
        <is>
          <t>893608260</t>
        </is>
      </c>
    </row>
    <row r="2042">
      <c r="A2042" t="inlineStr">
        <is>
          <t>No</t>
        </is>
      </c>
      <c r="B2042" t="inlineStr">
        <is>
          <t>HQ759 .W52 1986</t>
        </is>
      </c>
      <c r="C2042" t="inlineStr">
        <is>
          <t>0                      HQ 0759000W  52          1986</t>
        </is>
      </c>
      <c r="D2042" t="inlineStr">
        <is>
          <t>Career women and childbearing : a psychological analysis of the decision process / Carole A. Wilk.</t>
        </is>
      </c>
      <c r="F2042" t="inlineStr">
        <is>
          <t>No</t>
        </is>
      </c>
      <c r="G2042" t="inlineStr">
        <is>
          <t>1</t>
        </is>
      </c>
      <c r="H2042" t="inlineStr">
        <is>
          <t>No</t>
        </is>
      </c>
      <c r="I2042" t="inlineStr">
        <is>
          <t>No</t>
        </is>
      </c>
      <c r="J2042" t="inlineStr">
        <is>
          <t>0</t>
        </is>
      </c>
      <c r="K2042" t="inlineStr">
        <is>
          <t>Wilk, Carole A.</t>
        </is>
      </c>
      <c r="L2042" t="inlineStr">
        <is>
          <t>New York : Van Nostrand Reinhold, 1986.</t>
        </is>
      </c>
      <c r="M2042" t="inlineStr">
        <is>
          <t>1986</t>
        </is>
      </c>
      <c r="O2042" t="inlineStr">
        <is>
          <t>eng</t>
        </is>
      </c>
      <c r="P2042" t="inlineStr">
        <is>
          <t>nyu</t>
        </is>
      </c>
      <c r="R2042" t="inlineStr">
        <is>
          <t xml:space="preserve">HQ </t>
        </is>
      </c>
      <c r="S2042" t="n">
        <v>5</v>
      </c>
      <c r="T2042" t="n">
        <v>5</v>
      </c>
      <c r="U2042" t="inlineStr">
        <is>
          <t>1995-03-23</t>
        </is>
      </c>
      <c r="V2042" t="inlineStr">
        <is>
          <t>1995-03-23</t>
        </is>
      </c>
      <c r="W2042" t="inlineStr">
        <is>
          <t>1992-03-17</t>
        </is>
      </c>
      <c r="X2042" t="inlineStr">
        <is>
          <t>1992-03-17</t>
        </is>
      </c>
      <c r="Y2042" t="n">
        <v>467</v>
      </c>
      <c r="Z2042" t="n">
        <v>403</v>
      </c>
      <c r="AA2042" t="n">
        <v>419</v>
      </c>
      <c r="AB2042" t="n">
        <v>4</v>
      </c>
      <c r="AC2042" t="n">
        <v>4</v>
      </c>
      <c r="AD2042" t="n">
        <v>21</v>
      </c>
      <c r="AE2042" t="n">
        <v>23</v>
      </c>
      <c r="AF2042" t="n">
        <v>6</v>
      </c>
      <c r="AG2042" t="n">
        <v>7</v>
      </c>
      <c r="AH2042" t="n">
        <v>7</v>
      </c>
      <c r="AI2042" t="n">
        <v>8</v>
      </c>
      <c r="AJ2042" t="n">
        <v>12</v>
      </c>
      <c r="AK2042" t="n">
        <v>12</v>
      </c>
      <c r="AL2042" t="n">
        <v>3</v>
      </c>
      <c r="AM2042" t="n">
        <v>3</v>
      </c>
      <c r="AN2042" t="n">
        <v>0</v>
      </c>
      <c r="AO2042" t="n">
        <v>0</v>
      </c>
      <c r="AP2042" t="inlineStr">
        <is>
          <t>No</t>
        </is>
      </c>
      <c r="AQ2042" t="inlineStr">
        <is>
          <t>No</t>
        </is>
      </c>
      <c r="AS2042">
        <f>HYPERLINK("https://creighton-primo.hosted.exlibrisgroup.com/primo-explore/search?tab=default_tab&amp;search_scope=EVERYTHING&amp;vid=01CRU&amp;lang=en_US&amp;offset=0&amp;query=any,contains,991000629859702656","Catalog Record")</f>
        <v/>
      </c>
      <c r="AT2042">
        <f>HYPERLINK("http://www.worldcat.org/oclc/12051729","WorldCat Record")</f>
        <v/>
      </c>
      <c r="AU2042" t="inlineStr">
        <is>
          <t>198837873:eng</t>
        </is>
      </c>
      <c r="AV2042" t="inlineStr">
        <is>
          <t>12051729</t>
        </is>
      </c>
      <c r="AW2042" t="inlineStr">
        <is>
          <t>991000629859702656</t>
        </is>
      </c>
      <c r="AX2042" t="inlineStr">
        <is>
          <t>991000629859702656</t>
        </is>
      </c>
      <c r="AY2042" t="inlineStr">
        <is>
          <t>2268562560002656</t>
        </is>
      </c>
      <c r="AZ2042" t="inlineStr">
        <is>
          <t>BOOK</t>
        </is>
      </c>
      <c r="BB2042" t="inlineStr">
        <is>
          <t>9780442293529</t>
        </is>
      </c>
      <c r="BC2042" t="inlineStr">
        <is>
          <t>32285001022796</t>
        </is>
      </c>
      <c r="BD2042" t="inlineStr">
        <is>
          <t>893802946</t>
        </is>
      </c>
    </row>
    <row r="2043">
      <c r="A2043" t="inlineStr">
        <is>
          <t>No</t>
        </is>
      </c>
      <c r="B2043" t="inlineStr">
        <is>
          <t>HQ759 .W5845 2009</t>
        </is>
      </c>
      <c r="C2043" t="inlineStr">
        <is>
          <t>0                      HQ 0759000W  5845        2009</t>
        </is>
      </c>
      <c r="D2043" t="inlineStr">
        <is>
          <t>It gets easier!-- and other lies we tell new mothers / Claudine Wolk.</t>
        </is>
      </c>
      <c r="F2043" t="inlineStr">
        <is>
          <t>No</t>
        </is>
      </c>
      <c r="G2043" t="inlineStr">
        <is>
          <t>1</t>
        </is>
      </c>
      <c r="H2043" t="inlineStr">
        <is>
          <t>No</t>
        </is>
      </c>
      <c r="I2043" t="inlineStr">
        <is>
          <t>No</t>
        </is>
      </c>
      <c r="J2043" t="inlineStr">
        <is>
          <t>0</t>
        </is>
      </c>
      <c r="K2043" t="inlineStr">
        <is>
          <t>Wolk, Claudine.</t>
        </is>
      </c>
      <c r="L2043" t="inlineStr">
        <is>
          <t>New York : American Management Association, c2009.</t>
        </is>
      </c>
      <c r="M2043" t="inlineStr">
        <is>
          <t>2009</t>
        </is>
      </c>
      <c r="O2043" t="inlineStr">
        <is>
          <t>eng</t>
        </is>
      </c>
      <c r="P2043" t="inlineStr">
        <is>
          <t>nyu</t>
        </is>
      </c>
      <c r="R2043" t="inlineStr">
        <is>
          <t xml:space="preserve">HQ </t>
        </is>
      </c>
      <c r="S2043" t="n">
        <v>3</v>
      </c>
      <c r="T2043" t="n">
        <v>3</v>
      </c>
      <c r="U2043" t="inlineStr">
        <is>
          <t>2009-11-13</t>
        </is>
      </c>
      <c r="V2043" t="inlineStr">
        <is>
          <t>2009-11-13</t>
        </is>
      </c>
      <c r="W2043" t="inlineStr">
        <is>
          <t>2009-08-19</t>
        </is>
      </c>
      <c r="X2043" t="inlineStr">
        <is>
          <t>2009-08-19</t>
        </is>
      </c>
      <c r="Y2043" t="n">
        <v>169</v>
      </c>
      <c r="Z2043" t="n">
        <v>151</v>
      </c>
      <c r="AA2043" t="n">
        <v>625</v>
      </c>
      <c r="AB2043" t="n">
        <v>1</v>
      </c>
      <c r="AC2043" t="n">
        <v>4</v>
      </c>
      <c r="AD2043" t="n">
        <v>0</v>
      </c>
      <c r="AE2043" t="n">
        <v>7</v>
      </c>
      <c r="AF2043" t="n">
        <v>0</v>
      </c>
      <c r="AG2043" t="n">
        <v>4</v>
      </c>
      <c r="AH2043" t="n">
        <v>0</v>
      </c>
      <c r="AI2043" t="n">
        <v>1</v>
      </c>
      <c r="AJ2043" t="n">
        <v>0</v>
      </c>
      <c r="AK2043" t="n">
        <v>1</v>
      </c>
      <c r="AL2043" t="n">
        <v>0</v>
      </c>
      <c r="AM2043" t="n">
        <v>3</v>
      </c>
      <c r="AN2043" t="n">
        <v>0</v>
      </c>
      <c r="AO2043" t="n">
        <v>0</v>
      </c>
      <c r="AP2043" t="inlineStr">
        <is>
          <t>No</t>
        </is>
      </c>
      <c r="AQ2043" t="inlineStr">
        <is>
          <t>Yes</t>
        </is>
      </c>
      <c r="AR2043">
        <f>HYPERLINK("http://catalog.hathitrust.org/Record/010617056","HathiTrust Record")</f>
        <v/>
      </c>
      <c r="AS2043">
        <f>HYPERLINK("https://creighton-primo.hosted.exlibrisgroup.com/primo-explore/search?tab=default_tab&amp;search_scope=EVERYTHING&amp;vid=01CRU&amp;lang=en_US&amp;offset=0&amp;query=any,contains,991005330649702656","Catalog Record")</f>
        <v/>
      </c>
      <c r="AT2043">
        <f>HYPERLINK("http://www.worldcat.org/oclc/290435809","WorldCat Record")</f>
        <v/>
      </c>
      <c r="AU2043" t="inlineStr">
        <is>
          <t>866860561:eng</t>
        </is>
      </c>
      <c r="AV2043" t="inlineStr">
        <is>
          <t>290435809</t>
        </is>
      </c>
      <c r="AW2043" t="inlineStr">
        <is>
          <t>991005330649702656</t>
        </is>
      </c>
      <c r="AX2043" t="inlineStr">
        <is>
          <t>991005330649702656</t>
        </is>
      </c>
      <c r="AY2043" t="inlineStr">
        <is>
          <t>2257682410002656</t>
        </is>
      </c>
      <c r="AZ2043" t="inlineStr">
        <is>
          <t>BOOK</t>
        </is>
      </c>
      <c r="BB2043" t="inlineStr">
        <is>
          <t>9780814415023</t>
        </is>
      </c>
      <c r="BC2043" t="inlineStr">
        <is>
          <t>32285005542146</t>
        </is>
      </c>
      <c r="BD2043" t="inlineStr">
        <is>
          <t>893527310</t>
        </is>
      </c>
    </row>
    <row r="2044">
      <c r="A2044" t="inlineStr">
        <is>
          <t>No</t>
        </is>
      </c>
      <c r="B2044" t="inlineStr">
        <is>
          <t>HQ759 .W585 1990b</t>
        </is>
      </c>
      <c r="C2044" t="inlineStr">
        <is>
          <t>0                      HQ 0759000W  585         1990b</t>
        </is>
      </c>
      <c r="D2044" t="inlineStr">
        <is>
          <t>Motherhood : a feminist perspective / Jane Price Knowles, Ellen Cole, editors.</t>
        </is>
      </c>
      <c r="F2044" t="inlineStr">
        <is>
          <t>No</t>
        </is>
      </c>
      <c r="G2044" t="inlineStr">
        <is>
          <t>1</t>
        </is>
      </c>
      <c r="H2044" t="inlineStr">
        <is>
          <t>No</t>
        </is>
      </c>
      <c r="I2044" t="inlineStr">
        <is>
          <t>No</t>
        </is>
      </c>
      <c r="J2044" t="inlineStr">
        <is>
          <t>0</t>
        </is>
      </c>
      <c r="K2044" t="inlineStr">
        <is>
          <t>Woman-defined motherhood.</t>
        </is>
      </c>
      <c r="L2044" t="inlineStr">
        <is>
          <t>New York : Haworth Press, c1990.</t>
        </is>
      </c>
      <c r="M2044" t="inlineStr">
        <is>
          <t>1990</t>
        </is>
      </c>
      <c r="O2044" t="inlineStr">
        <is>
          <t>eng</t>
        </is>
      </c>
      <c r="P2044" t="inlineStr">
        <is>
          <t>nyu</t>
        </is>
      </c>
      <c r="R2044" t="inlineStr">
        <is>
          <t xml:space="preserve">HQ </t>
        </is>
      </c>
      <c r="S2044" t="n">
        <v>9</v>
      </c>
      <c r="T2044" t="n">
        <v>9</v>
      </c>
      <c r="U2044" t="inlineStr">
        <is>
          <t>2004-11-22</t>
        </is>
      </c>
      <c r="V2044" t="inlineStr">
        <is>
          <t>2004-11-22</t>
        </is>
      </c>
      <c r="W2044" t="inlineStr">
        <is>
          <t>1992-08-26</t>
        </is>
      </c>
      <c r="X2044" t="inlineStr">
        <is>
          <t>1992-08-26</t>
        </is>
      </c>
      <c r="Y2044" t="n">
        <v>192</v>
      </c>
      <c r="Z2044" t="n">
        <v>131</v>
      </c>
      <c r="AA2044" t="n">
        <v>147</v>
      </c>
      <c r="AB2044" t="n">
        <v>2</v>
      </c>
      <c r="AC2044" t="n">
        <v>2</v>
      </c>
      <c r="AD2044" t="n">
        <v>8</v>
      </c>
      <c r="AE2044" t="n">
        <v>8</v>
      </c>
      <c r="AF2044" t="n">
        <v>3</v>
      </c>
      <c r="AG2044" t="n">
        <v>3</v>
      </c>
      <c r="AH2044" t="n">
        <v>2</v>
      </c>
      <c r="AI2044" t="n">
        <v>2</v>
      </c>
      <c r="AJ2044" t="n">
        <v>3</v>
      </c>
      <c r="AK2044" t="n">
        <v>3</v>
      </c>
      <c r="AL2044" t="n">
        <v>1</v>
      </c>
      <c r="AM2044" t="n">
        <v>1</v>
      </c>
      <c r="AN2044" t="n">
        <v>0</v>
      </c>
      <c r="AO2044" t="n">
        <v>0</v>
      </c>
      <c r="AP2044" t="inlineStr">
        <is>
          <t>No</t>
        </is>
      </c>
      <c r="AQ2044" t="inlineStr">
        <is>
          <t>No</t>
        </is>
      </c>
      <c r="AS2044">
        <f>HYPERLINK("https://creighton-primo.hosted.exlibrisgroup.com/primo-explore/search?tab=default_tab&amp;search_scope=EVERYTHING&amp;vid=01CRU&amp;lang=en_US&amp;offset=0&amp;query=any,contains,991001705679702656","Catalog Record")</f>
        <v/>
      </c>
      <c r="AT2044">
        <f>HYPERLINK("http://www.worldcat.org/oclc/21561696","WorldCat Record")</f>
        <v/>
      </c>
      <c r="AU2044" t="inlineStr">
        <is>
          <t>1846637019:eng</t>
        </is>
      </c>
      <c r="AV2044" t="inlineStr">
        <is>
          <t>21561696</t>
        </is>
      </c>
      <c r="AW2044" t="inlineStr">
        <is>
          <t>991001705679702656</t>
        </is>
      </c>
      <c r="AX2044" t="inlineStr">
        <is>
          <t>991001705679702656</t>
        </is>
      </c>
      <c r="AY2044" t="inlineStr">
        <is>
          <t>2264912490002656</t>
        </is>
      </c>
      <c r="AZ2044" t="inlineStr">
        <is>
          <t>BOOK</t>
        </is>
      </c>
      <c r="BB2044" t="inlineStr">
        <is>
          <t>9781560240440</t>
        </is>
      </c>
      <c r="BC2044" t="inlineStr">
        <is>
          <t>32285001199339</t>
        </is>
      </c>
      <c r="BD2044" t="inlineStr">
        <is>
          <t>893226048</t>
        </is>
      </c>
    </row>
    <row r="2045">
      <c r="A2045" t="inlineStr">
        <is>
          <t>No</t>
        </is>
      </c>
      <c r="B2045" t="inlineStr">
        <is>
          <t>HQ759.4 .A315 1988</t>
        </is>
      </c>
      <c r="C2045" t="inlineStr">
        <is>
          <t>0                      HQ 0759400A  315         1988</t>
        </is>
      </c>
      <c r="D2045" t="inlineStr">
        <is>
          <t>Beyond stereotypes : who becomes a single teenage mother? / Allan F. Abrahamse, Peter A. Morrison, Linda J. Waite.</t>
        </is>
      </c>
      <c r="F2045" t="inlineStr">
        <is>
          <t>No</t>
        </is>
      </c>
      <c r="G2045" t="inlineStr">
        <is>
          <t>1</t>
        </is>
      </c>
      <c r="H2045" t="inlineStr">
        <is>
          <t>No</t>
        </is>
      </c>
      <c r="I2045" t="inlineStr">
        <is>
          <t>No</t>
        </is>
      </c>
      <c r="J2045" t="inlineStr">
        <is>
          <t>0</t>
        </is>
      </c>
      <c r="K2045" t="inlineStr">
        <is>
          <t>Abrahamse, Allan F.</t>
        </is>
      </c>
      <c r="L2045" t="inlineStr">
        <is>
          <t>Santa Monica, CA : Rand Corp., [1988]</t>
        </is>
      </c>
      <c r="M2045" t="inlineStr">
        <is>
          <t>1988</t>
        </is>
      </c>
      <c r="O2045" t="inlineStr">
        <is>
          <t>eng</t>
        </is>
      </c>
      <c r="P2045" t="inlineStr">
        <is>
          <t>cau</t>
        </is>
      </c>
      <c r="R2045" t="inlineStr">
        <is>
          <t xml:space="preserve">HQ </t>
        </is>
      </c>
      <c r="S2045" t="n">
        <v>20</v>
      </c>
      <c r="T2045" t="n">
        <v>20</v>
      </c>
      <c r="U2045" t="inlineStr">
        <is>
          <t>1999-03-16</t>
        </is>
      </c>
      <c r="V2045" t="inlineStr">
        <is>
          <t>1999-03-16</t>
        </is>
      </c>
      <c r="W2045" t="inlineStr">
        <is>
          <t>1990-03-29</t>
        </is>
      </c>
      <c r="X2045" t="inlineStr">
        <is>
          <t>1990-03-29</t>
        </is>
      </c>
      <c r="Y2045" t="n">
        <v>181</v>
      </c>
      <c r="Z2045" t="n">
        <v>170</v>
      </c>
      <c r="AA2045" t="n">
        <v>179</v>
      </c>
      <c r="AB2045" t="n">
        <v>2</v>
      </c>
      <c r="AC2045" t="n">
        <v>2</v>
      </c>
      <c r="AD2045" t="n">
        <v>8</v>
      </c>
      <c r="AE2045" t="n">
        <v>8</v>
      </c>
      <c r="AF2045" t="n">
        <v>3</v>
      </c>
      <c r="AG2045" t="n">
        <v>3</v>
      </c>
      <c r="AH2045" t="n">
        <v>5</v>
      </c>
      <c r="AI2045" t="n">
        <v>5</v>
      </c>
      <c r="AJ2045" t="n">
        <v>2</v>
      </c>
      <c r="AK2045" t="n">
        <v>2</v>
      </c>
      <c r="AL2045" t="n">
        <v>1</v>
      </c>
      <c r="AM2045" t="n">
        <v>1</v>
      </c>
      <c r="AN2045" t="n">
        <v>0</v>
      </c>
      <c r="AO2045" t="n">
        <v>0</v>
      </c>
      <c r="AP2045" t="inlineStr">
        <is>
          <t>No</t>
        </is>
      </c>
      <c r="AQ2045" t="inlineStr">
        <is>
          <t>No</t>
        </is>
      </c>
      <c r="AS2045">
        <f>HYPERLINK("https://creighton-primo.hosted.exlibrisgroup.com/primo-explore/search?tab=default_tab&amp;search_scope=EVERYTHING&amp;vid=01CRU&amp;lang=en_US&amp;offset=0&amp;query=any,contains,991001192589702656","Catalog Record")</f>
        <v/>
      </c>
      <c r="AT2045">
        <f>HYPERLINK("http://www.worldcat.org/oclc/17261691","WorldCat Record")</f>
        <v/>
      </c>
      <c r="AU2045" t="inlineStr">
        <is>
          <t>15579040:eng</t>
        </is>
      </c>
      <c r="AV2045" t="inlineStr">
        <is>
          <t>17261691</t>
        </is>
      </c>
      <c r="AW2045" t="inlineStr">
        <is>
          <t>991001192589702656</t>
        </is>
      </c>
      <c r="AX2045" t="inlineStr">
        <is>
          <t>991001192589702656</t>
        </is>
      </c>
      <c r="AY2045" t="inlineStr">
        <is>
          <t>2268295900002656</t>
        </is>
      </c>
      <c r="AZ2045" t="inlineStr">
        <is>
          <t>BOOK</t>
        </is>
      </c>
      <c r="BB2045" t="inlineStr">
        <is>
          <t>9780833008329</t>
        </is>
      </c>
      <c r="BC2045" t="inlineStr">
        <is>
          <t>32285000107192</t>
        </is>
      </c>
      <c r="BD2045" t="inlineStr">
        <is>
          <t>893715258</t>
        </is>
      </c>
    </row>
    <row r="2046">
      <c r="A2046" t="inlineStr">
        <is>
          <t>No</t>
        </is>
      </c>
      <c r="B2046" t="inlineStr">
        <is>
          <t>HQ759.4 .B425 1987</t>
        </is>
      </c>
      <c r="C2046" t="inlineStr">
        <is>
          <t>0                      HQ 0759400B  425         1987</t>
        </is>
      </c>
      <c r="D2046" t="inlineStr">
        <is>
          <t>To Keera with love : abortion, adoption, or keeping the baby : the story of one teen's choices / Kayla M. Becker with Connie K. Heckert.</t>
        </is>
      </c>
      <c r="F2046" t="inlineStr">
        <is>
          <t>No</t>
        </is>
      </c>
      <c r="G2046" t="inlineStr">
        <is>
          <t>1</t>
        </is>
      </c>
      <c r="H2046" t="inlineStr">
        <is>
          <t>No</t>
        </is>
      </c>
      <c r="I2046" t="inlineStr">
        <is>
          <t>No</t>
        </is>
      </c>
      <c r="J2046" t="inlineStr">
        <is>
          <t>0</t>
        </is>
      </c>
      <c r="K2046" t="inlineStr">
        <is>
          <t>Becker, Kayla M.</t>
        </is>
      </c>
      <c r="L2046" t="inlineStr">
        <is>
          <t>Kansas City, MO : Sheed &amp; Ward, c1987.</t>
        </is>
      </c>
      <c r="M2046" t="inlineStr">
        <is>
          <t>1987</t>
        </is>
      </c>
      <c r="O2046" t="inlineStr">
        <is>
          <t>eng</t>
        </is>
      </c>
      <c r="P2046" t="inlineStr">
        <is>
          <t>mou</t>
        </is>
      </c>
      <c r="R2046" t="inlineStr">
        <is>
          <t xml:space="preserve">HQ </t>
        </is>
      </c>
      <c r="S2046" t="n">
        <v>8</v>
      </c>
      <c r="T2046" t="n">
        <v>8</v>
      </c>
      <c r="U2046" t="inlineStr">
        <is>
          <t>2007-05-24</t>
        </is>
      </c>
      <c r="V2046" t="inlineStr">
        <is>
          <t>2007-05-24</t>
        </is>
      </c>
      <c r="W2046" t="inlineStr">
        <is>
          <t>1992-03-09</t>
        </is>
      </c>
      <c r="X2046" t="inlineStr">
        <is>
          <t>1992-03-09</t>
        </is>
      </c>
      <c r="Y2046" t="n">
        <v>87</v>
      </c>
      <c r="Z2046" t="n">
        <v>79</v>
      </c>
      <c r="AA2046" t="n">
        <v>79</v>
      </c>
      <c r="AB2046" t="n">
        <v>4</v>
      </c>
      <c r="AC2046" t="n">
        <v>4</v>
      </c>
      <c r="AD2046" t="n">
        <v>2</v>
      </c>
      <c r="AE2046" t="n">
        <v>2</v>
      </c>
      <c r="AF2046" t="n">
        <v>0</v>
      </c>
      <c r="AG2046" t="n">
        <v>0</v>
      </c>
      <c r="AH2046" t="n">
        <v>0</v>
      </c>
      <c r="AI2046" t="n">
        <v>0</v>
      </c>
      <c r="AJ2046" t="n">
        <v>1</v>
      </c>
      <c r="AK2046" t="n">
        <v>1</v>
      </c>
      <c r="AL2046" t="n">
        <v>1</v>
      </c>
      <c r="AM2046" t="n">
        <v>1</v>
      </c>
      <c r="AN2046" t="n">
        <v>0</v>
      </c>
      <c r="AO2046" t="n">
        <v>0</v>
      </c>
      <c r="AP2046" t="inlineStr">
        <is>
          <t>No</t>
        </is>
      </c>
      <c r="AQ2046" t="inlineStr">
        <is>
          <t>No</t>
        </is>
      </c>
      <c r="AS2046">
        <f>HYPERLINK("https://creighton-primo.hosted.exlibrisgroup.com/primo-explore/search?tab=default_tab&amp;search_scope=EVERYTHING&amp;vid=01CRU&amp;lang=en_US&amp;offset=0&amp;query=any,contains,991001190499702656","Catalog Record")</f>
        <v/>
      </c>
      <c r="AT2046">
        <f>HYPERLINK("http://www.worldcat.org/oclc/17252536","WorldCat Record")</f>
        <v/>
      </c>
      <c r="AU2046" t="inlineStr">
        <is>
          <t>15420554:eng</t>
        </is>
      </c>
      <c r="AV2046" t="inlineStr">
        <is>
          <t>17252536</t>
        </is>
      </c>
      <c r="AW2046" t="inlineStr">
        <is>
          <t>991001190499702656</t>
        </is>
      </c>
      <c r="AX2046" t="inlineStr">
        <is>
          <t>991001190499702656</t>
        </is>
      </c>
      <c r="AY2046" t="inlineStr">
        <is>
          <t>2260806550002656</t>
        </is>
      </c>
      <c r="AZ2046" t="inlineStr">
        <is>
          <t>BOOK</t>
        </is>
      </c>
      <c r="BB2046" t="inlineStr">
        <is>
          <t>9781556120725</t>
        </is>
      </c>
      <c r="BC2046" t="inlineStr">
        <is>
          <t>32285000994235</t>
        </is>
      </c>
      <c r="BD2046" t="inlineStr">
        <is>
          <t>893334140</t>
        </is>
      </c>
    </row>
    <row r="2047">
      <c r="A2047" t="inlineStr">
        <is>
          <t>No</t>
        </is>
      </c>
      <c r="B2047" t="inlineStr">
        <is>
          <t>HQ759.4 .B43</t>
        </is>
      </c>
      <c r="C2047" t="inlineStr">
        <is>
          <t>0                      HQ 0759400B  43</t>
        </is>
      </c>
      <c r="D2047" t="inlineStr">
        <is>
          <t>Teenage pregnancy : research related to clients and services / by Jean E. Bedger.</t>
        </is>
      </c>
      <c r="F2047" t="inlineStr">
        <is>
          <t>No</t>
        </is>
      </c>
      <c r="G2047" t="inlineStr">
        <is>
          <t>1</t>
        </is>
      </c>
      <c r="H2047" t="inlineStr">
        <is>
          <t>No</t>
        </is>
      </c>
      <c r="I2047" t="inlineStr">
        <is>
          <t>No</t>
        </is>
      </c>
      <c r="J2047" t="inlineStr">
        <is>
          <t>0</t>
        </is>
      </c>
      <c r="K2047" t="inlineStr">
        <is>
          <t>Bedger, Jean E.</t>
        </is>
      </c>
      <c r="L2047" t="inlineStr">
        <is>
          <t>Springfield, Ill. : Thomas, c1980.</t>
        </is>
      </c>
      <c r="M2047" t="inlineStr">
        <is>
          <t>1980</t>
        </is>
      </c>
      <c r="O2047" t="inlineStr">
        <is>
          <t>eng</t>
        </is>
      </c>
      <c r="P2047" t="inlineStr">
        <is>
          <t>ilu</t>
        </is>
      </c>
      <c r="R2047" t="inlineStr">
        <is>
          <t xml:space="preserve">HQ </t>
        </is>
      </c>
      <c r="S2047" t="n">
        <v>20</v>
      </c>
      <c r="T2047" t="n">
        <v>20</v>
      </c>
      <c r="U2047" t="inlineStr">
        <is>
          <t>1999-10-06</t>
        </is>
      </c>
      <c r="V2047" t="inlineStr">
        <is>
          <t>1999-10-06</t>
        </is>
      </c>
      <c r="W2047" t="inlineStr">
        <is>
          <t>1991-12-09</t>
        </is>
      </c>
      <c r="X2047" t="inlineStr">
        <is>
          <t>1991-12-09</t>
        </is>
      </c>
      <c r="Y2047" t="n">
        <v>350</v>
      </c>
      <c r="Z2047" t="n">
        <v>306</v>
      </c>
      <c r="AA2047" t="n">
        <v>315</v>
      </c>
      <c r="AB2047" t="n">
        <v>2</v>
      </c>
      <c r="AC2047" t="n">
        <v>3</v>
      </c>
      <c r="AD2047" t="n">
        <v>11</v>
      </c>
      <c r="AE2047" t="n">
        <v>12</v>
      </c>
      <c r="AF2047" t="n">
        <v>7</v>
      </c>
      <c r="AG2047" t="n">
        <v>7</v>
      </c>
      <c r="AH2047" t="n">
        <v>1</v>
      </c>
      <c r="AI2047" t="n">
        <v>1</v>
      </c>
      <c r="AJ2047" t="n">
        <v>5</v>
      </c>
      <c r="AK2047" t="n">
        <v>5</v>
      </c>
      <c r="AL2047" t="n">
        <v>0</v>
      </c>
      <c r="AM2047" t="n">
        <v>1</v>
      </c>
      <c r="AN2047" t="n">
        <v>0</v>
      </c>
      <c r="AO2047" t="n">
        <v>0</v>
      </c>
      <c r="AP2047" t="inlineStr">
        <is>
          <t>No</t>
        </is>
      </c>
      <c r="AQ2047" t="inlineStr">
        <is>
          <t>Yes</t>
        </is>
      </c>
      <c r="AR2047">
        <f>HYPERLINK("http://catalog.hathitrust.org/Record/000707508","HathiTrust Record")</f>
        <v/>
      </c>
      <c r="AS2047">
        <f>HYPERLINK("https://creighton-primo.hosted.exlibrisgroup.com/primo-explore/search?tab=default_tab&amp;search_scope=EVERYTHING&amp;vid=01CRU&amp;lang=en_US&amp;offset=0&amp;query=any,contains,991004724359702656","Catalog Record")</f>
        <v/>
      </c>
      <c r="AT2047">
        <f>HYPERLINK("http://www.worldcat.org/oclc/4805160","WorldCat Record")</f>
        <v/>
      </c>
      <c r="AU2047" t="inlineStr">
        <is>
          <t>308761389:eng</t>
        </is>
      </c>
      <c r="AV2047" t="inlineStr">
        <is>
          <t>4805160</t>
        </is>
      </c>
      <c r="AW2047" t="inlineStr">
        <is>
          <t>991004724359702656</t>
        </is>
      </c>
      <c r="AX2047" t="inlineStr">
        <is>
          <t>991004724359702656</t>
        </is>
      </c>
      <c r="AY2047" t="inlineStr">
        <is>
          <t>2270774640002656</t>
        </is>
      </c>
      <c r="AZ2047" t="inlineStr">
        <is>
          <t>BOOK</t>
        </is>
      </c>
      <c r="BB2047" t="inlineStr">
        <is>
          <t>9780398039233</t>
        </is>
      </c>
      <c r="BC2047" t="inlineStr">
        <is>
          <t>32285000872928</t>
        </is>
      </c>
      <c r="BD2047" t="inlineStr">
        <is>
          <t>893263400</t>
        </is>
      </c>
    </row>
    <row r="2048">
      <c r="A2048" t="inlineStr">
        <is>
          <t>No</t>
        </is>
      </c>
      <c r="B2048" t="inlineStr">
        <is>
          <t>HQ759.4 .F74 1993</t>
        </is>
      </c>
      <c r="C2048" t="inlineStr">
        <is>
          <t>0                      HQ 0759400F  74          1993</t>
        </is>
      </c>
      <c r="D2048" t="inlineStr">
        <is>
          <t>Early childbearing : perspectives of Black adolescents on pregnancy, abortion, and contraception / Ellen W. Freeman, Karl Rickels.</t>
        </is>
      </c>
      <c r="F2048" t="inlineStr">
        <is>
          <t>No</t>
        </is>
      </c>
      <c r="G2048" t="inlineStr">
        <is>
          <t>1</t>
        </is>
      </c>
      <c r="H2048" t="inlineStr">
        <is>
          <t>No</t>
        </is>
      </c>
      <c r="I2048" t="inlineStr">
        <is>
          <t>No</t>
        </is>
      </c>
      <c r="J2048" t="inlineStr">
        <is>
          <t>0</t>
        </is>
      </c>
      <c r="K2048" t="inlineStr">
        <is>
          <t>Freeman, Ellen W.</t>
        </is>
      </c>
      <c r="L2048" t="inlineStr">
        <is>
          <t>Newbury Park : Sage Publications, c1993.</t>
        </is>
      </c>
      <c r="M2048" t="inlineStr">
        <is>
          <t>1993</t>
        </is>
      </c>
      <c r="O2048" t="inlineStr">
        <is>
          <t>eng</t>
        </is>
      </c>
      <c r="P2048" t="inlineStr">
        <is>
          <t>cau</t>
        </is>
      </c>
      <c r="Q2048" t="inlineStr">
        <is>
          <t>Sage library of social research ; 192</t>
        </is>
      </c>
      <c r="R2048" t="inlineStr">
        <is>
          <t xml:space="preserve">HQ </t>
        </is>
      </c>
      <c r="S2048" t="n">
        <v>37</v>
      </c>
      <c r="T2048" t="n">
        <v>37</v>
      </c>
      <c r="U2048" t="inlineStr">
        <is>
          <t>2002-11-14</t>
        </is>
      </c>
      <c r="V2048" t="inlineStr">
        <is>
          <t>2002-11-14</t>
        </is>
      </c>
      <c r="W2048" t="inlineStr">
        <is>
          <t>1994-05-17</t>
        </is>
      </c>
      <c r="X2048" t="inlineStr">
        <is>
          <t>1994-05-17</t>
        </is>
      </c>
      <c r="Y2048" t="n">
        <v>406</v>
      </c>
      <c r="Z2048" t="n">
        <v>339</v>
      </c>
      <c r="AA2048" t="n">
        <v>347</v>
      </c>
      <c r="AB2048" t="n">
        <v>4</v>
      </c>
      <c r="AC2048" t="n">
        <v>4</v>
      </c>
      <c r="AD2048" t="n">
        <v>16</v>
      </c>
      <c r="AE2048" t="n">
        <v>16</v>
      </c>
      <c r="AF2048" t="n">
        <v>5</v>
      </c>
      <c r="AG2048" t="n">
        <v>5</v>
      </c>
      <c r="AH2048" t="n">
        <v>2</v>
      </c>
      <c r="AI2048" t="n">
        <v>2</v>
      </c>
      <c r="AJ2048" t="n">
        <v>10</v>
      </c>
      <c r="AK2048" t="n">
        <v>10</v>
      </c>
      <c r="AL2048" t="n">
        <v>3</v>
      </c>
      <c r="AM2048" t="n">
        <v>3</v>
      </c>
      <c r="AN2048" t="n">
        <v>0</v>
      </c>
      <c r="AO2048" t="n">
        <v>0</v>
      </c>
      <c r="AP2048" t="inlineStr">
        <is>
          <t>No</t>
        </is>
      </c>
      <c r="AQ2048" t="inlineStr">
        <is>
          <t>Yes</t>
        </is>
      </c>
      <c r="AR2048">
        <f>HYPERLINK("http://catalog.hathitrust.org/Record/002753442","HathiTrust Record")</f>
        <v/>
      </c>
      <c r="AS2048">
        <f>HYPERLINK("https://creighton-primo.hosted.exlibrisgroup.com/primo-explore/search?tab=default_tab&amp;search_scope=EVERYTHING&amp;vid=01CRU&amp;lang=en_US&amp;offset=0&amp;query=any,contains,991002204399702656","Catalog Record")</f>
        <v/>
      </c>
      <c r="AT2048">
        <f>HYPERLINK("http://www.worldcat.org/oclc/28374376","WorldCat Record")</f>
        <v/>
      </c>
      <c r="AU2048" t="inlineStr">
        <is>
          <t>30677373:eng</t>
        </is>
      </c>
      <c r="AV2048" t="inlineStr">
        <is>
          <t>28374376</t>
        </is>
      </c>
      <c r="AW2048" t="inlineStr">
        <is>
          <t>991002204399702656</t>
        </is>
      </c>
      <c r="AX2048" t="inlineStr">
        <is>
          <t>991002204399702656</t>
        </is>
      </c>
      <c r="AY2048" t="inlineStr">
        <is>
          <t>2254755350002656</t>
        </is>
      </c>
      <c r="AZ2048" t="inlineStr">
        <is>
          <t>BOOK</t>
        </is>
      </c>
      <c r="BB2048" t="inlineStr">
        <is>
          <t>9780803952829</t>
        </is>
      </c>
      <c r="BC2048" t="inlineStr">
        <is>
          <t>32285001897015</t>
        </is>
      </c>
      <c r="BD2048" t="inlineStr">
        <is>
          <t>893433607</t>
        </is>
      </c>
    </row>
    <row r="2049">
      <c r="A2049" t="inlineStr">
        <is>
          <t>No</t>
        </is>
      </c>
      <c r="B2049" t="inlineStr">
        <is>
          <t>HQ759.4 .F87</t>
        </is>
      </c>
      <c r="C2049" t="inlineStr">
        <is>
          <t>0                      HQ 0759400F  87</t>
        </is>
      </c>
      <c r="D2049" t="inlineStr">
        <is>
          <t>Unplanned parenthood : the social consequences of teenage childbearing / Frank F. Furstenberg, Jr.</t>
        </is>
      </c>
      <c r="F2049" t="inlineStr">
        <is>
          <t>No</t>
        </is>
      </c>
      <c r="G2049" t="inlineStr">
        <is>
          <t>1</t>
        </is>
      </c>
      <c r="H2049" t="inlineStr">
        <is>
          <t>No</t>
        </is>
      </c>
      <c r="I2049" t="inlineStr">
        <is>
          <t>No</t>
        </is>
      </c>
      <c r="J2049" t="inlineStr">
        <is>
          <t>0</t>
        </is>
      </c>
      <c r="K2049" t="inlineStr">
        <is>
          <t>Furstenberg, Frank F., 1940-</t>
        </is>
      </c>
      <c r="L2049" t="inlineStr">
        <is>
          <t>New York : Free Press, c1976.</t>
        </is>
      </c>
      <c r="M2049" t="inlineStr">
        <is>
          <t>1976</t>
        </is>
      </c>
      <c r="O2049" t="inlineStr">
        <is>
          <t>eng</t>
        </is>
      </c>
      <c r="P2049" t="inlineStr">
        <is>
          <t>nyu</t>
        </is>
      </c>
      <c r="R2049" t="inlineStr">
        <is>
          <t xml:space="preserve">HQ </t>
        </is>
      </c>
      <c r="S2049" t="n">
        <v>25</v>
      </c>
      <c r="T2049" t="n">
        <v>25</v>
      </c>
      <c r="U2049" t="inlineStr">
        <is>
          <t>1999-11-20</t>
        </is>
      </c>
      <c r="V2049" t="inlineStr">
        <is>
          <t>1999-11-20</t>
        </is>
      </c>
      <c r="W2049" t="inlineStr">
        <is>
          <t>1990-04-03</t>
        </is>
      </c>
      <c r="X2049" t="inlineStr">
        <is>
          <t>1990-04-03</t>
        </is>
      </c>
      <c r="Y2049" t="n">
        <v>766</v>
      </c>
      <c r="Z2049" t="n">
        <v>667</v>
      </c>
      <c r="AA2049" t="n">
        <v>693</v>
      </c>
      <c r="AB2049" t="n">
        <v>6</v>
      </c>
      <c r="AC2049" t="n">
        <v>6</v>
      </c>
      <c r="AD2049" t="n">
        <v>25</v>
      </c>
      <c r="AE2049" t="n">
        <v>25</v>
      </c>
      <c r="AF2049" t="n">
        <v>10</v>
      </c>
      <c r="AG2049" t="n">
        <v>10</v>
      </c>
      <c r="AH2049" t="n">
        <v>5</v>
      </c>
      <c r="AI2049" t="n">
        <v>5</v>
      </c>
      <c r="AJ2049" t="n">
        <v>12</v>
      </c>
      <c r="AK2049" t="n">
        <v>12</v>
      </c>
      <c r="AL2049" t="n">
        <v>4</v>
      </c>
      <c r="AM2049" t="n">
        <v>4</v>
      </c>
      <c r="AN2049" t="n">
        <v>1</v>
      </c>
      <c r="AO2049" t="n">
        <v>1</v>
      </c>
      <c r="AP2049" t="inlineStr">
        <is>
          <t>No</t>
        </is>
      </c>
      <c r="AQ2049" t="inlineStr">
        <is>
          <t>No</t>
        </is>
      </c>
      <c r="AS2049">
        <f>HYPERLINK("https://creighton-primo.hosted.exlibrisgroup.com/primo-explore/search?tab=default_tab&amp;search_scope=EVERYTHING&amp;vid=01CRU&amp;lang=en_US&amp;offset=0&amp;query=any,contains,991004101409702656","Catalog Record")</f>
        <v/>
      </c>
      <c r="AT2049">
        <f>HYPERLINK("http://www.worldcat.org/oclc/2372746","WorldCat Record")</f>
        <v/>
      </c>
      <c r="AU2049" t="inlineStr">
        <is>
          <t>196078861:eng</t>
        </is>
      </c>
      <c r="AV2049" t="inlineStr">
        <is>
          <t>2372746</t>
        </is>
      </c>
      <c r="AW2049" t="inlineStr">
        <is>
          <t>991004101409702656</t>
        </is>
      </c>
      <c r="AX2049" t="inlineStr">
        <is>
          <t>991004101409702656</t>
        </is>
      </c>
      <c r="AY2049" t="inlineStr">
        <is>
          <t>2256416210002656</t>
        </is>
      </c>
      <c r="AZ2049" t="inlineStr">
        <is>
          <t>BOOK</t>
        </is>
      </c>
      <c r="BB2049" t="inlineStr">
        <is>
          <t>9780029110102</t>
        </is>
      </c>
      <c r="BC2049" t="inlineStr">
        <is>
          <t>32285000106160</t>
        </is>
      </c>
      <c r="BD2049" t="inlineStr">
        <is>
          <t>893429661</t>
        </is>
      </c>
    </row>
    <row r="2050">
      <c r="A2050" t="inlineStr">
        <is>
          <t>No</t>
        </is>
      </c>
      <c r="B2050" t="inlineStr">
        <is>
          <t>HQ759.4 .H37 1997</t>
        </is>
      </c>
      <c r="C2050" t="inlineStr">
        <is>
          <t>0                      HQ 0759400H  37          1997</t>
        </is>
      </c>
      <c r="D2050" t="inlineStr">
        <is>
          <t>Teen mothers and the revolving welfare door / Kathleen Mullan Harris ; foreword by Frank F. Furstenberg, Jr.</t>
        </is>
      </c>
      <c r="F2050" t="inlineStr">
        <is>
          <t>No</t>
        </is>
      </c>
      <c r="G2050" t="inlineStr">
        <is>
          <t>1</t>
        </is>
      </c>
      <c r="H2050" t="inlineStr">
        <is>
          <t>No</t>
        </is>
      </c>
      <c r="I2050" t="inlineStr">
        <is>
          <t>No</t>
        </is>
      </c>
      <c r="J2050" t="inlineStr">
        <is>
          <t>0</t>
        </is>
      </c>
      <c r="K2050" t="inlineStr">
        <is>
          <t>Harris, Kathleen Mullan, 1950-</t>
        </is>
      </c>
      <c r="L2050" t="inlineStr">
        <is>
          <t>Philadelphia : Temple University Press, 1997.</t>
        </is>
      </c>
      <c r="M2050" t="inlineStr">
        <is>
          <t>1997</t>
        </is>
      </c>
      <c r="O2050" t="inlineStr">
        <is>
          <t>eng</t>
        </is>
      </c>
      <c r="P2050" t="inlineStr">
        <is>
          <t>pau</t>
        </is>
      </c>
      <c r="Q2050" t="inlineStr">
        <is>
          <t>Women in the political economy</t>
        </is>
      </c>
      <c r="R2050" t="inlineStr">
        <is>
          <t xml:space="preserve">HQ </t>
        </is>
      </c>
      <c r="S2050" t="n">
        <v>23</v>
      </c>
      <c r="T2050" t="n">
        <v>23</v>
      </c>
      <c r="U2050" t="inlineStr">
        <is>
          <t>2009-06-23</t>
        </is>
      </c>
      <c r="V2050" t="inlineStr">
        <is>
          <t>2009-06-23</t>
        </is>
      </c>
      <c r="W2050" t="inlineStr">
        <is>
          <t>1997-04-15</t>
        </is>
      </c>
      <c r="X2050" t="inlineStr">
        <is>
          <t>1997-04-15</t>
        </is>
      </c>
      <c r="Y2050" t="n">
        <v>901</v>
      </c>
      <c r="Z2050" t="n">
        <v>848</v>
      </c>
      <c r="AA2050" t="n">
        <v>859</v>
      </c>
      <c r="AB2050" t="n">
        <v>8</v>
      </c>
      <c r="AC2050" t="n">
        <v>8</v>
      </c>
      <c r="AD2050" t="n">
        <v>43</v>
      </c>
      <c r="AE2050" t="n">
        <v>43</v>
      </c>
      <c r="AF2050" t="n">
        <v>17</v>
      </c>
      <c r="AG2050" t="n">
        <v>17</v>
      </c>
      <c r="AH2050" t="n">
        <v>8</v>
      </c>
      <c r="AI2050" t="n">
        <v>8</v>
      </c>
      <c r="AJ2050" t="n">
        <v>20</v>
      </c>
      <c r="AK2050" t="n">
        <v>20</v>
      </c>
      <c r="AL2050" t="n">
        <v>7</v>
      </c>
      <c r="AM2050" t="n">
        <v>7</v>
      </c>
      <c r="AN2050" t="n">
        <v>2</v>
      </c>
      <c r="AO2050" t="n">
        <v>2</v>
      </c>
      <c r="AP2050" t="inlineStr">
        <is>
          <t>No</t>
        </is>
      </c>
      <c r="AQ2050" t="inlineStr">
        <is>
          <t>No</t>
        </is>
      </c>
      <c r="AS2050">
        <f>HYPERLINK("https://creighton-primo.hosted.exlibrisgroup.com/primo-explore/search?tab=default_tab&amp;search_scope=EVERYTHING&amp;vid=01CRU&amp;lang=en_US&amp;offset=0&amp;query=any,contains,991002700989702656","Catalog Record")</f>
        <v/>
      </c>
      <c r="AT2050">
        <f>HYPERLINK("http://www.worldcat.org/oclc/35262447","WorldCat Record")</f>
        <v/>
      </c>
      <c r="AU2050" t="inlineStr">
        <is>
          <t>39794101:eng</t>
        </is>
      </c>
      <c r="AV2050" t="inlineStr">
        <is>
          <t>35262447</t>
        </is>
      </c>
      <c r="AW2050" t="inlineStr">
        <is>
          <t>991002700989702656</t>
        </is>
      </c>
      <c r="AX2050" t="inlineStr">
        <is>
          <t>991002700989702656</t>
        </is>
      </c>
      <c r="AY2050" t="inlineStr">
        <is>
          <t>2264226290002656</t>
        </is>
      </c>
      <c r="AZ2050" t="inlineStr">
        <is>
          <t>BOOK</t>
        </is>
      </c>
      <c r="BB2050" t="inlineStr">
        <is>
          <t>9781566394994</t>
        </is>
      </c>
      <c r="BC2050" t="inlineStr">
        <is>
          <t>32285002497203</t>
        </is>
      </c>
      <c r="BD2050" t="inlineStr">
        <is>
          <t>893610168</t>
        </is>
      </c>
    </row>
    <row r="2051">
      <c r="A2051" t="inlineStr">
        <is>
          <t>No</t>
        </is>
      </c>
      <c r="B2051" t="inlineStr">
        <is>
          <t>HQ759.4 .M65 1986</t>
        </is>
      </c>
      <c r="C2051" t="inlineStr">
        <is>
          <t>0                      HQ 0759400M  65          1986</t>
        </is>
      </c>
      <c r="D2051" t="inlineStr">
        <is>
          <t>Choice and circumstance : racial differences in adolescent sexuality and fertility / Kristin A. Moore, Margaret C. Simms, Charles L. Betsey.</t>
        </is>
      </c>
      <c r="F2051" t="inlineStr">
        <is>
          <t>No</t>
        </is>
      </c>
      <c r="G2051" t="inlineStr">
        <is>
          <t>1</t>
        </is>
      </c>
      <c r="H2051" t="inlineStr">
        <is>
          <t>No</t>
        </is>
      </c>
      <c r="I2051" t="inlineStr">
        <is>
          <t>No</t>
        </is>
      </c>
      <c r="J2051" t="inlineStr">
        <is>
          <t>0</t>
        </is>
      </c>
      <c r="K2051" t="inlineStr">
        <is>
          <t>Moore, Kristin A.</t>
        </is>
      </c>
      <c r="L2051" t="inlineStr">
        <is>
          <t>New Brunswick, N.J., U.S.A. : Transaction Books, 1986.</t>
        </is>
      </c>
      <c r="M2051" t="inlineStr">
        <is>
          <t>1986</t>
        </is>
      </c>
      <c r="O2051" t="inlineStr">
        <is>
          <t>eng</t>
        </is>
      </c>
      <c r="P2051" t="inlineStr">
        <is>
          <t>nju</t>
        </is>
      </c>
      <c r="R2051" t="inlineStr">
        <is>
          <t xml:space="preserve">HQ </t>
        </is>
      </c>
      <c r="S2051" t="n">
        <v>11</v>
      </c>
      <c r="T2051" t="n">
        <v>11</v>
      </c>
      <c r="U2051" t="inlineStr">
        <is>
          <t>1998-10-30</t>
        </is>
      </c>
      <c r="V2051" t="inlineStr">
        <is>
          <t>1998-10-30</t>
        </is>
      </c>
      <c r="W2051" t="inlineStr">
        <is>
          <t>1991-12-10</t>
        </is>
      </c>
      <c r="X2051" t="inlineStr">
        <is>
          <t>1991-12-10</t>
        </is>
      </c>
      <c r="Y2051" t="n">
        <v>447</v>
      </c>
      <c r="Z2051" t="n">
        <v>403</v>
      </c>
      <c r="AA2051" t="n">
        <v>425</v>
      </c>
      <c r="AB2051" t="n">
        <v>3</v>
      </c>
      <c r="AC2051" t="n">
        <v>3</v>
      </c>
      <c r="AD2051" t="n">
        <v>17</v>
      </c>
      <c r="AE2051" t="n">
        <v>17</v>
      </c>
      <c r="AF2051" t="n">
        <v>7</v>
      </c>
      <c r="AG2051" t="n">
        <v>7</v>
      </c>
      <c r="AH2051" t="n">
        <v>5</v>
      </c>
      <c r="AI2051" t="n">
        <v>5</v>
      </c>
      <c r="AJ2051" t="n">
        <v>10</v>
      </c>
      <c r="AK2051" t="n">
        <v>10</v>
      </c>
      <c r="AL2051" t="n">
        <v>2</v>
      </c>
      <c r="AM2051" t="n">
        <v>2</v>
      </c>
      <c r="AN2051" t="n">
        <v>0</v>
      </c>
      <c r="AO2051" t="n">
        <v>0</v>
      </c>
      <c r="AP2051" t="inlineStr">
        <is>
          <t>No</t>
        </is>
      </c>
      <c r="AQ2051" t="inlineStr">
        <is>
          <t>No</t>
        </is>
      </c>
      <c r="AS2051">
        <f>HYPERLINK("https://creighton-primo.hosted.exlibrisgroup.com/primo-explore/search?tab=default_tab&amp;search_scope=EVERYTHING&amp;vid=01CRU&amp;lang=en_US&amp;offset=0&amp;query=any,contains,991000705799702656","Catalog Record")</f>
        <v/>
      </c>
      <c r="AT2051">
        <f>HYPERLINK("http://www.worldcat.org/oclc/12557031","WorldCat Record")</f>
        <v/>
      </c>
      <c r="AU2051" t="inlineStr">
        <is>
          <t>4928021:eng</t>
        </is>
      </c>
      <c r="AV2051" t="inlineStr">
        <is>
          <t>12557031</t>
        </is>
      </c>
      <c r="AW2051" t="inlineStr">
        <is>
          <t>991000705799702656</t>
        </is>
      </c>
      <c r="AX2051" t="inlineStr">
        <is>
          <t>991000705799702656</t>
        </is>
      </c>
      <c r="AY2051" t="inlineStr">
        <is>
          <t>2256657660002656</t>
        </is>
      </c>
      <c r="AZ2051" t="inlineStr">
        <is>
          <t>BOOK</t>
        </is>
      </c>
      <c r="BB2051" t="inlineStr">
        <is>
          <t>9780887380624</t>
        </is>
      </c>
      <c r="BC2051" t="inlineStr">
        <is>
          <t>32285000886159</t>
        </is>
      </c>
      <c r="BD2051" t="inlineStr">
        <is>
          <t>893778165</t>
        </is>
      </c>
    </row>
    <row r="2052">
      <c r="A2052" t="inlineStr">
        <is>
          <t>No</t>
        </is>
      </c>
      <c r="B2052" t="inlineStr">
        <is>
          <t>HQ759.4 .P64 1993</t>
        </is>
      </c>
      <c r="C2052" t="inlineStr">
        <is>
          <t>0                      HQ 0759400P  64          1993</t>
        </is>
      </c>
      <c r="D2052" t="inlineStr">
        <is>
          <t>The Politics of pregnancy : adolescent sexuality and public policy / edited by Annette Lawson and Deborah L. Rhode.</t>
        </is>
      </c>
      <c r="F2052" t="inlineStr">
        <is>
          <t>No</t>
        </is>
      </c>
      <c r="G2052" t="inlineStr">
        <is>
          <t>1</t>
        </is>
      </c>
      <c r="H2052" t="inlineStr">
        <is>
          <t>Yes</t>
        </is>
      </c>
      <c r="I2052" t="inlineStr">
        <is>
          <t>No</t>
        </is>
      </c>
      <c r="J2052" t="inlineStr">
        <is>
          <t>0</t>
        </is>
      </c>
      <c r="L2052" t="inlineStr">
        <is>
          <t>New Haven : Yale University Press, c1993.</t>
        </is>
      </c>
      <c r="M2052" t="inlineStr">
        <is>
          <t>1993</t>
        </is>
      </c>
      <c r="O2052" t="inlineStr">
        <is>
          <t>eng</t>
        </is>
      </c>
      <c r="P2052" t="inlineStr">
        <is>
          <t>ctu</t>
        </is>
      </c>
      <c r="R2052" t="inlineStr">
        <is>
          <t xml:space="preserve">HQ </t>
        </is>
      </c>
      <c r="S2052" t="n">
        <v>47</v>
      </c>
      <c r="T2052" t="n">
        <v>48</v>
      </c>
      <c r="U2052" t="inlineStr">
        <is>
          <t>1999-12-03</t>
        </is>
      </c>
      <c r="V2052" t="inlineStr">
        <is>
          <t>1999-12-03</t>
        </is>
      </c>
      <c r="W2052" t="inlineStr">
        <is>
          <t>1994-03-11</t>
        </is>
      </c>
      <c r="X2052" t="inlineStr">
        <is>
          <t>1997-08-25</t>
        </is>
      </c>
      <c r="Y2052" t="n">
        <v>645</v>
      </c>
      <c r="Z2052" t="n">
        <v>522</v>
      </c>
      <c r="AA2052" t="n">
        <v>522</v>
      </c>
      <c r="AB2052" t="n">
        <v>5</v>
      </c>
      <c r="AC2052" t="n">
        <v>5</v>
      </c>
      <c r="AD2052" t="n">
        <v>25</v>
      </c>
      <c r="AE2052" t="n">
        <v>25</v>
      </c>
      <c r="AF2052" t="n">
        <v>7</v>
      </c>
      <c r="AG2052" t="n">
        <v>7</v>
      </c>
      <c r="AH2052" t="n">
        <v>6</v>
      </c>
      <c r="AI2052" t="n">
        <v>6</v>
      </c>
      <c r="AJ2052" t="n">
        <v>8</v>
      </c>
      <c r="AK2052" t="n">
        <v>8</v>
      </c>
      <c r="AL2052" t="n">
        <v>3</v>
      </c>
      <c r="AM2052" t="n">
        <v>3</v>
      </c>
      <c r="AN2052" t="n">
        <v>6</v>
      </c>
      <c r="AO2052" t="n">
        <v>6</v>
      </c>
      <c r="AP2052" t="inlineStr">
        <is>
          <t>No</t>
        </is>
      </c>
      <c r="AQ2052" t="inlineStr">
        <is>
          <t>No</t>
        </is>
      </c>
      <c r="AS2052">
        <f>HYPERLINK("https://creighton-primo.hosted.exlibrisgroup.com/primo-explore/search?tab=default_tab&amp;search_scope=EVERYTHING&amp;vid=01CRU&amp;lang=en_US&amp;offset=0&amp;query=any,contains,991001654859702656","Catalog Record")</f>
        <v/>
      </c>
      <c r="AT2052">
        <f>HYPERLINK("http://www.worldcat.org/oclc/26853397","WorldCat Record")</f>
        <v/>
      </c>
      <c r="AU2052" t="inlineStr">
        <is>
          <t>836858073:eng</t>
        </is>
      </c>
      <c r="AV2052" t="inlineStr">
        <is>
          <t>26853397</t>
        </is>
      </c>
      <c r="AW2052" t="inlineStr">
        <is>
          <t>991001654859702656</t>
        </is>
      </c>
      <c r="AX2052" t="inlineStr">
        <is>
          <t>991001654859702656</t>
        </is>
      </c>
      <c r="AY2052" t="inlineStr">
        <is>
          <t>2264387930002656</t>
        </is>
      </c>
      <c r="AZ2052" t="inlineStr">
        <is>
          <t>BOOK</t>
        </is>
      </c>
      <c r="BB2052" t="inlineStr">
        <is>
          <t>9780300057171</t>
        </is>
      </c>
      <c r="BC2052" t="inlineStr">
        <is>
          <t>32285001844694</t>
        </is>
      </c>
      <c r="BD2052" t="inlineStr">
        <is>
          <t>893256382</t>
        </is>
      </c>
    </row>
    <row r="2053">
      <c r="A2053" t="inlineStr">
        <is>
          <t>No</t>
        </is>
      </c>
      <c r="B2053" t="inlineStr">
        <is>
          <t>HQ759.4 .P73</t>
        </is>
      </c>
      <c r="C2053" t="inlineStr">
        <is>
          <t>0                      HQ 0759400P  73</t>
        </is>
      </c>
      <c r="D2053" t="inlineStr">
        <is>
          <t>Pregnancy in adolescence : needs, problems, and management / edited by Irving R. Stuart and Carl F. Wells.</t>
        </is>
      </c>
      <c r="F2053" t="inlineStr">
        <is>
          <t>No</t>
        </is>
      </c>
      <c r="G2053" t="inlineStr">
        <is>
          <t>1</t>
        </is>
      </c>
      <c r="H2053" t="inlineStr">
        <is>
          <t>Yes</t>
        </is>
      </c>
      <c r="I2053" t="inlineStr">
        <is>
          <t>No</t>
        </is>
      </c>
      <c r="J2053" t="inlineStr">
        <is>
          <t>0</t>
        </is>
      </c>
      <c r="L2053" t="inlineStr">
        <is>
          <t>New York : Van Nostrand Reinhold, c1982.</t>
        </is>
      </c>
      <c r="M2053" t="inlineStr">
        <is>
          <t>1982</t>
        </is>
      </c>
      <c r="O2053" t="inlineStr">
        <is>
          <t>eng</t>
        </is>
      </c>
      <c r="P2053" t="inlineStr">
        <is>
          <t>nyu</t>
        </is>
      </c>
      <c r="R2053" t="inlineStr">
        <is>
          <t xml:space="preserve">HQ </t>
        </is>
      </c>
      <c r="S2053" t="n">
        <v>38</v>
      </c>
      <c r="T2053" t="n">
        <v>38</v>
      </c>
      <c r="U2053" t="inlineStr">
        <is>
          <t>2008-06-22</t>
        </is>
      </c>
      <c r="V2053" t="inlineStr">
        <is>
          <t>2008-06-22</t>
        </is>
      </c>
      <c r="W2053" t="inlineStr">
        <is>
          <t>1990-04-23</t>
        </is>
      </c>
      <c r="X2053" t="inlineStr">
        <is>
          <t>1990-04-23</t>
        </is>
      </c>
      <c r="Y2053" t="n">
        <v>400</v>
      </c>
      <c r="Z2053" t="n">
        <v>346</v>
      </c>
      <c r="AA2053" t="n">
        <v>353</v>
      </c>
      <c r="AB2053" t="n">
        <v>5</v>
      </c>
      <c r="AC2053" t="n">
        <v>5</v>
      </c>
      <c r="AD2053" t="n">
        <v>7</v>
      </c>
      <c r="AE2053" t="n">
        <v>7</v>
      </c>
      <c r="AF2053" t="n">
        <v>0</v>
      </c>
      <c r="AG2053" t="n">
        <v>0</v>
      </c>
      <c r="AH2053" t="n">
        <v>2</v>
      </c>
      <c r="AI2053" t="n">
        <v>2</v>
      </c>
      <c r="AJ2053" t="n">
        <v>2</v>
      </c>
      <c r="AK2053" t="n">
        <v>2</v>
      </c>
      <c r="AL2053" t="n">
        <v>3</v>
      </c>
      <c r="AM2053" t="n">
        <v>3</v>
      </c>
      <c r="AN2053" t="n">
        <v>0</v>
      </c>
      <c r="AO2053" t="n">
        <v>0</v>
      </c>
      <c r="AP2053" t="inlineStr">
        <is>
          <t>No</t>
        </is>
      </c>
      <c r="AQ2053" t="inlineStr">
        <is>
          <t>Yes</t>
        </is>
      </c>
      <c r="AR2053">
        <f>HYPERLINK("http://catalog.hathitrust.org/Record/004398273","HathiTrust Record")</f>
        <v/>
      </c>
      <c r="AS2053">
        <f>HYPERLINK("https://creighton-primo.hosted.exlibrisgroup.com/primo-explore/search?tab=default_tab&amp;search_scope=EVERYTHING&amp;vid=01CRU&amp;lang=en_US&amp;offset=0&amp;query=any,contains,991005131189702656","Catalog Record")</f>
        <v/>
      </c>
      <c r="AT2053">
        <f>HYPERLINK("http://www.worldcat.org/oclc/7572597","WorldCat Record")</f>
        <v/>
      </c>
      <c r="AU2053" t="inlineStr">
        <is>
          <t>931218205:eng</t>
        </is>
      </c>
      <c r="AV2053" t="inlineStr">
        <is>
          <t>7572597</t>
        </is>
      </c>
      <c r="AW2053" t="inlineStr">
        <is>
          <t>991005131189702656</t>
        </is>
      </c>
      <c r="AX2053" t="inlineStr">
        <is>
          <t>991005131189702656</t>
        </is>
      </c>
      <c r="AY2053" t="inlineStr">
        <is>
          <t>2269939410002656</t>
        </is>
      </c>
      <c r="AZ2053" t="inlineStr">
        <is>
          <t>BOOK</t>
        </is>
      </c>
      <c r="BB2053" t="inlineStr">
        <is>
          <t>9780442212254</t>
        </is>
      </c>
      <c r="BC2053" t="inlineStr">
        <is>
          <t>32285000131515</t>
        </is>
      </c>
      <c r="BD2053" t="inlineStr">
        <is>
          <t>893801780</t>
        </is>
      </c>
    </row>
    <row r="2054">
      <c r="A2054" t="inlineStr">
        <is>
          <t>No</t>
        </is>
      </c>
      <c r="B2054" t="inlineStr">
        <is>
          <t>HQ759.4 .T43</t>
        </is>
      </c>
      <c r="C2054" t="inlineStr">
        <is>
          <t>0                      HQ 0759400T  43</t>
        </is>
      </c>
      <c r="D2054" t="inlineStr">
        <is>
          <t>Teenage parents and their offspring / edited by Keith G. Scott, Tiffany Field, Euan G. Robertson.</t>
        </is>
      </c>
      <c r="F2054" t="inlineStr">
        <is>
          <t>No</t>
        </is>
      </c>
      <c r="G2054" t="inlineStr">
        <is>
          <t>1</t>
        </is>
      </c>
      <c r="H2054" t="inlineStr">
        <is>
          <t>No</t>
        </is>
      </c>
      <c r="I2054" t="inlineStr">
        <is>
          <t>No</t>
        </is>
      </c>
      <c r="J2054" t="inlineStr">
        <is>
          <t>0</t>
        </is>
      </c>
      <c r="L2054" t="inlineStr">
        <is>
          <t>New York : Grune &amp; Stratton ; London : distributed in the United Kingdom by Academic Press, c1981.</t>
        </is>
      </c>
      <c r="M2054" t="inlineStr">
        <is>
          <t>1980</t>
        </is>
      </c>
      <c r="O2054" t="inlineStr">
        <is>
          <t>eng</t>
        </is>
      </c>
      <c r="P2054" t="inlineStr">
        <is>
          <t>nyu</t>
        </is>
      </c>
      <c r="R2054" t="inlineStr">
        <is>
          <t xml:space="preserve">HQ </t>
        </is>
      </c>
      <c r="S2054" t="n">
        <v>22</v>
      </c>
      <c r="T2054" t="n">
        <v>22</v>
      </c>
      <c r="U2054" t="inlineStr">
        <is>
          <t>2006-04-06</t>
        </is>
      </c>
      <c r="V2054" t="inlineStr">
        <is>
          <t>2006-04-06</t>
        </is>
      </c>
      <c r="W2054" t="inlineStr">
        <is>
          <t>1990-04-23</t>
        </is>
      </c>
      <c r="X2054" t="inlineStr">
        <is>
          <t>1990-04-23</t>
        </is>
      </c>
      <c r="Y2054" t="n">
        <v>318</v>
      </c>
      <c r="Z2054" t="n">
        <v>243</v>
      </c>
      <c r="AA2054" t="n">
        <v>252</v>
      </c>
      <c r="AB2054" t="n">
        <v>3</v>
      </c>
      <c r="AC2054" t="n">
        <v>3</v>
      </c>
      <c r="AD2054" t="n">
        <v>4</v>
      </c>
      <c r="AE2054" t="n">
        <v>4</v>
      </c>
      <c r="AF2054" t="n">
        <v>2</v>
      </c>
      <c r="AG2054" t="n">
        <v>2</v>
      </c>
      <c r="AH2054" t="n">
        <v>0</v>
      </c>
      <c r="AI2054" t="n">
        <v>0</v>
      </c>
      <c r="AJ2054" t="n">
        <v>2</v>
      </c>
      <c r="AK2054" t="n">
        <v>2</v>
      </c>
      <c r="AL2054" t="n">
        <v>1</v>
      </c>
      <c r="AM2054" t="n">
        <v>1</v>
      </c>
      <c r="AN2054" t="n">
        <v>0</v>
      </c>
      <c r="AO2054" t="n">
        <v>0</v>
      </c>
      <c r="AP2054" t="inlineStr">
        <is>
          <t>No</t>
        </is>
      </c>
      <c r="AQ2054" t="inlineStr">
        <is>
          <t>Yes</t>
        </is>
      </c>
      <c r="AR2054">
        <f>HYPERLINK("http://catalog.hathitrust.org/Record/000745464","HathiTrust Record")</f>
        <v/>
      </c>
      <c r="AS2054">
        <f>HYPERLINK("https://creighton-primo.hosted.exlibrisgroup.com/primo-explore/search?tab=default_tab&amp;search_scope=EVERYTHING&amp;vid=01CRU&amp;lang=en_US&amp;offset=0&amp;query=any,contains,991005068399702656","Catalog Record")</f>
        <v/>
      </c>
      <c r="AT2054">
        <f>HYPERLINK("http://www.worldcat.org/oclc/6982638","WorldCat Record")</f>
        <v/>
      </c>
      <c r="AU2054" t="inlineStr">
        <is>
          <t>355591819:eng</t>
        </is>
      </c>
      <c r="AV2054" t="inlineStr">
        <is>
          <t>6982638</t>
        </is>
      </c>
      <c r="AW2054" t="inlineStr">
        <is>
          <t>991005068399702656</t>
        </is>
      </c>
      <c r="AX2054" t="inlineStr">
        <is>
          <t>991005068399702656</t>
        </is>
      </c>
      <c r="AY2054" t="inlineStr">
        <is>
          <t>2272558830002656</t>
        </is>
      </c>
      <c r="AZ2054" t="inlineStr">
        <is>
          <t>BOOK</t>
        </is>
      </c>
      <c r="BB2054" t="inlineStr">
        <is>
          <t>9780808913146</t>
        </is>
      </c>
      <c r="BC2054" t="inlineStr">
        <is>
          <t>32285000130715</t>
        </is>
      </c>
      <c r="BD2054" t="inlineStr">
        <is>
          <t>893513977</t>
        </is>
      </c>
    </row>
    <row r="2055">
      <c r="A2055" t="inlineStr">
        <is>
          <t>No</t>
        </is>
      </c>
      <c r="B2055" t="inlineStr">
        <is>
          <t>HQ759.4 .W55 1991</t>
        </is>
      </c>
      <c r="C2055" t="inlineStr">
        <is>
          <t>0                      HQ 0759400W  55          1991</t>
        </is>
      </c>
      <c r="D2055" t="inlineStr">
        <is>
          <t>Black teenage mothers : pregnancy and child rearing from their perspective / Constance Willard Williams.</t>
        </is>
      </c>
      <c r="F2055" t="inlineStr">
        <is>
          <t>No</t>
        </is>
      </c>
      <c r="G2055" t="inlineStr">
        <is>
          <t>1</t>
        </is>
      </c>
      <c r="H2055" t="inlineStr">
        <is>
          <t>No</t>
        </is>
      </c>
      <c r="I2055" t="inlineStr">
        <is>
          <t>No</t>
        </is>
      </c>
      <c r="J2055" t="inlineStr">
        <is>
          <t>0</t>
        </is>
      </c>
      <c r="K2055" t="inlineStr">
        <is>
          <t>Williams, Constance Willard.</t>
        </is>
      </c>
      <c r="L2055" t="inlineStr">
        <is>
          <t>Lexington, Mass. : Lexington Books, c1991.</t>
        </is>
      </c>
      <c r="M2055" t="inlineStr">
        <is>
          <t>1991</t>
        </is>
      </c>
      <c r="O2055" t="inlineStr">
        <is>
          <t>eng</t>
        </is>
      </c>
      <c r="P2055" t="inlineStr">
        <is>
          <t>mau</t>
        </is>
      </c>
      <c r="R2055" t="inlineStr">
        <is>
          <t xml:space="preserve">HQ </t>
        </is>
      </c>
      <c r="S2055" t="n">
        <v>34</v>
      </c>
      <c r="T2055" t="n">
        <v>34</v>
      </c>
      <c r="U2055" t="inlineStr">
        <is>
          <t>1997-12-11</t>
        </is>
      </c>
      <c r="V2055" t="inlineStr">
        <is>
          <t>1997-12-11</t>
        </is>
      </c>
      <c r="W2055" t="inlineStr">
        <is>
          <t>1992-02-21</t>
        </is>
      </c>
      <c r="X2055" t="inlineStr">
        <is>
          <t>1992-02-21</t>
        </is>
      </c>
      <c r="Y2055" t="n">
        <v>715</v>
      </c>
      <c r="Z2055" t="n">
        <v>679</v>
      </c>
      <c r="AA2055" t="n">
        <v>684</v>
      </c>
      <c r="AB2055" t="n">
        <v>6</v>
      </c>
      <c r="AC2055" t="n">
        <v>6</v>
      </c>
      <c r="AD2055" t="n">
        <v>26</v>
      </c>
      <c r="AE2055" t="n">
        <v>26</v>
      </c>
      <c r="AF2055" t="n">
        <v>9</v>
      </c>
      <c r="AG2055" t="n">
        <v>9</v>
      </c>
      <c r="AH2055" t="n">
        <v>5</v>
      </c>
      <c r="AI2055" t="n">
        <v>5</v>
      </c>
      <c r="AJ2055" t="n">
        <v>16</v>
      </c>
      <c r="AK2055" t="n">
        <v>16</v>
      </c>
      <c r="AL2055" t="n">
        <v>5</v>
      </c>
      <c r="AM2055" t="n">
        <v>5</v>
      </c>
      <c r="AN2055" t="n">
        <v>0</v>
      </c>
      <c r="AO2055" t="n">
        <v>0</v>
      </c>
      <c r="AP2055" t="inlineStr">
        <is>
          <t>No</t>
        </is>
      </c>
      <c r="AQ2055" t="inlineStr">
        <is>
          <t>Yes</t>
        </is>
      </c>
      <c r="AR2055">
        <f>HYPERLINK("http://catalog.hathitrust.org/Record/002233572","HathiTrust Record")</f>
        <v/>
      </c>
      <c r="AS2055">
        <f>HYPERLINK("https://creighton-primo.hosted.exlibrisgroup.com/primo-explore/search?tab=default_tab&amp;search_scope=EVERYTHING&amp;vid=01CRU&amp;lang=en_US&amp;offset=0&amp;query=any,contains,991001740469702656","Catalog Record")</f>
        <v/>
      </c>
      <c r="AT2055">
        <f>HYPERLINK("http://www.worldcat.org/oclc/22003460","WorldCat Record")</f>
        <v/>
      </c>
      <c r="AU2055" t="inlineStr">
        <is>
          <t>2674134:eng</t>
        </is>
      </c>
      <c r="AV2055" t="inlineStr">
        <is>
          <t>22003460</t>
        </is>
      </c>
      <c r="AW2055" t="inlineStr">
        <is>
          <t>991001740469702656</t>
        </is>
      </c>
      <c r="AX2055" t="inlineStr">
        <is>
          <t>991001740469702656</t>
        </is>
      </c>
      <c r="AY2055" t="inlineStr">
        <is>
          <t>2269714310002656</t>
        </is>
      </c>
      <c r="AZ2055" t="inlineStr">
        <is>
          <t>BOOK</t>
        </is>
      </c>
      <c r="BB2055" t="inlineStr">
        <is>
          <t>9780669243130</t>
        </is>
      </c>
      <c r="BC2055" t="inlineStr">
        <is>
          <t>32285000936491</t>
        </is>
      </c>
      <c r="BD2055" t="inlineStr">
        <is>
          <t>893898017</t>
        </is>
      </c>
    </row>
    <row r="2056">
      <c r="A2056" t="inlineStr">
        <is>
          <t>No</t>
        </is>
      </c>
      <c r="B2056" t="inlineStr">
        <is>
          <t>HQ759.45 .G55 1997</t>
        </is>
      </c>
      <c r="C2056" t="inlineStr">
        <is>
          <t>0                      HQ 0759450G  55          1997</t>
        </is>
      </c>
      <c r="D2056" t="inlineStr">
        <is>
          <t>On our own : unmarried motherhood in America / Melissa Ludtke.</t>
        </is>
      </c>
      <c r="F2056" t="inlineStr">
        <is>
          <t>No</t>
        </is>
      </c>
      <c r="G2056" t="inlineStr">
        <is>
          <t>1</t>
        </is>
      </c>
      <c r="H2056" t="inlineStr">
        <is>
          <t>No</t>
        </is>
      </c>
      <c r="I2056" t="inlineStr">
        <is>
          <t>No</t>
        </is>
      </c>
      <c r="J2056" t="inlineStr">
        <is>
          <t>0</t>
        </is>
      </c>
      <c r="K2056" t="inlineStr">
        <is>
          <t>Ludtke, Melissa.</t>
        </is>
      </c>
      <c r="L2056" t="inlineStr">
        <is>
          <t>New York : Random House, c1997.</t>
        </is>
      </c>
      <c r="M2056" t="inlineStr">
        <is>
          <t>1997</t>
        </is>
      </c>
      <c r="N2056" t="inlineStr">
        <is>
          <t>1st ed.</t>
        </is>
      </c>
      <c r="O2056" t="inlineStr">
        <is>
          <t>eng</t>
        </is>
      </c>
      <c r="P2056" t="inlineStr">
        <is>
          <t>nyu</t>
        </is>
      </c>
      <c r="R2056" t="inlineStr">
        <is>
          <t xml:space="preserve">HQ </t>
        </is>
      </c>
      <c r="S2056" t="n">
        <v>13</v>
      </c>
      <c r="T2056" t="n">
        <v>13</v>
      </c>
      <c r="U2056" t="inlineStr">
        <is>
          <t>1999-11-02</t>
        </is>
      </c>
      <c r="V2056" t="inlineStr">
        <is>
          <t>1999-11-02</t>
        </is>
      </c>
      <c r="W2056" t="inlineStr">
        <is>
          <t>1997-10-01</t>
        </is>
      </c>
      <c r="X2056" t="inlineStr">
        <is>
          <t>1997-10-01</t>
        </is>
      </c>
      <c r="Y2056" t="n">
        <v>1211</v>
      </c>
      <c r="Z2056" t="n">
        <v>1164</v>
      </c>
      <c r="AA2056" t="n">
        <v>1262</v>
      </c>
      <c r="AB2056" t="n">
        <v>9</v>
      </c>
      <c r="AC2056" t="n">
        <v>11</v>
      </c>
      <c r="AD2056" t="n">
        <v>35</v>
      </c>
      <c r="AE2056" t="n">
        <v>39</v>
      </c>
      <c r="AF2056" t="n">
        <v>13</v>
      </c>
      <c r="AG2056" t="n">
        <v>15</v>
      </c>
      <c r="AH2056" t="n">
        <v>6</v>
      </c>
      <c r="AI2056" t="n">
        <v>6</v>
      </c>
      <c r="AJ2056" t="n">
        <v>13</v>
      </c>
      <c r="AK2056" t="n">
        <v>15</v>
      </c>
      <c r="AL2056" t="n">
        <v>7</v>
      </c>
      <c r="AM2056" t="n">
        <v>8</v>
      </c>
      <c r="AN2056" t="n">
        <v>2</v>
      </c>
      <c r="AO2056" t="n">
        <v>2</v>
      </c>
      <c r="AP2056" t="inlineStr">
        <is>
          <t>No</t>
        </is>
      </c>
      <c r="AQ2056" t="inlineStr">
        <is>
          <t>Yes</t>
        </is>
      </c>
      <c r="AR2056">
        <f>HYPERLINK("http://catalog.hathitrust.org/Record/003944506","HathiTrust Record")</f>
        <v/>
      </c>
      <c r="AS2056">
        <f>HYPERLINK("https://creighton-primo.hosted.exlibrisgroup.com/primo-explore/search?tab=default_tab&amp;search_scope=EVERYTHING&amp;vid=01CRU&amp;lang=en_US&amp;offset=0&amp;query=any,contains,991002747609702656","Catalog Record")</f>
        <v/>
      </c>
      <c r="AT2056">
        <f>HYPERLINK("http://www.worldcat.org/oclc/36051329","WorldCat Record")</f>
        <v/>
      </c>
      <c r="AU2056" t="inlineStr">
        <is>
          <t>569998:eng</t>
        </is>
      </c>
      <c r="AV2056" t="inlineStr">
        <is>
          <t>36051329</t>
        </is>
      </c>
      <c r="AW2056" t="inlineStr">
        <is>
          <t>991002747609702656</t>
        </is>
      </c>
      <c r="AX2056" t="inlineStr">
        <is>
          <t>991002747609702656</t>
        </is>
      </c>
      <c r="AY2056" t="inlineStr">
        <is>
          <t>2263714260002656</t>
        </is>
      </c>
      <c r="AZ2056" t="inlineStr">
        <is>
          <t>BOOK</t>
        </is>
      </c>
      <c r="BB2056" t="inlineStr">
        <is>
          <t>9780679424147</t>
        </is>
      </c>
      <c r="BC2056" t="inlineStr">
        <is>
          <t>32285003251864</t>
        </is>
      </c>
      <c r="BD2056" t="inlineStr">
        <is>
          <t>893530407</t>
        </is>
      </c>
    </row>
    <row r="2057">
      <c r="A2057" t="inlineStr">
        <is>
          <t>No</t>
        </is>
      </c>
      <c r="B2057" t="inlineStr">
        <is>
          <t>HQ759.45 .P66 1993</t>
        </is>
      </c>
      <c r="C2057" t="inlineStr">
        <is>
          <t>0                      HQ 0759450P  66          1993</t>
        </is>
      </c>
      <c r="D2057" t="inlineStr">
        <is>
          <t>Lives on the edge : single mothers and their children in the other America / Valerie Polakow.</t>
        </is>
      </c>
      <c r="F2057" t="inlineStr">
        <is>
          <t>No</t>
        </is>
      </c>
      <c r="G2057" t="inlineStr">
        <is>
          <t>1</t>
        </is>
      </c>
      <c r="H2057" t="inlineStr">
        <is>
          <t>No</t>
        </is>
      </c>
      <c r="I2057" t="inlineStr">
        <is>
          <t>No</t>
        </is>
      </c>
      <c r="J2057" t="inlineStr">
        <is>
          <t>0</t>
        </is>
      </c>
      <c r="K2057" t="inlineStr">
        <is>
          <t>Polakow, Valerie.</t>
        </is>
      </c>
      <c r="L2057" t="inlineStr">
        <is>
          <t>Chicago : University of Chicago Press, 1993.</t>
        </is>
      </c>
      <c r="M2057" t="inlineStr">
        <is>
          <t>1993</t>
        </is>
      </c>
      <c r="O2057" t="inlineStr">
        <is>
          <t>eng</t>
        </is>
      </c>
      <c r="P2057" t="inlineStr">
        <is>
          <t>ilu</t>
        </is>
      </c>
      <c r="R2057" t="inlineStr">
        <is>
          <t xml:space="preserve">HQ </t>
        </is>
      </c>
      <c r="S2057" t="n">
        <v>13</v>
      </c>
      <c r="T2057" t="n">
        <v>13</v>
      </c>
      <c r="U2057" t="inlineStr">
        <is>
          <t>1997-12-11</t>
        </is>
      </c>
      <c r="V2057" t="inlineStr">
        <is>
          <t>1997-12-11</t>
        </is>
      </c>
      <c r="W2057" t="inlineStr">
        <is>
          <t>1993-05-19</t>
        </is>
      </c>
      <c r="X2057" t="inlineStr">
        <is>
          <t>1993-05-19</t>
        </is>
      </c>
      <c r="Y2057" t="n">
        <v>1331</v>
      </c>
      <c r="Z2057" t="n">
        <v>1243</v>
      </c>
      <c r="AA2057" t="n">
        <v>1271</v>
      </c>
      <c r="AB2057" t="n">
        <v>11</v>
      </c>
      <c r="AC2057" t="n">
        <v>11</v>
      </c>
      <c r="AD2057" t="n">
        <v>50</v>
      </c>
      <c r="AE2057" t="n">
        <v>51</v>
      </c>
      <c r="AF2057" t="n">
        <v>20</v>
      </c>
      <c r="AG2057" t="n">
        <v>21</v>
      </c>
      <c r="AH2057" t="n">
        <v>9</v>
      </c>
      <c r="AI2057" t="n">
        <v>9</v>
      </c>
      <c r="AJ2057" t="n">
        <v>22</v>
      </c>
      <c r="AK2057" t="n">
        <v>22</v>
      </c>
      <c r="AL2057" t="n">
        <v>9</v>
      </c>
      <c r="AM2057" t="n">
        <v>9</v>
      </c>
      <c r="AN2057" t="n">
        <v>3</v>
      </c>
      <c r="AO2057" t="n">
        <v>3</v>
      </c>
      <c r="AP2057" t="inlineStr">
        <is>
          <t>No</t>
        </is>
      </c>
      <c r="AQ2057" t="inlineStr">
        <is>
          <t>No</t>
        </is>
      </c>
      <c r="AS2057">
        <f>HYPERLINK("https://creighton-primo.hosted.exlibrisgroup.com/primo-explore/search?tab=default_tab&amp;search_scope=EVERYTHING&amp;vid=01CRU&amp;lang=en_US&amp;offset=0&amp;query=any,contains,991002048049702656","Catalog Record")</f>
        <v/>
      </c>
      <c r="AT2057">
        <f>HYPERLINK("http://www.worldcat.org/oclc/26133060","WorldCat Record")</f>
        <v/>
      </c>
      <c r="AU2057" t="inlineStr">
        <is>
          <t>836917411:eng</t>
        </is>
      </c>
      <c r="AV2057" t="inlineStr">
        <is>
          <t>26133060</t>
        </is>
      </c>
      <c r="AW2057" t="inlineStr">
        <is>
          <t>991002048049702656</t>
        </is>
      </c>
      <c r="AX2057" t="inlineStr">
        <is>
          <t>991002048049702656</t>
        </is>
      </c>
      <c r="AY2057" t="inlineStr">
        <is>
          <t>2261293430002656</t>
        </is>
      </c>
      <c r="AZ2057" t="inlineStr">
        <is>
          <t>BOOK</t>
        </is>
      </c>
      <c r="BB2057" t="inlineStr">
        <is>
          <t>9780226671833</t>
        </is>
      </c>
      <c r="BC2057" t="inlineStr">
        <is>
          <t>32285001582112</t>
        </is>
      </c>
      <c r="BD2057" t="inlineStr">
        <is>
          <t>893439713</t>
        </is>
      </c>
    </row>
    <row r="2058">
      <c r="A2058" t="inlineStr">
        <is>
          <t>No</t>
        </is>
      </c>
      <c r="B2058" t="inlineStr">
        <is>
          <t>HQ759.45 .R46 1985</t>
        </is>
      </c>
      <c r="C2058" t="inlineStr">
        <is>
          <t>0                      HQ 0759450R  46          1985</t>
        </is>
      </c>
      <c r="D2058" t="inlineStr">
        <is>
          <t>Going solo : single mothers by choice / Jean Renvoize.</t>
        </is>
      </c>
      <c r="F2058" t="inlineStr">
        <is>
          <t>No</t>
        </is>
      </c>
      <c r="G2058" t="inlineStr">
        <is>
          <t>1</t>
        </is>
      </c>
      <c r="H2058" t="inlineStr">
        <is>
          <t>No</t>
        </is>
      </c>
      <c r="I2058" t="inlineStr">
        <is>
          <t>No</t>
        </is>
      </c>
      <c r="J2058" t="inlineStr">
        <is>
          <t>0</t>
        </is>
      </c>
      <c r="K2058" t="inlineStr">
        <is>
          <t>Renvoizé, Jean.</t>
        </is>
      </c>
      <c r="L2058" t="inlineStr">
        <is>
          <t>London ; Boston : Routledge &amp; K. Paul, 1985.</t>
        </is>
      </c>
      <c r="M2058" t="inlineStr">
        <is>
          <t>1985</t>
        </is>
      </c>
      <c r="O2058" t="inlineStr">
        <is>
          <t>eng</t>
        </is>
      </c>
      <c r="P2058" t="inlineStr">
        <is>
          <t>enk</t>
        </is>
      </c>
      <c r="R2058" t="inlineStr">
        <is>
          <t xml:space="preserve">HQ </t>
        </is>
      </c>
      <c r="S2058" t="n">
        <v>12</v>
      </c>
      <c r="T2058" t="n">
        <v>12</v>
      </c>
      <c r="U2058" t="inlineStr">
        <is>
          <t>1998-04-06</t>
        </is>
      </c>
      <c r="V2058" t="inlineStr">
        <is>
          <t>1998-04-06</t>
        </is>
      </c>
      <c r="W2058" t="inlineStr">
        <is>
          <t>1992-03-04</t>
        </is>
      </c>
      <c r="X2058" t="inlineStr">
        <is>
          <t>1992-03-04</t>
        </is>
      </c>
      <c r="Y2058" t="n">
        <v>410</v>
      </c>
      <c r="Z2058" t="n">
        <v>289</v>
      </c>
      <c r="AA2058" t="n">
        <v>291</v>
      </c>
      <c r="AB2058" t="n">
        <v>4</v>
      </c>
      <c r="AC2058" t="n">
        <v>4</v>
      </c>
      <c r="AD2058" t="n">
        <v>9</v>
      </c>
      <c r="AE2058" t="n">
        <v>9</v>
      </c>
      <c r="AF2058" t="n">
        <v>3</v>
      </c>
      <c r="AG2058" t="n">
        <v>3</v>
      </c>
      <c r="AH2058" t="n">
        <v>0</v>
      </c>
      <c r="AI2058" t="n">
        <v>0</v>
      </c>
      <c r="AJ2058" t="n">
        <v>4</v>
      </c>
      <c r="AK2058" t="n">
        <v>4</v>
      </c>
      <c r="AL2058" t="n">
        <v>3</v>
      </c>
      <c r="AM2058" t="n">
        <v>3</v>
      </c>
      <c r="AN2058" t="n">
        <v>0</v>
      </c>
      <c r="AO2058" t="n">
        <v>0</v>
      </c>
      <c r="AP2058" t="inlineStr">
        <is>
          <t>No</t>
        </is>
      </c>
      <c r="AQ2058" t="inlineStr">
        <is>
          <t>Yes</t>
        </is>
      </c>
      <c r="AR2058">
        <f>HYPERLINK("http://catalog.hathitrust.org/Record/000374874","HathiTrust Record")</f>
        <v/>
      </c>
      <c r="AS2058">
        <f>HYPERLINK("https://creighton-primo.hosted.exlibrisgroup.com/primo-explore/search?tab=default_tab&amp;search_scope=EVERYTHING&amp;vid=01CRU&amp;lang=en_US&amp;offset=0&amp;query=any,contains,991000602079702656","Catalog Record")</f>
        <v/>
      </c>
      <c r="AT2058">
        <f>HYPERLINK("http://www.worldcat.org/oclc/11842228","WorldCat Record")</f>
        <v/>
      </c>
      <c r="AU2058" t="inlineStr">
        <is>
          <t>4720105:eng</t>
        </is>
      </c>
      <c r="AV2058" t="inlineStr">
        <is>
          <t>11842228</t>
        </is>
      </c>
      <c r="AW2058" t="inlineStr">
        <is>
          <t>991000602079702656</t>
        </is>
      </c>
      <c r="AX2058" t="inlineStr">
        <is>
          <t>991000602079702656</t>
        </is>
      </c>
      <c r="AY2058" t="inlineStr">
        <is>
          <t>2265160810002656</t>
        </is>
      </c>
      <c r="AZ2058" t="inlineStr">
        <is>
          <t>BOOK</t>
        </is>
      </c>
      <c r="BB2058" t="inlineStr">
        <is>
          <t>9780710200655</t>
        </is>
      </c>
      <c r="BC2058" t="inlineStr">
        <is>
          <t>32285000991637</t>
        </is>
      </c>
      <c r="BD2058" t="inlineStr">
        <is>
          <t>893702261</t>
        </is>
      </c>
    </row>
    <row r="2059">
      <c r="A2059" t="inlineStr">
        <is>
          <t>No</t>
        </is>
      </c>
      <c r="B2059" t="inlineStr">
        <is>
          <t>HQ759.48 .C48 1998</t>
        </is>
      </c>
      <c r="C2059" t="inlineStr">
        <is>
          <t>0                      HQ 0759480C  48          1998</t>
        </is>
      </c>
      <c r="D2059" t="inlineStr">
        <is>
          <t>A mother's place : taking the debate about working mothers beyond guilt and blame / Susan Chira.</t>
        </is>
      </c>
      <c r="F2059" t="inlineStr">
        <is>
          <t>No</t>
        </is>
      </c>
      <c r="G2059" t="inlineStr">
        <is>
          <t>1</t>
        </is>
      </c>
      <c r="H2059" t="inlineStr">
        <is>
          <t>No</t>
        </is>
      </c>
      <c r="I2059" t="inlineStr">
        <is>
          <t>No</t>
        </is>
      </c>
      <c r="J2059" t="inlineStr">
        <is>
          <t>0</t>
        </is>
      </c>
      <c r="K2059" t="inlineStr">
        <is>
          <t>Chira, Susan.</t>
        </is>
      </c>
      <c r="L2059" t="inlineStr">
        <is>
          <t>New York : HarperCollins Publishers, c1998.</t>
        </is>
      </c>
      <c r="M2059" t="inlineStr">
        <is>
          <t>1998</t>
        </is>
      </c>
      <c r="N2059" t="inlineStr">
        <is>
          <t>1st ed.</t>
        </is>
      </c>
      <c r="O2059" t="inlineStr">
        <is>
          <t>eng</t>
        </is>
      </c>
      <c r="P2059" t="inlineStr">
        <is>
          <t>nyu</t>
        </is>
      </c>
      <c r="R2059" t="inlineStr">
        <is>
          <t xml:space="preserve">HQ </t>
        </is>
      </c>
      <c r="S2059" t="n">
        <v>4</v>
      </c>
      <c r="T2059" t="n">
        <v>4</v>
      </c>
      <c r="U2059" t="inlineStr">
        <is>
          <t>2005-12-13</t>
        </is>
      </c>
      <c r="V2059" t="inlineStr">
        <is>
          <t>2005-12-13</t>
        </is>
      </c>
      <c r="W2059" t="inlineStr">
        <is>
          <t>1998-07-20</t>
        </is>
      </c>
      <c r="X2059" t="inlineStr">
        <is>
          <t>1998-07-20</t>
        </is>
      </c>
      <c r="Y2059" t="n">
        <v>542</v>
      </c>
      <c r="Z2059" t="n">
        <v>509</v>
      </c>
      <c r="AA2059" t="n">
        <v>514</v>
      </c>
      <c r="AB2059" t="n">
        <v>4</v>
      </c>
      <c r="AC2059" t="n">
        <v>4</v>
      </c>
      <c r="AD2059" t="n">
        <v>19</v>
      </c>
      <c r="AE2059" t="n">
        <v>19</v>
      </c>
      <c r="AF2059" t="n">
        <v>8</v>
      </c>
      <c r="AG2059" t="n">
        <v>8</v>
      </c>
      <c r="AH2059" t="n">
        <v>3</v>
      </c>
      <c r="AI2059" t="n">
        <v>3</v>
      </c>
      <c r="AJ2059" t="n">
        <v>9</v>
      </c>
      <c r="AK2059" t="n">
        <v>9</v>
      </c>
      <c r="AL2059" t="n">
        <v>3</v>
      </c>
      <c r="AM2059" t="n">
        <v>3</v>
      </c>
      <c r="AN2059" t="n">
        <v>1</v>
      </c>
      <c r="AO2059" t="n">
        <v>1</v>
      </c>
      <c r="AP2059" t="inlineStr">
        <is>
          <t>No</t>
        </is>
      </c>
      <c r="AQ2059" t="inlineStr">
        <is>
          <t>No</t>
        </is>
      </c>
      <c r="AS2059">
        <f>HYPERLINK("https://creighton-primo.hosted.exlibrisgroup.com/primo-explore/search?tab=default_tab&amp;search_scope=EVERYTHING&amp;vid=01CRU&amp;lang=en_US&amp;offset=0&amp;query=any,contains,991002874309702656","Catalog Record")</f>
        <v/>
      </c>
      <c r="AT2059">
        <f>HYPERLINK("http://www.worldcat.org/oclc/37878735","WorldCat Record")</f>
        <v/>
      </c>
      <c r="AU2059" t="inlineStr">
        <is>
          <t>587069:eng</t>
        </is>
      </c>
      <c r="AV2059" t="inlineStr">
        <is>
          <t>37878735</t>
        </is>
      </c>
      <c r="AW2059" t="inlineStr">
        <is>
          <t>991002874309702656</t>
        </is>
      </c>
      <c r="AX2059" t="inlineStr">
        <is>
          <t>991002874309702656</t>
        </is>
      </c>
      <c r="AY2059" t="inlineStr">
        <is>
          <t>2264310630002656</t>
        </is>
      </c>
      <c r="AZ2059" t="inlineStr">
        <is>
          <t>BOOK</t>
        </is>
      </c>
      <c r="BB2059" t="inlineStr">
        <is>
          <t>9780060173272</t>
        </is>
      </c>
      <c r="BC2059" t="inlineStr">
        <is>
          <t>32285003433363</t>
        </is>
      </c>
      <c r="BD2059" t="inlineStr">
        <is>
          <t>893867815</t>
        </is>
      </c>
    </row>
    <row r="2060">
      <c r="A2060" t="inlineStr">
        <is>
          <t>No</t>
        </is>
      </c>
      <c r="B2060" t="inlineStr">
        <is>
          <t>HQ759.48 .C76 1991</t>
        </is>
      </c>
      <c r="C2060" t="inlineStr">
        <is>
          <t>0                      HQ 0759480C  76          1991</t>
        </is>
      </c>
      <c r="D2060" t="inlineStr">
        <is>
          <t>Juggling : the unexpected advantages of balancing career and home for women and their families / Faye J. Crosby.</t>
        </is>
      </c>
      <c r="F2060" t="inlineStr">
        <is>
          <t>No</t>
        </is>
      </c>
      <c r="G2060" t="inlineStr">
        <is>
          <t>1</t>
        </is>
      </c>
      <c r="H2060" t="inlineStr">
        <is>
          <t>No</t>
        </is>
      </c>
      <c r="I2060" t="inlineStr">
        <is>
          <t>No</t>
        </is>
      </c>
      <c r="J2060" t="inlineStr">
        <is>
          <t>0</t>
        </is>
      </c>
      <c r="K2060" t="inlineStr">
        <is>
          <t>Crosby, Faye J., 1947-</t>
        </is>
      </c>
      <c r="L2060" t="inlineStr">
        <is>
          <t>New York : Free Press : Maxwell Macmillan International ; Toronto : Maxwell Macmillan Canada, 1991.</t>
        </is>
      </c>
      <c r="M2060" t="inlineStr">
        <is>
          <t>1991</t>
        </is>
      </c>
      <c r="O2060" t="inlineStr">
        <is>
          <t>eng</t>
        </is>
      </c>
      <c r="P2060" t="inlineStr">
        <is>
          <t>nyu</t>
        </is>
      </c>
      <c r="R2060" t="inlineStr">
        <is>
          <t xml:space="preserve">HQ </t>
        </is>
      </c>
      <c r="S2060" t="n">
        <v>22</v>
      </c>
      <c r="T2060" t="n">
        <v>22</v>
      </c>
      <c r="U2060" t="inlineStr">
        <is>
          <t>1997-09-18</t>
        </is>
      </c>
      <c r="V2060" t="inlineStr">
        <is>
          <t>1997-09-18</t>
        </is>
      </c>
      <c r="W2060" t="inlineStr">
        <is>
          <t>1991-12-19</t>
        </is>
      </c>
      <c r="X2060" t="inlineStr">
        <is>
          <t>1991-12-19</t>
        </is>
      </c>
      <c r="Y2060" t="n">
        <v>766</v>
      </c>
      <c r="Z2060" t="n">
        <v>688</v>
      </c>
      <c r="AA2060" t="n">
        <v>743</v>
      </c>
      <c r="AB2060" t="n">
        <v>5</v>
      </c>
      <c r="AC2060" t="n">
        <v>5</v>
      </c>
      <c r="AD2060" t="n">
        <v>20</v>
      </c>
      <c r="AE2060" t="n">
        <v>21</v>
      </c>
      <c r="AF2060" t="n">
        <v>9</v>
      </c>
      <c r="AG2060" t="n">
        <v>9</v>
      </c>
      <c r="AH2060" t="n">
        <v>2</v>
      </c>
      <c r="AI2060" t="n">
        <v>2</v>
      </c>
      <c r="AJ2060" t="n">
        <v>11</v>
      </c>
      <c r="AK2060" t="n">
        <v>12</v>
      </c>
      <c r="AL2060" t="n">
        <v>4</v>
      </c>
      <c r="AM2060" t="n">
        <v>4</v>
      </c>
      <c r="AN2060" t="n">
        <v>0</v>
      </c>
      <c r="AO2060" t="n">
        <v>0</v>
      </c>
      <c r="AP2060" t="inlineStr">
        <is>
          <t>No</t>
        </is>
      </c>
      <c r="AQ2060" t="inlineStr">
        <is>
          <t>Yes</t>
        </is>
      </c>
      <c r="AR2060">
        <f>HYPERLINK("http://catalog.hathitrust.org/Record/007109750","HathiTrust Record")</f>
        <v/>
      </c>
      <c r="AS2060">
        <f>HYPERLINK("https://creighton-primo.hosted.exlibrisgroup.com/primo-explore/search?tab=default_tab&amp;search_scope=EVERYTHING&amp;vid=01CRU&amp;lang=en_US&amp;offset=0&amp;query=any,contains,991001885489702656","Catalog Record")</f>
        <v/>
      </c>
      <c r="AT2060">
        <f>HYPERLINK("http://www.worldcat.org/oclc/23766856","WorldCat Record")</f>
        <v/>
      </c>
      <c r="AU2060" t="inlineStr">
        <is>
          <t>25046809:eng</t>
        </is>
      </c>
      <c r="AV2060" t="inlineStr">
        <is>
          <t>23766856</t>
        </is>
      </c>
      <c r="AW2060" t="inlineStr">
        <is>
          <t>991001885489702656</t>
        </is>
      </c>
      <c r="AX2060" t="inlineStr">
        <is>
          <t>991001885489702656</t>
        </is>
      </c>
      <c r="AY2060" t="inlineStr">
        <is>
          <t>2269689970002656</t>
        </is>
      </c>
      <c r="AZ2060" t="inlineStr">
        <is>
          <t>BOOK</t>
        </is>
      </c>
      <c r="BB2060" t="inlineStr">
        <is>
          <t>9780029067055</t>
        </is>
      </c>
      <c r="BC2060" t="inlineStr">
        <is>
          <t>32285000861186</t>
        </is>
      </c>
      <c r="BD2060" t="inlineStr">
        <is>
          <t>893797894</t>
        </is>
      </c>
    </row>
    <row r="2061">
      <c r="A2061" t="inlineStr">
        <is>
          <t>No</t>
        </is>
      </c>
      <c r="B2061" t="inlineStr">
        <is>
          <t>HQ759.48 .G37 1999</t>
        </is>
      </c>
      <c r="C2061" t="inlineStr">
        <is>
          <t>0                      HQ 0759480G  37          1999</t>
        </is>
      </c>
      <c r="D2061" t="inlineStr">
        <is>
          <t>Weaving work and motherhood / Anita Ilta Garey.</t>
        </is>
      </c>
      <c r="F2061" t="inlineStr">
        <is>
          <t>No</t>
        </is>
      </c>
      <c r="G2061" t="inlineStr">
        <is>
          <t>1</t>
        </is>
      </c>
      <c r="H2061" t="inlineStr">
        <is>
          <t>No</t>
        </is>
      </c>
      <c r="I2061" t="inlineStr">
        <is>
          <t>No</t>
        </is>
      </c>
      <c r="J2061" t="inlineStr">
        <is>
          <t>0</t>
        </is>
      </c>
      <c r="K2061" t="inlineStr">
        <is>
          <t>Garey, Anita Ilta, 1947-</t>
        </is>
      </c>
      <c r="L2061" t="inlineStr">
        <is>
          <t>Philadelphia : Temple University Press, 1999.</t>
        </is>
      </c>
      <c r="M2061" t="inlineStr">
        <is>
          <t>1999</t>
        </is>
      </c>
      <c r="O2061" t="inlineStr">
        <is>
          <t>eng</t>
        </is>
      </c>
      <c r="P2061" t="inlineStr">
        <is>
          <t>pau</t>
        </is>
      </c>
      <c r="Q2061" t="inlineStr">
        <is>
          <t>Women in the political economy</t>
        </is>
      </c>
      <c r="R2061" t="inlineStr">
        <is>
          <t xml:space="preserve">HQ </t>
        </is>
      </c>
      <c r="S2061" t="n">
        <v>4</v>
      </c>
      <c r="T2061" t="n">
        <v>4</v>
      </c>
      <c r="U2061" t="inlineStr">
        <is>
          <t>2003-02-07</t>
        </is>
      </c>
      <c r="V2061" t="inlineStr">
        <is>
          <t>2003-02-07</t>
        </is>
      </c>
      <c r="W2061" t="inlineStr">
        <is>
          <t>2000-09-13</t>
        </is>
      </c>
      <c r="X2061" t="inlineStr">
        <is>
          <t>2000-09-13</t>
        </is>
      </c>
      <c r="Y2061" t="n">
        <v>508</v>
      </c>
      <c r="Z2061" t="n">
        <v>447</v>
      </c>
      <c r="AA2061" t="n">
        <v>452</v>
      </c>
      <c r="AB2061" t="n">
        <v>3</v>
      </c>
      <c r="AC2061" t="n">
        <v>3</v>
      </c>
      <c r="AD2061" t="n">
        <v>24</v>
      </c>
      <c r="AE2061" t="n">
        <v>24</v>
      </c>
      <c r="AF2061" t="n">
        <v>9</v>
      </c>
      <c r="AG2061" t="n">
        <v>9</v>
      </c>
      <c r="AH2061" t="n">
        <v>7</v>
      </c>
      <c r="AI2061" t="n">
        <v>7</v>
      </c>
      <c r="AJ2061" t="n">
        <v>12</v>
      </c>
      <c r="AK2061" t="n">
        <v>12</v>
      </c>
      <c r="AL2061" t="n">
        <v>2</v>
      </c>
      <c r="AM2061" t="n">
        <v>2</v>
      </c>
      <c r="AN2061" t="n">
        <v>1</v>
      </c>
      <c r="AO2061" t="n">
        <v>1</v>
      </c>
      <c r="AP2061" t="inlineStr">
        <is>
          <t>No</t>
        </is>
      </c>
      <c r="AQ2061" t="inlineStr">
        <is>
          <t>No</t>
        </is>
      </c>
      <c r="AS2061">
        <f>HYPERLINK("https://creighton-primo.hosted.exlibrisgroup.com/primo-explore/search?tab=default_tab&amp;search_scope=EVERYTHING&amp;vid=01CRU&amp;lang=en_US&amp;offset=0&amp;query=any,contains,991003239539702656","Catalog Record")</f>
        <v/>
      </c>
      <c r="AT2061">
        <f>HYPERLINK("http://www.worldcat.org/oclc/40200380","WorldCat Record")</f>
        <v/>
      </c>
      <c r="AU2061" t="inlineStr">
        <is>
          <t>23365000:eng</t>
        </is>
      </c>
      <c r="AV2061" t="inlineStr">
        <is>
          <t>40200380</t>
        </is>
      </c>
      <c r="AW2061" t="inlineStr">
        <is>
          <t>991003239539702656</t>
        </is>
      </c>
      <c r="AX2061" t="inlineStr">
        <is>
          <t>991003239539702656</t>
        </is>
      </c>
      <c r="AY2061" t="inlineStr">
        <is>
          <t>2267089330002656</t>
        </is>
      </c>
      <c r="AZ2061" t="inlineStr">
        <is>
          <t>BOOK</t>
        </is>
      </c>
      <c r="BB2061" t="inlineStr">
        <is>
          <t>9781566396998</t>
        </is>
      </c>
      <c r="BC2061" t="inlineStr">
        <is>
          <t>32285003761995</t>
        </is>
      </c>
      <c r="BD2061" t="inlineStr">
        <is>
          <t>893717455</t>
        </is>
      </c>
    </row>
    <row r="2062">
      <c r="A2062" t="inlineStr">
        <is>
          <t>No</t>
        </is>
      </c>
      <c r="B2062" t="inlineStr">
        <is>
          <t>HQ759.48 .G47 1997</t>
        </is>
      </c>
      <c r="C2062" t="inlineStr">
        <is>
          <t>0                      HQ 0759480G  47          1997</t>
        </is>
      </c>
      <c r="D2062" t="inlineStr">
        <is>
          <t>Gender and family issues in the workplace / Francine D. Blau, Ronald G. Ehrenberg, editors.</t>
        </is>
      </c>
      <c r="F2062" t="inlineStr">
        <is>
          <t>No</t>
        </is>
      </c>
      <c r="G2062" t="inlineStr">
        <is>
          <t>1</t>
        </is>
      </c>
      <c r="H2062" t="inlineStr">
        <is>
          <t>No</t>
        </is>
      </c>
      <c r="I2062" t="inlineStr">
        <is>
          <t>No</t>
        </is>
      </c>
      <c r="J2062" t="inlineStr">
        <is>
          <t>0</t>
        </is>
      </c>
      <c r="L2062" t="inlineStr">
        <is>
          <t>New York : Russell Sage Foundation, c1997.</t>
        </is>
      </c>
      <c r="M2062" t="inlineStr">
        <is>
          <t>1997</t>
        </is>
      </c>
      <c r="O2062" t="inlineStr">
        <is>
          <t>eng</t>
        </is>
      </c>
      <c r="P2062" t="inlineStr">
        <is>
          <t>nyu</t>
        </is>
      </c>
      <c r="R2062" t="inlineStr">
        <is>
          <t xml:space="preserve">HQ </t>
        </is>
      </c>
      <c r="S2062" t="n">
        <v>9</v>
      </c>
      <c r="T2062" t="n">
        <v>9</v>
      </c>
      <c r="U2062" t="inlineStr">
        <is>
          <t>2003-02-07</t>
        </is>
      </c>
      <c r="V2062" t="inlineStr">
        <is>
          <t>2003-02-07</t>
        </is>
      </c>
      <c r="W2062" t="inlineStr">
        <is>
          <t>1997-07-31</t>
        </is>
      </c>
      <c r="X2062" t="inlineStr">
        <is>
          <t>1997-07-31</t>
        </is>
      </c>
      <c r="Y2062" t="n">
        <v>636</v>
      </c>
      <c r="Z2062" t="n">
        <v>548</v>
      </c>
      <c r="AA2062" t="n">
        <v>655</v>
      </c>
      <c r="AB2062" t="n">
        <v>4</v>
      </c>
      <c r="AC2062" t="n">
        <v>4</v>
      </c>
      <c r="AD2062" t="n">
        <v>29</v>
      </c>
      <c r="AE2062" t="n">
        <v>33</v>
      </c>
      <c r="AF2062" t="n">
        <v>11</v>
      </c>
      <c r="AG2062" t="n">
        <v>15</v>
      </c>
      <c r="AH2062" t="n">
        <v>7</v>
      </c>
      <c r="AI2062" t="n">
        <v>8</v>
      </c>
      <c r="AJ2062" t="n">
        <v>12</v>
      </c>
      <c r="AK2062" t="n">
        <v>12</v>
      </c>
      <c r="AL2062" t="n">
        <v>3</v>
      </c>
      <c r="AM2062" t="n">
        <v>3</v>
      </c>
      <c r="AN2062" t="n">
        <v>4</v>
      </c>
      <c r="AO2062" t="n">
        <v>4</v>
      </c>
      <c r="AP2062" t="inlineStr">
        <is>
          <t>No</t>
        </is>
      </c>
      <c r="AQ2062" t="inlineStr">
        <is>
          <t>Yes</t>
        </is>
      </c>
      <c r="AR2062">
        <f>HYPERLINK("http://catalog.hathitrust.org/Record/003174470","HathiTrust Record")</f>
        <v/>
      </c>
      <c r="AS2062">
        <f>HYPERLINK("https://creighton-primo.hosted.exlibrisgroup.com/primo-explore/search?tab=default_tab&amp;search_scope=EVERYTHING&amp;vid=01CRU&amp;lang=en_US&amp;offset=0&amp;query=any,contains,991002753939702656","Catalog Record")</f>
        <v/>
      </c>
      <c r="AT2062">
        <f>HYPERLINK("http://www.worldcat.org/oclc/36130694","WorldCat Record")</f>
        <v/>
      </c>
      <c r="AU2062" t="inlineStr">
        <is>
          <t>350626614:eng</t>
        </is>
      </c>
      <c r="AV2062" t="inlineStr">
        <is>
          <t>36130694</t>
        </is>
      </c>
      <c r="AW2062" t="inlineStr">
        <is>
          <t>991002753939702656</t>
        </is>
      </c>
      <c r="AX2062" t="inlineStr">
        <is>
          <t>991002753939702656</t>
        </is>
      </c>
      <c r="AY2062" t="inlineStr">
        <is>
          <t>2254859890002656</t>
        </is>
      </c>
      <c r="AZ2062" t="inlineStr">
        <is>
          <t>BOOK</t>
        </is>
      </c>
      <c r="BB2062" t="inlineStr">
        <is>
          <t>9780871541178</t>
        </is>
      </c>
      <c r="BC2062" t="inlineStr">
        <is>
          <t>32285003000188</t>
        </is>
      </c>
      <c r="BD2062" t="inlineStr">
        <is>
          <t>893873940</t>
        </is>
      </c>
    </row>
    <row r="2063">
      <c r="A2063" t="inlineStr">
        <is>
          <t>No</t>
        </is>
      </c>
      <c r="B2063" t="inlineStr">
        <is>
          <t>HQ759.48 .L48 1994</t>
        </is>
      </c>
      <c r="C2063" t="inlineStr">
        <is>
          <t>0                      HQ 0759480L  48          1994</t>
        </is>
      </c>
      <c r="D2063" t="inlineStr">
        <is>
          <t>Working women and their families / Jacqueline V. Lerner.</t>
        </is>
      </c>
      <c r="F2063" t="inlineStr">
        <is>
          <t>No</t>
        </is>
      </c>
      <c r="G2063" t="inlineStr">
        <is>
          <t>1</t>
        </is>
      </c>
      <c r="H2063" t="inlineStr">
        <is>
          <t>No</t>
        </is>
      </c>
      <c r="I2063" t="inlineStr">
        <is>
          <t>No</t>
        </is>
      </c>
      <c r="J2063" t="inlineStr">
        <is>
          <t>0</t>
        </is>
      </c>
      <c r="K2063" t="inlineStr">
        <is>
          <t>Lerner, Jacqueline V.</t>
        </is>
      </c>
      <c r="L2063" t="inlineStr">
        <is>
          <t>Thousand Oaks, Calif. : Sage Publications, c1994.</t>
        </is>
      </c>
      <c r="M2063" t="inlineStr">
        <is>
          <t>1994</t>
        </is>
      </c>
      <c r="O2063" t="inlineStr">
        <is>
          <t>eng</t>
        </is>
      </c>
      <c r="P2063" t="inlineStr">
        <is>
          <t>cau</t>
        </is>
      </c>
      <c r="Q2063" t="inlineStr">
        <is>
          <t>Family studies text series ; v. 13</t>
        </is>
      </c>
      <c r="R2063" t="inlineStr">
        <is>
          <t xml:space="preserve">HQ </t>
        </is>
      </c>
      <c r="S2063" t="n">
        <v>20</v>
      </c>
      <c r="T2063" t="n">
        <v>20</v>
      </c>
      <c r="U2063" t="inlineStr">
        <is>
          <t>2005-12-13</t>
        </is>
      </c>
      <c r="V2063" t="inlineStr">
        <is>
          <t>2005-12-13</t>
        </is>
      </c>
      <c r="W2063" t="inlineStr">
        <is>
          <t>1994-07-06</t>
        </is>
      </c>
      <c r="X2063" t="inlineStr">
        <is>
          <t>1994-07-06</t>
        </is>
      </c>
      <c r="Y2063" t="n">
        <v>416</v>
      </c>
      <c r="Z2063" t="n">
        <v>323</v>
      </c>
      <c r="AA2063" t="n">
        <v>330</v>
      </c>
      <c r="AB2063" t="n">
        <v>4</v>
      </c>
      <c r="AC2063" t="n">
        <v>4</v>
      </c>
      <c r="AD2063" t="n">
        <v>18</v>
      </c>
      <c r="AE2063" t="n">
        <v>18</v>
      </c>
      <c r="AF2063" t="n">
        <v>6</v>
      </c>
      <c r="AG2063" t="n">
        <v>6</v>
      </c>
      <c r="AH2063" t="n">
        <v>4</v>
      </c>
      <c r="AI2063" t="n">
        <v>4</v>
      </c>
      <c r="AJ2063" t="n">
        <v>9</v>
      </c>
      <c r="AK2063" t="n">
        <v>9</v>
      </c>
      <c r="AL2063" t="n">
        <v>3</v>
      </c>
      <c r="AM2063" t="n">
        <v>3</v>
      </c>
      <c r="AN2063" t="n">
        <v>0</v>
      </c>
      <c r="AO2063" t="n">
        <v>0</v>
      </c>
      <c r="AP2063" t="inlineStr">
        <is>
          <t>No</t>
        </is>
      </c>
      <c r="AQ2063" t="inlineStr">
        <is>
          <t>Yes</t>
        </is>
      </c>
      <c r="AR2063">
        <f>HYPERLINK("http://catalog.hathitrust.org/Record/002738573","HathiTrust Record")</f>
        <v/>
      </c>
      <c r="AS2063">
        <f>HYPERLINK("https://creighton-primo.hosted.exlibrisgroup.com/primo-explore/search?tab=default_tab&amp;search_scope=EVERYTHING&amp;vid=01CRU&amp;lang=en_US&amp;offset=0&amp;query=any,contains,991002236219702656","Catalog Record")</f>
        <v/>
      </c>
      <c r="AT2063">
        <f>HYPERLINK("http://www.worldcat.org/oclc/28846930","WorldCat Record")</f>
        <v/>
      </c>
      <c r="AU2063" t="inlineStr">
        <is>
          <t>31633353:eng</t>
        </is>
      </c>
      <c r="AV2063" t="inlineStr">
        <is>
          <t>28846930</t>
        </is>
      </c>
      <c r="AW2063" t="inlineStr">
        <is>
          <t>991002236219702656</t>
        </is>
      </c>
      <c r="AX2063" t="inlineStr">
        <is>
          <t>991002236219702656</t>
        </is>
      </c>
      <c r="AY2063" t="inlineStr">
        <is>
          <t>2266113330002656</t>
        </is>
      </c>
      <c r="AZ2063" t="inlineStr">
        <is>
          <t>BOOK</t>
        </is>
      </c>
      <c r="BB2063" t="inlineStr">
        <is>
          <t>9780803942097</t>
        </is>
      </c>
      <c r="BC2063" t="inlineStr">
        <is>
          <t>32285001931053</t>
        </is>
      </c>
      <c r="BD2063" t="inlineStr">
        <is>
          <t>893504169</t>
        </is>
      </c>
    </row>
    <row r="2064">
      <c r="A2064" t="inlineStr">
        <is>
          <t>No</t>
        </is>
      </c>
      <c r="B2064" t="inlineStr">
        <is>
          <t>HQ759.48 .M35 1988</t>
        </is>
      </c>
      <c r="C2064" t="inlineStr">
        <is>
          <t>0                      HQ 0759480M  35          1988</t>
        </is>
      </c>
      <c r="D2064" t="inlineStr">
        <is>
          <t>Maternal employment and children's development : longitudinal research / edited by Adele Eskeles Gottfried and Allen W. Gottfried.</t>
        </is>
      </c>
      <c r="F2064" t="inlineStr">
        <is>
          <t>No</t>
        </is>
      </c>
      <c r="G2064" t="inlineStr">
        <is>
          <t>1</t>
        </is>
      </c>
      <c r="H2064" t="inlineStr">
        <is>
          <t>Yes</t>
        </is>
      </c>
      <c r="I2064" t="inlineStr">
        <is>
          <t>No</t>
        </is>
      </c>
      <c r="J2064" t="inlineStr">
        <is>
          <t>0</t>
        </is>
      </c>
      <c r="L2064" t="inlineStr">
        <is>
          <t>New York : Plenum Press, c1988.</t>
        </is>
      </c>
      <c r="M2064" t="inlineStr">
        <is>
          <t>1988</t>
        </is>
      </c>
      <c r="O2064" t="inlineStr">
        <is>
          <t>eng</t>
        </is>
      </c>
      <c r="P2064" t="inlineStr">
        <is>
          <t>nyu</t>
        </is>
      </c>
      <c r="Q2064" t="inlineStr">
        <is>
          <t>Plenum studies in work and industry</t>
        </is>
      </c>
      <c r="R2064" t="inlineStr">
        <is>
          <t xml:space="preserve">HQ </t>
        </is>
      </c>
      <c r="S2064" t="n">
        <v>16</v>
      </c>
      <c r="T2064" t="n">
        <v>20</v>
      </c>
      <c r="U2064" t="inlineStr">
        <is>
          <t>1997-10-28</t>
        </is>
      </c>
      <c r="V2064" t="inlineStr">
        <is>
          <t>1997-10-28</t>
        </is>
      </c>
      <c r="W2064" t="inlineStr">
        <is>
          <t>1992-03-26</t>
        </is>
      </c>
      <c r="X2064" t="inlineStr">
        <is>
          <t>1992-03-26</t>
        </is>
      </c>
      <c r="Y2064" t="n">
        <v>552</v>
      </c>
      <c r="Z2064" t="n">
        <v>414</v>
      </c>
      <c r="AA2064" t="n">
        <v>424</v>
      </c>
      <c r="AB2064" t="n">
        <v>5</v>
      </c>
      <c r="AC2064" t="n">
        <v>5</v>
      </c>
      <c r="AD2064" t="n">
        <v>19</v>
      </c>
      <c r="AE2064" t="n">
        <v>19</v>
      </c>
      <c r="AF2064" t="n">
        <v>7</v>
      </c>
      <c r="AG2064" t="n">
        <v>7</v>
      </c>
      <c r="AH2064" t="n">
        <v>4</v>
      </c>
      <c r="AI2064" t="n">
        <v>4</v>
      </c>
      <c r="AJ2064" t="n">
        <v>11</v>
      </c>
      <c r="AK2064" t="n">
        <v>11</v>
      </c>
      <c r="AL2064" t="n">
        <v>3</v>
      </c>
      <c r="AM2064" t="n">
        <v>3</v>
      </c>
      <c r="AN2064" t="n">
        <v>0</v>
      </c>
      <c r="AO2064" t="n">
        <v>0</v>
      </c>
      <c r="AP2064" t="inlineStr">
        <is>
          <t>No</t>
        </is>
      </c>
      <c r="AQ2064" t="inlineStr">
        <is>
          <t>No</t>
        </is>
      </c>
      <c r="AS2064">
        <f>HYPERLINK("https://creighton-primo.hosted.exlibrisgroup.com/primo-explore/search?tab=default_tab&amp;search_scope=EVERYTHING&amp;vid=01CRU&amp;lang=en_US&amp;offset=0&amp;query=any,contains,991001785979702656","Catalog Record")</f>
        <v/>
      </c>
      <c r="AT2064">
        <f>HYPERLINK("http://www.worldcat.org/oclc/17954452","WorldCat Record")</f>
        <v/>
      </c>
      <c r="AU2064" t="inlineStr">
        <is>
          <t>836884596:eng</t>
        </is>
      </c>
      <c r="AV2064" t="inlineStr">
        <is>
          <t>17954452</t>
        </is>
      </c>
      <c r="AW2064" t="inlineStr">
        <is>
          <t>991001785979702656</t>
        </is>
      </c>
      <c r="AX2064" t="inlineStr">
        <is>
          <t>991001785979702656</t>
        </is>
      </c>
      <c r="AY2064" t="inlineStr">
        <is>
          <t>2272233500002656</t>
        </is>
      </c>
      <c r="AZ2064" t="inlineStr">
        <is>
          <t>BOOK</t>
        </is>
      </c>
      <c r="BB2064" t="inlineStr">
        <is>
          <t>9780306428678</t>
        </is>
      </c>
      <c r="BC2064" t="inlineStr">
        <is>
          <t>32285001040731</t>
        </is>
      </c>
      <c r="BD2064" t="inlineStr">
        <is>
          <t>893322256</t>
        </is>
      </c>
    </row>
    <row r="2065">
      <c r="A2065" t="inlineStr">
        <is>
          <t>No</t>
        </is>
      </c>
      <c r="B2065" t="inlineStr">
        <is>
          <t>HQ759.48 .M38 1989</t>
        </is>
      </c>
      <c r="C2065" t="inlineStr">
        <is>
          <t>0                      HQ 0759480M  38          1989</t>
        </is>
      </c>
      <c r="D2065" t="inlineStr">
        <is>
          <t>The biological clock : balancing marriage, motherhood, and career / Molly McKaughan.</t>
        </is>
      </c>
      <c r="F2065" t="inlineStr">
        <is>
          <t>No</t>
        </is>
      </c>
      <c r="G2065" t="inlineStr">
        <is>
          <t>1</t>
        </is>
      </c>
      <c r="H2065" t="inlineStr">
        <is>
          <t>No</t>
        </is>
      </c>
      <c r="I2065" t="inlineStr">
        <is>
          <t>No</t>
        </is>
      </c>
      <c r="J2065" t="inlineStr">
        <is>
          <t>0</t>
        </is>
      </c>
      <c r="K2065" t="inlineStr">
        <is>
          <t>McKaughan, Molly.</t>
        </is>
      </c>
      <c r="L2065" t="inlineStr">
        <is>
          <t>New York, N.Y., U.S.A. : Penguin Books, 1989, c1987.</t>
        </is>
      </c>
      <c r="M2065" t="inlineStr">
        <is>
          <t>1989</t>
        </is>
      </c>
      <c r="O2065" t="inlineStr">
        <is>
          <t>eng</t>
        </is>
      </c>
      <c r="P2065" t="inlineStr">
        <is>
          <t>nyu</t>
        </is>
      </c>
      <c r="R2065" t="inlineStr">
        <is>
          <t xml:space="preserve">HQ </t>
        </is>
      </c>
      <c r="S2065" t="n">
        <v>1</v>
      </c>
      <c r="T2065" t="n">
        <v>1</v>
      </c>
      <c r="U2065" t="inlineStr">
        <is>
          <t>2010-11-10</t>
        </is>
      </c>
      <c r="V2065" t="inlineStr">
        <is>
          <t>2010-11-10</t>
        </is>
      </c>
      <c r="W2065" t="inlineStr">
        <is>
          <t>2010-11-10</t>
        </is>
      </c>
      <c r="X2065" t="inlineStr">
        <is>
          <t>2010-11-10</t>
        </is>
      </c>
      <c r="Y2065" t="n">
        <v>92</v>
      </c>
      <c r="Z2065" t="n">
        <v>86</v>
      </c>
      <c r="AA2065" t="n">
        <v>91</v>
      </c>
      <c r="AB2065" t="n">
        <v>1</v>
      </c>
      <c r="AC2065" t="n">
        <v>1</v>
      </c>
      <c r="AD2065" t="n">
        <v>2</v>
      </c>
      <c r="AE2065" t="n">
        <v>2</v>
      </c>
      <c r="AF2065" t="n">
        <v>2</v>
      </c>
      <c r="AG2065" t="n">
        <v>2</v>
      </c>
      <c r="AH2065" t="n">
        <v>0</v>
      </c>
      <c r="AI2065" t="n">
        <v>0</v>
      </c>
      <c r="AJ2065" t="n">
        <v>1</v>
      </c>
      <c r="AK2065" t="n">
        <v>1</v>
      </c>
      <c r="AL2065" t="n">
        <v>0</v>
      </c>
      <c r="AM2065" t="n">
        <v>0</v>
      </c>
      <c r="AN2065" t="n">
        <v>0</v>
      </c>
      <c r="AO2065" t="n">
        <v>0</v>
      </c>
      <c r="AP2065" t="inlineStr">
        <is>
          <t>No</t>
        </is>
      </c>
      <c r="AQ2065" t="inlineStr">
        <is>
          <t>No</t>
        </is>
      </c>
      <c r="AS2065">
        <f>HYPERLINK("https://creighton-primo.hosted.exlibrisgroup.com/primo-explore/search?tab=default_tab&amp;search_scope=EVERYTHING&amp;vid=01CRU&amp;lang=en_US&amp;offset=0&amp;query=any,contains,991000221729702656","Catalog Record")</f>
        <v/>
      </c>
      <c r="AT2065">
        <f>HYPERLINK("http://www.worldcat.org/oclc/18292236","WorldCat Record")</f>
        <v/>
      </c>
      <c r="AU2065" t="inlineStr">
        <is>
          <t>17952240:eng</t>
        </is>
      </c>
      <c r="AV2065" t="inlineStr">
        <is>
          <t>18292236</t>
        </is>
      </c>
      <c r="AW2065" t="inlineStr">
        <is>
          <t>991000221729702656</t>
        </is>
      </c>
      <c r="AX2065" t="inlineStr">
        <is>
          <t>991000221729702656</t>
        </is>
      </c>
      <c r="AY2065" t="inlineStr">
        <is>
          <t>2264482880002656</t>
        </is>
      </c>
      <c r="AZ2065" t="inlineStr">
        <is>
          <t>BOOK</t>
        </is>
      </c>
      <c r="BB2065" t="inlineStr">
        <is>
          <t>9780140114812</t>
        </is>
      </c>
      <c r="BC2065" t="inlineStr">
        <is>
          <t>32285005605901</t>
        </is>
      </c>
      <c r="BD2065" t="inlineStr">
        <is>
          <t>893515121</t>
        </is>
      </c>
    </row>
    <row r="2066">
      <c r="A2066" t="inlineStr">
        <is>
          <t>No</t>
        </is>
      </c>
      <c r="B2066" t="inlineStr">
        <is>
          <t>HQ759.48 .M64 1992</t>
        </is>
      </c>
      <c r="C2066" t="inlineStr">
        <is>
          <t>0                      HQ 0759480M  64          1992</t>
        </is>
      </c>
      <c r="D2066" t="inlineStr">
        <is>
          <t>Women's two roles : a contemporary dilemma / Phyllis Moen.</t>
        </is>
      </c>
      <c r="F2066" t="inlineStr">
        <is>
          <t>No</t>
        </is>
      </c>
      <c r="G2066" t="inlineStr">
        <is>
          <t>1</t>
        </is>
      </c>
      <c r="H2066" t="inlineStr">
        <is>
          <t>No</t>
        </is>
      </c>
      <c r="I2066" t="inlineStr">
        <is>
          <t>No</t>
        </is>
      </c>
      <c r="J2066" t="inlineStr">
        <is>
          <t>0</t>
        </is>
      </c>
      <c r="K2066" t="inlineStr">
        <is>
          <t>Moen, Phyllis.</t>
        </is>
      </c>
      <c r="L2066" t="inlineStr">
        <is>
          <t>New York : Auburn House, 1992.</t>
        </is>
      </c>
      <c r="M2066" t="inlineStr">
        <is>
          <t>1992</t>
        </is>
      </c>
      <c r="O2066" t="inlineStr">
        <is>
          <t>eng</t>
        </is>
      </c>
      <c r="P2066" t="inlineStr">
        <is>
          <t>nyu</t>
        </is>
      </c>
      <c r="R2066" t="inlineStr">
        <is>
          <t xml:space="preserve">HQ </t>
        </is>
      </c>
      <c r="S2066" t="n">
        <v>26</v>
      </c>
      <c r="T2066" t="n">
        <v>26</v>
      </c>
      <c r="U2066" t="inlineStr">
        <is>
          <t>2001-10-15</t>
        </is>
      </c>
      <c r="V2066" t="inlineStr">
        <is>
          <t>2001-10-15</t>
        </is>
      </c>
      <c r="W2066" t="inlineStr">
        <is>
          <t>1993-01-19</t>
        </is>
      </c>
      <c r="X2066" t="inlineStr">
        <is>
          <t>1993-01-19</t>
        </is>
      </c>
      <c r="Y2066" t="n">
        <v>600</v>
      </c>
      <c r="Z2066" t="n">
        <v>504</v>
      </c>
      <c r="AA2066" t="n">
        <v>509</v>
      </c>
      <c r="AB2066" t="n">
        <v>5</v>
      </c>
      <c r="AC2066" t="n">
        <v>5</v>
      </c>
      <c r="AD2066" t="n">
        <v>26</v>
      </c>
      <c r="AE2066" t="n">
        <v>26</v>
      </c>
      <c r="AF2066" t="n">
        <v>10</v>
      </c>
      <c r="AG2066" t="n">
        <v>10</v>
      </c>
      <c r="AH2066" t="n">
        <v>4</v>
      </c>
      <c r="AI2066" t="n">
        <v>4</v>
      </c>
      <c r="AJ2066" t="n">
        <v>13</v>
      </c>
      <c r="AK2066" t="n">
        <v>13</v>
      </c>
      <c r="AL2066" t="n">
        <v>4</v>
      </c>
      <c r="AM2066" t="n">
        <v>4</v>
      </c>
      <c r="AN2066" t="n">
        <v>0</v>
      </c>
      <c r="AO2066" t="n">
        <v>0</v>
      </c>
      <c r="AP2066" t="inlineStr">
        <is>
          <t>No</t>
        </is>
      </c>
      <c r="AQ2066" t="inlineStr">
        <is>
          <t>No</t>
        </is>
      </c>
      <c r="AS2066">
        <f>HYPERLINK("https://creighton-primo.hosted.exlibrisgroup.com/primo-explore/search?tab=default_tab&amp;search_scope=EVERYTHING&amp;vid=01CRU&amp;lang=en_US&amp;offset=0&amp;query=any,contains,991001946489702656","Catalog Record")</f>
        <v/>
      </c>
      <c r="AT2066">
        <f>HYPERLINK("http://www.worldcat.org/oclc/24590631","WorldCat Record")</f>
        <v/>
      </c>
      <c r="AU2066" t="inlineStr">
        <is>
          <t>836916984:eng</t>
        </is>
      </c>
      <c r="AV2066" t="inlineStr">
        <is>
          <t>24590631</t>
        </is>
      </c>
      <c r="AW2066" t="inlineStr">
        <is>
          <t>991001946489702656</t>
        </is>
      </c>
      <c r="AX2066" t="inlineStr">
        <is>
          <t>991001946489702656</t>
        </is>
      </c>
      <c r="AY2066" t="inlineStr">
        <is>
          <t>2271014730002656</t>
        </is>
      </c>
      <c r="AZ2066" t="inlineStr">
        <is>
          <t>BOOK</t>
        </is>
      </c>
      <c r="BB2066" t="inlineStr">
        <is>
          <t>9780865691988</t>
        </is>
      </c>
      <c r="BC2066" t="inlineStr">
        <is>
          <t>32285001446805</t>
        </is>
      </c>
      <c r="BD2066" t="inlineStr">
        <is>
          <t>893346928</t>
        </is>
      </c>
    </row>
    <row r="2067">
      <c r="A2067" t="inlineStr">
        <is>
          <t>No</t>
        </is>
      </c>
      <c r="B2067" t="inlineStr">
        <is>
          <t>HQ759.48 .P45 1997</t>
        </is>
      </c>
      <c r="C2067" t="inlineStr">
        <is>
          <t>0                      HQ 0759480P  45          1997</t>
        </is>
      </c>
      <c r="D2067" t="inlineStr">
        <is>
          <t>When mothers work : loving our children without sacrificing our selves / Joan K. Peters.</t>
        </is>
      </c>
      <c r="F2067" t="inlineStr">
        <is>
          <t>No</t>
        </is>
      </c>
      <c r="G2067" t="inlineStr">
        <is>
          <t>1</t>
        </is>
      </c>
      <c r="H2067" t="inlineStr">
        <is>
          <t>No</t>
        </is>
      </c>
      <c r="I2067" t="inlineStr">
        <is>
          <t>No</t>
        </is>
      </c>
      <c r="J2067" t="inlineStr">
        <is>
          <t>0</t>
        </is>
      </c>
      <c r="K2067" t="inlineStr">
        <is>
          <t>Peters, Joan K.</t>
        </is>
      </c>
      <c r="L2067" t="inlineStr">
        <is>
          <t>Reading, Mass. : Addison-Wesley, c1997.</t>
        </is>
      </c>
      <c r="M2067" t="inlineStr">
        <is>
          <t>1997</t>
        </is>
      </c>
      <c r="O2067" t="inlineStr">
        <is>
          <t>eng</t>
        </is>
      </c>
      <c r="P2067" t="inlineStr">
        <is>
          <t>mau</t>
        </is>
      </c>
      <c r="R2067" t="inlineStr">
        <is>
          <t xml:space="preserve">HQ </t>
        </is>
      </c>
      <c r="S2067" t="n">
        <v>4</v>
      </c>
      <c r="T2067" t="n">
        <v>4</v>
      </c>
      <c r="U2067" t="inlineStr">
        <is>
          <t>2001-10-15</t>
        </is>
      </c>
      <c r="V2067" t="inlineStr">
        <is>
          <t>2001-10-15</t>
        </is>
      </c>
      <c r="W2067" t="inlineStr">
        <is>
          <t>1998-12-09</t>
        </is>
      </c>
      <c r="X2067" t="inlineStr">
        <is>
          <t>1998-12-09</t>
        </is>
      </c>
      <c r="Y2067" t="n">
        <v>577</v>
      </c>
      <c r="Z2067" t="n">
        <v>544</v>
      </c>
      <c r="AA2067" t="n">
        <v>640</v>
      </c>
      <c r="AB2067" t="n">
        <v>5</v>
      </c>
      <c r="AC2067" t="n">
        <v>5</v>
      </c>
      <c r="AD2067" t="n">
        <v>18</v>
      </c>
      <c r="AE2067" t="n">
        <v>20</v>
      </c>
      <c r="AF2067" t="n">
        <v>4</v>
      </c>
      <c r="AG2067" t="n">
        <v>5</v>
      </c>
      <c r="AH2067" t="n">
        <v>4</v>
      </c>
      <c r="AI2067" t="n">
        <v>5</v>
      </c>
      <c r="AJ2067" t="n">
        <v>10</v>
      </c>
      <c r="AK2067" t="n">
        <v>10</v>
      </c>
      <c r="AL2067" t="n">
        <v>4</v>
      </c>
      <c r="AM2067" t="n">
        <v>4</v>
      </c>
      <c r="AN2067" t="n">
        <v>0</v>
      </c>
      <c r="AO2067" t="n">
        <v>0</v>
      </c>
      <c r="AP2067" t="inlineStr">
        <is>
          <t>No</t>
        </is>
      </c>
      <c r="AQ2067" t="inlineStr">
        <is>
          <t>Yes</t>
        </is>
      </c>
      <c r="AR2067">
        <f>HYPERLINK("http://catalog.hathitrust.org/Record/003961891","HathiTrust Record")</f>
        <v/>
      </c>
      <c r="AS2067">
        <f>HYPERLINK("https://creighton-primo.hosted.exlibrisgroup.com/primo-explore/search?tab=default_tab&amp;search_scope=EVERYTHING&amp;vid=01CRU&amp;lang=en_US&amp;offset=0&amp;query=any,contains,991002806279702656","Catalog Record")</f>
        <v/>
      </c>
      <c r="AT2067">
        <f>HYPERLINK("http://www.worldcat.org/oclc/36865714","WorldCat Record")</f>
        <v/>
      </c>
      <c r="AU2067" t="inlineStr">
        <is>
          <t>600040:eng</t>
        </is>
      </c>
      <c r="AV2067" t="inlineStr">
        <is>
          <t>36865714</t>
        </is>
      </c>
      <c r="AW2067" t="inlineStr">
        <is>
          <t>991002806279702656</t>
        </is>
      </c>
      <c r="AX2067" t="inlineStr">
        <is>
          <t>991002806279702656</t>
        </is>
      </c>
      <c r="AY2067" t="inlineStr">
        <is>
          <t>2262306670002656</t>
        </is>
      </c>
      <c r="AZ2067" t="inlineStr">
        <is>
          <t>BOOK</t>
        </is>
      </c>
      <c r="BB2067" t="inlineStr">
        <is>
          <t>9780201127942</t>
        </is>
      </c>
      <c r="BC2067" t="inlineStr">
        <is>
          <t>32285003505186</t>
        </is>
      </c>
      <c r="BD2067" t="inlineStr">
        <is>
          <t>893899260</t>
        </is>
      </c>
    </row>
    <row r="2068">
      <c r="A2068" t="inlineStr">
        <is>
          <t>No</t>
        </is>
      </c>
      <c r="B2068" t="inlineStr">
        <is>
          <t>HQ759.48 .S34 2003</t>
        </is>
      </c>
      <c r="C2068" t="inlineStr">
        <is>
          <t>0                      HQ 0759480S  34          2003</t>
        </is>
      </c>
      <c r="D2068" t="inlineStr">
        <is>
          <t>Working mothers under stress and their perception of spousal support in the home / Elysa L. Schwartzman.</t>
        </is>
      </c>
      <c r="F2068" t="inlineStr">
        <is>
          <t>No</t>
        </is>
      </c>
      <c r="G2068" t="inlineStr">
        <is>
          <t>1</t>
        </is>
      </c>
      <c r="H2068" t="inlineStr">
        <is>
          <t>No</t>
        </is>
      </c>
      <c r="I2068" t="inlineStr">
        <is>
          <t>No</t>
        </is>
      </c>
      <c r="J2068" t="inlineStr">
        <is>
          <t>0</t>
        </is>
      </c>
      <c r="K2068" t="inlineStr">
        <is>
          <t>Schwartzman, Elysa L.</t>
        </is>
      </c>
      <c r="L2068" t="inlineStr">
        <is>
          <t>[Dollard-Des-Ormeaux, Que.] : Schwartzman Publications, c2003.</t>
        </is>
      </c>
      <c r="M2068" t="inlineStr">
        <is>
          <t>2003</t>
        </is>
      </c>
      <c r="O2068" t="inlineStr">
        <is>
          <t>eng</t>
        </is>
      </c>
      <c r="P2068" t="inlineStr">
        <is>
          <t>quc</t>
        </is>
      </c>
      <c r="R2068" t="inlineStr">
        <is>
          <t xml:space="preserve">HQ </t>
        </is>
      </c>
      <c r="S2068" t="n">
        <v>1</v>
      </c>
      <c r="T2068" t="n">
        <v>1</v>
      </c>
      <c r="U2068" t="inlineStr">
        <is>
          <t>2005-03-22</t>
        </is>
      </c>
      <c r="V2068" t="inlineStr">
        <is>
          <t>2005-03-22</t>
        </is>
      </c>
      <c r="W2068" t="inlineStr">
        <is>
          <t>2005-03-22</t>
        </is>
      </c>
      <c r="X2068" t="inlineStr">
        <is>
          <t>2005-03-22</t>
        </is>
      </c>
      <c r="Y2068" t="n">
        <v>112</v>
      </c>
      <c r="Z2068" t="n">
        <v>71</v>
      </c>
      <c r="AA2068" t="n">
        <v>72</v>
      </c>
      <c r="AB2068" t="n">
        <v>2</v>
      </c>
      <c r="AC2068" t="n">
        <v>2</v>
      </c>
      <c r="AD2068" t="n">
        <v>4</v>
      </c>
      <c r="AE2068" t="n">
        <v>4</v>
      </c>
      <c r="AF2068" t="n">
        <v>1</v>
      </c>
      <c r="AG2068" t="n">
        <v>1</v>
      </c>
      <c r="AH2068" t="n">
        <v>1</v>
      </c>
      <c r="AI2068" t="n">
        <v>1</v>
      </c>
      <c r="AJ2068" t="n">
        <v>2</v>
      </c>
      <c r="AK2068" t="n">
        <v>2</v>
      </c>
      <c r="AL2068" t="n">
        <v>1</v>
      </c>
      <c r="AM2068" t="n">
        <v>1</v>
      </c>
      <c r="AN2068" t="n">
        <v>0</v>
      </c>
      <c r="AO2068" t="n">
        <v>0</v>
      </c>
      <c r="AP2068" t="inlineStr">
        <is>
          <t>No</t>
        </is>
      </c>
      <c r="AQ2068" t="inlineStr">
        <is>
          <t>Yes</t>
        </is>
      </c>
      <c r="AR2068">
        <f>HYPERLINK("http://catalog.hathitrust.org/Record/009141923","HathiTrust Record")</f>
        <v/>
      </c>
      <c r="AS2068">
        <f>HYPERLINK("https://creighton-primo.hosted.exlibrisgroup.com/primo-explore/search?tab=default_tab&amp;search_scope=EVERYTHING&amp;vid=01CRU&amp;lang=en_US&amp;offset=0&amp;query=any,contains,991004460179702656","Catalog Record")</f>
        <v/>
      </c>
      <c r="AT2068">
        <f>HYPERLINK("http://www.worldcat.org/oclc/54373007","WorldCat Record")</f>
        <v/>
      </c>
      <c r="AU2068" t="inlineStr">
        <is>
          <t>1041068:eng</t>
        </is>
      </c>
      <c r="AV2068" t="inlineStr">
        <is>
          <t>54373007</t>
        </is>
      </c>
      <c r="AW2068" t="inlineStr">
        <is>
          <t>991004460179702656</t>
        </is>
      </c>
      <c r="AX2068" t="inlineStr">
        <is>
          <t>991004460179702656</t>
        </is>
      </c>
      <c r="AY2068" t="inlineStr">
        <is>
          <t>2256782460002656</t>
        </is>
      </c>
      <c r="AZ2068" t="inlineStr">
        <is>
          <t>BOOK</t>
        </is>
      </c>
      <c r="BB2068" t="inlineStr">
        <is>
          <t>9780968896600</t>
        </is>
      </c>
      <c r="BC2068" t="inlineStr">
        <is>
          <t>32285005044168</t>
        </is>
      </c>
      <c r="BD2068" t="inlineStr">
        <is>
          <t>893325410</t>
        </is>
      </c>
    </row>
    <row r="2069">
      <c r="A2069" t="inlineStr">
        <is>
          <t>No</t>
        </is>
      </c>
      <c r="B2069" t="inlineStr">
        <is>
          <t>HQ759.48 .S55 1987</t>
        </is>
      </c>
      <c r="C2069" t="inlineStr">
        <is>
          <t>0                      HQ 0759480S  55          1987</t>
        </is>
      </c>
      <c r="D2069" t="inlineStr">
        <is>
          <t>Remaking motherhood : how working mothers are shaping our children's future / Anita Shreve.</t>
        </is>
      </c>
      <c r="F2069" t="inlineStr">
        <is>
          <t>No</t>
        </is>
      </c>
      <c r="G2069" t="inlineStr">
        <is>
          <t>1</t>
        </is>
      </c>
      <c r="H2069" t="inlineStr">
        <is>
          <t>No</t>
        </is>
      </c>
      <c r="I2069" t="inlineStr">
        <is>
          <t>Yes</t>
        </is>
      </c>
      <c r="J2069" t="inlineStr">
        <is>
          <t>0</t>
        </is>
      </c>
      <c r="K2069" t="inlineStr">
        <is>
          <t>Shreve, Anita.</t>
        </is>
      </c>
      <c r="L2069" t="inlineStr">
        <is>
          <t>New York, N.Y., U.S.A. : Viking, 1987.</t>
        </is>
      </c>
      <c r="M2069" t="inlineStr">
        <is>
          <t>1987</t>
        </is>
      </c>
      <c r="O2069" t="inlineStr">
        <is>
          <t>eng</t>
        </is>
      </c>
      <c r="P2069" t="inlineStr">
        <is>
          <t>nyu</t>
        </is>
      </c>
      <c r="R2069" t="inlineStr">
        <is>
          <t xml:space="preserve">HQ </t>
        </is>
      </c>
      <c r="S2069" t="n">
        <v>7</v>
      </c>
      <c r="T2069" t="n">
        <v>7</v>
      </c>
      <c r="U2069" t="inlineStr">
        <is>
          <t>1995-02-20</t>
        </is>
      </c>
      <c r="V2069" t="inlineStr">
        <is>
          <t>1995-02-20</t>
        </is>
      </c>
      <c r="W2069" t="inlineStr">
        <is>
          <t>1990-04-10</t>
        </is>
      </c>
      <c r="X2069" t="inlineStr">
        <is>
          <t>1990-04-10</t>
        </is>
      </c>
      <c r="Y2069" t="n">
        <v>484</v>
      </c>
      <c r="Z2069" t="n">
        <v>457</v>
      </c>
      <c r="AA2069" t="n">
        <v>518</v>
      </c>
      <c r="AB2069" t="n">
        <v>1</v>
      </c>
      <c r="AC2069" t="n">
        <v>2</v>
      </c>
      <c r="AD2069" t="n">
        <v>5</v>
      </c>
      <c r="AE2069" t="n">
        <v>8</v>
      </c>
      <c r="AF2069" t="n">
        <v>3</v>
      </c>
      <c r="AG2069" t="n">
        <v>4</v>
      </c>
      <c r="AH2069" t="n">
        <v>0</v>
      </c>
      <c r="AI2069" t="n">
        <v>2</v>
      </c>
      <c r="AJ2069" t="n">
        <v>3</v>
      </c>
      <c r="AK2069" t="n">
        <v>3</v>
      </c>
      <c r="AL2069" t="n">
        <v>0</v>
      </c>
      <c r="AM2069" t="n">
        <v>0</v>
      </c>
      <c r="AN2069" t="n">
        <v>0</v>
      </c>
      <c r="AO2069" t="n">
        <v>0</v>
      </c>
      <c r="AP2069" t="inlineStr">
        <is>
          <t>No</t>
        </is>
      </c>
      <c r="AQ2069" t="inlineStr">
        <is>
          <t>Yes</t>
        </is>
      </c>
      <c r="AR2069">
        <f>HYPERLINK("http://catalog.hathitrust.org/Record/000820100","HathiTrust Record")</f>
        <v/>
      </c>
      <c r="AS2069">
        <f>HYPERLINK("https://creighton-primo.hosted.exlibrisgroup.com/primo-explore/search?tab=default_tab&amp;search_scope=EVERYTHING&amp;vid=01CRU&amp;lang=en_US&amp;offset=0&amp;query=any,contains,991000969719702656","Catalog Record")</f>
        <v/>
      </c>
      <c r="AT2069">
        <f>HYPERLINK("http://www.worldcat.org/oclc/14932958","WorldCat Record")</f>
        <v/>
      </c>
      <c r="AU2069" t="inlineStr">
        <is>
          <t>8993319:eng</t>
        </is>
      </c>
      <c r="AV2069" t="inlineStr">
        <is>
          <t>14932958</t>
        </is>
      </c>
      <c r="AW2069" t="inlineStr">
        <is>
          <t>991000969719702656</t>
        </is>
      </c>
      <c r="AX2069" t="inlineStr">
        <is>
          <t>991000969719702656</t>
        </is>
      </c>
      <c r="AY2069" t="inlineStr">
        <is>
          <t>2263677700002656</t>
        </is>
      </c>
      <c r="AZ2069" t="inlineStr">
        <is>
          <t>BOOK</t>
        </is>
      </c>
      <c r="BB2069" t="inlineStr">
        <is>
          <t>9780670807222</t>
        </is>
      </c>
      <c r="BC2069" t="inlineStr">
        <is>
          <t>32285000120187</t>
        </is>
      </c>
      <c r="BD2069" t="inlineStr">
        <is>
          <t>893702615</t>
        </is>
      </c>
    </row>
    <row r="2070">
      <c r="A2070" t="inlineStr">
        <is>
          <t>No</t>
        </is>
      </c>
      <c r="B2070" t="inlineStr">
        <is>
          <t>HQ759.48 .S56 1988</t>
        </is>
      </c>
      <c r="C2070" t="inlineStr">
        <is>
          <t>0                      HQ 0759480S  56          1988</t>
        </is>
      </c>
      <c r="D2070" t="inlineStr">
        <is>
          <t>Remaking motherhood : how working mothers are shaping our children's future / Anita Shreve.</t>
        </is>
      </c>
      <c r="F2070" t="inlineStr">
        <is>
          <t>No</t>
        </is>
      </c>
      <c r="G2070" t="inlineStr">
        <is>
          <t>1</t>
        </is>
      </c>
      <c r="H2070" t="inlineStr">
        <is>
          <t>No</t>
        </is>
      </c>
      <c r="I2070" t="inlineStr">
        <is>
          <t>Yes</t>
        </is>
      </c>
      <c r="J2070" t="inlineStr">
        <is>
          <t>0</t>
        </is>
      </c>
      <c r="K2070" t="inlineStr">
        <is>
          <t>Shreve, Anita.</t>
        </is>
      </c>
      <c r="L2070" t="inlineStr">
        <is>
          <t>New York, N.Y. : Ballantine, 1988, c1987.</t>
        </is>
      </c>
      <c r="M2070" t="inlineStr">
        <is>
          <t>1988</t>
        </is>
      </c>
      <c r="N2070" t="inlineStr">
        <is>
          <t>1st Ballantine Books ed.</t>
        </is>
      </c>
      <c r="O2070" t="inlineStr">
        <is>
          <t>eng</t>
        </is>
      </c>
      <c r="P2070" t="inlineStr">
        <is>
          <t>nyu</t>
        </is>
      </c>
      <c r="R2070" t="inlineStr">
        <is>
          <t xml:space="preserve">HQ </t>
        </is>
      </c>
      <c r="S2070" t="n">
        <v>19</v>
      </c>
      <c r="T2070" t="n">
        <v>19</v>
      </c>
      <c r="U2070" t="inlineStr">
        <is>
          <t>1997-09-18</t>
        </is>
      </c>
      <c r="V2070" t="inlineStr">
        <is>
          <t>1997-09-18</t>
        </is>
      </c>
      <c r="W2070" t="inlineStr">
        <is>
          <t>1990-08-17</t>
        </is>
      </c>
      <c r="X2070" t="inlineStr">
        <is>
          <t>1990-08-17</t>
        </is>
      </c>
      <c r="Y2070" t="n">
        <v>65</v>
      </c>
      <c r="Z2070" t="n">
        <v>60</v>
      </c>
      <c r="AA2070" t="n">
        <v>518</v>
      </c>
      <c r="AB2070" t="n">
        <v>2</v>
      </c>
      <c r="AC2070" t="n">
        <v>2</v>
      </c>
      <c r="AD2070" t="n">
        <v>1</v>
      </c>
      <c r="AE2070" t="n">
        <v>8</v>
      </c>
      <c r="AF2070" t="n">
        <v>0</v>
      </c>
      <c r="AG2070" t="n">
        <v>4</v>
      </c>
      <c r="AH2070" t="n">
        <v>1</v>
      </c>
      <c r="AI2070" t="n">
        <v>2</v>
      </c>
      <c r="AJ2070" t="n">
        <v>0</v>
      </c>
      <c r="AK2070" t="n">
        <v>3</v>
      </c>
      <c r="AL2070" t="n">
        <v>0</v>
      </c>
      <c r="AM2070" t="n">
        <v>0</v>
      </c>
      <c r="AN2070" t="n">
        <v>0</v>
      </c>
      <c r="AO2070" t="n">
        <v>0</v>
      </c>
      <c r="AP2070" t="inlineStr">
        <is>
          <t>No</t>
        </is>
      </c>
      <c r="AQ2070" t="inlineStr">
        <is>
          <t>Yes</t>
        </is>
      </c>
      <c r="AR2070">
        <f>HYPERLINK("http://catalog.hathitrust.org/Record/007130843","HathiTrust Record")</f>
        <v/>
      </c>
      <c r="AS2070">
        <f>HYPERLINK("https://creighton-primo.hosted.exlibrisgroup.com/primo-explore/search?tab=default_tab&amp;search_scope=EVERYTHING&amp;vid=01CRU&amp;lang=en_US&amp;offset=0&amp;query=any,contains,991001342919702656","Catalog Record")</f>
        <v/>
      </c>
      <c r="AT2070">
        <f>HYPERLINK("http://www.worldcat.org/oclc/18402762","WorldCat Record")</f>
        <v/>
      </c>
      <c r="AU2070" t="inlineStr">
        <is>
          <t>8993319:eng</t>
        </is>
      </c>
      <c r="AV2070" t="inlineStr">
        <is>
          <t>18402762</t>
        </is>
      </c>
      <c r="AW2070" t="inlineStr">
        <is>
          <t>991001342919702656</t>
        </is>
      </c>
      <c r="AX2070" t="inlineStr">
        <is>
          <t>991001342919702656</t>
        </is>
      </c>
      <c r="AY2070" t="inlineStr">
        <is>
          <t>2255852130002656</t>
        </is>
      </c>
      <c r="AZ2070" t="inlineStr">
        <is>
          <t>BOOK</t>
        </is>
      </c>
      <c r="BB2070" t="inlineStr">
        <is>
          <t>9780449903001</t>
        </is>
      </c>
      <c r="BC2070" t="inlineStr">
        <is>
          <t>32285000244342</t>
        </is>
      </c>
      <c r="BD2070" t="inlineStr">
        <is>
          <t>893702947</t>
        </is>
      </c>
    </row>
    <row r="2071">
      <c r="A2071" t="inlineStr">
        <is>
          <t>No</t>
        </is>
      </c>
      <c r="B2071" t="inlineStr">
        <is>
          <t>HQ759.48 .W66 1987</t>
        </is>
      </c>
      <c r="C2071" t="inlineStr">
        <is>
          <t>0                      HQ 0759480W  66          1987</t>
        </is>
      </c>
      <c r="D2071" t="inlineStr">
        <is>
          <t>Women's work, families, and health : the balancing act / edited by Kristen M. Swanson-Kauffman.</t>
        </is>
      </c>
      <c r="F2071" t="inlineStr">
        <is>
          <t>No</t>
        </is>
      </c>
      <c r="G2071" t="inlineStr">
        <is>
          <t>1</t>
        </is>
      </c>
      <c r="H2071" t="inlineStr">
        <is>
          <t>Yes</t>
        </is>
      </c>
      <c r="I2071" t="inlineStr">
        <is>
          <t>No</t>
        </is>
      </c>
      <c r="J2071" t="inlineStr">
        <is>
          <t>0</t>
        </is>
      </c>
      <c r="L2071" t="inlineStr">
        <is>
          <t>Washington : Hemisphere Pub. Corp., c1987.</t>
        </is>
      </c>
      <c r="M2071" t="inlineStr">
        <is>
          <t>1987</t>
        </is>
      </c>
      <c r="O2071" t="inlineStr">
        <is>
          <t>eng</t>
        </is>
      </c>
      <c r="P2071" t="inlineStr">
        <is>
          <t>dcu</t>
        </is>
      </c>
      <c r="Q2071" t="inlineStr">
        <is>
          <t>A Health care for women international publication</t>
        </is>
      </c>
      <c r="R2071" t="inlineStr">
        <is>
          <t xml:space="preserve">HQ </t>
        </is>
      </c>
      <c r="S2071" t="n">
        <v>22</v>
      </c>
      <c r="T2071" t="n">
        <v>22</v>
      </c>
      <c r="U2071" t="inlineStr">
        <is>
          <t>1997-10-28</t>
        </is>
      </c>
      <c r="V2071" t="inlineStr">
        <is>
          <t>1997-10-28</t>
        </is>
      </c>
      <c r="W2071" t="inlineStr">
        <is>
          <t>1992-03-01</t>
        </is>
      </c>
      <c r="X2071" t="inlineStr">
        <is>
          <t>2004-09-15</t>
        </is>
      </c>
      <c r="Y2071" t="n">
        <v>240</v>
      </c>
      <c r="Z2071" t="n">
        <v>178</v>
      </c>
      <c r="AA2071" t="n">
        <v>183</v>
      </c>
      <c r="AB2071" t="n">
        <v>3</v>
      </c>
      <c r="AC2071" t="n">
        <v>3</v>
      </c>
      <c r="AD2071" t="n">
        <v>8</v>
      </c>
      <c r="AE2071" t="n">
        <v>8</v>
      </c>
      <c r="AF2071" t="n">
        <v>1</v>
      </c>
      <c r="AG2071" t="n">
        <v>1</v>
      </c>
      <c r="AH2071" t="n">
        <v>2</v>
      </c>
      <c r="AI2071" t="n">
        <v>2</v>
      </c>
      <c r="AJ2071" t="n">
        <v>7</v>
      </c>
      <c r="AK2071" t="n">
        <v>7</v>
      </c>
      <c r="AL2071" t="n">
        <v>1</v>
      </c>
      <c r="AM2071" t="n">
        <v>1</v>
      </c>
      <c r="AN2071" t="n">
        <v>0</v>
      </c>
      <c r="AO2071" t="n">
        <v>0</v>
      </c>
      <c r="AP2071" t="inlineStr">
        <is>
          <t>No</t>
        </is>
      </c>
      <c r="AQ2071" t="inlineStr">
        <is>
          <t>No</t>
        </is>
      </c>
      <c r="AS2071">
        <f>HYPERLINK("https://creighton-primo.hosted.exlibrisgroup.com/primo-explore/search?tab=default_tab&amp;search_scope=EVERYTHING&amp;vid=01CRU&amp;lang=en_US&amp;offset=0&amp;query=any,contains,991001685219702656","Catalog Record")</f>
        <v/>
      </c>
      <c r="AT2071">
        <f>HYPERLINK("http://www.worldcat.org/oclc/15630136","WorldCat Record")</f>
        <v/>
      </c>
      <c r="AU2071" t="inlineStr">
        <is>
          <t>906410257:eng</t>
        </is>
      </c>
      <c r="AV2071" t="inlineStr">
        <is>
          <t>15630136</t>
        </is>
      </c>
      <c r="AW2071" t="inlineStr">
        <is>
          <t>991001685219702656</t>
        </is>
      </c>
      <c r="AX2071" t="inlineStr">
        <is>
          <t>991001685219702656</t>
        </is>
      </c>
      <c r="AY2071" t="inlineStr">
        <is>
          <t>2260870410002656</t>
        </is>
      </c>
      <c r="AZ2071" t="inlineStr">
        <is>
          <t>BOOK</t>
        </is>
      </c>
      <c r="BB2071" t="inlineStr">
        <is>
          <t>9780891165576</t>
        </is>
      </c>
      <c r="BC2071" t="inlineStr">
        <is>
          <t>32285000979335</t>
        </is>
      </c>
      <c r="BD2071" t="inlineStr">
        <is>
          <t>893238265</t>
        </is>
      </c>
    </row>
    <row r="2072">
      <c r="A2072" t="inlineStr">
        <is>
          <t>No</t>
        </is>
      </c>
      <c r="B2072" t="inlineStr">
        <is>
          <t>HQ759.5 .A54 1989</t>
        </is>
      </c>
      <c r="C2072" t="inlineStr">
        <is>
          <t>0                      HQ 0759500A  54          1989</t>
        </is>
      </c>
      <c r="D2072" t="inlineStr">
        <is>
          <t>Between strangers : surrogate mothers, expectant fathers, &amp; brave new babies / Lori Andrews.</t>
        </is>
      </c>
      <c r="F2072" t="inlineStr">
        <is>
          <t>No</t>
        </is>
      </c>
      <c r="G2072" t="inlineStr">
        <is>
          <t>1</t>
        </is>
      </c>
      <c r="H2072" t="inlineStr">
        <is>
          <t>No</t>
        </is>
      </c>
      <c r="I2072" t="inlineStr">
        <is>
          <t>No</t>
        </is>
      </c>
      <c r="J2072" t="inlineStr">
        <is>
          <t>0</t>
        </is>
      </c>
      <c r="K2072" t="inlineStr">
        <is>
          <t>Andrews, Lori B., 1952-</t>
        </is>
      </c>
      <c r="L2072" t="inlineStr">
        <is>
          <t>New York : Harper &amp; Row, c1989.</t>
        </is>
      </c>
      <c r="M2072" t="inlineStr">
        <is>
          <t>1989</t>
        </is>
      </c>
      <c r="N2072" t="inlineStr">
        <is>
          <t>1st ed.</t>
        </is>
      </c>
      <c r="O2072" t="inlineStr">
        <is>
          <t>eng</t>
        </is>
      </c>
      <c r="P2072" t="inlineStr">
        <is>
          <t>nyu</t>
        </is>
      </c>
      <c r="R2072" t="inlineStr">
        <is>
          <t xml:space="preserve">HQ </t>
        </is>
      </c>
      <c r="S2072" t="n">
        <v>28</v>
      </c>
      <c r="T2072" t="n">
        <v>28</v>
      </c>
      <c r="U2072" t="inlineStr">
        <is>
          <t>2008-09-27</t>
        </is>
      </c>
      <c r="V2072" t="inlineStr">
        <is>
          <t>2008-09-27</t>
        </is>
      </c>
      <c r="W2072" t="inlineStr">
        <is>
          <t>1991-12-11</t>
        </is>
      </c>
      <c r="X2072" t="inlineStr">
        <is>
          <t>1991-12-11</t>
        </is>
      </c>
      <c r="Y2072" t="n">
        <v>825</v>
      </c>
      <c r="Z2072" t="n">
        <v>770</v>
      </c>
      <c r="AA2072" t="n">
        <v>778</v>
      </c>
      <c r="AB2072" t="n">
        <v>7</v>
      </c>
      <c r="AC2072" t="n">
        <v>7</v>
      </c>
      <c r="AD2072" t="n">
        <v>25</v>
      </c>
      <c r="AE2072" t="n">
        <v>25</v>
      </c>
      <c r="AF2072" t="n">
        <v>5</v>
      </c>
      <c r="AG2072" t="n">
        <v>5</v>
      </c>
      <c r="AH2072" t="n">
        <v>4</v>
      </c>
      <c r="AI2072" t="n">
        <v>4</v>
      </c>
      <c r="AJ2072" t="n">
        <v>7</v>
      </c>
      <c r="AK2072" t="n">
        <v>7</v>
      </c>
      <c r="AL2072" t="n">
        <v>4</v>
      </c>
      <c r="AM2072" t="n">
        <v>4</v>
      </c>
      <c r="AN2072" t="n">
        <v>9</v>
      </c>
      <c r="AO2072" t="n">
        <v>9</v>
      </c>
      <c r="AP2072" t="inlineStr">
        <is>
          <t>No</t>
        </is>
      </c>
      <c r="AQ2072" t="inlineStr">
        <is>
          <t>Yes</t>
        </is>
      </c>
      <c r="AR2072">
        <f>HYPERLINK("http://catalog.hathitrust.org/Record/001088567","HathiTrust Record")</f>
        <v/>
      </c>
      <c r="AS2072">
        <f>HYPERLINK("https://creighton-primo.hosted.exlibrisgroup.com/primo-explore/search?tab=default_tab&amp;search_scope=EVERYTHING&amp;vid=01CRU&amp;lang=en_US&amp;offset=0&amp;query=any,contains,991001405339702656","Catalog Record")</f>
        <v/>
      </c>
      <c r="AT2072">
        <f>HYPERLINK("http://www.worldcat.org/oclc/18835398","WorldCat Record")</f>
        <v/>
      </c>
      <c r="AU2072" t="inlineStr">
        <is>
          <t>196619612:eng</t>
        </is>
      </c>
      <c r="AV2072" t="inlineStr">
        <is>
          <t>18835398</t>
        </is>
      </c>
      <c r="AW2072" t="inlineStr">
        <is>
          <t>991001405339702656</t>
        </is>
      </c>
      <c r="AX2072" t="inlineStr">
        <is>
          <t>991001405339702656</t>
        </is>
      </c>
      <c r="AY2072" t="inlineStr">
        <is>
          <t>2259657530002656</t>
        </is>
      </c>
      <c r="AZ2072" t="inlineStr">
        <is>
          <t>BOOK</t>
        </is>
      </c>
      <c r="BB2072" t="inlineStr">
        <is>
          <t>9780060160586</t>
        </is>
      </c>
      <c r="BC2072" t="inlineStr">
        <is>
          <t>32285000890391</t>
        </is>
      </c>
      <c r="BD2072" t="inlineStr">
        <is>
          <t>893509605</t>
        </is>
      </c>
    </row>
    <row r="2073">
      <c r="A2073" t="inlineStr">
        <is>
          <t>No</t>
        </is>
      </c>
      <c r="B2073" t="inlineStr">
        <is>
          <t>HQ759.5 .R34 1994</t>
        </is>
      </c>
      <c r="C2073" t="inlineStr">
        <is>
          <t>0                      HQ 0759500R  34          1994</t>
        </is>
      </c>
      <c r="D2073" t="inlineStr">
        <is>
          <t>Surrogate motherhood : conception in the heart / Helena Ragoné.</t>
        </is>
      </c>
      <c r="F2073" t="inlineStr">
        <is>
          <t>No</t>
        </is>
      </c>
      <c r="G2073" t="inlineStr">
        <is>
          <t>1</t>
        </is>
      </c>
      <c r="H2073" t="inlineStr">
        <is>
          <t>No</t>
        </is>
      </c>
      <c r="I2073" t="inlineStr">
        <is>
          <t>No</t>
        </is>
      </c>
      <c r="J2073" t="inlineStr">
        <is>
          <t>0</t>
        </is>
      </c>
      <c r="K2073" t="inlineStr">
        <is>
          <t>Ragoné, Helena.</t>
        </is>
      </c>
      <c r="L2073" t="inlineStr">
        <is>
          <t>Boulder : Westview Press, 1994.</t>
        </is>
      </c>
      <c r="M2073" t="inlineStr">
        <is>
          <t>1994</t>
        </is>
      </c>
      <c r="O2073" t="inlineStr">
        <is>
          <t>eng</t>
        </is>
      </c>
      <c r="P2073" t="inlineStr">
        <is>
          <t>cou</t>
        </is>
      </c>
      <c r="Q2073" t="inlineStr">
        <is>
          <t>Institutional structures of feeling</t>
        </is>
      </c>
      <c r="R2073" t="inlineStr">
        <is>
          <t xml:space="preserve">HQ </t>
        </is>
      </c>
      <c r="S2073" t="n">
        <v>9</v>
      </c>
      <c r="T2073" t="n">
        <v>9</v>
      </c>
      <c r="U2073" t="inlineStr">
        <is>
          <t>2009-01-08</t>
        </is>
      </c>
      <c r="V2073" t="inlineStr">
        <is>
          <t>2009-01-08</t>
        </is>
      </c>
      <c r="W2073" t="inlineStr">
        <is>
          <t>1996-04-25</t>
        </is>
      </c>
      <c r="X2073" t="inlineStr">
        <is>
          <t>1996-04-25</t>
        </is>
      </c>
      <c r="Y2073" t="n">
        <v>810</v>
      </c>
      <c r="Z2073" t="n">
        <v>710</v>
      </c>
      <c r="AA2073" t="n">
        <v>760</v>
      </c>
      <c r="AB2073" t="n">
        <v>4</v>
      </c>
      <c r="AC2073" t="n">
        <v>4</v>
      </c>
      <c r="AD2073" t="n">
        <v>34</v>
      </c>
      <c r="AE2073" t="n">
        <v>35</v>
      </c>
      <c r="AF2073" t="n">
        <v>15</v>
      </c>
      <c r="AG2073" t="n">
        <v>15</v>
      </c>
      <c r="AH2073" t="n">
        <v>8</v>
      </c>
      <c r="AI2073" t="n">
        <v>8</v>
      </c>
      <c r="AJ2073" t="n">
        <v>14</v>
      </c>
      <c r="AK2073" t="n">
        <v>15</v>
      </c>
      <c r="AL2073" t="n">
        <v>3</v>
      </c>
      <c r="AM2073" t="n">
        <v>3</v>
      </c>
      <c r="AN2073" t="n">
        <v>3</v>
      </c>
      <c r="AO2073" t="n">
        <v>3</v>
      </c>
      <c r="AP2073" t="inlineStr">
        <is>
          <t>No</t>
        </is>
      </c>
      <c r="AQ2073" t="inlineStr">
        <is>
          <t>Yes</t>
        </is>
      </c>
      <c r="AR2073">
        <f>HYPERLINK("http://catalog.hathitrust.org/Record/002858366","HathiTrust Record")</f>
        <v/>
      </c>
      <c r="AS2073">
        <f>HYPERLINK("https://creighton-primo.hosted.exlibrisgroup.com/primo-explore/search?tab=default_tab&amp;search_scope=EVERYTHING&amp;vid=01CRU&amp;lang=en_US&amp;offset=0&amp;query=any,contains,991002281109702656","Catalog Record")</f>
        <v/>
      </c>
      <c r="AT2073">
        <f>HYPERLINK("http://www.worldcat.org/oclc/29566560","WorldCat Record")</f>
        <v/>
      </c>
      <c r="AU2073" t="inlineStr">
        <is>
          <t>836729235:eng</t>
        </is>
      </c>
      <c r="AV2073" t="inlineStr">
        <is>
          <t>29566560</t>
        </is>
      </c>
      <c r="AW2073" t="inlineStr">
        <is>
          <t>991002281109702656</t>
        </is>
      </c>
      <c r="AX2073" t="inlineStr">
        <is>
          <t>991002281109702656</t>
        </is>
      </c>
      <c r="AY2073" t="inlineStr">
        <is>
          <t>2254992880002656</t>
        </is>
      </c>
      <c r="AZ2073" t="inlineStr">
        <is>
          <t>BOOK</t>
        </is>
      </c>
      <c r="BB2073" t="inlineStr">
        <is>
          <t>9780813319780</t>
        </is>
      </c>
      <c r="BC2073" t="inlineStr">
        <is>
          <t>32285002157377</t>
        </is>
      </c>
      <c r="BD2073" t="inlineStr">
        <is>
          <t>893238863</t>
        </is>
      </c>
    </row>
    <row r="2074">
      <c r="A2074" t="inlineStr">
        <is>
          <t>No</t>
        </is>
      </c>
      <c r="B2074" t="inlineStr">
        <is>
          <t>HQ759.5 .S53 1988</t>
        </is>
      </c>
      <c r="C2074" t="inlineStr">
        <is>
          <t>0                      HQ 0759500S  53          1988</t>
        </is>
      </c>
      <c r="D2074" t="inlineStr">
        <is>
          <t>Surrogate motherhood : the ethics of using human beings / Thomas A. Shannon.</t>
        </is>
      </c>
      <c r="F2074" t="inlineStr">
        <is>
          <t>No</t>
        </is>
      </c>
      <c r="G2074" t="inlineStr">
        <is>
          <t>1</t>
        </is>
      </c>
      <c r="H2074" t="inlineStr">
        <is>
          <t>No</t>
        </is>
      </c>
      <c r="I2074" t="inlineStr">
        <is>
          <t>No</t>
        </is>
      </c>
      <c r="J2074" t="inlineStr">
        <is>
          <t>0</t>
        </is>
      </c>
      <c r="K2074" t="inlineStr">
        <is>
          <t>Shannon, Thomas A. (Thomas Anthony), 1940-</t>
        </is>
      </c>
      <c r="L2074" t="inlineStr">
        <is>
          <t>New York : Crossroad, 1988.</t>
        </is>
      </c>
      <c r="M2074" t="inlineStr">
        <is>
          <t>1988</t>
        </is>
      </c>
      <c r="O2074" t="inlineStr">
        <is>
          <t>eng</t>
        </is>
      </c>
      <c r="P2074" t="inlineStr">
        <is>
          <t>nyu</t>
        </is>
      </c>
      <c r="R2074" t="inlineStr">
        <is>
          <t xml:space="preserve">HQ </t>
        </is>
      </c>
      <c r="S2074" t="n">
        <v>40</v>
      </c>
      <c r="T2074" t="n">
        <v>40</v>
      </c>
      <c r="U2074" t="inlineStr">
        <is>
          <t>2005-10-17</t>
        </is>
      </c>
      <c r="V2074" t="inlineStr">
        <is>
          <t>2005-10-17</t>
        </is>
      </c>
      <c r="W2074" t="inlineStr">
        <is>
          <t>1990-02-28</t>
        </is>
      </c>
      <c r="X2074" t="inlineStr">
        <is>
          <t>1990-02-28</t>
        </is>
      </c>
      <c r="Y2074" t="n">
        <v>998</v>
      </c>
      <c r="Z2074" t="n">
        <v>901</v>
      </c>
      <c r="AA2074" t="n">
        <v>906</v>
      </c>
      <c r="AB2074" t="n">
        <v>5</v>
      </c>
      <c r="AC2074" t="n">
        <v>5</v>
      </c>
      <c r="AD2074" t="n">
        <v>30</v>
      </c>
      <c r="AE2074" t="n">
        <v>30</v>
      </c>
      <c r="AF2074" t="n">
        <v>10</v>
      </c>
      <c r="AG2074" t="n">
        <v>10</v>
      </c>
      <c r="AH2074" t="n">
        <v>6</v>
      </c>
      <c r="AI2074" t="n">
        <v>6</v>
      </c>
      <c r="AJ2074" t="n">
        <v>15</v>
      </c>
      <c r="AK2074" t="n">
        <v>15</v>
      </c>
      <c r="AL2074" t="n">
        <v>3</v>
      </c>
      <c r="AM2074" t="n">
        <v>3</v>
      </c>
      <c r="AN2074" t="n">
        <v>2</v>
      </c>
      <c r="AO2074" t="n">
        <v>2</v>
      </c>
      <c r="AP2074" t="inlineStr">
        <is>
          <t>No</t>
        </is>
      </c>
      <c r="AQ2074" t="inlineStr">
        <is>
          <t>Yes</t>
        </is>
      </c>
      <c r="AR2074">
        <f>HYPERLINK("http://catalog.hathitrust.org/Record/001079439","HathiTrust Record")</f>
        <v/>
      </c>
      <c r="AS2074">
        <f>HYPERLINK("https://creighton-primo.hosted.exlibrisgroup.com/primo-explore/search?tab=default_tab&amp;search_scope=EVERYTHING&amp;vid=01CRU&amp;lang=en_US&amp;offset=0&amp;query=any,contains,991001338119702656","Catalog Record")</f>
        <v/>
      </c>
      <c r="AT2074">
        <f>HYPERLINK("http://www.worldcat.org/oclc/18378293","WorldCat Record")</f>
        <v/>
      </c>
      <c r="AU2074" t="inlineStr">
        <is>
          <t>248981636:eng</t>
        </is>
      </c>
      <c r="AV2074" t="inlineStr">
        <is>
          <t>18378293</t>
        </is>
      </c>
      <c r="AW2074" t="inlineStr">
        <is>
          <t>991001338119702656</t>
        </is>
      </c>
      <c r="AX2074" t="inlineStr">
        <is>
          <t>991001338119702656</t>
        </is>
      </c>
      <c r="AY2074" t="inlineStr">
        <is>
          <t>2271981350002656</t>
        </is>
      </c>
      <c r="AZ2074" t="inlineStr">
        <is>
          <t>BOOK</t>
        </is>
      </c>
      <c r="BB2074" t="inlineStr">
        <is>
          <t>9780824508999</t>
        </is>
      </c>
      <c r="BC2074" t="inlineStr">
        <is>
          <t>32285000073048</t>
        </is>
      </c>
      <c r="BD2074" t="inlineStr">
        <is>
          <t>893426526</t>
        </is>
      </c>
    </row>
    <row r="2075">
      <c r="A2075" t="inlineStr">
        <is>
          <t>No</t>
        </is>
      </c>
      <c r="B2075" t="inlineStr">
        <is>
          <t>HQ759.64 .A36 1984</t>
        </is>
      </c>
      <c r="C2075" t="inlineStr">
        <is>
          <t>0                      HQ 0759640A  36          1984</t>
        </is>
      </c>
      <c r="D2075" t="inlineStr">
        <is>
          <t>Adolescent parenthood / edited by Max Sugar.</t>
        </is>
      </c>
      <c r="F2075" t="inlineStr">
        <is>
          <t>No</t>
        </is>
      </c>
      <c r="G2075" t="inlineStr">
        <is>
          <t>1</t>
        </is>
      </c>
      <c r="H2075" t="inlineStr">
        <is>
          <t>No</t>
        </is>
      </c>
      <c r="I2075" t="inlineStr">
        <is>
          <t>No</t>
        </is>
      </c>
      <c r="J2075" t="inlineStr">
        <is>
          <t>0</t>
        </is>
      </c>
      <c r="L2075" t="inlineStr">
        <is>
          <t>New York : SP Medical &amp; Scientific Books, c1984.</t>
        </is>
      </c>
      <c r="M2075" t="inlineStr">
        <is>
          <t>1984</t>
        </is>
      </c>
      <c r="O2075" t="inlineStr">
        <is>
          <t>eng</t>
        </is>
      </c>
      <c r="P2075" t="inlineStr">
        <is>
          <t>nyu</t>
        </is>
      </c>
      <c r="R2075" t="inlineStr">
        <is>
          <t xml:space="preserve">HQ </t>
        </is>
      </c>
      <c r="S2075" t="n">
        <v>20</v>
      </c>
      <c r="T2075" t="n">
        <v>20</v>
      </c>
      <c r="U2075" t="inlineStr">
        <is>
          <t>2000-11-13</t>
        </is>
      </c>
      <c r="V2075" t="inlineStr">
        <is>
          <t>2000-11-13</t>
        </is>
      </c>
      <c r="W2075" t="inlineStr">
        <is>
          <t>1990-04-23</t>
        </is>
      </c>
      <c r="X2075" t="inlineStr">
        <is>
          <t>1990-04-23</t>
        </is>
      </c>
      <c r="Y2075" t="n">
        <v>258</v>
      </c>
      <c r="Z2075" t="n">
        <v>222</v>
      </c>
      <c r="AA2075" t="n">
        <v>247</v>
      </c>
      <c r="AB2075" t="n">
        <v>3</v>
      </c>
      <c r="AC2075" t="n">
        <v>3</v>
      </c>
      <c r="AD2075" t="n">
        <v>5</v>
      </c>
      <c r="AE2075" t="n">
        <v>5</v>
      </c>
      <c r="AF2075" t="n">
        <v>1</v>
      </c>
      <c r="AG2075" t="n">
        <v>1</v>
      </c>
      <c r="AH2075" t="n">
        <v>0</v>
      </c>
      <c r="AI2075" t="n">
        <v>0</v>
      </c>
      <c r="AJ2075" t="n">
        <v>2</v>
      </c>
      <c r="AK2075" t="n">
        <v>2</v>
      </c>
      <c r="AL2075" t="n">
        <v>2</v>
      </c>
      <c r="AM2075" t="n">
        <v>2</v>
      </c>
      <c r="AN2075" t="n">
        <v>0</v>
      </c>
      <c r="AO2075" t="n">
        <v>0</v>
      </c>
      <c r="AP2075" t="inlineStr">
        <is>
          <t>No</t>
        </is>
      </c>
      <c r="AQ2075" t="inlineStr">
        <is>
          <t>Yes</t>
        </is>
      </c>
      <c r="AR2075">
        <f>HYPERLINK("http://catalog.hathitrust.org/Record/000201557","HathiTrust Record")</f>
        <v/>
      </c>
      <c r="AS2075">
        <f>HYPERLINK("https://creighton-primo.hosted.exlibrisgroup.com/primo-explore/search?tab=default_tab&amp;search_scope=EVERYTHING&amp;vid=01CRU&amp;lang=en_US&amp;offset=0&amp;query=any,contains,991000112519702656","Catalog Record")</f>
        <v/>
      </c>
      <c r="AT2075">
        <f>HYPERLINK("http://www.worldcat.org/oclc/9017043","WorldCat Record")</f>
        <v/>
      </c>
      <c r="AU2075" t="inlineStr">
        <is>
          <t>54537865:eng</t>
        </is>
      </c>
      <c r="AV2075" t="inlineStr">
        <is>
          <t>9017043</t>
        </is>
      </c>
      <c r="AW2075" t="inlineStr">
        <is>
          <t>991000112519702656</t>
        </is>
      </c>
      <c r="AX2075" t="inlineStr">
        <is>
          <t>991000112519702656</t>
        </is>
      </c>
      <c r="AY2075" t="inlineStr">
        <is>
          <t>2257919110002656</t>
        </is>
      </c>
      <c r="AZ2075" t="inlineStr">
        <is>
          <t>BOOK</t>
        </is>
      </c>
      <c r="BB2075" t="inlineStr">
        <is>
          <t>9780893351854</t>
        </is>
      </c>
      <c r="BC2075" t="inlineStr">
        <is>
          <t>32285000130731</t>
        </is>
      </c>
      <c r="BD2075" t="inlineStr">
        <is>
          <t>893607631</t>
        </is>
      </c>
    </row>
    <row r="2076">
      <c r="A2076" t="inlineStr">
        <is>
          <t>No</t>
        </is>
      </c>
      <c r="B2076" t="inlineStr">
        <is>
          <t>HQ759.64 .A5 1982</t>
        </is>
      </c>
      <c r="C2076" t="inlineStr">
        <is>
          <t>0                      HQ 0759640A  5           1982</t>
        </is>
      </c>
      <c r="D2076" t="inlineStr">
        <is>
          <t>The adolescent parent / by Nicholas J. Anastasiow with Mary Anastasiow ... [et al.].</t>
        </is>
      </c>
      <c r="F2076" t="inlineStr">
        <is>
          <t>No</t>
        </is>
      </c>
      <c r="G2076" t="inlineStr">
        <is>
          <t>1</t>
        </is>
      </c>
      <c r="H2076" t="inlineStr">
        <is>
          <t>No</t>
        </is>
      </c>
      <c r="I2076" t="inlineStr">
        <is>
          <t>No</t>
        </is>
      </c>
      <c r="J2076" t="inlineStr">
        <is>
          <t>0</t>
        </is>
      </c>
      <c r="K2076" t="inlineStr">
        <is>
          <t>Anastasiow, Nicholas J.</t>
        </is>
      </c>
      <c r="L2076" t="inlineStr">
        <is>
          <t>Baltimore : P.H. Brookes Pub. Co., c1982.</t>
        </is>
      </c>
      <c r="M2076" t="inlineStr">
        <is>
          <t>1982</t>
        </is>
      </c>
      <c r="O2076" t="inlineStr">
        <is>
          <t>eng</t>
        </is>
      </c>
      <c r="P2076" t="inlineStr">
        <is>
          <t>mdu</t>
        </is>
      </c>
      <c r="R2076" t="inlineStr">
        <is>
          <t xml:space="preserve">HQ </t>
        </is>
      </c>
      <c r="S2076" t="n">
        <v>8</v>
      </c>
      <c r="T2076" t="n">
        <v>8</v>
      </c>
      <c r="U2076" t="inlineStr">
        <is>
          <t>2001-12-01</t>
        </is>
      </c>
      <c r="V2076" t="inlineStr">
        <is>
          <t>2001-12-01</t>
        </is>
      </c>
      <c r="W2076" t="inlineStr">
        <is>
          <t>1992-04-23</t>
        </is>
      </c>
      <c r="X2076" t="inlineStr">
        <is>
          <t>1992-04-23</t>
        </is>
      </c>
      <c r="Y2076" t="n">
        <v>393</v>
      </c>
      <c r="Z2076" t="n">
        <v>353</v>
      </c>
      <c r="AA2076" t="n">
        <v>355</v>
      </c>
      <c r="AB2076" t="n">
        <v>3</v>
      </c>
      <c r="AC2076" t="n">
        <v>3</v>
      </c>
      <c r="AD2076" t="n">
        <v>10</v>
      </c>
      <c r="AE2076" t="n">
        <v>10</v>
      </c>
      <c r="AF2076" t="n">
        <v>4</v>
      </c>
      <c r="AG2076" t="n">
        <v>4</v>
      </c>
      <c r="AH2076" t="n">
        <v>3</v>
      </c>
      <c r="AI2076" t="n">
        <v>3</v>
      </c>
      <c r="AJ2076" t="n">
        <v>6</v>
      </c>
      <c r="AK2076" t="n">
        <v>6</v>
      </c>
      <c r="AL2076" t="n">
        <v>1</v>
      </c>
      <c r="AM2076" t="n">
        <v>1</v>
      </c>
      <c r="AN2076" t="n">
        <v>0</v>
      </c>
      <c r="AO2076" t="n">
        <v>0</v>
      </c>
      <c r="AP2076" t="inlineStr">
        <is>
          <t>No</t>
        </is>
      </c>
      <c r="AQ2076" t="inlineStr">
        <is>
          <t>Yes</t>
        </is>
      </c>
      <c r="AR2076">
        <f>HYPERLINK("http://catalog.hathitrust.org/Record/000231524","HathiTrust Record")</f>
        <v/>
      </c>
      <c r="AS2076">
        <f>HYPERLINK("https://creighton-primo.hosted.exlibrisgroup.com/primo-explore/search?tab=default_tab&amp;search_scope=EVERYTHING&amp;vid=01CRU&amp;lang=en_US&amp;offset=0&amp;query=any,contains,991005185059702656","Catalog Record")</f>
        <v/>
      </c>
      <c r="AT2076">
        <f>HYPERLINK("http://www.worldcat.org/oclc/7975290","WorldCat Record")</f>
        <v/>
      </c>
      <c r="AU2076" t="inlineStr">
        <is>
          <t>30302581:eng</t>
        </is>
      </c>
      <c r="AV2076" t="inlineStr">
        <is>
          <t>7975290</t>
        </is>
      </c>
      <c r="AW2076" t="inlineStr">
        <is>
          <t>991005185059702656</t>
        </is>
      </c>
      <c r="AX2076" t="inlineStr">
        <is>
          <t>991005185059702656</t>
        </is>
      </c>
      <c r="AY2076" t="inlineStr">
        <is>
          <t>2264062630002656</t>
        </is>
      </c>
      <c r="AZ2076" t="inlineStr">
        <is>
          <t>BOOK</t>
        </is>
      </c>
      <c r="BB2076" t="inlineStr">
        <is>
          <t>9780933716254</t>
        </is>
      </c>
      <c r="BC2076" t="inlineStr">
        <is>
          <t>32285001037059</t>
        </is>
      </c>
      <c r="BD2076" t="inlineStr">
        <is>
          <t>893431002</t>
        </is>
      </c>
    </row>
    <row r="2077">
      <c r="A2077" t="inlineStr">
        <is>
          <t>No</t>
        </is>
      </c>
      <c r="B2077" t="inlineStr">
        <is>
          <t>HQ759.64 .C65 1997</t>
        </is>
      </c>
      <c r="C2077" t="inlineStr">
        <is>
          <t>0                      HQ 0759640C  65          1997</t>
        </is>
      </c>
      <c r="D2077" t="inlineStr">
        <is>
          <t>The youngest parents : teenage pregnancy as it shapes lives / Robert Coles ; with Robert E. Coles, Daniel A. Coles, and Michael H. Coles ; photographs by Jocelyn Lee and John Moses.</t>
        </is>
      </c>
      <c r="F2077" t="inlineStr">
        <is>
          <t>No</t>
        </is>
      </c>
      <c r="G2077" t="inlineStr">
        <is>
          <t>1</t>
        </is>
      </c>
      <c r="H2077" t="inlineStr">
        <is>
          <t>No</t>
        </is>
      </c>
      <c r="I2077" t="inlineStr">
        <is>
          <t>No</t>
        </is>
      </c>
      <c r="J2077" t="inlineStr">
        <is>
          <t>0</t>
        </is>
      </c>
      <c r="K2077" t="inlineStr">
        <is>
          <t>Coles, Robert.</t>
        </is>
      </c>
      <c r="L2077" t="inlineStr">
        <is>
          <t>New York : Published by the Center for Documentary Studies in association with W.W. Norton &amp; Co., c1997.</t>
        </is>
      </c>
      <c r="M2077" t="inlineStr">
        <is>
          <t>1997</t>
        </is>
      </c>
      <c r="N2077" t="inlineStr">
        <is>
          <t>1st ed.</t>
        </is>
      </c>
      <c r="O2077" t="inlineStr">
        <is>
          <t>eng</t>
        </is>
      </c>
      <c r="P2077" t="inlineStr">
        <is>
          <t>nyu</t>
        </is>
      </c>
      <c r="R2077" t="inlineStr">
        <is>
          <t xml:space="preserve">HQ </t>
        </is>
      </c>
      <c r="S2077" t="n">
        <v>9</v>
      </c>
      <c r="T2077" t="n">
        <v>9</v>
      </c>
      <c r="U2077" t="inlineStr">
        <is>
          <t>2010-09-27</t>
        </is>
      </c>
      <c r="V2077" t="inlineStr">
        <is>
          <t>2010-09-27</t>
        </is>
      </c>
      <c r="W2077" t="inlineStr">
        <is>
          <t>1998-04-02</t>
        </is>
      </c>
      <c r="X2077" t="inlineStr">
        <is>
          <t>1998-04-02</t>
        </is>
      </c>
      <c r="Y2077" t="n">
        <v>1366</v>
      </c>
      <c r="Z2077" t="n">
        <v>1289</v>
      </c>
      <c r="AA2077" t="n">
        <v>1293</v>
      </c>
      <c r="AB2077" t="n">
        <v>14</v>
      </c>
      <c r="AC2077" t="n">
        <v>14</v>
      </c>
      <c r="AD2077" t="n">
        <v>39</v>
      </c>
      <c r="AE2077" t="n">
        <v>39</v>
      </c>
      <c r="AF2077" t="n">
        <v>17</v>
      </c>
      <c r="AG2077" t="n">
        <v>17</v>
      </c>
      <c r="AH2077" t="n">
        <v>6</v>
      </c>
      <c r="AI2077" t="n">
        <v>6</v>
      </c>
      <c r="AJ2077" t="n">
        <v>15</v>
      </c>
      <c r="AK2077" t="n">
        <v>15</v>
      </c>
      <c r="AL2077" t="n">
        <v>11</v>
      </c>
      <c r="AM2077" t="n">
        <v>11</v>
      </c>
      <c r="AN2077" t="n">
        <v>0</v>
      </c>
      <c r="AO2077" t="n">
        <v>0</v>
      </c>
      <c r="AP2077" t="inlineStr">
        <is>
          <t>No</t>
        </is>
      </c>
      <c r="AQ2077" t="inlineStr">
        <is>
          <t>No</t>
        </is>
      </c>
      <c r="AS2077">
        <f>HYPERLINK("https://creighton-primo.hosted.exlibrisgroup.com/primo-explore/search?tab=default_tab&amp;search_scope=EVERYTHING&amp;vid=01CRU&amp;lang=en_US&amp;offset=0&amp;query=any,contains,991002728379702656","Catalog Record")</f>
        <v/>
      </c>
      <c r="AT2077">
        <f>HYPERLINK("http://www.worldcat.org/oclc/35784694","WorldCat Record")</f>
        <v/>
      </c>
      <c r="AU2077" t="inlineStr">
        <is>
          <t>837027072:eng</t>
        </is>
      </c>
      <c r="AV2077" t="inlineStr">
        <is>
          <t>35784694</t>
        </is>
      </c>
      <c r="AW2077" t="inlineStr">
        <is>
          <t>991002728379702656</t>
        </is>
      </c>
      <c r="AX2077" t="inlineStr">
        <is>
          <t>991002728379702656</t>
        </is>
      </c>
      <c r="AY2077" t="inlineStr">
        <is>
          <t>2270480900002656</t>
        </is>
      </c>
      <c r="AZ2077" t="inlineStr">
        <is>
          <t>BOOK</t>
        </is>
      </c>
      <c r="BB2077" t="inlineStr">
        <is>
          <t>9780393040821</t>
        </is>
      </c>
      <c r="BC2077" t="inlineStr">
        <is>
          <t>32285003383089</t>
        </is>
      </c>
      <c r="BD2077" t="inlineStr">
        <is>
          <t>893257630</t>
        </is>
      </c>
    </row>
    <row r="2078">
      <c r="A2078" t="inlineStr">
        <is>
          <t>No</t>
        </is>
      </c>
      <c r="B2078" t="inlineStr">
        <is>
          <t>HQ759.7 .D5</t>
        </is>
      </c>
      <c r="C2078" t="inlineStr">
        <is>
          <t>0                      HQ 0759700D  5</t>
        </is>
      </c>
      <c r="D2078" t="inlineStr">
        <is>
          <t>Our four boys : foster parenting retarded teenagers / Martha Ufford Dickerson.</t>
        </is>
      </c>
      <c r="F2078" t="inlineStr">
        <is>
          <t>No</t>
        </is>
      </c>
      <c r="G2078" t="inlineStr">
        <is>
          <t>1</t>
        </is>
      </c>
      <c r="H2078" t="inlineStr">
        <is>
          <t>No</t>
        </is>
      </c>
      <c r="I2078" t="inlineStr">
        <is>
          <t>No</t>
        </is>
      </c>
      <c r="J2078" t="inlineStr">
        <is>
          <t>0</t>
        </is>
      </c>
      <c r="K2078" t="inlineStr">
        <is>
          <t>Dickerson, Martha Ufford.</t>
        </is>
      </c>
      <c r="L2078" t="inlineStr">
        <is>
          <t>Syracuse, N.Y. : Syracuse University Press, 1978.</t>
        </is>
      </c>
      <c r="M2078" t="inlineStr">
        <is>
          <t>1978</t>
        </is>
      </c>
      <c r="N2078" t="inlineStr">
        <is>
          <t>1st ed.</t>
        </is>
      </c>
      <c r="O2078" t="inlineStr">
        <is>
          <t>eng</t>
        </is>
      </c>
      <c r="P2078" t="inlineStr">
        <is>
          <t>nyu</t>
        </is>
      </c>
      <c r="R2078" t="inlineStr">
        <is>
          <t xml:space="preserve">HQ </t>
        </is>
      </c>
      <c r="S2078" t="n">
        <v>6</v>
      </c>
      <c r="T2078" t="n">
        <v>6</v>
      </c>
      <c r="U2078" t="inlineStr">
        <is>
          <t>1993-12-08</t>
        </is>
      </c>
      <c r="V2078" t="inlineStr">
        <is>
          <t>1993-12-08</t>
        </is>
      </c>
      <c r="W2078" t="inlineStr">
        <is>
          <t>1991-12-09</t>
        </is>
      </c>
      <c r="X2078" t="inlineStr">
        <is>
          <t>1991-12-09</t>
        </is>
      </c>
      <c r="Y2078" t="n">
        <v>332</v>
      </c>
      <c r="Z2078" t="n">
        <v>299</v>
      </c>
      <c r="AA2078" t="n">
        <v>304</v>
      </c>
      <c r="AB2078" t="n">
        <v>4</v>
      </c>
      <c r="AC2078" t="n">
        <v>4</v>
      </c>
      <c r="AD2078" t="n">
        <v>9</v>
      </c>
      <c r="AE2078" t="n">
        <v>9</v>
      </c>
      <c r="AF2078" t="n">
        <v>2</v>
      </c>
      <c r="AG2078" t="n">
        <v>2</v>
      </c>
      <c r="AH2078" t="n">
        <v>2</v>
      </c>
      <c r="AI2078" t="n">
        <v>2</v>
      </c>
      <c r="AJ2078" t="n">
        <v>5</v>
      </c>
      <c r="AK2078" t="n">
        <v>5</v>
      </c>
      <c r="AL2078" t="n">
        <v>2</v>
      </c>
      <c r="AM2078" t="n">
        <v>2</v>
      </c>
      <c r="AN2078" t="n">
        <v>0</v>
      </c>
      <c r="AO2078" t="n">
        <v>0</v>
      </c>
      <c r="AP2078" t="inlineStr">
        <is>
          <t>No</t>
        </is>
      </c>
      <c r="AQ2078" t="inlineStr">
        <is>
          <t>No</t>
        </is>
      </c>
      <c r="AS2078">
        <f>HYPERLINK("https://creighton-primo.hosted.exlibrisgroup.com/primo-explore/search?tab=default_tab&amp;search_scope=EVERYTHING&amp;vid=01CRU&amp;lang=en_US&amp;offset=0&amp;query=any,contains,991004528909702656","Catalog Record")</f>
        <v/>
      </c>
      <c r="AT2078">
        <f>HYPERLINK("http://www.worldcat.org/oclc/3844483","WorldCat Record")</f>
        <v/>
      </c>
      <c r="AU2078" t="inlineStr">
        <is>
          <t>13329070:eng</t>
        </is>
      </c>
      <c r="AV2078" t="inlineStr">
        <is>
          <t>3844483</t>
        </is>
      </c>
      <c r="AW2078" t="inlineStr">
        <is>
          <t>991004528909702656</t>
        </is>
      </c>
      <c r="AX2078" t="inlineStr">
        <is>
          <t>991004528909702656</t>
        </is>
      </c>
      <c r="AY2078" t="inlineStr">
        <is>
          <t>2264767180002656</t>
        </is>
      </c>
      <c r="AZ2078" t="inlineStr">
        <is>
          <t>BOOK</t>
        </is>
      </c>
      <c r="BB2078" t="inlineStr">
        <is>
          <t>9780815601463</t>
        </is>
      </c>
      <c r="BC2078" t="inlineStr">
        <is>
          <t>32285000838754</t>
        </is>
      </c>
      <c r="BD2078" t="inlineStr">
        <is>
          <t>893253791</t>
        </is>
      </c>
    </row>
    <row r="2079">
      <c r="A2079" t="inlineStr">
        <is>
          <t>No</t>
        </is>
      </c>
      <c r="B2079" t="inlineStr">
        <is>
          <t>HQ759.7 .F35 1975</t>
        </is>
      </c>
      <c r="C2079" t="inlineStr">
        <is>
          <t>0                      HQ 0759700F  35          1975</t>
        </is>
      </c>
      <c r="D2079" t="inlineStr">
        <is>
          <t>Toward more understanding of foster parents / by David Fanshel.</t>
        </is>
      </c>
      <c r="F2079" t="inlineStr">
        <is>
          <t>No</t>
        </is>
      </c>
      <c r="G2079" t="inlineStr">
        <is>
          <t>1</t>
        </is>
      </c>
      <c r="H2079" t="inlineStr">
        <is>
          <t>No</t>
        </is>
      </c>
      <c r="I2079" t="inlineStr">
        <is>
          <t>No</t>
        </is>
      </c>
      <c r="J2079" t="inlineStr">
        <is>
          <t>0</t>
        </is>
      </c>
      <c r="K2079" t="inlineStr">
        <is>
          <t>Fanshel, David.</t>
        </is>
      </c>
      <c r="L2079" t="inlineStr">
        <is>
          <t>San Francisco : R and E Research Associates, 1975.</t>
        </is>
      </c>
      <c r="M2079" t="inlineStr">
        <is>
          <t>1975</t>
        </is>
      </c>
      <c r="O2079" t="inlineStr">
        <is>
          <t>eng</t>
        </is>
      </c>
      <c r="P2079" t="inlineStr">
        <is>
          <t>cau</t>
        </is>
      </c>
      <c r="R2079" t="inlineStr">
        <is>
          <t xml:space="preserve">HQ </t>
        </is>
      </c>
      <c r="S2079" t="n">
        <v>1</v>
      </c>
      <c r="T2079" t="n">
        <v>1</v>
      </c>
      <c r="U2079" t="inlineStr">
        <is>
          <t>1993-11-09</t>
        </is>
      </c>
      <c r="V2079" t="inlineStr">
        <is>
          <t>1993-11-09</t>
        </is>
      </c>
      <c r="W2079" t="inlineStr">
        <is>
          <t>1992-11-09</t>
        </is>
      </c>
      <c r="X2079" t="inlineStr">
        <is>
          <t>1992-11-09</t>
        </is>
      </c>
      <c r="Y2079" t="n">
        <v>114</v>
      </c>
      <c r="Z2079" t="n">
        <v>98</v>
      </c>
      <c r="AA2079" t="n">
        <v>101</v>
      </c>
      <c r="AB2079" t="n">
        <v>3</v>
      </c>
      <c r="AC2079" t="n">
        <v>3</v>
      </c>
      <c r="AD2079" t="n">
        <v>4</v>
      </c>
      <c r="AE2079" t="n">
        <v>4</v>
      </c>
      <c r="AF2079" t="n">
        <v>0</v>
      </c>
      <c r="AG2079" t="n">
        <v>0</v>
      </c>
      <c r="AH2079" t="n">
        <v>2</v>
      </c>
      <c r="AI2079" t="n">
        <v>2</v>
      </c>
      <c r="AJ2079" t="n">
        <v>2</v>
      </c>
      <c r="AK2079" t="n">
        <v>2</v>
      </c>
      <c r="AL2079" t="n">
        <v>1</v>
      </c>
      <c r="AM2079" t="n">
        <v>1</v>
      </c>
      <c r="AN2079" t="n">
        <v>0</v>
      </c>
      <c r="AO2079" t="n">
        <v>0</v>
      </c>
      <c r="AP2079" t="inlineStr">
        <is>
          <t>No</t>
        </is>
      </c>
      <c r="AQ2079" t="inlineStr">
        <is>
          <t>No</t>
        </is>
      </c>
      <c r="AS2079">
        <f>HYPERLINK("https://creighton-primo.hosted.exlibrisgroup.com/primo-explore/search?tab=default_tab&amp;search_scope=EVERYTHING&amp;vid=01CRU&amp;lang=en_US&amp;offset=0&amp;query=any,contains,991003971809702656","Catalog Record")</f>
        <v/>
      </c>
      <c r="AT2079">
        <f>HYPERLINK("http://www.worldcat.org/oclc/1992844","WorldCat Record")</f>
        <v/>
      </c>
      <c r="AU2079" t="inlineStr">
        <is>
          <t>541835:eng</t>
        </is>
      </c>
      <c r="AV2079" t="inlineStr">
        <is>
          <t>1992844</t>
        </is>
      </c>
      <c r="AW2079" t="inlineStr">
        <is>
          <t>991003971809702656</t>
        </is>
      </c>
      <c r="AX2079" t="inlineStr">
        <is>
          <t>991003971809702656</t>
        </is>
      </c>
      <c r="AY2079" t="inlineStr">
        <is>
          <t>2262109960002656</t>
        </is>
      </c>
      <c r="AZ2079" t="inlineStr">
        <is>
          <t>BOOK</t>
        </is>
      </c>
      <c r="BB2079" t="inlineStr">
        <is>
          <t>9780882473192</t>
        </is>
      </c>
      <c r="BC2079" t="inlineStr">
        <is>
          <t>32285001395010</t>
        </is>
      </c>
      <c r="BD2079" t="inlineStr">
        <is>
          <t>893324774</t>
        </is>
      </c>
    </row>
    <row r="2080">
      <c r="A2080" t="inlineStr">
        <is>
          <t>No</t>
        </is>
      </c>
      <c r="B2080" t="inlineStr">
        <is>
          <t>HQ759.9 .F39 1994</t>
        </is>
      </c>
      <c r="C2080" t="inlineStr">
        <is>
          <t>0                      HQ 0759900F  39          1994</t>
        </is>
      </c>
      <c r="D2080" t="inlineStr">
        <is>
          <t>Grandparenting with love &amp; logic : practical solutions to today's grandparenting challenges / Jim Fay &amp; Foster W. Cline.</t>
        </is>
      </c>
      <c r="F2080" t="inlineStr">
        <is>
          <t>No</t>
        </is>
      </c>
      <c r="G2080" t="inlineStr">
        <is>
          <t>1</t>
        </is>
      </c>
      <c r="H2080" t="inlineStr">
        <is>
          <t>No</t>
        </is>
      </c>
      <c r="I2080" t="inlineStr">
        <is>
          <t>No</t>
        </is>
      </c>
      <c r="J2080" t="inlineStr">
        <is>
          <t>0</t>
        </is>
      </c>
      <c r="K2080" t="inlineStr">
        <is>
          <t>Fay, Jim.</t>
        </is>
      </c>
      <c r="L2080" t="inlineStr">
        <is>
          <t>Golden, CO : Love and Logic Press, c1994.</t>
        </is>
      </c>
      <c r="M2080" t="inlineStr">
        <is>
          <t>1994</t>
        </is>
      </c>
      <c r="O2080" t="inlineStr">
        <is>
          <t>eng</t>
        </is>
      </c>
      <c r="P2080" t="inlineStr">
        <is>
          <t>cou</t>
        </is>
      </c>
      <c r="R2080" t="inlineStr">
        <is>
          <t xml:space="preserve">HQ </t>
        </is>
      </c>
      <c r="S2080" t="n">
        <v>1</v>
      </c>
      <c r="T2080" t="n">
        <v>1</v>
      </c>
      <c r="U2080" t="inlineStr">
        <is>
          <t>2005-07-11</t>
        </is>
      </c>
      <c r="V2080" t="inlineStr">
        <is>
          <t>2005-07-11</t>
        </is>
      </c>
      <c r="W2080" t="inlineStr">
        <is>
          <t>1996-09-03</t>
        </is>
      </c>
      <c r="X2080" t="inlineStr">
        <is>
          <t>1996-09-03</t>
        </is>
      </c>
      <c r="Y2080" t="n">
        <v>330</v>
      </c>
      <c r="Z2080" t="n">
        <v>322</v>
      </c>
      <c r="AA2080" t="n">
        <v>327</v>
      </c>
      <c r="AB2080" t="n">
        <v>5</v>
      </c>
      <c r="AC2080" t="n">
        <v>5</v>
      </c>
      <c r="AD2080" t="n">
        <v>0</v>
      </c>
      <c r="AE2080" t="n">
        <v>0</v>
      </c>
      <c r="AF2080" t="n">
        <v>0</v>
      </c>
      <c r="AG2080" t="n">
        <v>0</v>
      </c>
      <c r="AH2080" t="n">
        <v>0</v>
      </c>
      <c r="AI2080" t="n">
        <v>0</v>
      </c>
      <c r="AJ2080" t="n">
        <v>0</v>
      </c>
      <c r="AK2080" t="n">
        <v>0</v>
      </c>
      <c r="AL2080" t="n">
        <v>0</v>
      </c>
      <c r="AM2080" t="n">
        <v>0</v>
      </c>
      <c r="AN2080" t="n">
        <v>0</v>
      </c>
      <c r="AO2080" t="n">
        <v>0</v>
      </c>
      <c r="AP2080" t="inlineStr">
        <is>
          <t>No</t>
        </is>
      </c>
      <c r="AQ2080" t="inlineStr">
        <is>
          <t>No</t>
        </is>
      </c>
      <c r="AS2080">
        <f>HYPERLINK("https://creighton-primo.hosted.exlibrisgroup.com/primo-explore/search?tab=default_tab&amp;search_scope=EVERYTHING&amp;vid=01CRU&amp;lang=en_US&amp;offset=0&amp;query=any,contains,991002405949702656","Catalog Record")</f>
        <v/>
      </c>
      <c r="AT2080">
        <f>HYPERLINK("http://www.worldcat.org/oclc/31291550","WorldCat Record")</f>
        <v/>
      </c>
      <c r="AU2080" t="inlineStr">
        <is>
          <t>4726110269:eng</t>
        </is>
      </c>
      <c r="AV2080" t="inlineStr">
        <is>
          <t>31291550</t>
        </is>
      </c>
      <c r="AW2080" t="inlineStr">
        <is>
          <t>991002405949702656</t>
        </is>
      </c>
      <c r="AX2080" t="inlineStr">
        <is>
          <t>991002405949702656</t>
        </is>
      </c>
      <c r="AY2080" t="inlineStr">
        <is>
          <t>2268336410002656</t>
        </is>
      </c>
      <c r="AZ2080" t="inlineStr">
        <is>
          <t>BOOK</t>
        </is>
      </c>
      <c r="BB2080" t="inlineStr">
        <is>
          <t>9780944634066</t>
        </is>
      </c>
      <c r="BC2080" t="inlineStr">
        <is>
          <t>32285002293826</t>
        </is>
      </c>
      <c r="BD2080" t="inlineStr">
        <is>
          <t>893898722</t>
        </is>
      </c>
    </row>
    <row r="2081">
      <c r="A2081" t="inlineStr">
        <is>
          <t>No</t>
        </is>
      </c>
      <c r="B2081" t="inlineStr">
        <is>
          <t>HQ759.9 .G72 1985</t>
        </is>
      </c>
      <c r="C2081" t="inlineStr">
        <is>
          <t>0                      HQ 0759900G  72          1985</t>
        </is>
      </c>
      <c r="D2081" t="inlineStr">
        <is>
          <t>Grandparenthood / edited by Vern L. Bengtson and Joan F. Robertson.</t>
        </is>
      </c>
      <c r="F2081" t="inlineStr">
        <is>
          <t>No</t>
        </is>
      </c>
      <c r="G2081" t="inlineStr">
        <is>
          <t>1</t>
        </is>
      </c>
      <c r="H2081" t="inlineStr">
        <is>
          <t>No</t>
        </is>
      </c>
      <c r="I2081" t="inlineStr">
        <is>
          <t>No</t>
        </is>
      </c>
      <c r="J2081" t="inlineStr">
        <is>
          <t>0</t>
        </is>
      </c>
      <c r="L2081" t="inlineStr">
        <is>
          <t>Beverly Hills : Sage Publications, c1985.</t>
        </is>
      </c>
      <c r="M2081" t="inlineStr">
        <is>
          <t>1985</t>
        </is>
      </c>
      <c r="O2081" t="inlineStr">
        <is>
          <t>eng</t>
        </is>
      </c>
      <c r="P2081" t="inlineStr">
        <is>
          <t>cau</t>
        </is>
      </c>
      <c r="Q2081" t="inlineStr">
        <is>
          <t>Sage focus editions ; 74</t>
        </is>
      </c>
      <c r="R2081" t="inlineStr">
        <is>
          <t xml:space="preserve">HQ </t>
        </is>
      </c>
      <c r="S2081" t="n">
        <v>4</v>
      </c>
      <c r="T2081" t="n">
        <v>4</v>
      </c>
      <c r="U2081" t="inlineStr">
        <is>
          <t>2002-04-25</t>
        </is>
      </c>
      <c r="V2081" t="inlineStr">
        <is>
          <t>2002-04-25</t>
        </is>
      </c>
      <c r="W2081" t="inlineStr">
        <is>
          <t>1992-01-15</t>
        </is>
      </c>
      <c r="X2081" t="inlineStr">
        <is>
          <t>1992-01-15</t>
        </is>
      </c>
      <c r="Y2081" t="n">
        <v>485</v>
      </c>
      <c r="Z2081" t="n">
        <v>379</v>
      </c>
      <c r="AA2081" t="n">
        <v>382</v>
      </c>
      <c r="AB2081" t="n">
        <v>5</v>
      </c>
      <c r="AC2081" t="n">
        <v>5</v>
      </c>
      <c r="AD2081" t="n">
        <v>22</v>
      </c>
      <c r="AE2081" t="n">
        <v>22</v>
      </c>
      <c r="AF2081" t="n">
        <v>9</v>
      </c>
      <c r="AG2081" t="n">
        <v>9</v>
      </c>
      <c r="AH2081" t="n">
        <v>4</v>
      </c>
      <c r="AI2081" t="n">
        <v>4</v>
      </c>
      <c r="AJ2081" t="n">
        <v>13</v>
      </c>
      <c r="AK2081" t="n">
        <v>13</v>
      </c>
      <c r="AL2081" t="n">
        <v>4</v>
      </c>
      <c r="AM2081" t="n">
        <v>4</v>
      </c>
      <c r="AN2081" t="n">
        <v>0</v>
      </c>
      <c r="AO2081" t="n">
        <v>0</v>
      </c>
      <c r="AP2081" t="inlineStr">
        <is>
          <t>No</t>
        </is>
      </c>
      <c r="AQ2081" t="inlineStr">
        <is>
          <t>No</t>
        </is>
      </c>
      <c r="AS2081">
        <f>HYPERLINK("https://creighton-primo.hosted.exlibrisgroup.com/primo-explore/search?tab=default_tab&amp;search_scope=EVERYTHING&amp;vid=01CRU&amp;lang=en_US&amp;offset=0&amp;query=any,contains,991000640229702656","Catalog Record")</f>
        <v/>
      </c>
      <c r="AT2081">
        <f>HYPERLINK("http://www.worldcat.org/oclc/12103905","WorldCat Record")</f>
        <v/>
      </c>
      <c r="AU2081" t="inlineStr">
        <is>
          <t>353986851:eng</t>
        </is>
      </c>
      <c r="AV2081" t="inlineStr">
        <is>
          <t>12103905</t>
        </is>
      </c>
      <c r="AW2081" t="inlineStr">
        <is>
          <t>991000640229702656</t>
        </is>
      </c>
      <c r="AX2081" t="inlineStr">
        <is>
          <t>991000640229702656</t>
        </is>
      </c>
      <c r="AY2081" t="inlineStr">
        <is>
          <t>2260653970002656</t>
        </is>
      </c>
      <c r="AZ2081" t="inlineStr">
        <is>
          <t>BOOK</t>
        </is>
      </c>
      <c r="BB2081" t="inlineStr">
        <is>
          <t>9780803924840</t>
        </is>
      </c>
      <c r="BC2081" t="inlineStr">
        <is>
          <t>32285000897685</t>
        </is>
      </c>
      <c r="BD2081" t="inlineStr">
        <is>
          <t>893771819</t>
        </is>
      </c>
    </row>
    <row r="2082">
      <c r="A2082" t="inlineStr">
        <is>
          <t>No</t>
        </is>
      </c>
      <c r="B2082" t="inlineStr">
        <is>
          <t>HQ759.9 .K67</t>
        </is>
      </c>
      <c r="C2082" t="inlineStr">
        <is>
          <t>0                      HQ 0759900K  67</t>
        </is>
      </c>
      <c r="D2082" t="inlineStr">
        <is>
          <t>Grandparents, grandchildren : the vital connection / Arthur Kornhaber and Kenneth L. Woodward.</t>
        </is>
      </c>
      <c r="F2082" t="inlineStr">
        <is>
          <t>No</t>
        </is>
      </c>
      <c r="G2082" t="inlineStr">
        <is>
          <t>1</t>
        </is>
      </c>
      <c r="H2082" t="inlineStr">
        <is>
          <t>No</t>
        </is>
      </c>
      <c r="I2082" t="inlineStr">
        <is>
          <t>No</t>
        </is>
      </c>
      <c r="J2082" t="inlineStr">
        <is>
          <t>0</t>
        </is>
      </c>
      <c r="K2082" t="inlineStr">
        <is>
          <t>Kornhaber, Arthur.</t>
        </is>
      </c>
      <c r="L2082" t="inlineStr">
        <is>
          <t>Garden City, N.Y. : Anchor Press/Doubleday, 1981.</t>
        </is>
      </c>
      <c r="M2082" t="inlineStr">
        <is>
          <t>1981</t>
        </is>
      </c>
      <c r="N2082" t="inlineStr">
        <is>
          <t>1st ed.</t>
        </is>
      </c>
      <c r="O2082" t="inlineStr">
        <is>
          <t>eng</t>
        </is>
      </c>
      <c r="P2082" t="inlineStr">
        <is>
          <t>nyu</t>
        </is>
      </c>
      <c r="R2082" t="inlineStr">
        <is>
          <t xml:space="preserve">HQ </t>
        </is>
      </c>
      <c r="S2082" t="n">
        <v>5</v>
      </c>
      <c r="T2082" t="n">
        <v>5</v>
      </c>
      <c r="U2082" t="inlineStr">
        <is>
          <t>2002-04-25</t>
        </is>
      </c>
      <c r="V2082" t="inlineStr">
        <is>
          <t>2002-04-25</t>
        </is>
      </c>
      <c r="W2082" t="inlineStr">
        <is>
          <t>1992-11-09</t>
        </is>
      </c>
      <c r="X2082" t="inlineStr">
        <is>
          <t>1992-11-09</t>
        </is>
      </c>
      <c r="Y2082" t="n">
        <v>719</v>
      </c>
      <c r="Z2082" t="n">
        <v>667</v>
      </c>
      <c r="AA2082" t="n">
        <v>781</v>
      </c>
      <c r="AB2082" t="n">
        <v>6</v>
      </c>
      <c r="AC2082" t="n">
        <v>8</v>
      </c>
      <c r="AD2082" t="n">
        <v>14</v>
      </c>
      <c r="AE2082" t="n">
        <v>17</v>
      </c>
      <c r="AF2082" t="n">
        <v>6</v>
      </c>
      <c r="AG2082" t="n">
        <v>6</v>
      </c>
      <c r="AH2082" t="n">
        <v>3</v>
      </c>
      <c r="AI2082" t="n">
        <v>3</v>
      </c>
      <c r="AJ2082" t="n">
        <v>8</v>
      </c>
      <c r="AK2082" t="n">
        <v>9</v>
      </c>
      <c r="AL2082" t="n">
        <v>2</v>
      </c>
      <c r="AM2082" t="n">
        <v>4</v>
      </c>
      <c r="AN2082" t="n">
        <v>0</v>
      </c>
      <c r="AO2082" t="n">
        <v>0</v>
      </c>
      <c r="AP2082" t="inlineStr">
        <is>
          <t>No</t>
        </is>
      </c>
      <c r="AQ2082" t="inlineStr">
        <is>
          <t>Yes</t>
        </is>
      </c>
      <c r="AR2082">
        <f>HYPERLINK("http://catalog.hathitrust.org/Record/007117134","HathiTrust Record")</f>
        <v/>
      </c>
      <c r="AS2082">
        <f>HYPERLINK("https://creighton-primo.hosted.exlibrisgroup.com/primo-explore/search?tab=default_tab&amp;search_scope=EVERYTHING&amp;vid=01CRU&amp;lang=en_US&amp;offset=0&amp;query=any,contains,991005048249702656","Catalog Record")</f>
        <v/>
      </c>
      <c r="AT2082">
        <f>HYPERLINK("http://www.worldcat.org/oclc/6861977","WorldCat Record")</f>
        <v/>
      </c>
      <c r="AU2082" t="inlineStr">
        <is>
          <t>455534:eng</t>
        </is>
      </c>
      <c r="AV2082" t="inlineStr">
        <is>
          <t>6861977</t>
        </is>
      </c>
      <c r="AW2082" t="inlineStr">
        <is>
          <t>991005048249702656</t>
        </is>
      </c>
      <c r="AX2082" t="inlineStr">
        <is>
          <t>991005048249702656</t>
        </is>
      </c>
      <c r="AY2082" t="inlineStr">
        <is>
          <t>2272732400002656</t>
        </is>
      </c>
      <c r="AZ2082" t="inlineStr">
        <is>
          <t>BOOK</t>
        </is>
      </c>
      <c r="BB2082" t="inlineStr">
        <is>
          <t>9780385155779</t>
        </is>
      </c>
      <c r="BC2082" t="inlineStr">
        <is>
          <t>32285001395036</t>
        </is>
      </c>
      <c r="BD2082" t="inlineStr">
        <is>
          <t>893722718</t>
        </is>
      </c>
    </row>
    <row r="2083">
      <c r="A2083" t="inlineStr">
        <is>
          <t>No</t>
        </is>
      </c>
      <c r="B2083" t="inlineStr">
        <is>
          <t>HQ759.913 .B35 1988</t>
        </is>
      </c>
      <c r="C2083" t="inlineStr">
        <is>
          <t>0                      HQ 0759913B  35          1988</t>
        </is>
      </c>
      <c r="D2083" t="inlineStr">
        <is>
          <t>Family assessment in early intervention / Donald B. Bailey, Jr., Rune J. Simeonsson.</t>
        </is>
      </c>
      <c r="F2083" t="inlineStr">
        <is>
          <t>No</t>
        </is>
      </c>
      <c r="G2083" t="inlineStr">
        <is>
          <t>1</t>
        </is>
      </c>
      <c r="H2083" t="inlineStr">
        <is>
          <t>No</t>
        </is>
      </c>
      <c r="I2083" t="inlineStr">
        <is>
          <t>No</t>
        </is>
      </c>
      <c r="J2083" t="inlineStr">
        <is>
          <t>0</t>
        </is>
      </c>
      <c r="K2083" t="inlineStr">
        <is>
          <t>Bailey, Donald B.</t>
        </is>
      </c>
      <c r="L2083" t="inlineStr">
        <is>
          <t>Columbus, Ohio : Merrill Pub. Co., c1988.</t>
        </is>
      </c>
      <c r="M2083" t="inlineStr">
        <is>
          <t>1988</t>
        </is>
      </c>
      <c r="O2083" t="inlineStr">
        <is>
          <t>eng</t>
        </is>
      </c>
      <c r="P2083" t="inlineStr">
        <is>
          <t>ohu</t>
        </is>
      </c>
      <c r="R2083" t="inlineStr">
        <is>
          <t xml:space="preserve">HQ </t>
        </is>
      </c>
      <c r="S2083" t="n">
        <v>6</v>
      </c>
      <c r="T2083" t="n">
        <v>6</v>
      </c>
      <c r="U2083" t="inlineStr">
        <is>
          <t>1996-02-21</t>
        </is>
      </c>
      <c r="V2083" t="inlineStr">
        <is>
          <t>1996-02-21</t>
        </is>
      </c>
      <c r="W2083" t="inlineStr">
        <is>
          <t>1990-04-17</t>
        </is>
      </c>
      <c r="X2083" t="inlineStr">
        <is>
          <t>1990-04-17</t>
        </is>
      </c>
      <c r="Y2083" t="n">
        <v>276</v>
      </c>
      <c r="Z2083" t="n">
        <v>227</v>
      </c>
      <c r="AA2083" t="n">
        <v>234</v>
      </c>
      <c r="AB2083" t="n">
        <v>3</v>
      </c>
      <c r="AC2083" t="n">
        <v>3</v>
      </c>
      <c r="AD2083" t="n">
        <v>10</v>
      </c>
      <c r="AE2083" t="n">
        <v>10</v>
      </c>
      <c r="AF2083" t="n">
        <v>3</v>
      </c>
      <c r="AG2083" t="n">
        <v>3</v>
      </c>
      <c r="AH2083" t="n">
        <v>3</v>
      </c>
      <c r="AI2083" t="n">
        <v>3</v>
      </c>
      <c r="AJ2083" t="n">
        <v>5</v>
      </c>
      <c r="AK2083" t="n">
        <v>5</v>
      </c>
      <c r="AL2083" t="n">
        <v>2</v>
      </c>
      <c r="AM2083" t="n">
        <v>2</v>
      </c>
      <c r="AN2083" t="n">
        <v>0</v>
      </c>
      <c r="AO2083" t="n">
        <v>0</v>
      </c>
      <c r="AP2083" t="inlineStr">
        <is>
          <t>No</t>
        </is>
      </c>
      <c r="AQ2083" t="inlineStr">
        <is>
          <t>Yes</t>
        </is>
      </c>
      <c r="AR2083">
        <f>HYPERLINK("http://catalog.hathitrust.org/Record/002435169","HathiTrust Record")</f>
        <v/>
      </c>
      <c r="AS2083">
        <f>HYPERLINK("https://creighton-primo.hosted.exlibrisgroup.com/primo-explore/search?tab=default_tab&amp;search_scope=EVERYTHING&amp;vid=01CRU&amp;lang=en_US&amp;offset=0&amp;query=any,contains,991001356479702656","Catalog Record")</f>
        <v/>
      </c>
      <c r="AT2083">
        <f>HYPERLINK("http://www.worldcat.org/oclc/18492884","WorldCat Record")</f>
        <v/>
      </c>
      <c r="AU2083" t="inlineStr">
        <is>
          <t>18053207:eng</t>
        </is>
      </c>
      <c r="AV2083" t="inlineStr">
        <is>
          <t>18492884</t>
        </is>
      </c>
      <c r="AW2083" t="inlineStr">
        <is>
          <t>991001356479702656</t>
        </is>
      </c>
      <c r="AX2083" t="inlineStr">
        <is>
          <t>991001356479702656</t>
        </is>
      </c>
      <c r="AY2083" t="inlineStr">
        <is>
          <t>2268899380002656</t>
        </is>
      </c>
      <c r="AZ2083" t="inlineStr">
        <is>
          <t>BOOK</t>
        </is>
      </c>
      <c r="BB2083" t="inlineStr">
        <is>
          <t>9780675209960</t>
        </is>
      </c>
      <c r="BC2083" t="inlineStr">
        <is>
          <t>32285000102599</t>
        </is>
      </c>
      <c r="BD2083" t="inlineStr">
        <is>
          <t>893334272</t>
        </is>
      </c>
    </row>
    <row r="2084">
      <c r="A2084" t="inlineStr">
        <is>
          <t>No</t>
        </is>
      </c>
      <c r="B2084" t="inlineStr">
        <is>
          <t>HQ759.913 .G55 2001</t>
        </is>
      </c>
      <c r="C2084" t="inlineStr">
        <is>
          <t>0                      HQ 0759913G  55          2001</t>
        </is>
      </c>
      <c r="D2084" t="inlineStr">
        <is>
          <t>Changed by a child : companion notes for parents of a child with a disability / Barbara Gill.</t>
        </is>
      </c>
      <c r="F2084" t="inlineStr">
        <is>
          <t>No</t>
        </is>
      </c>
      <c r="G2084" t="inlineStr">
        <is>
          <t>1</t>
        </is>
      </c>
      <c r="H2084" t="inlineStr">
        <is>
          <t>No</t>
        </is>
      </c>
      <c r="I2084" t="inlineStr">
        <is>
          <t>No</t>
        </is>
      </c>
      <c r="J2084" t="inlineStr">
        <is>
          <t>0</t>
        </is>
      </c>
      <c r="K2084" t="inlineStr">
        <is>
          <t>Gill, Barbara, 1946-</t>
        </is>
      </c>
      <c r="L2084" t="inlineStr">
        <is>
          <t>New York : Broadway Boooks, 2001.</t>
        </is>
      </c>
      <c r="M2084" t="inlineStr">
        <is>
          <t>2001</t>
        </is>
      </c>
      <c r="O2084" t="inlineStr">
        <is>
          <t>eng</t>
        </is>
      </c>
      <c r="P2084" t="inlineStr">
        <is>
          <t>nyu</t>
        </is>
      </c>
      <c r="R2084" t="inlineStr">
        <is>
          <t xml:space="preserve">HQ </t>
        </is>
      </c>
      <c r="S2084" t="n">
        <v>1</v>
      </c>
      <c r="T2084" t="n">
        <v>1</v>
      </c>
      <c r="U2084" t="inlineStr">
        <is>
          <t>2003-11-17</t>
        </is>
      </c>
      <c r="V2084" t="inlineStr">
        <is>
          <t>2003-11-17</t>
        </is>
      </c>
      <c r="W2084" t="inlineStr">
        <is>
          <t>2003-11-17</t>
        </is>
      </c>
      <c r="X2084" t="inlineStr">
        <is>
          <t>2003-11-17</t>
        </is>
      </c>
      <c r="Y2084" t="n">
        <v>22</v>
      </c>
      <c r="Z2084" t="n">
        <v>21</v>
      </c>
      <c r="AA2084" t="n">
        <v>170</v>
      </c>
      <c r="AB2084" t="n">
        <v>1</v>
      </c>
      <c r="AC2084" t="n">
        <v>2</v>
      </c>
      <c r="AD2084" t="n">
        <v>1</v>
      </c>
      <c r="AE2084" t="n">
        <v>1</v>
      </c>
      <c r="AF2084" t="n">
        <v>0</v>
      </c>
      <c r="AG2084" t="n">
        <v>0</v>
      </c>
      <c r="AH2084" t="n">
        <v>0</v>
      </c>
      <c r="AI2084" t="n">
        <v>0</v>
      </c>
      <c r="AJ2084" t="n">
        <v>1</v>
      </c>
      <c r="AK2084" t="n">
        <v>1</v>
      </c>
      <c r="AL2084" t="n">
        <v>0</v>
      </c>
      <c r="AM2084" t="n">
        <v>0</v>
      </c>
      <c r="AN2084" t="n">
        <v>0</v>
      </c>
      <c r="AO2084" t="n">
        <v>0</v>
      </c>
      <c r="AP2084" t="inlineStr">
        <is>
          <t>No</t>
        </is>
      </c>
      <c r="AQ2084" t="inlineStr">
        <is>
          <t>No</t>
        </is>
      </c>
      <c r="AS2084">
        <f>HYPERLINK("https://creighton-primo.hosted.exlibrisgroup.com/primo-explore/search?tab=default_tab&amp;search_scope=EVERYTHING&amp;vid=01CRU&amp;lang=en_US&amp;offset=0&amp;query=any,contains,991004181759702656","Catalog Record")</f>
        <v/>
      </c>
      <c r="AT2084">
        <f>HYPERLINK("http://www.worldcat.org/oclc/50390214","WorldCat Record")</f>
        <v/>
      </c>
      <c r="AU2084" t="inlineStr">
        <is>
          <t>535736:eng</t>
        </is>
      </c>
      <c r="AV2084" t="inlineStr">
        <is>
          <t>50390214</t>
        </is>
      </c>
      <c r="AW2084" t="inlineStr">
        <is>
          <t>991004181759702656</t>
        </is>
      </c>
      <c r="AX2084" t="inlineStr">
        <is>
          <t>991004181759702656</t>
        </is>
      </c>
      <c r="AY2084" t="inlineStr">
        <is>
          <t>2269005410002656</t>
        </is>
      </c>
      <c r="AZ2084" t="inlineStr">
        <is>
          <t>BOOK</t>
        </is>
      </c>
      <c r="BB2084" t="inlineStr">
        <is>
          <t>9780385482431</t>
        </is>
      </c>
      <c r="BC2084" t="inlineStr">
        <is>
          <t>32285004798913</t>
        </is>
      </c>
      <c r="BD2084" t="inlineStr">
        <is>
          <t>893325037</t>
        </is>
      </c>
    </row>
    <row r="2085">
      <c r="A2085" t="inlineStr">
        <is>
          <t>No</t>
        </is>
      </c>
      <c r="B2085" t="inlineStr">
        <is>
          <t>HQ759.913 .U53 1995</t>
        </is>
      </c>
      <c r="C2085" t="inlineStr">
        <is>
          <t>0                      HQ 0759913U  53          1995</t>
        </is>
      </c>
      <c r="D2085" t="inlineStr">
        <is>
          <t>Uncommon fathers : reflections on raising a child with a disability / edited by Donald J. Meyer.</t>
        </is>
      </c>
      <c r="F2085" t="inlineStr">
        <is>
          <t>No</t>
        </is>
      </c>
      <c r="G2085" t="inlineStr">
        <is>
          <t>1</t>
        </is>
      </c>
      <c r="H2085" t="inlineStr">
        <is>
          <t>No</t>
        </is>
      </c>
      <c r="I2085" t="inlineStr">
        <is>
          <t>No</t>
        </is>
      </c>
      <c r="J2085" t="inlineStr">
        <is>
          <t>0</t>
        </is>
      </c>
      <c r="L2085" t="inlineStr">
        <is>
          <t>Bethesda, MD : Woodbine House, 1995.</t>
        </is>
      </c>
      <c r="M2085" t="inlineStr">
        <is>
          <t>1995</t>
        </is>
      </c>
      <c r="O2085" t="inlineStr">
        <is>
          <t>eng</t>
        </is>
      </c>
      <c r="P2085" t="inlineStr">
        <is>
          <t>mdu</t>
        </is>
      </c>
      <c r="R2085" t="inlineStr">
        <is>
          <t xml:space="preserve">HQ </t>
        </is>
      </c>
      <c r="S2085" t="n">
        <v>1</v>
      </c>
      <c r="T2085" t="n">
        <v>1</v>
      </c>
      <c r="U2085" t="inlineStr">
        <is>
          <t>2003-11-17</t>
        </is>
      </c>
      <c r="V2085" t="inlineStr">
        <is>
          <t>2003-11-17</t>
        </is>
      </c>
      <c r="W2085" t="inlineStr">
        <is>
          <t>2003-11-17</t>
        </is>
      </c>
      <c r="X2085" t="inlineStr">
        <is>
          <t>2003-11-17</t>
        </is>
      </c>
      <c r="Y2085" t="n">
        <v>371</v>
      </c>
      <c r="Z2085" t="n">
        <v>330</v>
      </c>
      <c r="AA2085" t="n">
        <v>334</v>
      </c>
      <c r="AB2085" t="n">
        <v>1</v>
      </c>
      <c r="AC2085" t="n">
        <v>1</v>
      </c>
      <c r="AD2085" t="n">
        <v>6</v>
      </c>
      <c r="AE2085" t="n">
        <v>6</v>
      </c>
      <c r="AF2085" t="n">
        <v>3</v>
      </c>
      <c r="AG2085" t="n">
        <v>3</v>
      </c>
      <c r="AH2085" t="n">
        <v>1</v>
      </c>
      <c r="AI2085" t="n">
        <v>1</v>
      </c>
      <c r="AJ2085" t="n">
        <v>4</v>
      </c>
      <c r="AK2085" t="n">
        <v>4</v>
      </c>
      <c r="AL2085" t="n">
        <v>0</v>
      </c>
      <c r="AM2085" t="n">
        <v>0</v>
      </c>
      <c r="AN2085" t="n">
        <v>0</v>
      </c>
      <c r="AO2085" t="n">
        <v>0</v>
      </c>
      <c r="AP2085" t="inlineStr">
        <is>
          <t>No</t>
        </is>
      </c>
      <c r="AQ2085" t="inlineStr">
        <is>
          <t>No</t>
        </is>
      </c>
      <c r="AS2085">
        <f>HYPERLINK("https://creighton-primo.hosted.exlibrisgroup.com/primo-explore/search?tab=default_tab&amp;search_scope=EVERYTHING&amp;vid=01CRU&amp;lang=en_US&amp;offset=0&amp;query=any,contains,991005309179702656","Catalog Record")</f>
        <v/>
      </c>
      <c r="AT2085">
        <f>HYPERLINK("http://www.worldcat.org/oclc/32314069","WorldCat Record")</f>
        <v/>
      </c>
      <c r="AU2085" t="inlineStr">
        <is>
          <t>180626741:eng</t>
        </is>
      </c>
      <c r="AV2085" t="inlineStr">
        <is>
          <t>32314069</t>
        </is>
      </c>
      <c r="AW2085" t="inlineStr">
        <is>
          <t>991005309179702656</t>
        </is>
      </c>
      <c r="AX2085" t="inlineStr">
        <is>
          <t>991005309179702656</t>
        </is>
      </c>
      <c r="AY2085" t="inlineStr">
        <is>
          <t>2265182500002656</t>
        </is>
      </c>
      <c r="AZ2085" t="inlineStr">
        <is>
          <t>BOOK</t>
        </is>
      </c>
      <c r="BB2085" t="inlineStr">
        <is>
          <t>9780933149687</t>
        </is>
      </c>
      <c r="BC2085" t="inlineStr">
        <is>
          <t>32285004798897</t>
        </is>
      </c>
      <c r="BD2085" t="inlineStr">
        <is>
          <t>893870873</t>
        </is>
      </c>
    </row>
    <row r="2086">
      <c r="A2086" t="inlineStr">
        <is>
          <t>No</t>
        </is>
      </c>
      <c r="B2086" t="inlineStr">
        <is>
          <t>HQ759.913 .Y68 2001</t>
        </is>
      </c>
      <c r="C2086" t="inlineStr">
        <is>
          <t>0                      HQ 0759913Y  68          2001</t>
        </is>
      </c>
      <c r="D2086" t="inlineStr">
        <is>
          <t>You will dream new dreams : inspiring personal stories by parents of children with disabilities / Stanley D. Klein and Kim Schive, editors ; [foreword by Richard Thornburgh].</t>
        </is>
      </c>
      <c r="F2086" t="inlineStr">
        <is>
          <t>No</t>
        </is>
      </c>
      <c r="G2086" t="inlineStr">
        <is>
          <t>1</t>
        </is>
      </c>
      <c r="H2086" t="inlineStr">
        <is>
          <t>No</t>
        </is>
      </c>
      <c r="I2086" t="inlineStr">
        <is>
          <t>No</t>
        </is>
      </c>
      <c r="J2086" t="inlineStr">
        <is>
          <t>0</t>
        </is>
      </c>
      <c r="L2086" t="inlineStr">
        <is>
          <t>New York, NY : Kensington Books, c2001.</t>
        </is>
      </c>
      <c r="M2086" t="inlineStr">
        <is>
          <t>2001</t>
        </is>
      </c>
      <c r="O2086" t="inlineStr">
        <is>
          <t>eng</t>
        </is>
      </c>
      <c r="P2086" t="inlineStr">
        <is>
          <t>nyu</t>
        </is>
      </c>
      <c r="R2086" t="inlineStr">
        <is>
          <t xml:space="preserve">HQ </t>
        </is>
      </c>
      <c r="S2086" t="n">
        <v>2</v>
      </c>
      <c r="T2086" t="n">
        <v>2</v>
      </c>
      <c r="U2086" t="inlineStr">
        <is>
          <t>2004-03-25</t>
        </is>
      </c>
      <c r="V2086" t="inlineStr">
        <is>
          <t>2004-03-25</t>
        </is>
      </c>
      <c r="W2086" t="inlineStr">
        <is>
          <t>2003-11-17</t>
        </is>
      </c>
      <c r="X2086" t="inlineStr">
        <is>
          <t>2003-11-17</t>
        </is>
      </c>
      <c r="Y2086" t="n">
        <v>553</v>
      </c>
      <c r="Z2086" t="n">
        <v>519</v>
      </c>
      <c r="AA2086" t="n">
        <v>538</v>
      </c>
      <c r="AB2086" t="n">
        <v>5</v>
      </c>
      <c r="AC2086" t="n">
        <v>5</v>
      </c>
      <c r="AD2086" t="n">
        <v>7</v>
      </c>
      <c r="AE2086" t="n">
        <v>7</v>
      </c>
      <c r="AF2086" t="n">
        <v>3</v>
      </c>
      <c r="AG2086" t="n">
        <v>3</v>
      </c>
      <c r="AH2086" t="n">
        <v>0</v>
      </c>
      <c r="AI2086" t="n">
        <v>0</v>
      </c>
      <c r="AJ2086" t="n">
        <v>3</v>
      </c>
      <c r="AK2086" t="n">
        <v>3</v>
      </c>
      <c r="AL2086" t="n">
        <v>2</v>
      </c>
      <c r="AM2086" t="n">
        <v>2</v>
      </c>
      <c r="AN2086" t="n">
        <v>0</v>
      </c>
      <c r="AO2086" t="n">
        <v>0</v>
      </c>
      <c r="AP2086" t="inlineStr">
        <is>
          <t>No</t>
        </is>
      </c>
      <c r="AQ2086" t="inlineStr">
        <is>
          <t>Yes</t>
        </is>
      </c>
      <c r="AR2086">
        <f>HYPERLINK("http://catalog.hathitrust.org/Record/009140164","HathiTrust Record")</f>
        <v/>
      </c>
      <c r="AS2086">
        <f>HYPERLINK("https://creighton-primo.hosted.exlibrisgroup.com/primo-explore/search?tab=default_tab&amp;search_scope=EVERYTHING&amp;vid=01CRU&amp;lang=en_US&amp;offset=0&amp;query=any,contains,991004181659702656","Catalog Record")</f>
        <v/>
      </c>
      <c r="AT2086">
        <f>HYPERLINK("http://www.worldcat.org/oclc/46860604","WorldCat Record")</f>
        <v/>
      </c>
      <c r="AU2086" t="inlineStr">
        <is>
          <t>836980438:eng</t>
        </is>
      </c>
      <c r="AV2086" t="inlineStr">
        <is>
          <t>46860604</t>
        </is>
      </c>
      <c r="AW2086" t="inlineStr">
        <is>
          <t>991004181659702656</t>
        </is>
      </c>
      <c r="AX2086" t="inlineStr">
        <is>
          <t>991004181659702656</t>
        </is>
      </c>
      <c r="AY2086" t="inlineStr">
        <is>
          <t>2256364230002656</t>
        </is>
      </c>
      <c r="AZ2086" t="inlineStr">
        <is>
          <t>BOOK</t>
        </is>
      </c>
      <c r="BB2086" t="inlineStr">
        <is>
          <t>9781575665603</t>
        </is>
      </c>
      <c r="BC2086" t="inlineStr">
        <is>
          <t>32285004798970</t>
        </is>
      </c>
      <c r="BD2086" t="inlineStr">
        <is>
          <t>893331292</t>
        </is>
      </c>
    </row>
    <row r="2087">
      <c r="A2087" t="inlineStr">
        <is>
          <t>No</t>
        </is>
      </c>
      <c r="B2087" t="inlineStr">
        <is>
          <t>HQ759.915 .B37 1987</t>
        </is>
      </c>
      <c r="C2087" t="inlineStr">
        <is>
          <t>0                      HQ 0759915B  37          1987</t>
        </is>
      </c>
      <c r="D2087" t="inlineStr">
        <is>
          <t>Single parents in black America : a study in culture and legitimacy / Annie S. Barnes.</t>
        </is>
      </c>
      <c r="F2087" t="inlineStr">
        <is>
          <t>No</t>
        </is>
      </c>
      <c r="G2087" t="inlineStr">
        <is>
          <t>1</t>
        </is>
      </c>
      <c r="H2087" t="inlineStr">
        <is>
          <t>No</t>
        </is>
      </c>
      <c r="I2087" t="inlineStr">
        <is>
          <t>No</t>
        </is>
      </c>
      <c r="J2087" t="inlineStr">
        <is>
          <t>0</t>
        </is>
      </c>
      <c r="K2087" t="inlineStr">
        <is>
          <t>Barnes, Annie S.</t>
        </is>
      </c>
      <c r="L2087" t="inlineStr">
        <is>
          <t>Bristol, Ind. : Wyndham Hall, c1987.</t>
        </is>
      </c>
      <c r="M2087" t="inlineStr">
        <is>
          <t>1987</t>
        </is>
      </c>
      <c r="O2087" t="inlineStr">
        <is>
          <t>eng</t>
        </is>
      </c>
      <c r="P2087" t="inlineStr">
        <is>
          <t>inu</t>
        </is>
      </c>
      <c r="R2087" t="inlineStr">
        <is>
          <t xml:space="preserve">HQ </t>
        </is>
      </c>
      <c r="S2087" t="n">
        <v>10</v>
      </c>
      <c r="T2087" t="n">
        <v>10</v>
      </c>
      <c r="U2087" t="inlineStr">
        <is>
          <t>1997-04-25</t>
        </is>
      </c>
      <c r="V2087" t="inlineStr">
        <is>
          <t>1997-04-25</t>
        </is>
      </c>
      <c r="W2087" t="inlineStr">
        <is>
          <t>1990-04-03</t>
        </is>
      </c>
      <c r="X2087" t="inlineStr">
        <is>
          <t>1990-04-03</t>
        </is>
      </c>
      <c r="Y2087" t="n">
        <v>368</v>
      </c>
      <c r="Z2087" t="n">
        <v>361</v>
      </c>
      <c r="AA2087" t="n">
        <v>367</v>
      </c>
      <c r="AB2087" t="n">
        <v>3</v>
      </c>
      <c r="AC2087" t="n">
        <v>3</v>
      </c>
      <c r="AD2087" t="n">
        <v>12</v>
      </c>
      <c r="AE2087" t="n">
        <v>12</v>
      </c>
      <c r="AF2087" t="n">
        <v>4</v>
      </c>
      <c r="AG2087" t="n">
        <v>4</v>
      </c>
      <c r="AH2087" t="n">
        <v>1</v>
      </c>
      <c r="AI2087" t="n">
        <v>1</v>
      </c>
      <c r="AJ2087" t="n">
        <v>7</v>
      </c>
      <c r="AK2087" t="n">
        <v>7</v>
      </c>
      <c r="AL2087" t="n">
        <v>2</v>
      </c>
      <c r="AM2087" t="n">
        <v>2</v>
      </c>
      <c r="AN2087" t="n">
        <v>0</v>
      </c>
      <c r="AO2087" t="n">
        <v>0</v>
      </c>
      <c r="AP2087" t="inlineStr">
        <is>
          <t>No</t>
        </is>
      </c>
      <c r="AQ2087" t="inlineStr">
        <is>
          <t>Yes</t>
        </is>
      </c>
      <c r="AR2087">
        <f>HYPERLINK("http://catalog.hathitrust.org/Record/002467761","HathiTrust Record")</f>
        <v/>
      </c>
      <c r="AS2087">
        <f>HYPERLINK("https://creighton-primo.hosted.exlibrisgroup.com/primo-explore/search?tab=default_tab&amp;search_scope=EVERYTHING&amp;vid=01CRU&amp;lang=en_US&amp;offset=0&amp;query=any,contains,991001262019702656","Catalog Record")</f>
        <v/>
      </c>
      <c r="AT2087">
        <f>HYPERLINK("http://www.worldcat.org/oclc/17772256","WorldCat Record")</f>
        <v/>
      </c>
      <c r="AU2087" t="inlineStr">
        <is>
          <t>16623920:eng</t>
        </is>
      </c>
      <c r="AV2087" t="inlineStr">
        <is>
          <t>17772256</t>
        </is>
      </c>
      <c r="AW2087" t="inlineStr">
        <is>
          <t>991001262019702656</t>
        </is>
      </c>
      <c r="AX2087" t="inlineStr">
        <is>
          <t>991001262019702656</t>
        </is>
      </c>
      <c r="AY2087" t="inlineStr">
        <is>
          <t>2270527790002656</t>
        </is>
      </c>
      <c r="AZ2087" t="inlineStr">
        <is>
          <t>BOOK</t>
        </is>
      </c>
      <c r="BB2087" t="inlineStr">
        <is>
          <t>9781556050244</t>
        </is>
      </c>
      <c r="BC2087" t="inlineStr">
        <is>
          <t>32285000108307</t>
        </is>
      </c>
      <c r="BD2087" t="inlineStr">
        <is>
          <t>893528833</t>
        </is>
      </c>
    </row>
    <row r="2088">
      <c r="A2088" t="inlineStr">
        <is>
          <t>No</t>
        </is>
      </c>
      <c r="B2088" t="inlineStr">
        <is>
          <t>HQ759.915 .B86 1994</t>
        </is>
      </c>
      <c r="C2088" t="inlineStr">
        <is>
          <t>0                      HQ 0759915B  86          1994</t>
        </is>
      </c>
      <c r="D2088" t="inlineStr">
        <is>
          <t>Mother-headed families and why they have increased / Ailsa Burns, Cath Scott.</t>
        </is>
      </c>
      <c r="F2088" t="inlineStr">
        <is>
          <t>No</t>
        </is>
      </c>
      <c r="G2088" t="inlineStr">
        <is>
          <t>1</t>
        </is>
      </c>
      <c r="H2088" t="inlineStr">
        <is>
          <t>No</t>
        </is>
      </c>
      <c r="I2088" t="inlineStr">
        <is>
          <t>No</t>
        </is>
      </c>
      <c r="J2088" t="inlineStr">
        <is>
          <t>0</t>
        </is>
      </c>
      <c r="K2088" t="inlineStr">
        <is>
          <t>Burns, Ailsa.</t>
        </is>
      </c>
      <c r="L2088" t="inlineStr">
        <is>
          <t>Hillsdale, N.J. : L. Erlbaum, 1994.</t>
        </is>
      </c>
      <c r="M2088" t="inlineStr">
        <is>
          <t>1994</t>
        </is>
      </c>
      <c r="O2088" t="inlineStr">
        <is>
          <t>eng</t>
        </is>
      </c>
      <c r="P2088" t="inlineStr">
        <is>
          <t>nju</t>
        </is>
      </c>
      <c r="R2088" t="inlineStr">
        <is>
          <t xml:space="preserve">HQ </t>
        </is>
      </c>
      <c r="S2088" t="n">
        <v>20</v>
      </c>
      <c r="T2088" t="n">
        <v>20</v>
      </c>
      <c r="U2088" t="inlineStr">
        <is>
          <t>2005-12-04</t>
        </is>
      </c>
      <c r="V2088" t="inlineStr">
        <is>
          <t>2005-12-04</t>
        </is>
      </c>
      <c r="W2088" t="inlineStr">
        <is>
          <t>1995-01-18</t>
        </is>
      </c>
      <c r="X2088" t="inlineStr">
        <is>
          <t>1995-01-18</t>
        </is>
      </c>
      <c r="Y2088" t="n">
        <v>604</v>
      </c>
      <c r="Z2088" t="n">
        <v>511</v>
      </c>
      <c r="AA2088" t="n">
        <v>535</v>
      </c>
      <c r="AB2088" t="n">
        <v>5</v>
      </c>
      <c r="AC2088" t="n">
        <v>5</v>
      </c>
      <c r="AD2088" t="n">
        <v>25</v>
      </c>
      <c r="AE2088" t="n">
        <v>25</v>
      </c>
      <c r="AF2088" t="n">
        <v>8</v>
      </c>
      <c r="AG2088" t="n">
        <v>8</v>
      </c>
      <c r="AH2088" t="n">
        <v>7</v>
      </c>
      <c r="AI2088" t="n">
        <v>7</v>
      </c>
      <c r="AJ2088" t="n">
        <v>13</v>
      </c>
      <c r="AK2088" t="n">
        <v>13</v>
      </c>
      <c r="AL2088" t="n">
        <v>4</v>
      </c>
      <c r="AM2088" t="n">
        <v>4</v>
      </c>
      <c r="AN2088" t="n">
        <v>0</v>
      </c>
      <c r="AO2088" t="n">
        <v>0</v>
      </c>
      <c r="AP2088" t="inlineStr">
        <is>
          <t>No</t>
        </is>
      </c>
      <c r="AQ2088" t="inlineStr">
        <is>
          <t>No</t>
        </is>
      </c>
      <c r="AS2088">
        <f>HYPERLINK("https://creighton-primo.hosted.exlibrisgroup.com/primo-explore/search?tab=default_tab&amp;search_scope=EVERYTHING&amp;vid=01CRU&amp;lang=en_US&amp;offset=0&amp;query=any,contains,991002243559702656","Catalog Record")</f>
        <v/>
      </c>
      <c r="AT2088">
        <f>HYPERLINK("http://www.worldcat.org/oclc/28929158","WorldCat Record")</f>
        <v/>
      </c>
      <c r="AU2088" t="inlineStr">
        <is>
          <t>31332288:eng</t>
        </is>
      </c>
      <c r="AV2088" t="inlineStr">
        <is>
          <t>28929158</t>
        </is>
      </c>
      <c r="AW2088" t="inlineStr">
        <is>
          <t>991002243559702656</t>
        </is>
      </c>
      <c r="AX2088" t="inlineStr">
        <is>
          <t>991002243559702656</t>
        </is>
      </c>
      <c r="AY2088" t="inlineStr">
        <is>
          <t>2270664990002656</t>
        </is>
      </c>
      <c r="AZ2088" t="inlineStr">
        <is>
          <t>BOOK</t>
        </is>
      </c>
      <c r="BB2088" t="inlineStr">
        <is>
          <t>9780805814408</t>
        </is>
      </c>
      <c r="BC2088" t="inlineStr">
        <is>
          <t>32285001993657</t>
        </is>
      </c>
      <c r="BD2088" t="inlineStr">
        <is>
          <t>893427383</t>
        </is>
      </c>
    </row>
    <row r="2089">
      <c r="A2089" t="inlineStr">
        <is>
          <t>No</t>
        </is>
      </c>
      <c r="B2089" t="inlineStr">
        <is>
          <t>HQ759.915 .C37 1985</t>
        </is>
      </c>
      <c r="C2089" t="inlineStr">
        <is>
          <t>0                      HQ 0759915C  37          1985</t>
        </is>
      </c>
      <c r="D2089" t="inlineStr">
        <is>
          <t>Having to--the world of one parent families / E.E. Cashmore.</t>
        </is>
      </c>
      <c r="F2089" t="inlineStr">
        <is>
          <t>No</t>
        </is>
      </c>
      <c r="G2089" t="inlineStr">
        <is>
          <t>1</t>
        </is>
      </c>
      <c r="H2089" t="inlineStr">
        <is>
          <t>No</t>
        </is>
      </c>
      <c r="I2089" t="inlineStr">
        <is>
          <t>No</t>
        </is>
      </c>
      <c r="J2089" t="inlineStr">
        <is>
          <t>0</t>
        </is>
      </c>
      <c r="K2089" t="inlineStr">
        <is>
          <t>Cashmore, Ellis.</t>
        </is>
      </c>
      <c r="L2089" t="inlineStr">
        <is>
          <t>London ; Boston : Allen &amp; Unwin, 1985.</t>
        </is>
      </c>
      <c r="M2089" t="inlineStr">
        <is>
          <t>1985</t>
        </is>
      </c>
      <c r="O2089" t="inlineStr">
        <is>
          <t>eng</t>
        </is>
      </c>
      <c r="P2089" t="inlineStr">
        <is>
          <t>enk</t>
        </is>
      </c>
      <c r="R2089" t="inlineStr">
        <is>
          <t xml:space="preserve">HQ </t>
        </is>
      </c>
      <c r="S2089" t="n">
        <v>11</v>
      </c>
      <c r="T2089" t="n">
        <v>11</v>
      </c>
      <c r="U2089" t="inlineStr">
        <is>
          <t>1999-04-25</t>
        </is>
      </c>
      <c r="V2089" t="inlineStr">
        <is>
          <t>1999-04-25</t>
        </is>
      </c>
      <c r="W2089" t="inlineStr">
        <is>
          <t>1992-06-03</t>
        </is>
      </c>
      <c r="X2089" t="inlineStr">
        <is>
          <t>1992-06-03</t>
        </is>
      </c>
      <c r="Y2089" t="n">
        <v>281</v>
      </c>
      <c r="Z2089" t="n">
        <v>199</v>
      </c>
      <c r="AA2089" t="n">
        <v>230</v>
      </c>
      <c r="AB2089" t="n">
        <v>2</v>
      </c>
      <c r="AC2089" t="n">
        <v>2</v>
      </c>
      <c r="AD2089" t="n">
        <v>5</v>
      </c>
      <c r="AE2089" t="n">
        <v>5</v>
      </c>
      <c r="AF2089" t="n">
        <v>3</v>
      </c>
      <c r="AG2089" t="n">
        <v>3</v>
      </c>
      <c r="AH2089" t="n">
        <v>0</v>
      </c>
      <c r="AI2089" t="n">
        <v>0</v>
      </c>
      <c r="AJ2089" t="n">
        <v>3</v>
      </c>
      <c r="AK2089" t="n">
        <v>3</v>
      </c>
      <c r="AL2089" t="n">
        <v>1</v>
      </c>
      <c r="AM2089" t="n">
        <v>1</v>
      </c>
      <c r="AN2089" t="n">
        <v>0</v>
      </c>
      <c r="AO2089" t="n">
        <v>0</v>
      </c>
      <c r="AP2089" t="inlineStr">
        <is>
          <t>No</t>
        </is>
      </c>
      <c r="AQ2089" t="inlineStr">
        <is>
          <t>No</t>
        </is>
      </c>
      <c r="AS2089">
        <f>HYPERLINK("https://creighton-primo.hosted.exlibrisgroup.com/primo-explore/search?tab=default_tab&amp;search_scope=EVERYTHING&amp;vid=01CRU&amp;lang=en_US&amp;offset=0&amp;query=any,contains,991000631629702656","Catalog Record")</f>
        <v/>
      </c>
      <c r="AT2089">
        <f>HYPERLINK("http://www.worldcat.org/oclc/12052886","WorldCat Record")</f>
        <v/>
      </c>
      <c r="AU2089" t="inlineStr">
        <is>
          <t>4384947:eng</t>
        </is>
      </c>
      <c r="AV2089" t="inlineStr">
        <is>
          <t>12052886</t>
        </is>
      </c>
      <c r="AW2089" t="inlineStr">
        <is>
          <t>991000631629702656</t>
        </is>
      </c>
      <c r="AX2089" t="inlineStr">
        <is>
          <t>991000631629702656</t>
        </is>
      </c>
      <c r="AY2089" t="inlineStr">
        <is>
          <t>2258351740002656</t>
        </is>
      </c>
      <c r="AZ2089" t="inlineStr">
        <is>
          <t>BOOK</t>
        </is>
      </c>
      <c r="BB2089" t="inlineStr">
        <is>
          <t>9780043010990</t>
        </is>
      </c>
      <c r="BC2089" t="inlineStr">
        <is>
          <t>32285001130045</t>
        </is>
      </c>
      <c r="BD2089" t="inlineStr">
        <is>
          <t>893796842</t>
        </is>
      </c>
    </row>
    <row r="2090">
      <c r="A2090" t="inlineStr">
        <is>
          <t>No</t>
        </is>
      </c>
      <c r="B2090" t="inlineStr">
        <is>
          <t>HQ759.915 .G37 1986</t>
        </is>
      </c>
      <c r="C2090" t="inlineStr">
        <is>
          <t>0                      HQ 0759915G  37          1986</t>
        </is>
      </c>
      <c r="D2090" t="inlineStr">
        <is>
          <t>Single mothers and their children : a new American dilemma / Irwin Garfinkel, Sara S. McLanahan.</t>
        </is>
      </c>
      <c r="F2090" t="inlineStr">
        <is>
          <t>No</t>
        </is>
      </c>
      <c r="G2090" t="inlineStr">
        <is>
          <t>1</t>
        </is>
      </c>
      <c r="H2090" t="inlineStr">
        <is>
          <t>No</t>
        </is>
      </c>
      <c r="I2090" t="inlineStr">
        <is>
          <t>No</t>
        </is>
      </c>
      <c r="J2090" t="inlineStr">
        <is>
          <t>0</t>
        </is>
      </c>
      <c r="K2090" t="inlineStr">
        <is>
          <t>Garfinkel, Irwin.</t>
        </is>
      </c>
      <c r="L2090" t="inlineStr">
        <is>
          <t>Washinton, D.C. : Urban Institute Press, c1986.</t>
        </is>
      </c>
      <c r="M2090" t="inlineStr">
        <is>
          <t>1986</t>
        </is>
      </c>
      <c r="O2090" t="inlineStr">
        <is>
          <t>eng</t>
        </is>
      </c>
      <c r="P2090" t="inlineStr">
        <is>
          <t>dcu</t>
        </is>
      </c>
      <c r="Q2090" t="inlineStr">
        <is>
          <t>Changing domestic priorities</t>
        </is>
      </c>
      <c r="R2090" t="inlineStr">
        <is>
          <t xml:space="preserve">HQ </t>
        </is>
      </c>
      <c r="S2090" t="n">
        <v>38</v>
      </c>
      <c r="T2090" t="n">
        <v>38</v>
      </c>
      <c r="U2090" t="inlineStr">
        <is>
          <t>2000-11-29</t>
        </is>
      </c>
      <c r="V2090" t="inlineStr">
        <is>
          <t>2000-11-29</t>
        </is>
      </c>
      <c r="W2090" t="inlineStr">
        <is>
          <t>1990-04-10</t>
        </is>
      </c>
      <c r="X2090" t="inlineStr">
        <is>
          <t>1990-04-10</t>
        </is>
      </c>
      <c r="Y2090" t="n">
        <v>1149</v>
      </c>
      <c r="Z2090" t="n">
        <v>1043</v>
      </c>
      <c r="AA2090" t="n">
        <v>1050</v>
      </c>
      <c r="AB2090" t="n">
        <v>8</v>
      </c>
      <c r="AC2090" t="n">
        <v>8</v>
      </c>
      <c r="AD2090" t="n">
        <v>50</v>
      </c>
      <c r="AE2090" t="n">
        <v>51</v>
      </c>
      <c r="AF2090" t="n">
        <v>21</v>
      </c>
      <c r="AG2090" t="n">
        <v>22</v>
      </c>
      <c r="AH2090" t="n">
        <v>10</v>
      </c>
      <c r="AI2090" t="n">
        <v>10</v>
      </c>
      <c r="AJ2090" t="n">
        <v>19</v>
      </c>
      <c r="AK2090" t="n">
        <v>19</v>
      </c>
      <c r="AL2090" t="n">
        <v>7</v>
      </c>
      <c r="AM2090" t="n">
        <v>7</v>
      </c>
      <c r="AN2090" t="n">
        <v>3</v>
      </c>
      <c r="AO2090" t="n">
        <v>3</v>
      </c>
      <c r="AP2090" t="inlineStr">
        <is>
          <t>No</t>
        </is>
      </c>
      <c r="AQ2090" t="inlineStr">
        <is>
          <t>Yes</t>
        </is>
      </c>
      <c r="AR2090">
        <f>HYPERLINK("http://catalog.hathitrust.org/Record/000493553","HathiTrust Record")</f>
        <v/>
      </c>
      <c r="AS2090">
        <f>HYPERLINK("https://creighton-primo.hosted.exlibrisgroup.com/primo-explore/search?tab=default_tab&amp;search_scope=EVERYTHING&amp;vid=01CRU&amp;lang=en_US&amp;offset=0&amp;query=any,contains,991000926839702656","Catalog Record")</f>
        <v/>
      </c>
      <c r="AT2090">
        <f>HYPERLINK("http://www.worldcat.org/oclc/14240910","WorldCat Record")</f>
        <v/>
      </c>
      <c r="AU2090" t="inlineStr">
        <is>
          <t>905751277:eng</t>
        </is>
      </c>
      <c r="AV2090" t="inlineStr">
        <is>
          <t>14240910</t>
        </is>
      </c>
      <c r="AW2090" t="inlineStr">
        <is>
          <t>991000926839702656</t>
        </is>
      </c>
      <c r="AX2090" t="inlineStr">
        <is>
          <t>991000926839702656</t>
        </is>
      </c>
      <c r="AY2090" t="inlineStr">
        <is>
          <t>2258911890002656</t>
        </is>
      </c>
      <c r="AZ2090" t="inlineStr">
        <is>
          <t>BOOK</t>
        </is>
      </c>
      <c r="BB2090" t="inlineStr">
        <is>
          <t>9780877664055</t>
        </is>
      </c>
      <c r="BC2090" t="inlineStr">
        <is>
          <t>32285000120195</t>
        </is>
      </c>
      <c r="BD2090" t="inlineStr">
        <is>
          <t>893683874</t>
        </is>
      </c>
    </row>
    <row r="2091">
      <c r="A2091" t="inlineStr">
        <is>
          <t>No</t>
        </is>
      </c>
      <c r="B2091" t="inlineStr">
        <is>
          <t>HQ759.915 .G56 2003</t>
        </is>
      </c>
      <c r="C2091" t="inlineStr">
        <is>
          <t>0                      HQ 0759915G  56          2003</t>
        </is>
      </c>
      <c r="D2091" t="inlineStr">
        <is>
          <t>Monkey dancing : a father, two kids, and a journey to the end of the Earth / Daniel Glick.</t>
        </is>
      </c>
      <c r="F2091" t="inlineStr">
        <is>
          <t>No</t>
        </is>
      </c>
      <c r="G2091" t="inlineStr">
        <is>
          <t>1</t>
        </is>
      </c>
      <c r="H2091" t="inlineStr">
        <is>
          <t>No</t>
        </is>
      </c>
      <c r="I2091" t="inlineStr">
        <is>
          <t>No</t>
        </is>
      </c>
      <c r="J2091" t="inlineStr">
        <is>
          <t>0</t>
        </is>
      </c>
      <c r="K2091" t="inlineStr">
        <is>
          <t>Glick, Daniel.</t>
        </is>
      </c>
      <c r="L2091" t="inlineStr">
        <is>
          <t>New York : Public Affairs, c2003.</t>
        </is>
      </c>
      <c r="M2091" t="inlineStr">
        <is>
          <t>2003</t>
        </is>
      </c>
      <c r="N2091" t="inlineStr">
        <is>
          <t>1st ed.</t>
        </is>
      </c>
      <c r="O2091" t="inlineStr">
        <is>
          <t>eng</t>
        </is>
      </c>
      <c r="P2091" t="inlineStr">
        <is>
          <t>nyu</t>
        </is>
      </c>
      <c r="R2091" t="inlineStr">
        <is>
          <t xml:space="preserve">HQ </t>
        </is>
      </c>
      <c r="S2091" t="n">
        <v>1</v>
      </c>
      <c r="T2091" t="n">
        <v>1</v>
      </c>
      <c r="U2091" t="inlineStr">
        <is>
          <t>2003-07-16</t>
        </is>
      </c>
      <c r="V2091" t="inlineStr">
        <is>
          <t>2003-07-16</t>
        </is>
      </c>
      <c r="W2091" t="inlineStr">
        <is>
          <t>2003-07-16</t>
        </is>
      </c>
      <c r="X2091" t="inlineStr">
        <is>
          <t>2003-07-16</t>
        </is>
      </c>
      <c r="Y2091" t="n">
        <v>382</v>
      </c>
      <c r="Z2091" t="n">
        <v>360</v>
      </c>
      <c r="AA2091" t="n">
        <v>405</v>
      </c>
      <c r="AB2091" t="n">
        <v>2</v>
      </c>
      <c r="AC2091" t="n">
        <v>2</v>
      </c>
      <c r="AD2091" t="n">
        <v>4</v>
      </c>
      <c r="AE2091" t="n">
        <v>4</v>
      </c>
      <c r="AF2091" t="n">
        <v>2</v>
      </c>
      <c r="AG2091" t="n">
        <v>2</v>
      </c>
      <c r="AH2091" t="n">
        <v>0</v>
      </c>
      <c r="AI2091" t="n">
        <v>0</v>
      </c>
      <c r="AJ2091" t="n">
        <v>2</v>
      </c>
      <c r="AK2091" t="n">
        <v>2</v>
      </c>
      <c r="AL2091" t="n">
        <v>0</v>
      </c>
      <c r="AM2091" t="n">
        <v>0</v>
      </c>
      <c r="AN2091" t="n">
        <v>0</v>
      </c>
      <c r="AO2091" t="n">
        <v>0</v>
      </c>
      <c r="AP2091" t="inlineStr">
        <is>
          <t>No</t>
        </is>
      </c>
      <c r="AQ2091" t="inlineStr">
        <is>
          <t>No</t>
        </is>
      </c>
      <c r="AS2091">
        <f>HYPERLINK("https://creighton-primo.hosted.exlibrisgroup.com/primo-explore/search?tab=default_tab&amp;search_scope=EVERYTHING&amp;vid=01CRU&amp;lang=en_US&amp;offset=0&amp;query=any,contains,991004077309702656","Catalog Record")</f>
        <v/>
      </c>
      <c r="AT2091">
        <f>HYPERLINK("http://www.worldcat.org/oclc/51059294","WorldCat Record")</f>
        <v/>
      </c>
      <c r="AU2091" t="inlineStr">
        <is>
          <t>875416556:eng</t>
        </is>
      </c>
      <c r="AV2091" t="inlineStr">
        <is>
          <t>51059294</t>
        </is>
      </c>
      <c r="AW2091" t="inlineStr">
        <is>
          <t>991004077309702656</t>
        </is>
      </c>
      <c r="AX2091" t="inlineStr">
        <is>
          <t>991004077309702656</t>
        </is>
      </c>
      <c r="AY2091" t="inlineStr">
        <is>
          <t>2264804190002656</t>
        </is>
      </c>
      <c r="AZ2091" t="inlineStr">
        <is>
          <t>BOOK</t>
        </is>
      </c>
      <c r="BB2091" t="inlineStr">
        <is>
          <t>9781586481544</t>
        </is>
      </c>
      <c r="BC2091" t="inlineStr">
        <is>
          <t>32285004756432</t>
        </is>
      </c>
      <c r="BD2091" t="inlineStr">
        <is>
          <t>893894537</t>
        </is>
      </c>
    </row>
    <row r="2092">
      <c r="A2092" t="inlineStr">
        <is>
          <t>No</t>
        </is>
      </c>
      <c r="B2092" t="inlineStr">
        <is>
          <t>HQ759.915 .G7 1985</t>
        </is>
      </c>
      <c r="C2092" t="inlineStr">
        <is>
          <t>0                      HQ 0759915G  7           1985</t>
        </is>
      </c>
      <c r="D2092" t="inlineStr">
        <is>
          <t>Single fathers / Geoffrey L. Greif.</t>
        </is>
      </c>
      <c r="F2092" t="inlineStr">
        <is>
          <t>No</t>
        </is>
      </c>
      <c r="G2092" t="inlineStr">
        <is>
          <t>1</t>
        </is>
      </c>
      <c r="H2092" t="inlineStr">
        <is>
          <t>No</t>
        </is>
      </c>
      <c r="I2092" t="inlineStr">
        <is>
          <t>No</t>
        </is>
      </c>
      <c r="J2092" t="inlineStr">
        <is>
          <t>0</t>
        </is>
      </c>
      <c r="K2092" t="inlineStr">
        <is>
          <t>Greif, Geoffrey L.</t>
        </is>
      </c>
      <c r="L2092" t="inlineStr">
        <is>
          <t>Lexington, Mass. : Lexington Books, c1985.</t>
        </is>
      </c>
      <c r="M2092" t="inlineStr">
        <is>
          <t>1985</t>
        </is>
      </c>
      <c r="O2092" t="inlineStr">
        <is>
          <t>eng</t>
        </is>
      </c>
      <c r="P2092" t="inlineStr">
        <is>
          <t>mau</t>
        </is>
      </c>
      <c r="R2092" t="inlineStr">
        <is>
          <t xml:space="preserve">HQ </t>
        </is>
      </c>
      <c r="S2092" t="n">
        <v>21</v>
      </c>
      <c r="T2092" t="n">
        <v>21</v>
      </c>
      <c r="U2092" t="inlineStr">
        <is>
          <t>2008-03-11</t>
        </is>
      </c>
      <c r="V2092" t="inlineStr">
        <is>
          <t>2008-03-11</t>
        </is>
      </c>
      <c r="W2092" t="inlineStr">
        <is>
          <t>1990-04-20</t>
        </is>
      </c>
      <c r="X2092" t="inlineStr">
        <is>
          <t>1990-04-20</t>
        </is>
      </c>
      <c r="Y2092" t="n">
        <v>929</v>
      </c>
      <c r="Z2092" t="n">
        <v>821</v>
      </c>
      <c r="AA2092" t="n">
        <v>828</v>
      </c>
      <c r="AB2092" t="n">
        <v>8</v>
      </c>
      <c r="AC2092" t="n">
        <v>8</v>
      </c>
      <c r="AD2092" t="n">
        <v>29</v>
      </c>
      <c r="AE2092" t="n">
        <v>29</v>
      </c>
      <c r="AF2092" t="n">
        <v>10</v>
      </c>
      <c r="AG2092" t="n">
        <v>10</v>
      </c>
      <c r="AH2092" t="n">
        <v>5</v>
      </c>
      <c r="AI2092" t="n">
        <v>5</v>
      </c>
      <c r="AJ2092" t="n">
        <v>12</v>
      </c>
      <c r="AK2092" t="n">
        <v>12</v>
      </c>
      <c r="AL2092" t="n">
        <v>6</v>
      </c>
      <c r="AM2092" t="n">
        <v>6</v>
      </c>
      <c r="AN2092" t="n">
        <v>0</v>
      </c>
      <c r="AO2092" t="n">
        <v>0</v>
      </c>
      <c r="AP2092" t="inlineStr">
        <is>
          <t>No</t>
        </is>
      </c>
      <c r="AQ2092" t="inlineStr">
        <is>
          <t>Yes</t>
        </is>
      </c>
      <c r="AR2092">
        <f>HYPERLINK("http://catalog.hathitrust.org/Record/000413890","HathiTrust Record")</f>
        <v/>
      </c>
      <c r="AS2092">
        <f>HYPERLINK("https://creighton-primo.hosted.exlibrisgroup.com/primo-explore/search?tab=default_tab&amp;search_scope=EVERYTHING&amp;vid=01CRU&amp;lang=en_US&amp;offset=0&amp;query=any,contains,991000551129702656","Catalog Record")</f>
        <v/>
      </c>
      <c r="AT2092">
        <f>HYPERLINK("http://www.worldcat.org/oclc/11533238","WorldCat Record")</f>
        <v/>
      </c>
      <c r="AU2092" t="inlineStr">
        <is>
          <t>4160019:eng</t>
        </is>
      </c>
      <c r="AV2092" t="inlineStr">
        <is>
          <t>11533238</t>
        </is>
      </c>
      <c r="AW2092" t="inlineStr">
        <is>
          <t>991000551129702656</t>
        </is>
      </c>
      <c r="AX2092" t="inlineStr">
        <is>
          <t>991000551129702656</t>
        </is>
      </c>
      <c r="AY2092" t="inlineStr">
        <is>
          <t>2258295100002656</t>
        </is>
      </c>
      <c r="AZ2092" t="inlineStr">
        <is>
          <t>BOOK</t>
        </is>
      </c>
      <c r="BB2092" t="inlineStr">
        <is>
          <t>9780669095951</t>
        </is>
      </c>
      <c r="BC2092" t="inlineStr">
        <is>
          <t>32285000124163</t>
        </is>
      </c>
      <c r="BD2092" t="inlineStr">
        <is>
          <t>893796766</t>
        </is>
      </c>
    </row>
    <row r="2093">
      <c r="A2093" t="inlineStr">
        <is>
          <t>No</t>
        </is>
      </c>
      <c r="B2093" t="inlineStr">
        <is>
          <t>HQ759.915 .J84 2006</t>
        </is>
      </c>
      <c r="C2093" t="inlineStr">
        <is>
          <t>0                      HQ 0759915J  84          2006</t>
        </is>
      </c>
      <c r="D2093" t="inlineStr">
        <is>
          <t>Single mother : the emergence of the domestic intellectual / Jane Juffer.</t>
        </is>
      </c>
      <c r="F2093" t="inlineStr">
        <is>
          <t>No</t>
        </is>
      </c>
      <c r="G2093" t="inlineStr">
        <is>
          <t>1</t>
        </is>
      </c>
      <c r="H2093" t="inlineStr">
        <is>
          <t>No</t>
        </is>
      </c>
      <c r="I2093" t="inlineStr">
        <is>
          <t>No</t>
        </is>
      </c>
      <c r="J2093" t="inlineStr">
        <is>
          <t>0</t>
        </is>
      </c>
      <c r="K2093" t="inlineStr">
        <is>
          <t>Juffer, Jane, 1962-</t>
        </is>
      </c>
      <c r="L2093" t="inlineStr">
        <is>
          <t>New York : New York University Press, c2006.</t>
        </is>
      </c>
      <c r="M2093" t="inlineStr">
        <is>
          <t>2006</t>
        </is>
      </c>
      <c r="O2093" t="inlineStr">
        <is>
          <t>eng</t>
        </is>
      </c>
      <c r="P2093" t="inlineStr">
        <is>
          <t>nyu</t>
        </is>
      </c>
      <c r="R2093" t="inlineStr">
        <is>
          <t xml:space="preserve">HQ </t>
        </is>
      </c>
      <c r="S2093" t="n">
        <v>1</v>
      </c>
      <c r="T2093" t="n">
        <v>1</v>
      </c>
      <c r="U2093" t="inlineStr">
        <is>
          <t>2006-07-13</t>
        </is>
      </c>
      <c r="V2093" t="inlineStr">
        <is>
          <t>2006-07-13</t>
        </is>
      </c>
      <c r="W2093" t="inlineStr">
        <is>
          <t>2006-07-13</t>
        </is>
      </c>
      <c r="X2093" t="inlineStr">
        <is>
          <t>2006-07-13</t>
        </is>
      </c>
      <c r="Y2093" t="n">
        <v>665</v>
      </c>
      <c r="Z2093" t="n">
        <v>591</v>
      </c>
      <c r="AA2093" t="n">
        <v>1002</v>
      </c>
      <c r="AB2093" t="n">
        <v>1</v>
      </c>
      <c r="AC2093" t="n">
        <v>12</v>
      </c>
      <c r="AD2093" t="n">
        <v>23</v>
      </c>
      <c r="AE2093" t="n">
        <v>41</v>
      </c>
      <c r="AF2093" t="n">
        <v>9</v>
      </c>
      <c r="AG2093" t="n">
        <v>12</v>
      </c>
      <c r="AH2093" t="n">
        <v>7</v>
      </c>
      <c r="AI2093" t="n">
        <v>9</v>
      </c>
      <c r="AJ2093" t="n">
        <v>11</v>
      </c>
      <c r="AK2093" t="n">
        <v>15</v>
      </c>
      <c r="AL2093" t="n">
        <v>0</v>
      </c>
      <c r="AM2093" t="n">
        <v>10</v>
      </c>
      <c r="AN2093" t="n">
        <v>0</v>
      </c>
      <c r="AO2093" t="n">
        <v>1</v>
      </c>
      <c r="AP2093" t="inlineStr">
        <is>
          <t>No</t>
        </is>
      </c>
      <c r="AQ2093" t="inlineStr">
        <is>
          <t>No</t>
        </is>
      </c>
      <c r="AS2093">
        <f>HYPERLINK("https://creighton-primo.hosted.exlibrisgroup.com/primo-explore/search?tab=default_tab&amp;search_scope=EVERYTHING&amp;vid=01CRU&amp;lang=en_US&amp;offset=0&amp;query=any,contains,991004840819702656","Catalog Record")</f>
        <v/>
      </c>
      <c r="AT2093">
        <f>HYPERLINK("http://www.worldcat.org/oclc/61859839","WorldCat Record")</f>
        <v/>
      </c>
      <c r="AU2093" t="inlineStr">
        <is>
          <t>197218834:eng</t>
        </is>
      </c>
      <c r="AV2093" t="inlineStr">
        <is>
          <t>61859839</t>
        </is>
      </c>
      <c r="AW2093" t="inlineStr">
        <is>
          <t>991004840819702656</t>
        </is>
      </c>
      <c r="AX2093" t="inlineStr">
        <is>
          <t>991004840819702656</t>
        </is>
      </c>
      <c r="AY2093" t="inlineStr">
        <is>
          <t>2270270060002656</t>
        </is>
      </c>
      <c r="AZ2093" t="inlineStr">
        <is>
          <t>BOOK</t>
        </is>
      </c>
      <c r="BB2093" t="inlineStr">
        <is>
          <t>9780814742792</t>
        </is>
      </c>
      <c r="BC2093" t="inlineStr">
        <is>
          <t>32285005194765</t>
        </is>
      </c>
      <c r="BD2093" t="inlineStr">
        <is>
          <t>893229901</t>
        </is>
      </c>
    </row>
    <row r="2094">
      <c r="A2094" t="inlineStr">
        <is>
          <t>No</t>
        </is>
      </c>
      <c r="B2094" t="inlineStr">
        <is>
          <t>HQ759.915 .K56 1999</t>
        </is>
      </c>
      <c r="C2094" t="inlineStr">
        <is>
          <t>0                      HQ 0759915K  56          1999</t>
        </is>
      </c>
      <c r="D2094" t="inlineStr">
        <is>
          <t>Single parents : a reference handbook / Karen L. Kinnear.</t>
        </is>
      </c>
      <c r="F2094" t="inlineStr">
        <is>
          <t>No</t>
        </is>
      </c>
      <c r="G2094" t="inlineStr">
        <is>
          <t>1</t>
        </is>
      </c>
      <c r="H2094" t="inlineStr">
        <is>
          <t>No</t>
        </is>
      </c>
      <c r="I2094" t="inlineStr">
        <is>
          <t>No</t>
        </is>
      </c>
      <c r="J2094" t="inlineStr">
        <is>
          <t>0</t>
        </is>
      </c>
      <c r="K2094" t="inlineStr">
        <is>
          <t>Kinnear, Karen L.</t>
        </is>
      </c>
      <c r="L2094" t="inlineStr">
        <is>
          <t>Santa Barbara, Calif. : ABC-CLIO, 1999.</t>
        </is>
      </c>
      <c r="M2094" t="inlineStr">
        <is>
          <t>1999</t>
        </is>
      </c>
      <c r="O2094" t="inlineStr">
        <is>
          <t>eng</t>
        </is>
      </c>
      <c r="P2094" t="inlineStr">
        <is>
          <t>cau</t>
        </is>
      </c>
      <c r="Q2094" t="inlineStr">
        <is>
          <t>Contemporary world issues</t>
        </is>
      </c>
      <c r="R2094" t="inlineStr">
        <is>
          <t xml:space="preserve">HQ </t>
        </is>
      </c>
      <c r="S2094" t="n">
        <v>6</v>
      </c>
      <c r="T2094" t="n">
        <v>6</v>
      </c>
      <c r="U2094" t="inlineStr">
        <is>
          <t>2008-03-11</t>
        </is>
      </c>
      <c r="V2094" t="inlineStr">
        <is>
          <t>2008-03-11</t>
        </is>
      </c>
      <c r="W2094" t="inlineStr">
        <is>
          <t>1999-04-08</t>
        </is>
      </c>
      <c r="X2094" t="inlineStr">
        <is>
          <t>1999-04-08</t>
        </is>
      </c>
      <c r="Y2094" t="n">
        <v>652</v>
      </c>
      <c r="Z2094" t="n">
        <v>616</v>
      </c>
      <c r="AA2094" t="n">
        <v>1475</v>
      </c>
      <c r="AB2094" t="n">
        <v>6</v>
      </c>
      <c r="AC2094" t="n">
        <v>10</v>
      </c>
      <c r="AD2094" t="n">
        <v>16</v>
      </c>
      <c r="AE2094" t="n">
        <v>31</v>
      </c>
      <c r="AF2094" t="n">
        <v>3</v>
      </c>
      <c r="AG2094" t="n">
        <v>11</v>
      </c>
      <c r="AH2094" t="n">
        <v>3</v>
      </c>
      <c r="AI2094" t="n">
        <v>5</v>
      </c>
      <c r="AJ2094" t="n">
        <v>9</v>
      </c>
      <c r="AK2094" t="n">
        <v>15</v>
      </c>
      <c r="AL2094" t="n">
        <v>4</v>
      </c>
      <c r="AM2094" t="n">
        <v>7</v>
      </c>
      <c r="AN2094" t="n">
        <v>0</v>
      </c>
      <c r="AO2094" t="n">
        <v>0</v>
      </c>
      <c r="AP2094" t="inlineStr">
        <is>
          <t>No</t>
        </is>
      </c>
      <c r="AQ2094" t="inlineStr">
        <is>
          <t>Yes</t>
        </is>
      </c>
      <c r="AR2094">
        <f>HYPERLINK("http://catalog.hathitrust.org/Record/004035780","HathiTrust Record")</f>
        <v/>
      </c>
      <c r="AS2094">
        <f>HYPERLINK("https://creighton-primo.hosted.exlibrisgroup.com/primo-explore/search?tab=default_tab&amp;search_scope=EVERYTHING&amp;vid=01CRU&amp;lang=en_US&amp;offset=0&amp;query=any,contains,991002985689702656","Catalog Record")</f>
        <v/>
      </c>
      <c r="AT2094">
        <f>HYPERLINK("http://www.worldcat.org/oclc/40126810","WorldCat Record")</f>
        <v/>
      </c>
      <c r="AU2094" t="inlineStr">
        <is>
          <t>1054166:eng</t>
        </is>
      </c>
      <c r="AV2094" t="inlineStr">
        <is>
          <t>40126810</t>
        </is>
      </c>
      <c r="AW2094" t="inlineStr">
        <is>
          <t>991002985689702656</t>
        </is>
      </c>
      <c r="AX2094" t="inlineStr">
        <is>
          <t>991002985689702656</t>
        </is>
      </c>
      <c r="AY2094" t="inlineStr">
        <is>
          <t>2266600920002656</t>
        </is>
      </c>
      <c r="AZ2094" t="inlineStr">
        <is>
          <t>BOOK</t>
        </is>
      </c>
      <c r="BB2094" t="inlineStr">
        <is>
          <t>9781576070338</t>
        </is>
      </c>
      <c r="BC2094" t="inlineStr">
        <is>
          <t>32285003550075</t>
        </is>
      </c>
      <c r="BD2094" t="inlineStr">
        <is>
          <t>893251874</t>
        </is>
      </c>
    </row>
    <row r="2095">
      <c r="A2095" t="inlineStr">
        <is>
          <t>No</t>
        </is>
      </c>
      <c r="B2095" t="inlineStr">
        <is>
          <t>HQ759.915 .L64 1991</t>
        </is>
      </c>
      <c r="C2095" t="inlineStr">
        <is>
          <t>0                      HQ 0759915L  64          1991</t>
        </is>
      </c>
      <c r="D2095" t="inlineStr">
        <is>
          <t>Lone parenthood : coping with constraints and making opportunities in single-parent families / edited by Michael Hardey and Graham Crow.</t>
        </is>
      </c>
      <c r="F2095" t="inlineStr">
        <is>
          <t>No</t>
        </is>
      </c>
      <c r="G2095" t="inlineStr">
        <is>
          <t>1</t>
        </is>
      </c>
      <c r="H2095" t="inlineStr">
        <is>
          <t>No</t>
        </is>
      </c>
      <c r="I2095" t="inlineStr">
        <is>
          <t>No</t>
        </is>
      </c>
      <c r="J2095" t="inlineStr">
        <is>
          <t>0</t>
        </is>
      </c>
      <c r="L2095" t="inlineStr">
        <is>
          <t>Toronto : University of Toronto Press, 1991.</t>
        </is>
      </c>
      <c r="M2095" t="inlineStr">
        <is>
          <t>1991</t>
        </is>
      </c>
      <c r="O2095" t="inlineStr">
        <is>
          <t>eng</t>
        </is>
      </c>
      <c r="P2095" t="inlineStr">
        <is>
          <t>onc</t>
        </is>
      </c>
      <c r="R2095" t="inlineStr">
        <is>
          <t xml:space="preserve">HQ </t>
        </is>
      </c>
      <c r="S2095" t="n">
        <v>36</v>
      </c>
      <c r="T2095" t="n">
        <v>36</v>
      </c>
      <c r="U2095" t="inlineStr">
        <is>
          <t>2000-11-29</t>
        </is>
      </c>
      <c r="V2095" t="inlineStr">
        <is>
          <t>2000-11-29</t>
        </is>
      </c>
      <c r="W2095" t="inlineStr">
        <is>
          <t>1992-09-09</t>
        </is>
      </c>
      <c r="X2095" t="inlineStr">
        <is>
          <t>1992-09-09</t>
        </is>
      </c>
      <c r="Y2095" t="n">
        <v>228</v>
      </c>
      <c r="Z2095" t="n">
        <v>157</v>
      </c>
      <c r="AA2095" t="n">
        <v>182</v>
      </c>
      <c r="AB2095" t="n">
        <v>2</v>
      </c>
      <c r="AC2095" t="n">
        <v>2</v>
      </c>
      <c r="AD2095" t="n">
        <v>11</v>
      </c>
      <c r="AE2095" t="n">
        <v>11</v>
      </c>
      <c r="AF2095" t="n">
        <v>3</v>
      </c>
      <c r="AG2095" t="n">
        <v>3</v>
      </c>
      <c r="AH2095" t="n">
        <v>4</v>
      </c>
      <c r="AI2095" t="n">
        <v>4</v>
      </c>
      <c r="AJ2095" t="n">
        <v>5</v>
      </c>
      <c r="AK2095" t="n">
        <v>5</v>
      </c>
      <c r="AL2095" t="n">
        <v>1</v>
      </c>
      <c r="AM2095" t="n">
        <v>1</v>
      </c>
      <c r="AN2095" t="n">
        <v>2</v>
      </c>
      <c r="AO2095" t="n">
        <v>2</v>
      </c>
      <c r="AP2095" t="inlineStr">
        <is>
          <t>No</t>
        </is>
      </c>
      <c r="AQ2095" t="inlineStr">
        <is>
          <t>Yes</t>
        </is>
      </c>
      <c r="AR2095">
        <f>HYPERLINK("http://catalog.hathitrust.org/Record/002525507","HathiTrust Record")</f>
        <v/>
      </c>
      <c r="AS2095">
        <f>HYPERLINK("https://creighton-primo.hosted.exlibrisgroup.com/primo-explore/search?tab=default_tab&amp;search_scope=EVERYTHING&amp;vid=01CRU&amp;lang=en_US&amp;offset=0&amp;query=any,contains,991001930969702656","Catalog Record")</f>
        <v/>
      </c>
      <c r="AT2095">
        <f>HYPERLINK("http://www.worldcat.org/oclc/28150701","WorldCat Record")</f>
        <v/>
      </c>
      <c r="AU2095" t="inlineStr">
        <is>
          <t>836725350:eng</t>
        </is>
      </c>
      <c r="AV2095" t="inlineStr">
        <is>
          <t>28150701</t>
        </is>
      </c>
      <c r="AW2095" t="inlineStr">
        <is>
          <t>991001930969702656</t>
        </is>
      </c>
      <c r="AX2095" t="inlineStr">
        <is>
          <t>991001930969702656</t>
        </is>
      </c>
      <c r="AY2095" t="inlineStr">
        <is>
          <t>2265694520002656</t>
        </is>
      </c>
      <c r="AZ2095" t="inlineStr">
        <is>
          <t>BOOK</t>
        </is>
      </c>
      <c r="BB2095" t="inlineStr">
        <is>
          <t>9780802028242</t>
        </is>
      </c>
      <c r="BC2095" t="inlineStr">
        <is>
          <t>32285001286680</t>
        </is>
      </c>
      <c r="BD2095" t="inlineStr">
        <is>
          <t>893709662</t>
        </is>
      </c>
    </row>
    <row r="2096">
      <c r="A2096" t="inlineStr">
        <is>
          <t>No</t>
        </is>
      </c>
      <c r="B2096" t="inlineStr">
        <is>
          <t>HQ759.915 .M37 1986</t>
        </is>
      </c>
      <c r="C2096" t="inlineStr">
        <is>
          <t>0                      HQ 0759915M  37          1986</t>
        </is>
      </c>
      <c r="D2096" t="inlineStr">
        <is>
          <t>Sex and the single parent : how you can have happy and healthy kids--and an active social life / Mary Mattis.</t>
        </is>
      </c>
      <c r="F2096" t="inlineStr">
        <is>
          <t>No</t>
        </is>
      </c>
      <c r="G2096" t="inlineStr">
        <is>
          <t>1</t>
        </is>
      </c>
      <c r="H2096" t="inlineStr">
        <is>
          <t>No</t>
        </is>
      </c>
      <c r="I2096" t="inlineStr">
        <is>
          <t>No</t>
        </is>
      </c>
      <c r="J2096" t="inlineStr">
        <is>
          <t>0</t>
        </is>
      </c>
      <c r="K2096" t="inlineStr">
        <is>
          <t>Mattis, Mary.</t>
        </is>
      </c>
      <c r="L2096" t="inlineStr">
        <is>
          <t>New York : H. Holt, c1986.</t>
        </is>
      </c>
      <c r="M2096" t="inlineStr">
        <is>
          <t>1986</t>
        </is>
      </c>
      <c r="N2096" t="inlineStr">
        <is>
          <t>1st ed.</t>
        </is>
      </c>
      <c r="O2096" t="inlineStr">
        <is>
          <t>eng</t>
        </is>
      </c>
      <c r="P2096" t="inlineStr">
        <is>
          <t>nyu</t>
        </is>
      </c>
      <c r="R2096" t="inlineStr">
        <is>
          <t xml:space="preserve">HQ </t>
        </is>
      </c>
      <c r="S2096" t="n">
        <v>9</v>
      </c>
      <c r="T2096" t="n">
        <v>9</v>
      </c>
      <c r="U2096" t="inlineStr">
        <is>
          <t>2002-12-11</t>
        </is>
      </c>
      <c r="V2096" t="inlineStr">
        <is>
          <t>2002-12-11</t>
        </is>
      </c>
      <c r="W2096" t="inlineStr">
        <is>
          <t>1992-11-09</t>
        </is>
      </c>
      <c r="X2096" t="inlineStr">
        <is>
          <t>1992-11-09</t>
        </is>
      </c>
      <c r="Y2096" t="n">
        <v>220</v>
      </c>
      <c r="Z2096" t="n">
        <v>208</v>
      </c>
      <c r="AA2096" t="n">
        <v>215</v>
      </c>
      <c r="AB2096" t="n">
        <v>1</v>
      </c>
      <c r="AC2096" t="n">
        <v>1</v>
      </c>
      <c r="AD2096" t="n">
        <v>0</v>
      </c>
      <c r="AE2096" t="n">
        <v>0</v>
      </c>
      <c r="AF2096" t="n">
        <v>0</v>
      </c>
      <c r="AG2096" t="n">
        <v>0</v>
      </c>
      <c r="AH2096" t="n">
        <v>0</v>
      </c>
      <c r="AI2096" t="n">
        <v>0</v>
      </c>
      <c r="AJ2096" t="n">
        <v>0</v>
      </c>
      <c r="AK2096" t="n">
        <v>0</v>
      </c>
      <c r="AL2096" t="n">
        <v>0</v>
      </c>
      <c r="AM2096" t="n">
        <v>0</v>
      </c>
      <c r="AN2096" t="n">
        <v>0</v>
      </c>
      <c r="AO2096" t="n">
        <v>0</v>
      </c>
      <c r="AP2096" t="inlineStr">
        <is>
          <t>No</t>
        </is>
      </c>
      <c r="AQ2096" t="inlineStr">
        <is>
          <t>Yes</t>
        </is>
      </c>
      <c r="AR2096">
        <f>HYPERLINK("http://catalog.hathitrust.org/Record/012264800","HathiTrust Record")</f>
        <v/>
      </c>
      <c r="AS2096">
        <f>HYPERLINK("https://creighton-primo.hosted.exlibrisgroup.com/primo-explore/search?tab=default_tab&amp;search_scope=EVERYTHING&amp;vid=01CRU&amp;lang=en_US&amp;offset=0&amp;query=any,contains,991000647379702656","Catalog Record")</f>
        <v/>
      </c>
      <c r="AT2096">
        <f>HYPERLINK("http://www.worldcat.org/oclc/12135318","WorldCat Record")</f>
        <v/>
      </c>
      <c r="AU2096" t="inlineStr">
        <is>
          <t>221964762:eng</t>
        </is>
      </c>
      <c r="AV2096" t="inlineStr">
        <is>
          <t>12135318</t>
        </is>
      </c>
      <c r="AW2096" t="inlineStr">
        <is>
          <t>991000647379702656</t>
        </is>
      </c>
      <c r="AX2096" t="inlineStr">
        <is>
          <t>991000647379702656</t>
        </is>
      </c>
      <c r="AY2096" t="inlineStr">
        <is>
          <t>2259978420002656</t>
        </is>
      </c>
      <c r="AZ2096" t="inlineStr">
        <is>
          <t>BOOK</t>
        </is>
      </c>
      <c r="BB2096" t="inlineStr">
        <is>
          <t>9780030704888</t>
        </is>
      </c>
      <c r="BC2096" t="inlineStr">
        <is>
          <t>32285001395051</t>
        </is>
      </c>
      <c r="BD2096" t="inlineStr">
        <is>
          <t>893626385</t>
        </is>
      </c>
    </row>
    <row r="2097">
      <c r="A2097" t="inlineStr">
        <is>
          <t>No</t>
        </is>
      </c>
      <c r="B2097" t="inlineStr">
        <is>
          <t>HQ759.915 .M55 1992</t>
        </is>
      </c>
      <c r="C2097" t="inlineStr">
        <is>
          <t>0                      HQ 0759915M  55          1992</t>
        </is>
      </c>
      <c r="D2097" t="inlineStr">
        <is>
          <t>Single parents by choice : a growing trend in family life / Naomi Miller.</t>
        </is>
      </c>
      <c r="F2097" t="inlineStr">
        <is>
          <t>No</t>
        </is>
      </c>
      <c r="G2097" t="inlineStr">
        <is>
          <t>1</t>
        </is>
      </c>
      <c r="H2097" t="inlineStr">
        <is>
          <t>No</t>
        </is>
      </c>
      <c r="I2097" t="inlineStr">
        <is>
          <t>No</t>
        </is>
      </c>
      <c r="J2097" t="inlineStr">
        <is>
          <t>0</t>
        </is>
      </c>
      <c r="K2097" t="inlineStr">
        <is>
          <t>Miller, Naomi.</t>
        </is>
      </c>
      <c r="L2097" t="inlineStr">
        <is>
          <t>New York : Insight Books, c1992.</t>
        </is>
      </c>
      <c r="M2097" t="inlineStr">
        <is>
          <t>1992</t>
        </is>
      </c>
      <c r="O2097" t="inlineStr">
        <is>
          <t>eng</t>
        </is>
      </c>
      <c r="P2097" t="inlineStr">
        <is>
          <t>nyu</t>
        </is>
      </c>
      <c r="R2097" t="inlineStr">
        <is>
          <t xml:space="preserve">HQ </t>
        </is>
      </c>
      <c r="S2097" t="n">
        <v>43</v>
      </c>
      <c r="T2097" t="n">
        <v>43</v>
      </c>
      <c r="U2097" t="inlineStr">
        <is>
          <t>2009-12-07</t>
        </is>
      </c>
      <c r="V2097" t="inlineStr">
        <is>
          <t>2009-12-07</t>
        </is>
      </c>
      <c r="W2097" t="inlineStr">
        <is>
          <t>1993-09-14</t>
        </is>
      </c>
      <c r="X2097" t="inlineStr">
        <is>
          <t>1993-09-14</t>
        </is>
      </c>
      <c r="Y2097" t="n">
        <v>796</v>
      </c>
      <c r="Z2097" t="n">
        <v>695</v>
      </c>
      <c r="AA2097" t="n">
        <v>698</v>
      </c>
      <c r="AB2097" t="n">
        <v>7</v>
      </c>
      <c r="AC2097" t="n">
        <v>7</v>
      </c>
      <c r="AD2097" t="n">
        <v>28</v>
      </c>
      <c r="AE2097" t="n">
        <v>28</v>
      </c>
      <c r="AF2097" t="n">
        <v>9</v>
      </c>
      <c r="AG2097" t="n">
        <v>9</v>
      </c>
      <c r="AH2097" t="n">
        <v>7</v>
      </c>
      <c r="AI2097" t="n">
        <v>7</v>
      </c>
      <c r="AJ2097" t="n">
        <v>12</v>
      </c>
      <c r="AK2097" t="n">
        <v>12</v>
      </c>
      <c r="AL2097" t="n">
        <v>6</v>
      </c>
      <c r="AM2097" t="n">
        <v>6</v>
      </c>
      <c r="AN2097" t="n">
        <v>0</v>
      </c>
      <c r="AO2097" t="n">
        <v>0</v>
      </c>
      <c r="AP2097" t="inlineStr">
        <is>
          <t>No</t>
        </is>
      </c>
      <c r="AQ2097" t="inlineStr">
        <is>
          <t>No</t>
        </is>
      </c>
      <c r="AS2097">
        <f>HYPERLINK("https://creighton-primo.hosted.exlibrisgroup.com/primo-explore/search?tab=default_tab&amp;search_scope=EVERYTHING&amp;vid=01CRU&amp;lang=en_US&amp;offset=0&amp;query=any,contains,991002034469702656","Catalog Record")</f>
        <v/>
      </c>
      <c r="AT2097">
        <f>HYPERLINK("http://www.worldcat.org/oclc/25914951","WorldCat Record")</f>
        <v/>
      </c>
      <c r="AU2097" t="inlineStr">
        <is>
          <t>836905525:eng</t>
        </is>
      </c>
      <c r="AV2097" t="inlineStr">
        <is>
          <t>25914951</t>
        </is>
      </c>
      <c r="AW2097" t="inlineStr">
        <is>
          <t>991002034469702656</t>
        </is>
      </c>
      <c r="AX2097" t="inlineStr">
        <is>
          <t>991002034469702656</t>
        </is>
      </c>
      <c r="AY2097" t="inlineStr">
        <is>
          <t>2272229670002656</t>
        </is>
      </c>
      <c r="AZ2097" t="inlineStr">
        <is>
          <t>BOOK</t>
        </is>
      </c>
      <c r="BB2097" t="inlineStr">
        <is>
          <t>9780306443213</t>
        </is>
      </c>
      <c r="BC2097" t="inlineStr">
        <is>
          <t>32285001766244</t>
        </is>
      </c>
      <c r="BD2097" t="inlineStr">
        <is>
          <t>893262050</t>
        </is>
      </c>
    </row>
    <row r="2098">
      <c r="A2098" t="inlineStr">
        <is>
          <t>No</t>
        </is>
      </c>
      <c r="B2098" t="inlineStr">
        <is>
          <t>HQ759.915 .M85 1995</t>
        </is>
      </c>
      <c r="C2098" t="inlineStr">
        <is>
          <t>0                      HQ 0759915M  85          1995</t>
        </is>
      </c>
      <c r="D2098" t="inlineStr">
        <is>
          <t>The new uprooted : single mothers in urban life / Elizabeth A. Mulroy ; foreword by Philip W. Johnston.</t>
        </is>
      </c>
      <c r="F2098" t="inlineStr">
        <is>
          <t>No</t>
        </is>
      </c>
      <c r="G2098" t="inlineStr">
        <is>
          <t>1</t>
        </is>
      </c>
      <c r="H2098" t="inlineStr">
        <is>
          <t>No</t>
        </is>
      </c>
      <c r="I2098" t="inlineStr">
        <is>
          <t>No</t>
        </is>
      </c>
      <c r="J2098" t="inlineStr">
        <is>
          <t>0</t>
        </is>
      </c>
      <c r="K2098" t="inlineStr">
        <is>
          <t>Mulroy, Elizabeth A.</t>
        </is>
      </c>
      <c r="L2098" t="inlineStr">
        <is>
          <t>Westport, Conn. : Auburn House, 1995.</t>
        </is>
      </c>
      <c r="M2098" t="inlineStr">
        <is>
          <t>1995</t>
        </is>
      </c>
      <c r="O2098" t="inlineStr">
        <is>
          <t>eng</t>
        </is>
      </c>
      <c r="P2098" t="inlineStr">
        <is>
          <t>ctu</t>
        </is>
      </c>
      <c r="R2098" t="inlineStr">
        <is>
          <t xml:space="preserve">HQ </t>
        </is>
      </c>
      <c r="S2098" t="n">
        <v>8</v>
      </c>
      <c r="T2098" t="n">
        <v>8</v>
      </c>
      <c r="U2098" t="inlineStr">
        <is>
          <t>2000-12-08</t>
        </is>
      </c>
      <c r="V2098" t="inlineStr">
        <is>
          <t>2000-12-08</t>
        </is>
      </c>
      <c r="W2098" t="inlineStr">
        <is>
          <t>1996-07-01</t>
        </is>
      </c>
      <c r="X2098" t="inlineStr">
        <is>
          <t>1996-07-01</t>
        </is>
      </c>
      <c r="Y2098" t="n">
        <v>629</v>
      </c>
      <c r="Z2098" t="n">
        <v>556</v>
      </c>
      <c r="AA2098" t="n">
        <v>851</v>
      </c>
      <c r="AB2098" t="n">
        <v>5</v>
      </c>
      <c r="AC2098" t="n">
        <v>6</v>
      </c>
      <c r="AD2098" t="n">
        <v>26</v>
      </c>
      <c r="AE2098" t="n">
        <v>29</v>
      </c>
      <c r="AF2098" t="n">
        <v>8</v>
      </c>
      <c r="AG2098" t="n">
        <v>10</v>
      </c>
      <c r="AH2098" t="n">
        <v>6</v>
      </c>
      <c r="AI2098" t="n">
        <v>6</v>
      </c>
      <c r="AJ2098" t="n">
        <v>14</v>
      </c>
      <c r="AK2098" t="n">
        <v>15</v>
      </c>
      <c r="AL2098" t="n">
        <v>4</v>
      </c>
      <c r="AM2098" t="n">
        <v>5</v>
      </c>
      <c r="AN2098" t="n">
        <v>0</v>
      </c>
      <c r="AO2098" t="n">
        <v>0</v>
      </c>
      <c r="AP2098" t="inlineStr">
        <is>
          <t>No</t>
        </is>
      </c>
      <c r="AQ2098" t="inlineStr">
        <is>
          <t>Yes</t>
        </is>
      </c>
      <c r="AR2098">
        <f>HYPERLINK("http://catalog.hathitrust.org/Record/002997707","HathiTrust Record")</f>
        <v/>
      </c>
      <c r="AS2098">
        <f>HYPERLINK("https://creighton-primo.hosted.exlibrisgroup.com/primo-explore/search?tab=default_tab&amp;search_scope=EVERYTHING&amp;vid=01CRU&amp;lang=en_US&amp;offset=0&amp;query=any,contains,991002449399702656","Catalog Record")</f>
        <v/>
      </c>
      <c r="AT2098">
        <f>HYPERLINK("http://www.worldcat.org/oclc/31937635","WorldCat Record")</f>
        <v/>
      </c>
      <c r="AU2098" t="inlineStr">
        <is>
          <t>802686193:eng</t>
        </is>
      </c>
      <c r="AV2098" t="inlineStr">
        <is>
          <t>31937635</t>
        </is>
      </c>
      <c r="AW2098" t="inlineStr">
        <is>
          <t>991002449399702656</t>
        </is>
      </c>
      <c r="AX2098" t="inlineStr">
        <is>
          <t>991002449399702656</t>
        </is>
      </c>
      <c r="AY2098" t="inlineStr">
        <is>
          <t>2258537750002656</t>
        </is>
      </c>
      <c r="AZ2098" t="inlineStr">
        <is>
          <t>BOOK</t>
        </is>
      </c>
      <c r="BB2098" t="inlineStr">
        <is>
          <t>9780865690387</t>
        </is>
      </c>
      <c r="BC2098" t="inlineStr">
        <is>
          <t>32285002205457</t>
        </is>
      </c>
      <c r="BD2098" t="inlineStr">
        <is>
          <t>893627127</t>
        </is>
      </c>
    </row>
    <row r="2099">
      <c r="A2099" t="inlineStr">
        <is>
          <t>No</t>
        </is>
      </c>
      <c r="B2099" t="inlineStr">
        <is>
          <t>HQ759.915 .W53 1988</t>
        </is>
      </c>
      <c r="C2099" t="inlineStr">
        <is>
          <t>0                      HQ 0759915W  53          1988</t>
        </is>
      </c>
      <c r="D2099" t="inlineStr">
        <is>
          <t>Women as single parents : confronting institutional barriers in the courts, the workplace, and the housing market/ edited by Elizabeth A. Mulroy.</t>
        </is>
      </c>
      <c r="F2099" t="inlineStr">
        <is>
          <t>No</t>
        </is>
      </c>
      <c r="G2099" t="inlineStr">
        <is>
          <t>1</t>
        </is>
      </c>
      <c r="H2099" t="inlineStr">
        <is>
          <t>No</t>
        </is>
      </c>
      <c r="I2099" t="inlineStr">
        <is>
          <t>No</t>
        </is>
      </c>
      <c r="J2099" t="inlineStr">
        <is>
          <t>0</t>
        </is>
      </c>
      <c r="L2099" t="inlineStr">
        <is>
          <t>Dover, Mass. : Auburn House Pub. Co., c1988.</t>
        </is>
      </c>
      <c r="M2099" t="inlineStr">
        <is>
          <t>1988</t>
        </is>
      </c>
      <c r="O2099" t="inlineStr">
        <is>
          <t>eng</t>
        </is>
      </c>
      <c r="P2099" t="inlineStr">
        <is>
          <t>mau</t>
        </is>
      </c>
      <c r="R2099" t="inlineStr">
        <is>
          <t xml:space="preserve">HQ </t>
        </is>
      </c>
      <c r="S2099" t="n">
        <v>22</v>
      </c>
      <c r="T2099" t="n">
        <v>22</v>
      </c>
      <c r="U2099" t="inlineStr">
        <is>
          <t>2000-11-29</t>
        </is>
      </c>
      <c r="V2099" t="inlineStr">
        <is>
          <t>2000-11-29</t>
        </is>
      </c>
      <c r="W2099" t="inlineStr">
        <is>
          <t>1990-04-10</t>
        </is>
      </c>
      <c r="X2099" t="inlineStr">
        <is>
          <t>1990-04-10</t>
        </is>
      </c>
      <c r="Y2099" t="n">
        <v>769</v>
      </c>
      <c r="Z2099" t="n">
        <v>688</v>
      </c>
      <c r="AA2099" t="n">
        <v>695</v>
      </c>
      <c r="AB2099" t="n">
        <v>6</v>
      </c>
      <c r="AC2099" t="n">
        <v>6</v>
      </c>
      <c r="AD2099" t="n">
        <v>35</v>
      </c>
      <c r="AE2099" t="n">
        <v>35</v>
      </c>
      <c r="AF2099" t="n">
        <v>11</v>
      </c>
      <c r="AG2099" t="n">
        <v>11</v>
      </c>
      <c r="AH2099" t="n">
        <v>8</v>
      </c>
      <c r="AI2099" t="n">
        <v>8</v>
      </c>
      <c r="AJ2099" t="n">
        <v>15</v>
      </c>
      <c r="AK2099" t="n">
        <v>15</v>
      </c>
      <c r="AL2099" t="n">
        <v>5</v>
      </c>
      <c r="AM2099" t="n">
        <v>5</v>
      </c>
      <c r="AN2099" t="n">
        <v>5</v>
      </c>
      <c r="AO2099" t="n">
        <v>5</v>
      </c>
      <c r="AP2099" t="inlineStr">
        <is>
          <t>No</t>
        </is>
      </c>
      <c r="AQ2099" t="inlineStr">
        <is>
          <t>Yes</t>
        </is>
      </c>
      <c r="AR2099">
        <f>HYPERLINK("http://catalog.hathitrust.org/Record/001073368","HathiTrust Record")</f>
        <v/>
      </c>
      <c r="AS2099">
        <f>HYPERLINK("https://creighton-primo.hosted.exlibrisgroup.com/primo-explore/search?tab=default_tab&amp;search_scope=EVERYTHING&amp;vid=01CRU&amp;lang=en_US&amp;offset=0&amp;query=any,contains,991001277159702656","Catalog Record")</f>
        <v/>
      </c>
      <c r="AT2099">
        <f>HYPERLINK("http://www.worldcat.org/oclc/17876932","WorldCat Record")</f>
        <v/>
      </c>
      <c r="AU2099" t="inlineStr">
        <is>
          <t>2847062:eng</t>
        </is>
      </c>
      <c r="AV2099" t="inlineStr">
        <is>
          <t>17876932</t>
        </is>
      </c>
      <c r="AW2099" t="inlineStr">
        <is>
          <t>991001277159702656</t>
        </is>
      </c>
      <c r="AX2099" t="inlineStr">
        <is>
          <t>991001277159702656</t>
        </is>
      </c>
      <c r="AY2099" t="inlineStr">
        <is>
          <t>2268370960002656</t>
        </is>
      </c>
      <c r="AZ2099" t="inlineStr">
        <is>
          <t>BOOK</t>
        </is>
      </c>
      <c r="BB2099" t="inlineStr">
        <is>
          <t>9780865691773</t>
        </is>
      </c>
      <c r="BC2099" t="inlineStr">
        <is>
          <t>32285000120203</t>
        </is>
      </c>
      <c r="BD2099" t="inlineStr">
        <is>
          <t>893321812</t>
        </is>
      </c>
    </row>
    <row r="2100">
      <c r="A2100" t="inlineStr">
        <is>
          <t>No</t>
        </is>
      </c>
      <c r="B2100" t="inlineStr">
        <is>
          <t>HQ759.92 .B46 1986</t>
        </is>
      </c>
      <c r="C2100" t="inlineStr">
        <is>
          <t>0                      HQ 0759920B  46          1986</t>
        </is>
      </c>
      <c r="D2100" t="inlineStr">
        <is>
          <t>Making it as a stepparent : new roles/new rules / Claire Berman.</t>
        </is>
      </c>
      <c r="F2100" t="inlineStr">
        <is>
          <t>No</t>
        </is>
      </c>
      <c r="G2100" t="inlineStr">
        <is>
          <t>1</t>
        </is>
      </c>
      <c r="H2100" t="inlineStr">
        <is>
          <t>No</t>
        </is>
      </c>
      <c r="I2100" t="inlineStr">
        <is>
          <t>No</t>
        </is>
      </c>
      <c r="J2100" t="inlineStr">
        <is>
          <t>0</t>
        </is>
      </c>
      <c r="K2100" t="inlineStr">
        <is>
          <t>Berman, Claire.</t>
        </is>
      </c>
      <c r="L2100" t="inlineStr">
        <is>
          <t>New York : Perennial Library, 1986.</t>
        </is>
      </c>
      <c r="M2100" t="inlineStr">
        <is>
          <t>1986</t>
        </is>
      </c>
      <c r="N2100" t="inlineStr">
        <is>
          <t>Updated ed., 1st Perennial Library ed.</t>
        </is>
      </c>
      <c r="O2100" t="inlineStr">
        <is>
          <t>eng</t>
        </is>
      </c>
      <c r="P2100" t="inlineStr">
        <is>
          <t>nyu</t>
        </is>
      </c>
      <c r="R2100" t="inlineStr">
        <is>
          <t xml:space="preserve">HQ </t>
        </is>
      </c>
      <c r="S2100" t="n">
        <v>12</v>
      </c>
      <c r="T2100" t="n">
        <v>12</v>
      </c>
      <c r="U2100" t="inlineStr">
        <is>
          <t>1996-04-19</t>
        </is>
      </c>
      <c r="V2100" t="inlineStr">
        <is>
          <t>1996-04-19</t>
        </is>
      </c>
      <c r="W2100" t="inlineStr">
        <is>
          <t>1996-05-29</t>
        </is>
      </c>
      <c r="X2100" t="inlineStr">
        <is>
          <t>1996-05-29</t>
        </is>
      </c>
      <c r="Y2100" t="n">
        <v>308</v>
      </c>
      <c r="Z2100" t="n">
        <v>295</v>
      </c>
      <c r="AA2100" t="n">
        <v>598</v>
      </c>
      <c r="AB2100" t="n">
        <v>3</v>
      </c>
      <c r="AC2100" t="n">
        <v>6</v>
      </c>
      <c r="AD2100" t="n">
        <v>7</v>
      </c>
      <c r="AE2100" t="n">
        <v>8</v>
      </c>
      <c r="AF2100" t="n">
        <v>2</v>
      </c>
      <c r="AG2100" t="n">
        <v>2</v>
      </c>
      <c r="AH2100" t="n">
        <v>1</v>
      </c>
      <c r="AI2100" t="n">
        <v>1</v>
      </c>
      <c r="AJ2100" t="n">
        <v>3</v>
      </c>
      <c r="AK2100" t="n">
        <v>4</v>
      </c>
      <c r="AL2100" t="n">
        <v>2</v>
      </c>
      <c r="AM2100" t="n">
        <v>2</v>
      </c>
      <c r="AN2100" t="n">
        <v>0</v>
      </c>
      <c r="AO2100" t="n">
        <v>0</v>
      </c>
      <c r="AP2100" t="inlineStr">
        <is>
          <t>No</t>
        </is>
      </c>
      <c r="AQ2100" t="inlineStr">
        <is>
          <t>No</t>
        </is>
      </c>
      <c r="AS2100">
        <f>HYPERLINK("https://creighton-primo.hosted.exlibrisgroup.com/primo-explore/search?tab=default_tab&amp;search_scope=EVERYTHING&amp;vid=01CRU&amp;lang=en_US&amp;offset=0&amp;query=any,contains,991000731639702656","Catalog Record")</f>
        <v/>
      </c>
      <c r="AT2100">
        <f>HYPERLINK("http://www.worldcat.org/oclc/12724761","WorldCat Record")</f>
        <v/>
      </c>
      <c r="AU2100" t="inlineStr">
        <is>
          <t>510593:eng</t>
        </is>
      </c>
      <c r="AV2100" t="inlineStr">
        <is>
          <t>12724761</t>
        </is>
      </c>
      <c r="AW2100" t="inlineStr">
        <is>
          <t>991000731639702656</t>
        </is>
      </c>
      <c r="AX2100" t="inlineStr">
        <is>
          <t>991000731639702656</t>
        </is>
      </c>
      <c r="AY2100" t="inlineStr">
        <is>
          <t>2266881220002656</t>
        </is>
      </c>
      <c r="AZ2100" t="inlineStr">
        <is>
          <t>BOOK</t>
        </is>
      </c>
      <c r="BB2100" t="inlineStr">
        <is>
          <t>9780060970192</t>
        </is>
      </c>
      <c r="BC2100" t="inlineStr">
        <is>
          <t>32285002121316</t>
        </is>
      </c>
      <c r="BD2100" t="inlineStr">
        <is>
          <t>893714841</t>
        </is>
      </c>
    </row>
    <row r="2101">
      <c r="A2101" t="inlineStr">
        <is>
          <t>No</t>
        </is>
      </c>
      <c r="B2101" t="inlineStr">
        <is>
          <t>HQ759.92 .D35 1999</t>
        </is>
      </c>
      <c r="C2101" t="inlineStr">
        <is>
          <t>0                      HQ 0759920D  35          1999</t>
        </is>
      </c>
      <c r="D2101" t="inlineStr">
        <is>
          <t>The truth about Cinderella : a Darwinian view of parental love / Martin Daly and Margo Wilson.</t>
        </is>
      </c>
      <c r="F2101" t="inlineStr">
        <is>
          <t>No</t>
        </is>
      </c>
      <c r="G2101" t="inlineStr">
        <is>
          <t>1</t>
        </is>
      </c>
      <c r="H2101" t="inlineStr">
        <is>
          <t>No</t>
        </is>
      </c>
      <c r="I2101" t="inlineStr">
        <is>
          <t>No</t>
        </is>
      </c>
      <c r="J2101" t="inlineStr">
        <is>
          <t>0</t>
        </is>
      </c>
      <c r="K2101" t="inlineStr">
        <is>
          <t>Daly, Martin, 1944-</t>
        </is>
      </c>
      <c r="L2101" t="inlineStr">
        <is>
          <t>New Haven, Conn. : Yale University Press, 1999.</t>
        </is>
      </c>
      <c r="M2101" t="inlineStr">
        <is>
          <t>1999</t>
        </is>
      </c>
      <c r="O2101" t="inlineStr">
        <is>
          <t>eng</t>
        </is>
      </c>
      <c r="P2101" t="inlineStr">
        <is>
          <t>ctu</t>
        </is>
      </c>
      <c r="Q2101" t="inlineStr">
        <is>
          <t>Darwinism today</t>
        </is>
      </c>
      <c r="R2101" t="inlineStr">
        <is>
          <t xml:space="preserve">HQ </t>
        </is>
      </c>
      <c r="S2101" t="n">
        <v>4</v>
      </c>
      <c r="T2101" t="n">
        <v>4</v>
      </c>
      <c r="U2101" t="inlineStr">
        <is>
          <t>2006-12-11</t>
        </is>
      </c>
      <c r="V2101" t="inlineStr">
        <is>
          <t>2006-12-11</t>
        </is>
      </c>
      <c r="W2101" t="inlineStr">
        <is>
          <t>2000-09-18</t>
        </is>
      </c>
      <c r="X2101" t="inlineStr">
        <is>
          <t>2000-09-18</t>
        </is>
      </c>
      <c r="Y2101" t="n">
        <v>411</v>
      </c>
      <c r="Z2101" t="n">
        <v>367</v>
      </c>
      <c r="AA2101" t="n">
        <v>380</v>
      </c>
      <c r="AB2101" t="n">
        <v>5</v>
      </c>
      <c r="AC2101" t="n">
        <v>5</v>
      </c>
      <c r="AD2101" t="n">
        <v>20</v>
      </c>
      <c r="AE2101" t="n">
        <v>20</v>
      </c>
      <c r="AF2101" t="n">
        <v>7</v>
      </c>
      <c r="AG2101" t="n">
        <v>7</v>
      </c>
      <c r="AH2101" t="n">
        <v>4</v>
      </c>
      <c r="AI2101" t="n">
        <v>4</v>
      </c>
      <c r="AJ2101" t="n">
        <v>8</v>
      </c>
      <c r="AK2101" t="n">
        <v>8</v>
      </c>
      <c r="AL2101" t="n">
        <v>4</v>
      </c>
      <c r="AM2101" t="n">
        <v>4</v>
      </c>
      <c r="AN2101" t="n">
        <v>0</v>
      </c>
      <c r="AO2101" t="n">
        <v>0</v>
      </c>
      <c r="AP2101" t="inlineStr">
        <is>
          <t>No</t>
        </is>
      </c>
      <c r="AQ2101" t="inlineStr">
        <is>
          <t>No</t>
        </is>
      </c>
      <c r="AS2101">
        <f>HYPERLINK("https://creighton-primo.hosted.exlibrisgroup.com/primo-explore/search?tab=default_tab&amp;search_scope=EVERYTHING&amp;vid=01CRU&amp;lang=en_US&amp;offset=0&amp;query=any,contains,991003262369702656","Catalog Record")</f>
        <v/>
      </c>
      <c r="AT2101">
        <f>HYPERLINK("http://www.worldcat.org/oclc/41419567","WorldCat Record")</f>
        <v/>
      </c>
      <c r="AU2101" t="inlineStr">
        <is>
          <t>26948238:eng</t>
        </is>
      </c>
      <c r="AV2101" t="inlineStr">
        <is>
          <t>41419567</t>
        </is>
      </c>
      <c r="AW2101" t="inlineStr">
        <is>
          <t>991003262369702656</t>
        </is>
      </c>
      <c r="AX2101" t="inlineStr">
        <is>
          <t>991003262369702656</t>
        </is>
      </c>
      <c r="AY2101" t="inlineStr">
        <is>
          <t>2256579570002656</t>
        </is>
      </c>
      <c r="AZ2101" t="inlineStr">
        <is>
          <t>BOOK</t>
        </is>
      </c>
      <c r="BB2101" t="inlineStr">
        <is>
          <t>9780300080292</t>
        </is>
      </c>
      <c r="BC2101" t="inlineStr">
        <is>
          <t>32285003762928</t>
        </is>
      </c>
      <c r="BD2101" t="inlineStr">
        <is>
          <t>893511754</t>
        </is>
      </c>
    </row>
    <row r="2102">
      <c r="A2102" t="inlineStr">
        <is>
          <t>No</t>
        </is>
      </c>
      <c r="B2102" t="inlineStr">
        <is>
          <t>HQ759.92 .E36</t>
        </is>
      </c>
      <c r="C2102" t="inlineStr">
        <is>
          <t>0                      HQ 0759920E  36</t>
        </is>
      </c>
      <c r="D2102" t="inlineStr">
        <is>
          <t>The stepfamily : living, loving, and learning / by Elizabeth Einstein.</t>
        </is>
      </c>
      <c r="F2102" t="inlineStr">
        <is>
          <t>No</t>
        </is>
      </c>
      <c r="G2102" t="inlineStr">
        <is>
          <t>1</t>
        </is>
      </c>
      <c r="H2102" t="inlineStr">
        <is>
          <t>No</t>
        </is>
      </c>
      <c r="I2102" t="inlineStr">
        <is>
          <t>No</t>
        </is>
      </c>
      <c r="J2102" t="inlineStr">
        <is>
          <t>0</t>
        </is>
      </c>
      <c r="K2102" t="inlineStr">
        <is>
          <t>Einstein, Elizabeth.</t>
        </is>
      </c>
      <c r="L2102" t="inlineStr">
        <is>
          <t>New York : Macmillan, c1982.</t>
        </is>
      </c>
      <c r="M2102" t="inlineStr">
        <is>
          <t>1982</t>
        </is>
      </c>
      <c r="O2102" t="inlineStr">
        <is>
          <t>eng</t>
        </is>
      </c>
      <c r="P2102" t="inlineStr">
        <is>
          <t>nyu</t>
        </is>
      </c>
      <c r="R2102" t="inlineStr">
        <is>
          <t xml:space="preserve">HQ </t>
        </is>
      </c>
      <c r="S2102" t="n">
        <v>14</v>
      </c>
      <c r="T2102" t="n">
        <v>14</v>
      </c>
      <c r="U2102" t="inlineStr">
        <is>
          <t>1997-10-08</t>
        </is>
      </c>
      <c r="V2102" t="inlineStr">
        <is>
          <t>1997-10-08</t>
        </is>
      </c>
      <c r="W2102" t="inlineStr">
        <is>
          <t>1992-02-20</t>
        </is>
      </c>
      <c r="X2102" t="inlineStr">
        <is>
          <t>1992-02-20</t>
        </is>
      </c>
      <c r="Y2102" t="n">
        <v>359</v>
      </c>
      <c r="Z2102" t="n">
        <v>337</v>
      </c>
      <c r="AA2102" t="n">
        <v>453</v>
      </c>
      <c r="AB2102" t="n">
        <v>6</v>
      </c>
      <c r="AC2102" t="n">
        <v>7</v>
      </c>
      <c r="AD2102" t="n">
        <v>8</v>
      </c>
      <c r="AE2102" t="n">
        <v>9</v>
      </c>
      <c r="AF2102" t="n">
        <v>3</v>
      </c>
      <c r="AG2102" t="n">
        <v>3</v>
      </c>
      <c r="AH2102" t="n">
        <v>1</v>
      </c>
      <c r="AI2102" t="n">
        <v>1</v>
      </c>
      <c r="AJ2102" t="n">
        <v>3</v>
      </c>
      <c r="AK2102" t="n">
        <v>3</v>
      </c>
      <c r="AL2102" t="n">
        <v>3</v>
      </c>
      <c r="AM2102" t="n">
        <v>4</v>
      </c>
      <c r="AN2102" t="n">
        <v>0</v>
      </c>
      <c r="AO2102" t="n">
        <v>0</v>
      </c>
      <c r="AP2102" t="inlineStr">
        <is>
          <t>No</t>
        </is>
      </c>
      <c r="AQ2102" t="inlineStr">
        <is>
          <t>Yes</t>
        </is>
      </c>
      <c r="AR2102">
        <f>HYPERLINK("http://catalog.hathitrust.org/Record/101930739","HathiTrust Record")</f>
        <v/>
      </c>
      <c r="AS2102">
        <f>HYPERLINK("https://creighton-primo.hosted.exlibrisgroup.com/primo-explore/search?tab=default_tab&amp;search_scope=EVERYTHING&amp;vid=01CRU&amp;lang=en_US&amp;offset=0&amp;query=any,contains,991005187629702656","Catalog Record")</f>
        <v/>
      </c>
      <c r="AT2102">
        <f>HYPERLINK("http://www.worldcat.org/oclc/7977776","WorldCat Record")</f>
        <v/>
      </c>
      <c r="AU2102" t="inlineStr">
        <is>
          <t>3902819:eng</t>
        </is>
      </c>
      <c r="AV2102" t="inlineStr">
        <is>
          <t>7977776</t>
        </is>
      </c>
      <c r="AW2102" t="inlineStr">
        <is>
          <t>991005187629702656</t>
        </is>
      </c>
      <c r="AX2102" t="inlineStr">
        <is>
          <t>991005187629702656</t>
        </is>
      </c>
      <c r="AY2102" t="inlineStr">
        <is>
          <t>2272554460002656</t>
        </is>
      </c>
      <c r="AZ2102" t="inlineStr">
        <is>
          <t>BOOK</t>
        </is>
      </c>
      <c r="BB2102" t="inlineStr">
        <is>
          <t>9780025351004</t>
        </is>
      </c>
      <c r="BC2102" t="inlineStr">
        <is>
          <t>32285000948215</t>
        </is>
      </c>
      <c r="BD2102" t="inlineStr">
        <is>
          <t>893883472</t>
        </is>
      </c>
    </row>
    <row r="2103">
      <c r="A2103" t="inlineStr">
        <is>
          <t>No</t>
        </is>
      </c>
      <c r="B2103" t="inlineStr">
        <is>
          <t>HQ759.92 .H84 1991</t>
        </is>
      </c>
      <c r="C2103" t="inlineStr">
        <is>
          <t>0                      HQ 0759920H  84          1991</t>
        </is>
      </c>
      <c r="D2103" t="inlineStr">
        <is>
          <t>Stepparents : wicked or wonderful? : an indepth study of stepparenthood / Christina Hughes.</t>
        </is>
      </c>
      <c r="F2103" t="inlineStr">
        <is>
          <t>No</t>
        </is>
      </c>
      <c r="G2103" t="inlineStr">
        <is>
          <t>1</t>
        </is>
      </c>
      <c r="H2103" t="inlineStr">
        <is>
          <t>No</t>
        </is>
      </c>
      <c r="I2103" t="inlineStr">
        <is>
          <t>No</t>
        </is>
      </c>
      <c r="J2103" t="inlineStr">
        <is>
          <t>0</t>
        </is>
      </c>
      <c r="K2103" t="inlineStr">
        <is>
          <t>Hughes, Christina, 1952-</t>
        </is>
      </c>
      <c r="L2103" t="inlineStr">
        <is>
          <t>Aldershot, Hants, England : Avebury ; Brookfield, Vt., USA : Gower, c1991.</t>
        </is>
      </c>
      <c r="M2103" t="inlineStr">
        <is>
          <t>1991</t>
        </is>
      </c>
      <c r="O2103" t="inlineStr">
        <is>
          <t>eng</t>
        </is>
      </c>
      <c r="P2103" t="inlineStr">
        <is>
          <t>enk</t>
        </is>
      </c>
      <c r="R2103" t="inlineStr">
        <is>
          <t xml:space="preserve">HQ </t>
        </is>
      </c>
      <c r="S2103" t="n">
        <v>14</v>
      </c>
      <c r="T2103" t="n">
        <v>14</v>
      </c>
      <c r="U2103" t="inlineStr">
        <is>
          <t>2009-08-12</t>
        </is>
      </c>
      <c r="V2103" t="inlineStr">
        <is>
          <t>2009-08-12</t>
        </is>
      </c>
      <c r="W2103" t="inlineStr">
        <is>
          <t>1992-03-11</t>
        </is>
      </c>
      <c r="X2103" t="inlineStr">
        <is>
          <t>1992-03-11</t>
        </is>
      </c>
      <c r="Y2103" t="n">
        <v>146</v>
      </c>
      <c r="Z2103" t="n">
        <v>84</v>
      </c>
      <c r="AA2103" t="n">
        <v>85</v>
      </c>
      <c r="AB2103" t="n">
        <v>2</v>
      </c>
      <c r="AC2103" t="n">
        <v>2</v>
      </c>
      <c r="AD2103" t="n">
        <v>1</v>
      </c>
      <c r="AE2103" t="n">
        <v>1</v>
      </c>
      <c r="AF2103" t="n">
        <v>0</v>
      </c>
      <c r="AG2103" t="n">
        <v>0</v>
      </c>
      <c r="AH2103" t="n">
        <v>0</v>
      </c>
      <c r="AI2103" t="n">
        <v>0</v>
      </c>
      <c r="AJ2103" t="n">
        <v>0</v>
      </c>
      <c r="AK2103" t="n">
        <v>0</v>
      </c>
      <c r="AL2103" t="n">
        <v>1</v>
      </c>
      <c r="AM2103" t="n">
        <v>1</v>
      </c>
      <c r="AN2103" t="n">
        <v>0</v>
      </c>
      <c r="AO2103" t="n">
        <v>0</v>
      </c>
      <c r="AP2103" t="inlineStr">
        <is>
          <t>No</t>
        </is>
      </c>
      <c r="AQ2103" t="inlineStr">
        <is>
          <t>Yes</t>
        </is>
      </c>
      <c r="AR2103">
        <f>HYPERLINK("http://catalog.hathitrust.org/Record/002477414","HathiTrust Record")</f>
        <v/>
      </c>
      <c r="AS2103">
        <f>HYPERLINK("https://creighton-primo.hosted.exlibrisgroup.com/primo-explore/search?tab=default_tab&amp;search_scope=EVERYTHING&amp;vid=01CRU&amp;lang=en_US&amp;offset=0&amp;query=any,contains,991001899909702656","Catalog Record")</f>
        <v/>
      </c>
      <c r="AT2103">
        <f>HYPERLINK("http://www.worldcat.org/oclc/24009233","WorldCat Record")</f>
        <v/>
      </c>
      <c r="AU2103" t="inlineStr">
        <is>
          <t>24964357:eng</t>
        </is>
      </c>
      <c r="AV2103" t="inlineStr">
        <is>
          <t>24009233</t>
        </is>
      </c>
      <c r="AW2103" t="inlineStr">
        <is>
          <t>991001899909702656</t>
        </is>
      </c>
      <c r="AX2103" t="inlineStr">
        <is>
          <t>991001899909702656</t>
        </is>
      </c>
      <c r="AY2103" t="inlineStr">
        <is>
          <t>2264157850002656</t>
        </is>
      </c>
      <c r="AZ2103" t="inlineStr">
        <is>
          <t>BOOK</t>
        </is>
      </c>
      <c r="BB2103" t="inlineStr">
        <is>
          <t>9781856281454</t>
        </is>
      </c>
      <c r="BC2103" t="inlineStr">
        <is>
          <t>32285000939263</t>
        </is>
      </c>
      <c r="BD2103" t="inlineStr">
        <is>
          <t>893773001</t>
        </is>
      </c>
    </row>
    <row r="2104">
      <c r="A2104" t="inlineStr">
        <is>
          <t>No</t>
        </is>
      </c>
      <c r="B2104" t="inlineStr">
        <is>
          <t>HQ759.92 .K45 1995</t>
        </is>
      </c>
      <c r="C2104" t="inlineStr">
        <is>
          <t>0                      HQ 0759920K  45          1995</t>
        </is>
      </c>
      <c r="D2104" t="inlineStr">
        <is>
          <t>Developing healthy stepfamilies : twenty families tell their stories / Patricia Kelley.</t>
        </is>
      </c>
      <c r="F2104" t="inlineStr">
        <is>
          <t>No</t>
        </is>
      </c>
      <c r="G2104" t="inlineStr">
        <is>
          <t>1</t>
        </is>
      </c>
      <c r="H2104" t="inlineStr">
        <is>
          <t>No</t>
        </is>
      </c>
      <c r="I2104" t="inlineStr">
        <is>
          <t>No</t>
        </is>
      </c>
      <c r="J2104" t="inlineStr">
        <is>
          <t>0</t>
        </is>
      </c>
      <c r="K2104" t="inlineStr">
        <is>
          <t>Kelley, Patricia, 1935-</t>
        </is>
      </c>
      <c r="L2104" t="inlineStr">
        <is>
          <t>New York : Haworth Press, c1995.</t>
        </is>
      </c>
      <c r="M2104" t="inlineStr">
        <is>
          <t>1995</t>
        </is>
      </c>
      <c r="O2104" t="inlineStr">
        <is>
          <t>eng</t>
        </is>
      </c>
      <c r="P2104" t="inlineStr">
        <is>
          <t>nyu</t>
        </is>
      </c>
      <c r="Q2104" t="inlineStr">
        <is>
          <t>Haworth marriage &amp; the family</t>
        </is>
      </c>
      <c r="R2104" t="inlineStr">
        <is>
          <t xml:space="preserve">HQ </t>
        </is>
      </c>
      <c r="S2104" t="n">
        <v>12</v>
      </c>
      <c r="T2104" t="n">
        <v>12</v>
      </c>
      <c r="U2104" t="inlineStr">
        <is>
          <t>2001-09-11</t>
        </is>
      </c>
      <c r="V2104" t="inlineStr">
        <is>
          <t>2001-09-11</t>
        </is>
      </c>
      <c r="W2104" t="inlineStr">
        <is>
          <t>1996-06-18</t>
        </is>
      </c>
      <c r="X2104" t="inlineStr">
        <is>
          <t>1996-06-18</t>
        </is>
      </c>
      <c r="Y2104" t="n">
        <v>331</v>
      </c>
      <c r="Z2104" t="n">
        <v>267</v>
      </c>
      <c r="AA2104" t="n">
        <v>296</v>
      </c>
      <c r="AB2104" t="n">
        <v>5</v>
      </c>
      <c r="AC2104" t="n">
        <v>5</v>
      </c>
      <c r="AD2104" t="n">
        <v>17</v>
      </c>
      <c r="AE2104" t="n">
        <v>17</v>
      </c>
      <c r="AF2104" t="n">
        <v>5</v>
      </c>
      <c r="AG2104" t="n">
        <v>5</v>
      </c>
      <c r="AH2104" t="n">
        <v>3</v>
      </c>
      <c r="AI2104" t="n">
        <v>3</v>
      </c>
      <c r="AJ2104" t="n">
        <v>7</v>
      </c>
      <c r="AK2104" t="n">
        <v>7</v>
      </c>
      <c r="AL2104" t="n">
        <v>4</v>
      </c>
      <c r="AM2104" t="n">
        <v>4</v>
      </c>
      <c r="AN2104" t="n">
        <v>0</v>
      </c>
      <c r="AO2104" t="n">
        <v>0</v>
      </c>
      <c r="AP2104" t="inlineStr">
        <is>
          <t>No</t>
        </is>
      </c>
      <c r="AQ2104" t="inlineStr">
        <is>
          <t>Yes</t>
        </is>
      </c>
      <c r="AR2104">
        <f>HYPERLINK("http://catalog.hathitrust.org/Record/002959832","HathiTrust Record")</f>
        <v/>
      </c>
      <c r="AS2104">
        <f>HYPERLINK("https://creighton-primo.hosted.exlibrisgroup.com/primo-explore/search?tab=default_tab&amp;search_scope=EVERYTHING&amp;vid=01CRU&amp;lang=en_US&amp;offset=0&amp;query=any,contains,991005417939702656","Catalog Record")</f>
        <v/>
      </c>
      <c r="AT2104">
        <f>HYPERLINK("http://www.worldcat.org/oclc/29313241","WorldCat Record")</f>
        <v/>
      </c>
      <c r="AU2104" t="inlineStr">
        <is>
          <t>25207002:eng</t>
        </is>
      </c>
      <c r="AV2104" t="inlineStr">
        <is>
          <t>29313241</t>
        </is>
      </c>
      <c r="AW2104" t="inlineStr">
        <is>
          <t>991005417939702656</t>
        </is>
      </c>
      <c r="AX2104" t="inlineStr">
        <is>
          <t>991005417939702656</t>
        </is>
      </c>
      <c r="AY2104" t="inlineStr">
        <is>
          <t>2258767810002656</t>
        </is>
      </c>
      <c r="AZ2104" t="inlineStr">
        <is>
          <t>BOOK</t>
        </is>
      </c>
      <c r="BB2104" t="inlineStr">
        <is>
          <t>9781560238669</t>
        </is>
      </c>
      <c r="BC2104" t="inlineStr">
        <is>
          <t>32285002194412</t>
        </is>
      </c>
      <c r="BD2104" t="inlineStr">
        <is>
          <t>893443999</t>
        </is>
      </c>
    </row>
    <row r="2105">
      <c r="A2105" t="inlineStr">
        <is>
          <t>No</t>
        </is>
      </c>
      <c r="B2105" t="inlineStr">
        <is>
          <t>HQ759.92 .P35 1993</t>
        </is>
      </c>
      <c r="C2105" t="inlineStr">
        <is>
          <t>0                      HQ 0759920P  35          1993</t>
        </is>
      </c>
      <c r="D2105" t="inlineStr">
        <is>
          <t>Becoming a stepfamily : patterns of development in remarried families / Patricia L. Papernow.</t>
        </is>
      </c>
      <c r="F2105" t="inlineStr">
        <is>
          <t>No</t>
        </is>
      </c>
      <c r="G2105" t="inlineStr">
        <is>
          <t>1</t>
        </is>
      </c>
      <c r="H2105" t="inlineStr">
        <is>
          <t>No</t>
        </is>
      </c>
      <c r="I2105" t="inlineStr">
        <is>
          <t>No</t>
        </is>
      </c>
      <c r="J2105" t="inlineStr">
        <is>
          <t>0</t>
        </is>
      </c>
      <c r="K2105" t="inlineStr">
        <is>
          <t>Papernow, Patricia L., 1946-</t>
        </is>
      </c>
      <c r="L2105" t="inlineStr">
        <is>
          <t>San Francisco : Jossey-Bass, c1993.</t>
        </is>
      </c>
      <c r="M2105" t="inlineStr">
        <is>
          <t>1993</t>
        </is>
      </c>
      <c r="N2105" t="inlineStr">
        <is>
          <t>1st ed.</t>
        </is>
      </c>
      <c r="O2105" t="inlineStr">
        <is>
          <t>eng</t>
        </is>
      </c>
      <c r="P2105" t="inlineStr">
        <is>
          <t>cau</t>
        </is>
      </c>
      <c r="Q2105" t="inlineStr">
        <is>
          <t>The Jossey-Bass social and behavioral science series</t>
        </is>
      </c>
      <c r="R2105" t="inlineStr">
        <is>
          <t xml:space="preserve">HQ </t>
        </is>
      </c>
      <c r="S2105" t="n">
        <v>6</v>
      </c>
      <c r="T2105" t="n">
        <v>6</v>
      </c>
      <c r="U2105" t="inlineStr">
        <is>
          <t>2009-10-27</t>
        </is>
      </c>
      <c r="V2105" t="inlineStr">
        <is>
          <t>2009-10-27</t>
        </is>
      </c>
      <c r="W2105" t="inlineStr">
        <is>
          <t>1994-12-13</t>
        </is>
      </c>
      <c r="X2105" t="inlineStr">
        <is>
          <t>1994-12-13</t>
        </is>
      </c>
      <c r="Y2105" t="n">
        <v>421</v>
      </c>
      <c r="Z2105" t="n">
        <v>356</v>
      </c>
      <c r="AA2105" t="n">
        <v>406</v>
      </c>
      <c r="AB2105" t="n">
        <v>2</v>
      </c>
      <c r="AC2105" t="n">
        <v>2</v>
      </c>
      <c r="AD2105" t="n">
        <v>19</v>
      </c>
      <c r="AE2105" t="n">
        <v>20</v>
      </c>
      <c r="AF2105" t="n">
        <v>10</v>
      </c>
      <c r="AG2105" t="n">
        <v>11</v>
      </c>
      <c r="AH2105" t="n">
        <v>4</v>
      </c>
      <c r="AI2105" t="n">
        <v>5</v>
      </c>
      <c r="AJ2105" t="n">
        <v>9</v>
      </c>
      <c r="AK2105" t="n">
        <v>9</v>
      </c>
      <c r="AL2105" t="n">
        <v>1</v>
      </c>
      <c r="AM2105" t="n">
        <v>1</v>
      </c>
      <c r="AN2105" t="n">
        <v>0</v>
      </c>
      <c r="AO2105" t="n">
        <v>0</v>
      </c>
      <c r="AP2105" t="inlineStr">
        <is>
          <t>No</t>
        </is>
      </c>
      <c r="AQ2105" t="inlineStr">
        <is>
          <t>Yes</t>
        </is>
      </c>
      <c r="AR2105">
        <f>HYPERLINK("http://catalog.hathitrust.org/Record/101947916","HathiTrust Record")</f>
        <v/>
      </c>
      <c r="AS2105">
        <f>HYPERLINK("https://creighton-primo.hosted.exlibrisgroup.com/primo-explore/search?tab=default_tab&amp;search_scope=EVERYTHING&amp;vid=01CRU&amp;lang=en_US&amp;offset=0&amp;query=any,contains,991002145259702656","Catalog Record")</f>
        <v/>
      </c>
      <c r="AT2105">
        <f>HYPERLINK("http://www.worldcat.org/oclc/27641239","WorldCat Record")</f>
        <v/>
      </c>
      <c r="AU2105" t="inlineStr">
        <is>
          <t>866256463:eng</t>
        </is>
      </c>
      <c r="AV2105" t="inlineStr">
        <is>
          <t>27641239</t>
        </is>
      </c>
      <c r="AW2105" t="inlineStr">
        <is>
          <t>991002145259702656</t>
        </is>
      </c>
      <c r="AX2105" t="inlineStr">
        <is>
          <t>991002145259702656</t>
        </is>
      </c>
      <c r="AY2105" t="inlineStr">
        <is>
          <t>2257199540002656</t>
        </is>
      </c>
      <c r="AZ2105" t="inlineStr">
        <is>
          <t>BOOK</t>
        </is>
      </c>
      <c r="BB2105" t="inlineStr">
        <is>
          <t>9781555425517</t>
        </is>
      </c>
      <c r="BC2105" t="inlineStr">
        <is>
          <t>32285001976249</t>
        </is>
      </c>
      <c r="BD2105" t="inlineStr">
        <is>
          <t>893685010</t>
        </is>
      </c>
    </row>
    <row r="2106">
      <c r="A2106" t="inlineStr">
        <is>
          <t>No</t>
        </is>
      </c>
      <c r="B2106" t="inlineStr">
        <is>
          <t>HQ759.92 .R45 1987</t>
        </is>
      </c>
      <c r="C2106" t="inlineStr">
        <is>
          <t>0                      HQ 0759920R  45          1987</t>
        </is>
      </c>
      <c r="D2106" t="inlineStr">
        <is>
          <t>Remarriage and stepparenting : current research and theory / edited by Kay Pasley, Marilyn Ihinger-Tallman.</t>
        </is>
      </c>
      <c r="F2106" t="inlineStr">
        <is>
          <t>No</t>
        </is>
      </c>
      <c r="G2106" t="inlineStr">
        <is>
          <t>1</t>
        </is>
      </c>
      <c r="H2106" t="inlineStr">
        <is>
          <t>No</t>
        </is>
      </c>
      <c r="I2106" t="inlineStr">
        <is>
          <t>No</t>
        </is>
      </c>
      <c r="J2106" t="inlineStr">
        <is>
          <t>0</t>
        </is>
      </c>
      <c r="L2106" t="inlineStr">
        <is>
          <t>New York, N.Y. : Guilford Press, c1987.</t>
        </is>
      </c>
      <c r="M2106" t="inlineStr">
        <is>
          <t>1987</t>
        </is>
      </c>
      <c r="O2106" t="inlineStr">
        <is>
          <t>eng</t>
        </is>
      </c>
      <c r="P2106" t="inlineStr">
        <is>
          <t>nyu</t>
        </is>
      </c>
      <c r="R2106" t="inlineStr">
        <is>
          <t xml:space="preserve">HQ </t>
        </is>
      </c>
      <c r="S2106" t="n">
        <v>22</v>
      </c>
      <c r="T2106" t="n">
        <v>22</v>
      </c>
      <c r="U2106" t="inlineStr">
        <is>
          <t>1996-04-30</t>
        </is>
      </c>
      <c r="V2106" t="inlineStr">
        <is>
          <t>1996-04-30</t>
        </is>
      </c>
      <c r="W2106" t="inlineStr">
        <is>
          <t>1991-11-25</t>
        </is>
      </c>
      <c r="X2106" t="inlineStr">
        <is>
          <t>1991-11-25</t>
        </is>
      </c>
      <c r="Y2106" t="n">
        <v>544</v>
      </c>
      <c r="Z2106" t="n">
        <v>450</v>
      </c>
      <c r="AA2106" t="n">
        <v>452</v>
      </c>
      <c r="AB2106" t="n">
        <v>3</v>
      </c>
      <c r="AC2106" t="n">
        <v>3</v>
      </c>
      <c r="AD2106" t="n">
        <v>21</v>
      </c>
      <c r="AE2106" t="n">
        <v>21</v>
      </c>
      <c r="AF2106" t="n">
        <v>9</v>
      </c>
      <c r="AG2106" t="n">
        <v>9</v>
      </c>
      <c r="AH2106" t="n">
        <v>4</v>
      </c>
      <c r="AI2106" t="n">
        <v>4</v>
      </c>
      <c r="AJ2106" t="n">
        <v>13</v>
      </c>
      <c r="AK2106" t="n">
        <v>13</v>
      </c>
      <c r="AL2106" t="n">
        <v>2</v>
      </c>
      <c r="AM2106" t="n">
        <v>2</v>
      </c>
      <c r="AN2106" t="n">
        <v>0</v>
      </c>
      <c r="AO2106" t="n">
        <v>0</v>
      </c>
      <c r="AP2106" t="inlineStr">
        <is>
          <t>No</t>
        </is>
      </c>
      <c r="AQ2106" t="inlineStr">
        <is>
          <t>No</t>
        </is>
      </c>
      <c r="AS2106">
        <f>HYPERLINK("https://creighton-primo.hosted.exlibrisgroup.com/primo-explore/search?tab=default_tab&amp;search_scope=EVERYTHING&amp;vid=01CRU&amp;lang=en_US&amp;offset=0&amp;query=any,contains,991001086299702656","Catalog Record")</f>
        <v/>
      </c>
      <c r="AT2106">
        <f>HYPERLINK("http://www.worldcat.org/oclc/16129769","WorldCat Record")</f>
        <v/>
      </c>
      <c r="AU2106" t="inlineStr">
        <is>
          <t>355530081:eng</t>
        </is>
      </c>
      <c r="AV2106" t="inlineStr">
        <is>
          <t>16129769</t>
        </is>
      </c>
      <c r="AW2106" t="inlineStr">
        <is>
          <t>991001086299702656</t>
        </is>
      </c>
      <c r="AX2106" t="inlineStr">
        <is>
          <t>991001086299702656</t>
        </is>
      </c>
      <c r="AY2106" t="inlineStr">
        <is>
          <t>2267542700002656</t>
        </is>
      </c>
      <c r="AZ2106" t="inlineStr">
        <is>
          <t>BOOK</t>
        </is>
      </c>
      <c r="BB2106" t="inlineStr">
        <is>
          <t>9780898629224</t>
        </is>
      </c>
      <c r="BC2106" t="inlineStr">
        <is>
          <t>32285000845080</t>
        </is>
      </c>
      <c r="BD2106" t="inlineStr">
        <is>
          <t>893772294</t>
        </is>
      </c>
    </row>
    <row r="2107">
      <c r="A2107" t="inlineStr">
        <is>
          <t>No</t>
        </is>
      </c>
      <c r="B2107" t="inlineStr">
        <is>
          <t>HQ759.92 .S74 1995</t>
        </is>
      </c>
      <c r="C2107" t="inlineStr">
        <is>
          <t>0                      HQ 0759920S  74          1995</t>
        </is>
      </c>
      <c r="D2107" t="inlineStr">
        <is>
          <t>Stepparenting : issues in theory, research, and practice / edited by Kay Pasley and Marilyn Ihinger-Tallman.</t>
        </is>
      </c>
      <c r="F2107" t="inlineStr">
        <is>
          <t>No</t>
        </is>
      </c>
      <c r="G2107" t="inlineStr">
        <is>
          <t>1</t>
        </is>
      </c>
      <c r="H2107" t="inlineStr">
        <is>
          <t>No</t>
        </is>
      </c>
      <c r="I2107" t="inlineStr">
        <is>
          <t>No</t>
        </is>
      </c>
      <c r="J2107" t="inlineStr">
        <is>
          <t>0</t>
        </is>
      </c>
      <c r="L2107" t="inlineStr">
        <is>
          <t>Westport, Conn. : Praeger, c1995.</t>
        </is>
      </c>
      <c r="M2107" t="inlineStr">
        <is>
          <t>1995</t>
        </is>
      </c>
      <c r="O2107" t="inlineStr">
        <is>
          <t>eng</t>
        </is>
      </c>
      <c r="P2107" t="inlineStr">
        <is>
          <t>ctu</t>
        </is>
      </c>
      <c r="Q2107" t="inlineStr">
        <is>
          <t>Contributions in sociology, 0084-9278 ; no. 108</t>
        </is>
      </c>
      <c r="R2107" t="inlineStr">
        <is>
          <t xml:space="preserve">HQ </t>
        </is>
      </c>
      <c r="S2107" t="n">
        <v>10</v>
      </c>
      <c r="T2107" t="n">
        <v>10</v>
      </c>
      <c r="U2107" t="inlineStr">
        <is>
          <t>2001-09-11</t>
        </is>
      </c>
      <c r="V2107" t="inlineStr">
        <is>
          <t>2001-09-11</t>
        </is>
      </c>
      <c r="W2107" t="inlineStr">
        <is>
          <t>1996-05-20</t>
        </is>
      </c>
      <c r="X2107" t="inlineStr">
        <is>
          <t>1996-05-20</t>
        </is>
      </c>
      <c r="Y2107" t="n">
        <v>48</v>
      </c>
      <c r="Z2107" t="n">
        <v>43</v>
      </c>
      <c r="AA2107" t="n">
        <v>647</v>
      </c>
      <c r="AB2107" t="n">
        <v>1</v>
      </c>
      <c r="AC2107" t="n">
        <v>5</v>
      </c>
      <c r="AD2107" t="n">
        <v>1</v>
      </c>
      <c r="AE2107" t="n">
        <v>23</v>
      </c>
      <c r="AF2107" t="n">
        <v>1</v>
      </c>
      <c r="AG2107" t="n">
        <v>11</v>
      </c>
      <c r="AH2107" t="n">
        <v>0</v>
      </c>
      <c r="AI2107" t="n">
        <v>4</v>
      </c>
      <c r="AJ2107" t="n">
        <v>0</v>
      </c>
      <c r="AK2107" t="n">
        <v>12</v>
      </c>
      <c r="AL2107" t="n">
        <v>0</v>
      </c>
      <c r="AM2107" t="n">
        <v>4</v>
      </c>
      <c r="AN2107" t="n">
        <v>0</v>
      </c>
      <c r="AO2107" t="n">
        <v>0</v>
      </c>
      <c r="AP2107" t="inlineStr">
        <is>
          <t>No</t>
        </is>
      </c>
      <c r="AQ2107" t="inlineStr">
        <is>
          <t>No</t>
        </is>
      </c>
      <c r="AS2107">
        <f>HYPERLINK("https://creighton-primo.hosted.exlibrisgroup.com/primo-explore/search?tab=default_tab&amp;search_scope=EVERYTHING&amp;vid=01CRU&amp;lang=en_US&amp;offset=0&amp;query=any,contains,991005422819702656","Catalog Record")</f>
        <v/>
      </c>
      <c r="AT2107">
        <f>HYPERLINK("http://www.worldcat.org/oclc/33895072","WorldCat Record")</f>
        <v/>
      </c>
      <c r="AU2107" t="inlineStr">
        <is>
          <t>797314573:eng</t>
        </is>
      </c>
      <c r="AV2107" t="inlineStr">
        <is>
          <t>33895072</t>
        </is>
      </c>
      <c r="AW2107" t="inlineStr">
        <is>
          <t>991005422819702656</t>
        </is>
      </c>
      <c r="AX2107" t="inlineStr">
        <is>
          <t>991005422819702656</t>
        </is>
      </c>
      <c r="AY2107" t="inlineStr">
        <is>
          <t>2267463780002656</t>
        </is>
      </c>
      <c r="AZ2107" t="inlineStr">
        <is>
          <t>BOOK</t>
        </is>
      </c>
      <c r="BB2107" t="inlineStr">
        <is>
          <t>9780275953812</t>
        </is>
      </c>
      <c r="BC2107" t="inlineStr">
        <is>
          <t>32285002175445</t>
        </is>
      </c>
      <c r="BD2107" t="inlineStr">
        <is>
          <t>893418924</t>
        </is>
      </c>
    </row>
    <row r="2108">
      <c r="A2108" t="inlineStr">
        <is>
          <t>No</t>
        </is>
      </c>
      <c r="B2108" t="inlineStr">
        <is>
          <t>HQ759.92 .U543 1995</t>
        </is>
      </c>
      <c r="C2108" t="inlineStr">
        <is>
          <t>0                      HQ 0759920U  543         1995</t>
        </is>
      </c>
      <c r="D2108" t="inlineStr">
        <is>
          <t>Understanding stepfamilies : their structure and dynamics / Craig A. Everett, editor.</t>
        </is>
      </c>
      <c r="F2108" t="inlineStr">
        <is>
          <t>No</t>
        </is>
      </c>
      <c r="G2108" t="inlineStr">
        <is>
          <t>1</t>
        </is>
      </c>
      <c r="H2108" t="inlineStr">
        <is>
          <t>No</t>
        </is>
      </c>
      <c r="I2108" t="inlineStr">
        <is>
          <t>No</t>
        </is>
      </c>
      <c r="J2108" t="inlineStr">
        <is>
          <t>0</t>
        </is>
      </c>
      <c r="L2108" t="inlineStr">
        <is>
          <t>New York : Haworth Press, c1995.</t>
        </is>
      </c>
      <c r="M2108" t="inlineStr">
        <is>
          <t>1995</t>
        </is>
      </c>
      <c r="O2108" t="inlineStr">
        <is>
          <t>eng</t>
        </is>
      </c>
      <c r="P2108" t="inlineStr">
        <is>
          <t>nyu</t>
        </is>
      </c>
      <c r="R2108" t="inlineStr">
        <is>
          <t xml:space="preserve">HQ </t>
        </is>
      </c>
      <c r="S2108" t="n">
        <v>3</v>
      </c>
      <c r="T2108" t="n">
        <v>3</v>
      </c>
      <c r="U2108" t="inlineStr">
        <is>
          <t>2002-10-28</t>
        </is>
      </c>
      <c r="V2108" t="inlineStr">
        <is>
          <t>2002-10-28</t>
        </is>
      </c>
      <c r="W2108" t="inlineStr">
        <is>
          <t>1996-06-05</t>
        </is>
      </c>
      <c r="X2108" t="inlineStr">
        <is>
          <t>1996-06-05</t>
        </is>
      </c>
      <c r="Y2108" t="n">
        <v>111</v>
      </c>
      <c r="Z2108" t="n">
        <v>85</v>
      </c>
      <c r="AA2108" t="n">
        <v>124</v>
      </c>
      <c r="AB2108" t="n">
        <v>2</v>
      </c>
      <c r="AC2108" t="n">
        <v>2</v>
      </c>
      <c r="AD2108" t="n">
        <v>8</v>
      </c>
      <c r="AE2108" t="n">
        <v>9</v>
      </c>
      <c r="AF2108" t="n">
        <v>5</v>
      </c>
      <c r="AG2108" t="n">
        <v>6</v>
      </c>
      <c r="AH2108" t="n">
        <v>0</v>
      </c>
      <c r="AI2108" t="n">
        <v>0</v>
      </c>
      <c r="AJ2108" t="n">
        <v>3</v>
      </c>
      <c r="AK2108" t="n">
        <v>3</v>
      </c>
      <c r="AL2108" t="n">
        <v>1</v>
      </c>
      <c r="AM2108" t="n">
        <v>1</v>
      </c>
      <c r="AN2108" t="n">
        <v>0</v>
      </c>
      <c r="AO2108" t="n">
        <v>0</v>
      </c>
      <c r="AP2108" t="inlineStr">
        <is>
          <t>No</t>
        </is>
      </c>
      <c r="AQ2108" t="inlineStr">
        <is>
          <t>No</t>
        </is>
      </c>
      <c r="AS2108">
        <f>HYPERLINK("https://creighton-primo.hosted.exlibrisgroup.com/primo-explore/search?tab=default_tab&amp;search_scope=EVERYTHING&amp;vid=01CRU&amp;lang=en_US&amp;offset=0&amp;query=any,contains,991005422919702656","Catalog Record")</f>
        <v/>
      </c>
      <c r="AT2108">
        <f>HYPERLINK("http://www.worldcat.org/oclc/33947256","WorldCat Record")</f>
        <v/>
      </c>
      <c r="AU2108" t="inlineStr">
        <is>
          <t>56029815:eng</t>
        </is>
      </c>
      <c r="AV2108" t="inlineStr">
        <is>
          <t>33947256</t>
        </is>
      </c>
      <c r="AW2108" t="inlineStr">
        <is>
          <t>991005422919702656</t>
        </is>
      </c>
      <c r="AX2108" t="inlineStr">
        <is>
          <t>991005422919702656</t>
        </is>
      </c>
      <c r="AY2108" t="inlineStr">
        <is>
          <t>2262088940002656</t>
        </is>
      </c>
      <c r="AZ2108" t="inlineStr">
        <is>
          <t>BOOK</t>
        </is>
      </c>
      <c r="BB2108" t="inlineStr">
        <is>
          <t>9781560247692</t>
        </is>
      </c>
      <c r="BC2108" t="inlineStr">
        <is>
          <t>32285002188505</t>
        </is>
      </c>
      <c r="BD2108" t="inlineStr">
        <is>
          <t>893444009</t>
        </is>
      </c>
    </row>
    <row r="2109">
      <c r="A2109" t="inlineStr">
        <is>
          <t>No</t>
        </is>
      </c>
      <c r="B2109" t="inlineStr">
        <is>
          <t>HQ759.92 .W66 1989</t>
        </is>
      </c>
      <c r="C2109" t="inlineStr">
        <is>
          <t>0                      HQ 0759920W  66          1989</t>
        </is>
      </c>
      <c r="D2109" t="inlineStr">
        <is>
          <t>Women and stepfamilies : voices of anger and love / edited by Nan Bauer Maglin and Nancy Schniedewind.</t>
        </is>
      </c>
      <c r="F2109" t="inlineStr">
        <is>
          <t>No</t>
        </is>
      </c>
      <c r="G2109" t="inlineStr">
        <is>
          <t>1</t>
        </is>
      </c>
      <c r="H2109" t="inlineStr">
        <is>
          <t>No</t>
        </is>
      </c>
      <c r="I2109" t="inlineStr">
        <is>
          <t>No</t>
        </is>
      </c>
      <c r="J2109" t="inlineStr">
        <is>
          <t>0</t>
        </is>
      </c>
      <c r="L2109" t="inlineStr">
        <is>
          <t>Philadelphia : Temple University Press, 1989.</t>
        </is>
      </c>
      <c r="M2109" t="inlineStr">
        <is>
          <t>1989</t>
        </is>
      </c>
      <c r="O2109" t="inlineStr">
        <is>
          <t>eng</t>
        </is>
      </c>
      <c r="P2109" t="inlineStr">
        <is>
          <t>pau</t>
        </is>
      </c>
      <c r="Q2109" t="inlineStr">
        <is>
          <t>Women in the political economy</t>
        </is>
      </c>
      <c r="R2109" t="inlineStr">
        <is>
          <t xml:space="preserve">HQ </t>
        </is>
      </c>
      <c r="S2109" t="n">
        <v>10</v>
      </c>
      <c r="T2109" t="n">
        <v>10</v>
      </c>
      <c r="U2109" t="inlineStr">
        <is>
          <t>1997-10-08</t>
        </is>
      </c>
      <c r="V2109" t="inlineStr">
        <is>
          <t>1997-10-08</t>
        </is>
      </c>
      <c r="W2109" t="inlineStr">
        <is>
          <t>1990-05-24</t>
        </is>
      </c>
      <c r="X2109" t="inlineStr">
        <is>
          <t>1990-05-24</t>
        </is>
      </c>
      <c r="Y2109" t="n">
        <v>406</v>
      </c>
      <c r="Z2109" t="n">
        <v>365</v>
      </c>
      <c r="AA2109" t="n">
        <v>579</v>
      </c>
      <c r="AB2109" t="n">
        <v>6</v>
      </c>
      <c r="AC2109" t="n">
        <v>6</v>
      </c>
      <c r="AD2109" t="n">
        <v>17</v>
      </c>
      <c r="AE2109" t="n">
        <v>28</v>
      </c>
      <c r="AF2109" t="n">
        <v>4</v>
      </c>
      <c r="AG2109" t="n">
        <v>12</v>
      </c>
      <c r="AH2109" t="n">
        <v>2</v>
      </c>
      <c r="AI2109" t="n">
        <v>5</v>
      </c>
      <c r="AJ2109" t="n">
        <v>9</v>
      </c>
      <c r="AK2109" t="n">
        <v>14</v>
      </c>
      <c r="AL2109" t="n">
        <v>5</v>
      </c>
      <c r="AM2109" t="n">
        <v>5</v>
      </c>
      <c r="AN2109" t="n">
        <v>0</v>
      </c>
      <c r="AO2109" t="n">
        <v>0</v>
      </c>
      <c r="AP2109" t="inlineStr">
        <is>
          <t>No</t>
        </is>
      </c>
      <c r="AQ2109" t="inlineStr">
        <is>
          <t>No</t>
        </is>
      </c>
      <c r="AS2109">
        <f>HYPERLINK("https://creighton-primo.hosted.exlibrisgroup.com/primo-explore/search?tab=default_tab&amp;search_scope=EVERYTHING&amp;vid=01CRU&amp;lang=en_US&amp;offset=0&amp;query=any,contains,991001269839702656","Catalog Record")</f>
        <v/>
      </c>
      <c r="AT2109">
        <f>HYPERLINK("http://www.worldcat.org/oclc/17840760","WorldCat Record")</f>
        <v/>
      </c>
      <c r="AU2109" t="inlineStr">
        <is>
          <t>803321595:eng</t>
        </is>
      </c>
      <c r="AV2109" t="inlineStr">
        <is>
          <t>17840760</t>
        </is>
      </c>
      <c r="AW2109" t="inlineStr">
        <is>
          <t>991001269839702656</t>
        </is>
      </c>
      <c r="AX2109" t="inlineStr">
        <is>
          <t>991001269839702656</t>
        </is>
      </c>
      <c r="AY2109" t="inlineStr">
        <is>
          <t>2269106540002656</t>
        </is>
      </c>
      <c r="AZ2109" t="inlineStr">
        <is>
          <t>BOOK</t>
        </is>
      </c>
      <c r="BB2109" t="inlineStr">
        <is>
          <t>9780877225867</t>
        </is>
      </c>
      <c r="BC2109" t="inlineStr">
        <is>
          <t>32285000165380</t>
        </is>
      </c>
      <c r="BD2109" t="inlineStr">
        <is>
          <t>893414117</t>
        </is>
      </c>
    </row>
    <row r="2110">
      <c r="A2110" t="inlineStr">
        <is>
          <t>No</t>
        </is>
      </c>
      <c r="B2110" t="inlineStr">
        <is>
          <t>HQ759.98 .H68 1995</t>
        </is>
      </c>
      <c r="C2110" t="inlineStr">
        <is>
          <t>0                      HQ 0759980H  68          1995</t>
        </is>
      </c>
      <c r="D2110" t="inlineStr">
        <is>
          <t>Household demography and household modeling / edited by Evert van Imhoff ... [et al.].</t>
        </is>
      </c>
      <c r="F2110" t="inlineStr">
        <is>
          <t>No</t>
        </is>
      </c>
      <c r="G2110" t="inlineStr">
        <is>
          <t>1</t>
        </is>
      </c>
      <c r="H2110" t="inlineStr">
        <is>
          <t>No</t>
        </is>
      </c>
      <c r="I2110" t="inlineStr">
        <is>
          <t>No</t>
        </is>
      </c>
      <c r="J2110" t="inlineStr">
        <is>
          <t>0</t>
        </is>
      </c>
      <c r="L2110" t="inlineStr">
        <is>
          <t>New York : Plenum Press, c1995.</t>
        </is>
      </c>
      <c r="M2110" t="inlineStr">
        <is>
          <t>1995</t>
        </is>
      </c>
      <c r="O2110" t="inlineStr">
        <is>
          <t>eng</t>
        </is>
      </c>
      <c r="P2110" t="inlineStr">
        <is>
          <t>nyu</t>
        </is>
      </c>
      <c r="Q2110" t="inlineStr">
        <is>
          <t>The Plenum series on demographic methods and population analysis</t>
        </is>
      </c>
      <c r="R2110" t="inlineStr">
        <is>
          <t xml:space="preserve">HQ </t>
        </is>
      </c>
      <c r="S2110" t="n">
        <v>5</v>
      </c>
      <c r="T2110" t="n">
        <v>5</v>
      </c>
      <c r="U2110" t="inlineStr">
        <is>
          <t>2003-11-16</t>
        </is>
      </c>
      <c r="V2110" t="inlineStr">
        <is>
          <t>2003-11-16</t>
        </is>
      </c>
      <c r="W2110" t="inlineStr">
        <is>
          <t>1996-03-29</t>
        </is>
      </c>
      <c r="X2110" t="inlineStr">
        <is>
          <t>1996-03-29</t>
        </is>
      </c>
      <c r="Y2110" t="n">
        <v>193</v>
      </c>
      <c r="Z2110" t="n">
        <v>129</v>
      </c>
      <c r="AA2110" t="n">
        <v>135</v>
      </c>
      <c r="AB2110" t="n">
        <v>2</v>
      </c>
      <c r="AC2110" t="n">
        <v>2</v>
      </c>
      <c r="AD2110" t="n">
        <v>5</v>
      </c>
      <c r="AE2110" t="n">
        <v>6</v>
      </c>
      <c r="AF2110" t="n">
        <v>0</v>
      </c>
      <c r="AG2110" t="n">
        <v>1</v>
      </c>
      <c r="AH2110" t="n">
        <v>2</v>
      </c>
      <c r="AI2110" t="n">
        <v>2</v>
      </c>
      <c r="AJ2110" t="n">
        <v>3</v>
      </c>
      <c r="AK2110" t="n">
        <v>4</v>
      </c>
      <c r="AL2110" t="n">
        <v>1</v>
      </c>
      <c r="AM2110" t="n">
        <v>1</v>
      </c>
      <c r="AN2110" t="n">
        <v>0</v>
      </c>
      <c r="AO2110" t="n">
        <v>0</v>
      </c>
      <c r="AP2110" t="inlineStr">
        <is>
          <t>No</t>
        </is>
      </c>
      <c r="AQ2110" t="inlineStr">
        <is>
          <t>No</t>
        </is>
      </c>
      <c r="AS2110">
        <f>HYPERLINK("https://creighton-primo.hosted.exlibrisgroup.com/primo-explore/search?tab=default_tab&amp;search_scope=EVERYTHING&amp;vid=01CRU&amp;lang=en_US&amp;offset=0&amp;query=any,contains,991002561579702656","Catalog Record")</f>
        <v/>
      </c>
      <c r="AT2110">
        <f>HYPERLINK("http://www.worldcat.org/oclc/33282211","WorldCat Record")</f>
        <v/>
      </c>
      <c r="AU2110" t="inlineStr">
        <is>
          <t>38040313:eng</t>
        </is>
      </c>
      <c r="AV2110" t="inlineStr">
        <is>
          <t>33282211</t>
        </is>
      </c>
      <c r="AW2110" t="inlineStr">
        <is>
          <t>991002561579702656</t>
        </is>
      </c>
      <c r="AX2110" t="inlineStr">
        <is>
          <t>991002561579702656</t>
        </is>
      </c>
      <c r="AY2110" t="inlineStr">
        <is>
          <t>2267463000002656</t>
        </is>
      </c>
      <c r="AZ2110" t="inlineStr">
        <is>
          <t>BOOK</t>
        </is>
      </c>
      <c r="BB2110" t="inlineStr">
        <is>
          <t>9780306451874</t>
        </is>
      </c>
      <c r="BC2110" t="inlineStr">
        <is>
          <t>32285002148434</t>
        </is>
      </c>
      <c r="BD2110" t="inlineStr">
        <is>
          <t>893262352</t>
        </is>
      </c>
    </row>
    <row r="2111">
      <c r="A2111" t="inlineStr">
        <is>
          <t>No</t>
        </is>
      </c>
      <c r="B2111" t="inlineStr">
        <is>
          <t>HQ759.98 .J44 1997</t>
        </is>
      </c>
      <c r="C2111" t="inlineStr">
        <is>
          <t>0                      HQ 0759980J  44          1997</t>
        </is>
      </c>
      <c r="D2111" t="inlineStr">
        <is>
          <t>Population, gender, and politics : demographic change in rural North India / Roger Jeffery and Patricia Jeffery.</t>
        </is>
      </c>
      <c r="F2111" t="inlineStr">
        <is>
          <t>No</t>
        </is>
      </c>
      <c r="G2111" t="inlineStr">
        <is>
          <t>1</t>
        </is>
      </c>
      <c r="H2111" t="inlineStr">
        <is>
          <t>No</t>
        </is>
      </c>
      <c r="I2111" t="inlineStr">
        <is>
          <t>No</t>
        </is>
      </c>
      <c r="J2111" t="inlineStr">
        <is>
          <t>0</t>
        </is>
      </c>
      <c r="K2111" t="inlineStr">
        <is>
          <t>Jeffery, Roger.</t>
        </is>
      </c>
      <c r="L2111" t="inlineStr">
        <is>
          <t>Cambridge ; New York : Cambridge University Press, 1997.</t>
        </is>
      </c>
      <c r="M2111" t="inlineStr">
        <is>
          <t>1997</t>
        </is>
      </c>
      <c r="O2111" t="inlineStr">
        <is>
          <t>eng</t>
        </is>
      </c>
      <c r="P2111" t="inlineStr">
        <is>
          <t>enk</t>
        </is>
      </c>
      <c r="Q2111" t="inlineStr">
        <is>
          <t>Contemporary South Asia ; 3</t>
        </is>
      </c>
      <c r="R2111" t="inlineStr">
        <is>
          <t xml:space="preserve">HQ </t>
        </is>
      </c>
      <c r="S2111" t="n">
        <v>5</v>
      </c>
      <c r="T2111" t="n">
        <v>5</v>
      </c>
      <c r="U2111" t="inlineStr">
        <is>
          <t>2008-09-19</t>
        </is>
      </c>
      <c r="V2111" t="inlineStr">
        <is>
          <t>2008-09-19</t>
        </is>
      </c>
      <c r="W2111" t="inlineStr">
        <is>
          <t>1998-09-01</t>
        </is>
      </c>
      <c r="X2111" t="inlineStr">
        <is>
          <t>1998-09-01</t>
        </is>
      </c>
      <c r="Y2111" t="n">
        <v>299</v>
      </c>
      <c r="Z2111" t="n">
        <v>207</v>
      </c>
      <c r="AA2111" t="n">
        <v>216</v>
      </c>
      <c r="AB2111" t="n">
        <v>2</v>
      </c>
      <c r="AC2111" t="n">
        <v>2</v>
      </c>
      <c r="AD2111" t="n">
        <v>11</v>
      </c>
      <c r="AE2111" t="n">
        <v>11</v>
      </c>
      <c r="AF2111" t="n">
        <v>3</v>
      </c>
      <c r="AG2111" t="n">
        <v>3</v>
      </c>
      <c r="AH2111" t="n">
        <v>3</v>
      </c>
      <c r="AI2111" t="n">
        <v>3</v>
      </c>
      <c r="AJ2111" t="n">
        <v>6</v>
      </c>
      <c r="AK2111" t="n">
        <v>6</v>
      </c>
      <c r="AL2111" t="n">
        <v>1</v>
      </c>
      <c r="AM2111" t="n">
        <v>1</v>
      </c>
      <c r="AN2111" t="n">
        <v>0</v>
      </c>
      <c r="AO2111" t="n">
        <v>0</v>
      </c>
      <c r="AP2111" t="inlineStr">
        <is>
          <t>No</t>
        </is>
      </c>
      <c r="AQ2111" t="inlineStr">
        <is>
          <t>No</t>
        </is>
      </c>
      <c r="AS2111">
        <f>HYPERLINK("https://creighton-primo.hosted.exlibrisgroup.com/primo-explore/search?tab=default_tab&amp;search_scope=EVERYTHING&amp;vid=01CRU&amp;lang=en_US&amp;offset=0&amp;query=any,contains,991002806589702656","Catalog Record")</f>
        <v/>
      </c>
      <c r="AT2111">
        <f>HYPERLINK("http://www.worldcat.org/oclc/36875880","WorldCat Record")</f>
        <v/>
      </c>
      <c r="AU2111" t="inlineStr">
        <is>
          <t>889396934:eng</t>
        </is>
      </c>
      <c r="AV2111" t="inlineStr">
        <is>
          <t>36875880</t>
        </is>
      </c>
      <c r="AW2111" t="inlineStr">
        <is>
          <t>991002806589702656</t>
        </is>
      </c>
      <c r="AX2111" t="inlineStr">
        <is>
          <t>991002806589702656</t>
        </is>
      </c>
      <c r="AY2111" t="inlineStr">
        <is>
          <t>2272249130002656</t>
        </is>
      </c>
      <c r="AZ2111" t="inlineStr">
        <is>
          <t>BOOK</t>
        </is>
      </c>
      <c r="BB2111" t="inlineStr">
        <is>
          <t>9780521461160</t>
        </is>
      </c>
      <c r="BC2111" t="inlineStr">
        <is>
          <t>32285003464673</t>
        </is>
      </c>
      <c r="BD2111" t="inlineStr">
        <is>
          <t>893899263</t>
        </is>
      </c>
    </row>
    <row r="2112">
      <c r="A2112" t="inlineStr">
        <is>
          <t>No</t>
        </is>
      </c>
      <c r="B2112" t="inlineStr">
        <is>
          <t>HQ76 .A26</t>
        </is>
      </c>
      <c r="C2112" t="inlineStr">
        <is>
          <t>0                      HQ 0076000A  26</t>
        </is>
      </c>
      <c r="D2112" t="inlineStr">
        <is>
          <t>Sappho was a right-on woman : a liberated view of lesbianism / [by] Sidney Abbott and Barbara Love.</t>
        </is>
      </c>
      <c r="F2112" t="inlineStr">
        <is>
          <t>No</t>
        </is>
      </c>
      <c r="G2112" t="inlineStr">
        <is>
          <t>1</t>
        </is>
      </c>
      <c r="H2112" t="inlineStr">
        <is>
          <t>No</t>
        </is>
      </c>
      <c r="I2112" t="inlineStr">
        <is>
          <t>No</t>
        </is>
      </c>
      <c r="J2112" t="inlineStr">
        <is>
          <t>0</t>
        </is>
      </c>
      <c r="K2112" t="inlineStr">
        <is>
          <t>Abbott, Sidney.</t>
        </is>
      </c>
      <c r="L2112" t="inlineStr">
        <is>
          <t>New York : Stein and Day, [1972]</t>
        </is>
      </c>
      <c r="M2112" t="inlineStr">
        <is>
          <t>1972</t>
        </is>
      </c>
      <c r="O2112" t="inlineStr">
        <is>
          <t>eng</t>
        </is>
      </c>
      <c r="P2112" t="inlineStr">
        <is>
          <t>nyu</t>
        </is>
      </c>
      <c r="R2112" t="inlineStr">
        <is>
          <t xml:space="preserve">HQ </t>
        </is>
      </c>
      <c r="S2112" t="n">
        <v>8</v>
      </c>
      <c r="T2112" t="n">
        <v>8</v>
      </c>
      <c r="U2112" t="inlineStr">
        <is>
          <t>1996-09-13</t>
        </is>
      </c>
      <c r="V2112" t="inlineStr">
        <is>
          <t>1996-09-13</t>
        </is>
      </c>
      <c r="W2112" t="inlineStr">
        <is>
          <t>1993-03-16</t>
        </is>
      </c>
      <c r="X2112" t="inlineStr">
        <is>
          <t>1993-03-16</t>
        </is>
      </c>
      <c r="Y2112" t="n">
        <v>554</v>
      </c>
      <c r="Z2112" t="n">
        <v>494</v>
      </c>
      <c r="AA2112" t="n">
        <v>680</v>
      </c>
      <c r="AB2112" t="n">
        <v>3</v>
      </c>
      <c r="AC2112" t="n">
        <v>8</v>
      </c>
      <c r="AD2112" t="n">
        <v>16</v>
      </c>
      <c r="AE2112" t="n">
        <v>26</v>
      </c>
      <c r="AF2112" t="n">
        <v>5</v>
      </c>
      <c r="AG2112" t="n">
        <v>10</v>
      </c>
      <c r="AH2112" t="n">
        <v>7</v>
      </c>
      <c r="AI2112" t="n">
        <v>8</v>
      </c>
      <c r="AJ2112" t="n">
        <v>8</v>
      </c>
      <c r="AK2112" t="n">
        <v>9</v>
      </c>
      <c r="AL2112" t="n">
        <v>1</v>
      </c>
      <c r="AM2112" t="n">
        <v>6</v>
      </c>
      <c r="AN2112" t="n">
        <v>0</v>
      </c>
      <c r="AO2112" t="n">
        <v>0</v>
      </c>
      <c r="AP2112" t="inlineStr">
        <is>
          <t>No</t>
        </is>
      </c>
      <c r="AQ2112" t="inlineStr">
        <is>
          <t>Yes</t>
        </is>
      </c>
      <c r="AR2112">
        <f>HYPERLINK("http://catalog.hathitrust.org/Record/001109875","HathiTrust Record")</f>
        <v/>
      </c>
      <c r="AS2112">
        <f>HYPERLINK("https://creighton-primo.hosted.exlibrisgroup.com/primo-explore/search?tab=default_tab&amp;search_scope=EVERYTHING&amp;vid=01CRU&amp;lang=en_US&amp;offset=0&amp;query=any,contains,991002613459702656","Catalog Record")</f>
        <v/>
      </c>
      <c r="AT2112">
        <f>HYPERLINK("http://www.worldcat.org/oclc/378750","WorldCat Record")</f>
        <v/>
      </c>
      <c r="AU2112" t="inlineStr">
        <is>
          <t>1478088:eng</t>
        </is>
      </c>
      <c r="AV2112" t="inlineStr">
        <is>
          <t>378750</t>
        </is>
      </c>
      <c r="AW2112" t="inlineStr">
        <is>
          <t>991002613459702656</t>
        </is>
      </c>
      <c r="AX2112" t="inlineStr">
        <is>
          <t>991002613459702656</t>
        </is>
      </c>
      <c r="AY2112" t="inlineStr">
        <is>
          <t>2264340570002656</t>
        </is>
      </c>
      <c r="AZ2112" t="inlineStr">
        <is>
          <t>BOOK</t>
        </is>
      </c>
      <c r="BB2112" t="inlineStr">
        <is>
          <t>9780812814095</t>
        </is>
      </c>
      <c r="BC2112" t="inlineStr">
        <is>
          <t>32285001572980</t>
        </is>
      </c>
      <c r="BD2112" t="inlineStr">
        <is>
          <t>893622487</t>
        </is>
      </c>
    </row>
    <row r="2113">
      <c r="A2113" t="inlineStr">
        <is>
          <t>No</t>
        </is>
      </c>
      <c r="B2113" t="inlineStr">
        <is>
          <t>HQ76 .A585 1971</t>
        </is>
      </c>
      <c r="C2113" t="inlineStr">
        <is>
          <t>0                      HQ 0076000A  585         1971</t>
        </is>
      </c>
      <c r="D2113" t="inlineStr">
        <is>
          <t>Homosexual; oppression and liberation / Dennis Altman.</t>
        </is>
      </c>
      <c r="F2113" t="inlineStr">
        <is>
          <t>No</t>
        </is>
      </c>
      <c r="G2113" t="inlineStr">
        <is>
          <t>1</t>
        </is>
      </c>
      <c r="H2113" t="inlineStr">
        <is>
          <t>No</t>
        </is>
      </c>
      <c r="I2113" t="inlineStr">
        <is>
          <t>No</t>
        </is>
      </c>
      <c r="J2113" t="inlineStr">
        <is>
          <t>0</t>
        </is>
      </c>
      <c r="K2113" t="inlineStr">
        <is>
          <t>Altman, Dennis, 1943-</t>
        </is>
      </c>
      <c r="L2113" t="inlineStr">
        <is>
          <t>New York : Outerbridge &amp; Dienstfrey; distributed by Dutton, 1971.</t>
        </is>
      </c>
      <c r="M2113" t="inlineStr">
        <is>
          <t>1971</t>
        </is>
      </c>
      <c r="O2113" t="inlineStr">
        <is>
          <t>eng</t>
        </is>
      </c>
      <c r="P2113" t="inlineStr">
        <is>
          <t>nyu</t>
        </is>
      </c>
      <c r="R2113" t="inlineStr">
        <is>
          <t xml:space="preserve">HQ </t>
        </is>
      </c>
      <c r="S2113" t="n">
        <v>7</v>
      </c>
      <c r="T2113" t="n">
        <v>7</v>
      </c>
      <c r="U2113" t="inlineStr">
        <is>
          <t>1995-02-08</t>
        </is>
      </c>
      <c r="V2113" t="inlineStr">
        <is>
          <t>1995-02-08</t>
        </is>
      </c>
      <c r="W2113" t="inlineStr">
        <is>
          <t>1992-03-13</t>
        </is>
      </c>
      <c r="X2113" t="inlineStr">
        <is>
          <t>1992-03-13</t>
        </is>
      </c>
      <c r="Y2113" t="n">
        <v>399</v>
      </c>
      <c r="Z2113" t="n">
        <v>348</v>
      </c>
      <c r="AA2113" t="n">
        <v>977</v>
      </c>
      <c r="AB2113" t="n">
        <v>7</v>
      </c>
      <c r="AC2113" t="n">
        <v>11</v>
      </c>
      <c r="AD2113" t="n">
        <v>13</v>
      </c>
      <c r="AE2113" t="n">
        <v>41</v>
      </c>
      <c r="AF2113" t="n">
        <v>3</v>
      </c>
      <c r="AG2113" t="n">
        <v>13</v>
      </c>
      <c r="AH2113" t="n">
        <v>3</v>
      </c>
      <c r="AI2113" t="n">
        <v>9</v>
      </c>
      <c r="AJ2113" t="n">
        <v>4</v>
      </c>
      <c r="AK2113" t="n">
        <v>16</v>
      </c>
      <c r="AL2113" t="n">
        <v>5</v>
      </c>
      <c r="AM2113" t="n">
        <v>9</v>
      </c>
      <c r="AN2113" t="n">
        <v>1</v>
      </c>
      <c r="AO2113" t="n">
        <v>3</v>
      </c>
      <c r="AP2113" t="inlineStr">
        <is>
          <t>No</t>
        </is>
      </c>
      <c r="AQ2113" t="inlineStr">
        <is>
          <t>No</t>
        </is>
      </c>
      <c r="AS2113">
        <f>HYPERLINK("https://creighton-primo.hosted.exlibrisgroup.com/primo-explore/search?tab=default_tab&amp;search_scope=EVERYTHING&amp;vid=01CRU&amp;lang=en_US&amp;offset=0&amp;query=any,contains,991001275829702656","Catalog Record")</f>
        <v/>
      </c>
      <c r="AT2113">
        <f>HYPERLINK("http://www.worldcat.org/oclc/214560","WorldCat Record")</f>
        <v/>
      </c>
      <c r="AU2113" t="inlineStr">
        <is>
          <t>57876410:eng</t>
        </is>
      </c>
      <c r="AV2113" t="inlineStr">
        <is>
          <t>214560</t>
        </is>
      </c>
      <c r="AW2113" t="inlineStr">
        <is>
          <t>991001275829702656</t>
        </is>
      </c>
      <c r="AX2113" t="inlineStr">
        <is>
          <t>991001275829702656</t>
        </is>
      </c>
      <c r="AY2113" t="inlineStr">
        <is>
          <t>2255011860002656</t>
        </is>
      </c>
      <c r="AZ2113" t="inlineStr">
        <is>
          <t>BOOK</t>
        </is>
      </c>
      <c r="BB2113" t="inlineStr">
        <is>
          <t>9780876900390</t>
        </is>
      </c>
      <c r="BC2113" t="inlineStr">
        <is>
          <t>32285000999788</t>
        </is>
      </c>
      <c r="BD2113" t="inlineStr">
        <is>
          <t>893709157</t>
        </is>
      </c>
    </row>
    <row r="2114">
      <c r="A2114" t="inlineStr">
        <is>
          <t>No</t>
        </is>
      </c>
      <c r="B2114" t="inlineStr">
        <is>
          <t>HQ76 .B84</t>
        </is>
      </c>
      <c r="C2114" t="inlineStr">
        <is>
          <t>0                      HQ 0076000B  84</t>
        </is>
      </c>
      <c r="D2114" t="inlineStr">
        <is>
          <t>Morality and the homosexual : a Catholic approach to a moral problem / with foreword by John C. Heenan.</t>
        </is>
      </c>
      <c r="F2114" t="inlineStr">
        <is>
          <t>No</t>
        </is>
      </c>
      <c r="G2114" t="inlineStr">
        <is>
          <t>1</t>
        </is>
      </c>
      <c r="H2114" t="inlineStr">
        <is>
          <t>No</t>
        </is>
      </c>
      <c r="I2114" t="inlineStr">
        <is>
          <t>No</t>
        </is>
      </c>
      <c r="J2114" t="inlineStr">
        <is>
          <t>0</t>
        </is>
      </c>
      <c r="K2114" t="inlineStr">
        <is>
          <t>Buckley, Michael J.</t>
        </is>
      </c>
      <c r="L2114" t="inlineStr">
        <is>
          <t>Westminster, Md. : Newman Press, [1960]</t>
        </is>
      </c>
      <c r="M2114" t="inlineStr">
        <is>
          <t>1960</t>
        </is>
      </c>
      <c r="O2114" t="inlineStr">
        <is>
          <t>eng</t>
        </is>
      </c>
      <c r="P2114" t="inlineStr">
        <is>
          <t xml:space="preserve">xx </t>
        </is>
      </c>
      <c r="R2114" t="inlineStr">
        <is>
          <t xml:space="preserve">HQ </t>
        </is>
      </c>
      <c r="S2114" t="n">
        <v>18</v>
      </c>
      <c r="T2114" t="n">
        <v>18</v>
      </c>
      <c r="U2114" t="inlineStr">
        <is>
          <t>2003-12-19</t>
        </is>
      </c>
      <c r="V2114" t="inlineStr">
        <is>
          <t>2003-12-19</t>
        </is>
      </c>
      <c r="W2114" t="inlineStr">
        <is>
          <t>1992-03-13</t>
        </is>
      </c>
      <c r="X2114" t="inlineStr">
        <is>
          <t>1992-03-13</t>
        </is>
      </c>
      <c r="Y2114" t="n">
        <v>125</v>
      </c>
      <c r="Z2114" t="n">
        <v>118</v>
      </c>
      <c r="AA2114" t="n">
        <v>194</v>
      </c>
      <c r="AB2114" t="n">
        <v>2</v>
      </c>
      <c r="AC2114" t="n">
        <v>2</v>
      </c>
      <c r="AD2114" t="n">
        <v>12</v>
      </c>
      <c r="AE2114" t="n">
        <v>17</v>
      </c>
      <c r="AF2114" t="n">
        <v>5</v>
      </c>
      <c r="AG2114" t="n">
        <v>5</v>
      </c>
      <c r="AH2114" t="n">
        <v>4</v>
      </c>
      <c r="AI2114" t="n">
        <v>5</v>
      </c>
      <c r="AJ2114" t="n">
        <v>8</v>
      </c>
      <c r="AK2114" t="n">
        <v>12</v>
      </c>
      <c r="AL2114" t="n">
        <v>0</v>
      </c>
      <c r="AM2114" t="n">
        <v>0</v>
      </c>
      <c r="AN2114" t="n">
        <v>0</v>
      </c>
      <c r="AO2114" t="n">
        <v>0</v>
      </c>
      <c r="AP2114" t="inlineStr">
        <is>
          <t>No</t>
        </is>
      </c>
      <c r="AQ2114" t="inlineStr">
        <is>
          <t>No</t>
        </is>
      </c>
      <c r="AS2114">
        <f>HYPERLINK("https://creighton-primo.hosted.exlibrisgroup.com/primo-explore/search?tab=default_tab&amp;search_scope=EVERYTHING&amp;vid=01CRU&amp;lang=en_US&amp;offset=0&amp;query=any,contains,991004692479702656","Catalog Record")</f>
        <v/>
      </c>
      <c r="AT2114">
        <f>HYPERLINK("http://www.worldcat.org/oclc/4625542","WorldCat Record")</f>
        <v/>
      </c>
      <c r="AU2114" t="inlineStr">
        <is>
          <t>1824752:eng</t>
        </is>
      </c>
      <c r="AV2114" t="inlineStr">
        <is>
          <t>4625542</t>
        </is>
      </c>
      <c r="AW2114" t="inlineStr">
        <is>
          <t>991004692479702656</t>
        </is>
      </c>
      <c r="AX2114" t="inlineStr">
        <is>
          <t>991004692479702656</t>
        </is>
      </c>
      <c r="AY2114" t="inlineStr">
        <is>
          <t>2254788040002656</t>
        </is>
      </c>
      <c r="AZ2114" t="inlineStr">
        <is>
          <t>BOOK</t>
        </is>
      </c>
      <c r="BC2114" t="inlineStr">
        <is>
          <t>32285000999770</t>
        </is>
      </c>
      <c r="BD2114" t="inlineStr">
        <is>
          <t>893600126</t>
        </is>
      </c>
    </row>
    <row r="2115">
      <c r="A2115" t="inlineStr">
        <is>
          <t>No</t>
        </is>
      </c>
      <c r="B2115" t="inlineStr">
        <is>
          <t>HQ76 .C297 1983</t>
        </is>
      </c>
      <c r="C2115" t="inlineStr">
        <is>
          <t>0                      HQ 0076000C  297         1983</t>
        </is>
      </c>
      <c r="D2115" t="inlineStr">
        <is>
          <t>The intermediate sex : a study of some transitional types of men and women / Edward Carpenter.</t>
        </is>
      </c>
      <c r="F2115" t="inlineStr">
        <is>
          <t>No</t>
        </is>
      </c>
      <c r="G2115" t="inlineStr">
        <is>
          <t>1</t>
        </is>
      </c>
      <c r="H2115" t="inlineStr">
        <is>
          <t>No</t>
        </is>
      </c>
      <c r="I2115" t="inlineStr">
        <is>
          <t>No</t>
        </is>
      </c>
      <c r="J2115" t="inlineStr">
        <is>
          <t>0</t>
        </is>
      </c>
      <c r="K2115" t="inlineStr">
        <is>
          <t>Carpenter, Edward, 1844-1929.</t>
        </is>
      </c>
      <c r="L2115" t="inlineStr">
        <is>
          <t>New York : AMS Press, 1983.</t>
        </is>
      </c>
      <c r="M2115" t="inlineStr">
        <is>
          <t>1983</t>
        </is>
      </c>
      <c r="O2115" t="inlineStr">
        <is>
          <t>eng</t>
        </is>
      </c>
      <c r="P2115" t="inlineStr">
        <is>
          <t>nyu</t>
        </is>
      </c>
      <c r="R2115" t="inlineStr">
        <is>
          <t xml:space="preserve">HQ </t>
        </is>
      </c>
      <c r="S2115" t="n">
        <v>6</v>
      </c>
      <c r="T2115" t="n">
        <v>6</v>
      </c>
      <c r="U2115" t="inlineStr">
        <is>
          <t>2010-03-17</t>
        </is>
      </c>
      <c r="V2115" t="inlineStr">
        <is>
          <t>2010-03-17</t>
        </is>
      </c>
      <c r="W2115" t="inlineStr">
        <is>
          <t>1990-02-13</t>
        </is>
      </c>
      <c r="X2115" t="inlineStr">
        <is>
          <t>1990-02-13</t>
        </is>
      </c>
      <c r="Y2115" t="n">
        <v>31</v>
      </c>
      <c r="Z2115" t="n">
        <v>25</v>
      </c>
      <c r="AA2115" t="n">
        <v>238</v>
      </c>
      <c r="AB2115" t="n">
        <v>1</v>
      </c>
      <c r="AC2115" t="n">
        <v>2</v>
      </c>
      <c r="AD2115" t="n">
        <v>1</v>
      </c>
      <c r="AE2115" t="n">
        <v>6</v>
      </c>
      <c r="AF2115" t="n">
        <v>0</v>
      </c>
      <c r="AG2115" t="n">
        <v>1</v>
      </c>
      <c r="AH2115" t="n">
        <v>0</v>
      </c>
      <c r="AI2115" t="n">
        <v>3</v>
      </c>
      <c r="AJ2115" t="n">
        <v>1</v>
      </c>
      <c r="AK2115" t="n">
        <v>2</v>
      </c>
      <c r="AL2115" t="n">
        <v>0</v>
      </c>
      <c r="AM2115" t="n">
        <v>1</v>
      </c>
      <c r="AN2115" t="n">
        <v>0</v>
      </c>
      <c r="AO2115" t="n">
        <v>0</v>
      </c>
      <c r="AP2115" t="inlineStr">
        <is>
          <t>Yes</t>
        </is>
      </c>
      <c r="AQ2115" t="inlineStr">
        <is>
          <t>No</t>
        </is>
      </c>
      <c r="AR2115">
        <f>HYPERLINK("http://catalog.hathitrust.org/Record/012203024","HathiTrust Record")</f>
        <v/>
      </c>
      <c r="AS2115">
        <f>HYPERLINK("https://creighton-primo.hosted.exlibrisgroup.com/primo-explore/search?tab=default_tab&amp;search_scope=EVERYTHING&amp;vid=01CRU&amp;lang=en_US&amp;offset=0&amp;query=any,contains,991000287899702656","Catalog Record")</f>
        <v/>
      </c>
      <c r="AT2115">
        <f>HYPERLINK("http://www.worldcat.org/oclc/9945787","WorldCat Record")</f>
        <v/>
      </c>
      <c r="AU2115" t="inlineStr">
        <is>
          <t>1697135:eng</t>
        </is>
      </c>
      <c r="AV2115" t="inlineStr">
        <is>
          <t>9945787</t>
        </is>
      </c>
      <c r="AW2115" t="inlineStr">
        <is>
          <t>991000287899702656</t>
        </is>
      </c>
      <c r="AX2115" t="inlineStr">
        <is>
          <t>991000287899702656</t>
        </is>
      </c>
      <c r="AY2115" t="inlineStr">
        <is>
          <t>2262031560002656</t>
        </is>
      </c>
      <c r="AZ2115" t="inlineStr">
        <is>
          <t>BOOK</t>
        </is>
      </c>
      <c r="BB2115" t="inlineStr">
        <is>
          <t>9780404615246</t>
        </is>
      </c>
      <c r="BC2115" t="inlineStr">
        <is>
          <t>32285000050152</t>
        </is>
      </c>
      <c r="BD2115" t="inlineStr">
        <is>
          <t>893431839</t>
        </is>
      </c>
    </row>
    <row r="2116">
      <c r="A2116" t="inlineStr">
        <is>
          <t>No</t>
        </is>
      </c>
      <c r="B2116" t="inlineStr">
        <is>
          <t>HQ76 .C39 1971</t>
        </is>
      </c>
      <c r="C2116" t="inlineStr">
        <is>
          <t>0                      HQ 0076000C  39          1971</t>
        </is>
      </c>
      <c r="D2116" t="inlineStr">
        <is>
          <t>Homosexual behavior among males : a cross-cultural and cross species investigation.</t>
        </is>
      </c>
      <c r="F2116" t="inlineStr">
        <is>
          <t>No</t>
        </is>
      </c>
      <c r="G2116" t="inlineStr">
        <is>
          <t>1</t>
        </is>
      </c>
      <c r="H2116" t="inlineStr">
        <is>
          <t>No</t>
        </is>
      </c>
      <c r="I2116" t="inlineStr">
        <is>
          <t>No</t>
        </is>
      </c>
      <c r="J2116" t="inlineStr">
        <is>
          <t>0</t>
        </is>
      </c>
      <c r="K2116" t="inlineStr">
        <is>
          <t>Churchill, Wainwright.</t>
        </is>
      </c>
      <c r="L2116" t="inlineStr">
        <is>
          <t>Englewood Cliffs, N. J. : Prentice-Hall, Inc., [1971]</t>
        </is>
      </c>
      <c r="M2116" t="inlineStr">
        <is>
          <t>1971</t>
        </is>
      </c>
      <c r="N2116" t="inlineStr">
        <is>
          <t>[1st ed.]</t>
        </is>
      </c>
      <c r="O2116" t="inlineStr">
        <is>
          <t>eng</t>
        </is>
      </c>
      <c r="P2116" t="inlineStr">
        <is>
          <t xml:space="preserve">xx </t>
        </is>
      </c>
      <c r="Q2116" t="inlineStr">
        <is>
          <t>A Prism Paperback</t>
        </is>
      </c>
      <c r="R2116" t="inlineStr">
        <is>
          <t xml:space="preserve">HQ </t>
        </is>
      </c>
      <c r="S2116" t="n">
        <v>28</v>
      </c>
      <c r="T2116" t="n">
        <v>28</v>
      </c>
      <c r="U2116" t="inlineStr">
        <is>
          <t>1997-09-25</t>
        </is>
      </c>
      <c r="V2116" t="inlineStr">
        <is>
          <t>1997-09-25</t>
        </is>
      </c>
      <c r="W2116" t="inlineStr">
        <is>
          <t>1990-05-15</t>
        </is>
      </c>
      <c r="X2116" t="inlineStr">
        <is>
          <t>1990-05-15</t>
        </is>
      </c>
      <c r="Y2116" t="n">
        <v>112</v>
      </c>
      <c r="Z2116" t="n">
        <v>89</v>
      </c>
      <c r="AA2116" t="n">
        <v>503</v>
      </c>
      <c r="AB2116" t="n">
        <v>1</v>
      </c>
      <c r="AC2116" t="n">
        <v>3</v>
      </c>
      <c r="AD2116" t="n">
        <v>3</v>
      </c>
      <c r="AE2116" t="n">
        <v>21</v>
      </c>
      <c r="AF2116" t="n">
        <v>1</v>
      </c>
      <c r="AG2116" t="n">
        <v>8</v>
      </c>
      <c r="AH2116" t="n">
        <v>0</v>
      </c>
      <c r="AI2116" t="n">
        <v>4</v>
      </c>
      <c r="AJ2116" t="n">
        <v>3</v>
      </c>
      <c r="AK2116" t="n">
        <v>13</v>
      </c>
      <c r="AL2116" t="n">
        <v>0</v>
      </c>
      <c r="AM2116" t="n">
        <v>2</v>
      </c>
      <c r="AN2116" t="n">
        <v>0</v>
      </c>
      <c r="AO2116" t="n">
        <v>0</v>
      </c>
      <c r="AP2116" t="inlineStr">
        <is>
          <t>No</t>
        </is>
      </c>
      <c r="AQ2116" t="inlineStr">
        <is>
          <t>Yes</t>
        </is>
      </c>
      <c r="AR2116">
        <f>HYPERLINK("http://catalog.hathitrust.org/Record/009134036","HathiTrust Record")</f>
        <v/>
      </c>
      <c r="AS2116">
        <f>HYPERLINK("https://creighton-primo.hosted.exlibrisgroup.com/primo-explore/search?tab=default_tab&amp;search_scope=EVERYTHING&amp;vid=01CRU&amp;lang=en_US&amp;offset=0&amp;query=any,contains,991002306879702656","Catalog Record")</f>
        <v/>
      </c>
      <c r="AT2116">
        <f>HYPERLINK("http://www.worldcat.org/oclc/318752","WorldCat Record")</f>
        <v/>
      </c>
      <c r="AU2116" t="inlineStr">
        <is>
          <t>1393479:eng</t>
        </is>
      </c>
      <c r="AV2116" t="inlineStr">
        <is>
          <t>318752</t>
        </is>
      </c>
      <c r="AW2116" t="inlineStr">
        <is>
          <t>991002306879702656</t>
        </is>
      </c>
      <c r="AX2116" t="inlineStr">
        <is>
          <t>991002306879702656</t>
        </is>
      </c>
      <c r="AY2116" t="inlineStr">
        <is>
          <t>2270389740002656</t>
        </is>
      </c>
      <c r="AZ2116" t="inlineStr">
        <is>
          <t>BOOK</t>
        </is>
      </c>
      <c r="BC2116" t="inlineStr">
        <is>
          <t>32285000155217</t>
        </is>
      </c>
      <c r="BD2116" t="inlineStr">
        <is>
          <t>893597284</t>
        </is>
      </c>
    </row>
    <row r="2117">
      <c r="A2117" t="inlineStr">
        <is>
          <t>No</t>
        </is>
      </c>
      <c r="B2117" t="inlineStr">
        <is>
          <t>HQ76 .C65 2000</t>
        </is>
      </c>
      <c r="C2117" t="inlineStr">
        <is>
          <t>0                      HQ 0076000C  65          2000</t>
        </is>
      </c>
      <c r="D2117" t="inlineStr">
        <is>
          <t>'Don we now our gay apparel' : gay men's dress in the twentieth century / Shaun Cole.</t>
        </is>
      </c>
      <c r="F2117" t="inlineStr">
        <is>
          <t>No</t>
        </is>
      </c>
      <c r="G2117" t="inlineStr">
        <is>
          <t>1</t>
        </is>
      </c>
      <c r="H2117" t="inlineStr">
        <is>
          <t>No</t>
        </is>
      </c>
      <c r="I2117" t="inlineStr">
        <is>
          <t>No</t>
        </is>
      </c>
      <c r="J2117" t="inlineStr">
        <is>
          <t>0</t>
        </is>
      </c>
      <c r="K2117" t="inlineStr">
        <is>
          <t>Cole, Shaun.</t>
        </is>
      </c>
      <c r="L2117" t="inlineStr">
        <is>
          <t>Oxford ; New York : Berg, 2000.</t>
        </is>
      </c>
      <c r="M2117" t="inlineStr">
        <is>
          <t>2000</t>
        </is>
      </c>
      <c r="O2117" t="inlineStr">
        <is>
          <t>eng</t>
        </is>
      </c>
      <c r="P2117" t="inlineStr">
        <is>
          <t>enk</t>
        </is>
      </c>
      <c r="Q2117" t="inlineStr">
        <is>
          <t>Dress, body, culture, 1360-466X</t>
        </is>
      </c>
      <c r="R2117" t="inlineStr">
        <is>
          <t xml:space="preserve">HQ </t>
        </is>
      </c>
      <c r="S2117" t="n">
        <v>1</v>
      </c>
      <c r="T2117" t="n">
        <v>1</v>
      </c>
      <c r="U2117" t="inlineStr">
        <is>
          <t>2001-10-30</t>
        </is>
      </c>
      <c r="V2117" t="inlineStr">
        <is>
          <t>2001-10-30</t>
        </is>
      </c>
      <c r="W2117" t="inlineStr">
        <is>
          <t>2001-10-29</t>
        </is>
      </c>
      <c r="X2117" t="inlineStr">
        <is>
          <t>2001-10-29</t>
        </is>
      </c>
      <c r="Y2117" t="n">
        <v>463</v>
      </c>
      <c r="Z2117" t="n">
        <v>359</v>
      </c>
      <c r="AA2117" t="n">
        <v>1022</v>
      </c>
      <c r="AB2117" t="n">
        <v>4</v>
      </c>
      <c r="AC2117" t="n">
        <v>36</v>
      </c>
      <c r="AD2117" t="n">
        <v>17</v>
      </c>
      <c r="AE2117" t="n">
        <v>36</v>
      </c>
      <c r="AF2117" t="n">
        <v>5</v>
      </c>
      <c r="AG2117" t="n">
        <v>9</v>
      </c>
      <c r="AH2117" t="n">
        <v>5</v>
      </c>
      <c r="AI2117" t="n">
        <v>5</v>
      </c>
      <c r="AJ2117" t="n">
        <v>8</v>
      </c>
      <c r="AK2117" t="n">
        <v>10</v>
      </c>
      <c r="AL2117" t="n">
        <v>2</v>
      </c>
      <c r="AM2117" t="n">
        <v>16</v>
      </c>
      <c r="AN2117" t="n">
        <v>0</v>
      </c>
      <c r="AO2117" t="n">
        <v>0</v>
      </c>
      <c r="AP2117" t="inlineStr">
        <is>
          <t>No</t>
        </is>
      </c>
      <c r="AQ2117" t="inlineStr">
        <is>
          <t>No</t>
        </is>
      </c>
      <c r="AS2117">
        <f>HYPERLINK("https://creighton-primo.hosted.exlibrisgroup.com/primo-explore/search?tab=default_tab&amp;search_scope=EVERYTHING&amp;vid=01CRU&amp;lang=en_US&amp;offset=0&amp;query=any,contains,991003644219702656","Catalog Record")</f>
        <v/>
      </c>
      <c r="AT2117">
        <f>HYPERLINK("http://www.worldcat.org/oclc/44785863","WorldCat Record")</f>
        <v/>
      </c>
      <c r="AU2117" t="inlineStr">
        <is>
          <t>800234170:eng</t>
        </is>
      </c>
      <c r="AV2117" t="inlineStr">
        <is>
          <t>44785863</t>
        </is>
      </c>
      <c r="AW2117" t="inlineStr">
        <is>
          <t>991003644219702656</t>
        </is>
      </c>
      <c r="AX2117" t="inlineStr">
        <is>
          <t>991003644219702656</t>
        </is>
      </c>
      <c r="AY2117" t="inlineStr">
        <is>
          <t>2265625950002656</t>
        </is>
      </c>
      <c r="AZ2117" t="inlineStr">
        <is>
          <t>BOOK</t>
        </is>
      </c>
      <c r="BB2117" t="inlineStr">
        <is>
          <t>9781859734155</t>
        </is>
      </c>
      <c r="BC2117" t="inlineStr">
        <is>
          <t>32285004415906</t>
        </is>
      </c>
      <c r="BD2117" t="inlineStr">
        <is>
          <t>893342807</t>
        </is>
      </c>
    </row>
    <row r="2118">
      <c r="A2118" t="inlineStr">
        <is>
          <t>No</t>
        </is>
      </c>
      <c r="B2118" t="inlineStr">
        <is>
          <t>HQ76 .G35 1988</t>
        </is>
      </c>
      <c r="C2118" t="inlineStr">
        <is>
          <t>0                      HQ 0076000G  35          1988</t>
        </is>
      </c>
      <c r="D2118" t="inlineStr">
        <is>
          <t>Gay relationships / John P. De Cecco, editor.</t>
        </is>
      </c>
      <c r="F2118" t="inlineStr">
        <is>
          <t>No</t>
        </is>
      </c>
      <c r="G2118" t="inlineStr">
        <is>
          <t>1</t>
        </is>
      </c>
      <c r="H2118" t="inlineStr">
        <is>
          <t>No</t>
        </is>
      </c>
      <c r="I2118" t="inlineStr">
        <is>
          <t>No</t>
        </is>
      </c>
      <c r="J2118" t="inlineStr">
        <is>
          <t>0</t>
        </is>
      </c>
      <c r="L2118" t="inlineStr">
        <is>
          <t>New York : Haworth Press, c1988.</t>
        </is>
      </c>
      <c r="M2118" t="inlineStr">
        <is>
          <t>1988</t>
        </is>
      </c>
      <c r="O2118" t="inlineStr">
        <is>
          <t>eng</t>
        </is>
      </c>
      <c r="P2118" t="inlineStr">
        <is>
          <t>nyu</t>
        </is>
      </c>
      <c r="R2118" t="inlineStr">
        <is>
          <t xml:space="preserve">HQ </t>
        </is>
      </c>
      <c r="S2118" t="n">
        <v>22</v>
      </c>
      <c r="T2118" t="n">
        <v>22</v>
      </c>
      <c r="U2118" t="inlineStr">
        <is>
          <t>2007-02-02</t>
        </is>
      </c>
      <c r="V2118" t="inlineStr">
        <is>
          <t>2007-02-02</t>
        </is>
      </c>
      <c r="W2118" t="inlineStr">
        <is>
          <t>1990-03-22</t>
        </is>
      </c>
      <c r="X2118" t="inlineStr">
        <is>
          <t>1990-03-22</t>
        </is>
      </c>
      <c r="Y2118" t="n">
        <v>188</v>
      </c>
      <c r="Z2118" t="n">
        <v>158</v>
      </c>
      <c r="AA2118" t="n">
        <v>242</v>
      </c>
      <c r="AB2118" t="n">
        <v>1</v>
      </c>
      <c r="AC2118" t="n">
        <v>1</v>
      </c>
      <c r="AD2118" t="n">
        <v>4</v>
      </c>
      <c r="AE2118" t="n">
        <v>6</v>
      </c>
      <c r="AF2118" t="n">
        <v>0</v>
      </c>
      <c r="AG2118" t="n">
        <v>2</v>
      </c>
      <c r="AH2118" t="n">
        <v>1</v>
      </c>
      <c r="AI2118" t="n">
        <v>2</v>
      </c>
      <c r="AJ2118" t="n">
        <v>3</v>
      </c>
      <c r="AK2118" t="n">
        <v>3</v>
      </c>
      <c r="AL2118" t="n">
        <v>0</v>
      </c>
      <c r="AM2118" t="n">
        <v>0</v>
      </c>
      <c r="AN2118" t="n">
        <v>0</v>
      </c>
      <c r="AO2118" t="n">
        <v>0</v>
      </c>
      <c r="AP2118" t="inlineStr">
        <is>
          <t>No</t>
        </is>
      </c>
      <c r="AQ2118" t="inlineStr">
        <is>
          <t>No</t>
        </is>
      </c>
      <c r="AS2118">
        <f>HYPERLINK("https://creighton-primo.hosted.exlibrisgroup.com/primo-explore/search?tab=default_tab&amp;search_scope=EVERYTHING&amp;vid=01CRU&amp;lang=en_US&amp;offset=0&amp;query=any,contains,991001048909702656","Catalog Record")</f>
        <v/>
      </c>
      <c r="AT2118">
        <f>HYPERLINK("http://www.worldcat.org/oclc/15631681","WorldCat Record")</f>
        <v/>
      </c>
      <c r="AU2118" t="inlineStr">
        <is>
          <t>54951270:eng</t>
        </is>
      </c>
      <c r="AV2118" t="inlineStr">
        <is>
          <t>15631681</t>
        </is>
      </c>
      <c r="AW2118" t="inlineStr">
        <is>
          <t>991001048909702656</t>
        </is>
      </c>
      <c r="AX2118" t="inlineStr">
        <is>
          <t>991001048909702656</t>
        </is>
      </c>
      <c r="AY2118" t="inlineStr">
        <is>
          <t>2262143550002656</t>
        </is>
      </c>
      <c r="AZ2118" t="inlineStr">
        <is>
          <t>BOOK</t>
        </is>
      </c>
      <c r="BB2118" t="inlineStr">
        <is>
          <t>9780866566377</t>
        </is>
      </c>
      <c r="BC2118" t="inlineStr">
        <is>
          <t>32285000095074</t>
        </is>
      </c>
      <c r="BD2118" t="inlineStr">
        <is>
          <t>893702688</t>
        </is>
      </c>
    </row>
    <row r="2119">
      <c r="A2119" t="inlineStr">
        <is>
          <t>No</t>
        </is>
      </c>
      <c r="B2119" t="inlineStr">
        <is>
          <t>HQ76 .G67 2000</t>
        </is>
      </c>
      <c r="C2119" t="inlineStr">
        <is>
          <t>0                      HQ 0076000G  67          2000</t>
        </is>
      </c>
      <c r="D2119" t="inlineStr">
        <is>
          <t>Out of the twilight : fathers of gay men speak / Andrew R. Gottlieb.</t>
        </is>
      </c>
      <c r="F2119" t="inlineStr">
        <is>
          <t>No</t>
        </is>
      </c>
      <c r="G2119" t="inlineStr">
        <is>
          <t>1</t>
        </is>
      </c>
      <c r="H2119" t="inlineStr">
        <is>
          <t>No</t>
        </is>
      </c>
      <c r="I2119" t="inlineStr">
        <is>
          <t>No</t>
        </is>
      </c>
      <c r="J2119" t="inlineStr">
        <is>
          <t>0</t>
        </is>
      </c>
      <c r="K2119" t="inlineStr">
        <is>
          <t>Gottlieb, Andrew R.</t>
        </is>
      </c>
      <c r="L2119" t="inlineStr">
        <is>
          <t>New York : Harrington Park Press, c2000.</t>
        </is>
      </c>
      <c r="M2119" t="inlineStr">
        <is>
          <t>2000</t>
        </is>
      </c>
      <c r="O2119" t="inlineStr">
        <is>
          <t>eng</t>
        </is>
      </c>
      <c r="P2119" t="inlineStr">
        <is>
          <t>nyu</t>
        </is>
      </c>
      <c r="Q2119" t="inlineStr">
        <is>
          <t>Haworth gay &amp; lesbian studies</t>
        </is>
      </c>
      <c r="R2119" t="inlineStr">
        <is>
          <t xml:space="preserve">HQ </t>
        </is>
      </c>
      <c r="S2119" t="n">
        <v>2</v>
      </c>
      <c r="T2119" t="n">
        <v>2</v>
      </c>
      <c r="U2119" t="inlineStr">
        <is>
          <t>2006-09-18</t>
        </is>
      </c>
      <c r="V2119" t="inlineStr">
        <is>
          <t>2006-09-18</t>
        </is>
      </c>
      <c r="W2119" t="inlineStr">
        <is>
          <t>2000-12-06</t>
        </is>
      </c>
      <c r="X2119" t="inlineStr">
        <is>
          <t>2000-12-06</t>
        </is>
      </c>
      <c r="Y2119" t="n">
        <v>50</v>
      </c>
      <c r="Z2119" t="n">
        <v>43</v>
      </c>
      <c r="AA2119" t="n">
        <v>242</v>
      </c>
      <c r="AB2119" t="n">
        <v>1</v>
      </c>
      <c r="AC2119" t="n">
        <v>3</v>
      </c>
      <c r="AD2119" t="n">
        <v>1</v>
      </c>
      <c r="AE2119" t="n">
        <v>11</v>
      </c>
      <c r="AF2119" t="n">
        <v>0</v>
      </c>
      <c r="AG2119" t="n">
        <v>2</v>
      </c>
      <c r="AH2119" t="n">
        <v>1</v>
      </c>
      <c r="AI2119" t="n">
        <v>4</v>
      </c>
      <c r="AJ2119" t="n">
        <v>1</v>
      </c>
      <c r="AK2119" t="n">
        <v>6</v>
      </c>
      <c r="AL2119" t="n">
        <v>0</v>
      </c>
      <c r="AM2119" t="n">
        <v>2</v>
      </c>
      <c r="AN2119" t="n">
        <v>0</v>
      </c>
      <c r="AO2119" t="n">
        <v>0</v>
      </c>
      <c r="AP2119" t="inlineStr">
        <is>
          <t>No</t>
        </is>
      </c>
      <c r="AQ2119" t="inlineStr">
        <is>
          <t>No</t>
        </is>
      </c>
      <c r="AS2119">
        <f>HYPERLINK("https://creighton-primo.hosted.exlibrisgroup.com/primo-explore/search?tab=default_tab&amp;search_scope=EVERYTHING&amp;vid=01CRU&amp;lang=en_US&amp;offset=0&amp;query=any,contains,991003329099702656","Catalog Record")</f>
        <v/>
      </c>
      <c r="AT2119">
        <f>HYPERLINK("http://www.worldcat.org/oclc/45123827","WorldCat Record")</f>
        <v/>
      </c>
      <c r="AU2119" t="inlineStr">
        <is>
          <t>24375142:eng</t>
        </is>
      </c>
      <c r="AV2119" t="inlineStr">
        <is>
          <t>45123827</t>
        </is>
      </c>
      <c r="AW2119" t="inlineStr">
        <is>
          <t>991003329099702656</t>
        </is>
      </c>
      <c r="AX2119" t="inlineStr">
        <is>
          <t>991003329099702656</t>
        </is>
      </c>
      <c r="AY2119" t="inlineStr">
        <is>
          <t>2255198520002656</t>
        </is>
      </c>
      <c r="AZ2119" t="inlineStr">
        <is>
          <t>BOOK</t>
        </is>
      </c>
      <c r="BB2119" t="inlineStr">
        <is>
          <t>9781560239512</t>
        </is>
      </c>
      <c r="BC2119" t="inlineStr">
        <is>
          <t>32285004275938</t>
        </is>
      </c>
      <c r="BD2119" t="inlineStr">
        <is>
          <t>893711273</t>
        </is>
      </c>
    </row>
    <row r="2120">
      <c r="A2120" t="inlineStr">
        <is>
          <t>No</t>
        </is>
      </c>
      <c r="B2120" t="inlineStr">
        <is>
          <t>HQ76 .G7 1963</t>
        </is>
      </c>
      <c r="C2120" t="inlineStr">
        <is>
          <t>0                      HQ 0076000G  7           1963</t>
        </is>
      </c>
      <c r="D2120" t="inlineStr">
        <is>
          <t>The Wolfenden report.</t>
        </is>
      </c>
      <c r="F2120" t="inlineStr">
        <is>
          <t>No</t>
        </is>
      </c>
      <c r="G2120" t="inlineStr">
        <is>
          <t>1</t>
        </is>
      </c>
      <c r="H2120" t="inlineStr">
        <is>
          <t>No</t>
        </is>
      </c>
      <c r="I2120" t="inlineStr">
        <is>
          <t>No</t>
        </is>
      </c>
      <c r="J2120" t="inlineStr">
        <is>
          <t>0</t>
        </is>
      </c>
      <c r="K2120" t="inlineStr">
        <is>
          <t>Great Britain. Committee on Homosexual Offences and Prostitution.</t>
        </is>
      </c>
      <c r="L2120" t="inlineStr">
        <is>
          <t>New York : Stein and Day, [1963]</t>
        </is>
      </c>
      <c r="M2120" t="inlineStr">
        <is>
          <t>1963</t>
        </is>
      </c>
      <c r="N2120" t="inlineStr">
        <is>
          <t>Authorized American ed. / introd. by Karl Menninger.</t>
        </is>
      </c>
      <c r="O2120" t="inlineStr">
        <is>
          <t>eng</t>
        </is>
      </c>
      <c r="P2120" t="inlineStr">
        <is>
          <t>nyu</t>
        </is>
      </c>
      <c r="R2120" t="inlineStr">
        <is>
          <t xml:space="preserve">HQ </t>
        </is>
      </c>
      <c r="S2120" t="n">
        <v>1</v>
      </c>
      <c r="T2120" t="n">
        <v>1</v>
      </c>
      <c r="U2120" t="inlineStr">
        <is>
          <t>1992-10-20</t>
        </is>
      </c>
      <c r="V2120" t="inlineStr">
        <is>
          <t>1992-10-20</t>
        </is>
      </c>
      <c r="W2120" t="inlineStr">
        <is>
          <t>1992-04-01</t>
        </is>
      </c>
      <c r="X2120" t="inlineStr">
        <is>
          <t>1992-04-01</t>
        </is>
      </c>
      <c r="Y2120" t="n">
        <v>586</v>
      </c>
      <c r="Z2120" t="n">
        <v>543</v>
      </c>
      <c r="AA2120" t="n">
        <v>580</v>
      </c>
      <c r="AB2120" t="n">
        <v>7</v>
      </c>
      <c r="AC2120" t="n">
        <v>7</v>
      </c>
      <c r="AD2120" t="n">
        <v>40</v>
      </c>
      <c r="AE2120" t="n">
        <v>41</v>
      </c>
      <c r="AF2120" t="n">
        <v>7</v>
      </c>
      <c r="AG2120" t="n">
        <v>7</v>
      </c>
      <c r="AH2120" t="n">
        <v>4</v>
      </c>
      <c r="AI2120" t="n">
        <v>4</v>
      </c>
      <c r="AJ2120" t="n">
        <v>12</v>
      </c>
      <c r="AK2120" t="n">
        <v>12</v>
      </c>
      <c r="AL2120" t="n">
        <v>5</v>
      </c>
      <c r="AM2120" t="n">
        <v>5</v>
      </c>
      <c r="AN2120" t="n">
        <v>16</v>
      </c>
      <c r="AO2120" t="n">
        <v>17</v>
      </c>
      <c r="AP2120" t="inlineStr">
        <is>
          <t>No</t>
        </is>
      </c>
      <c r="AQ2120" t="inlineStr">
        <is>
          <t>No</t>
        </is>
      </c>
      <c r="AR2120">
        <f>HYPERLINK("http://catalog.hathitrust.org/Record/001353720","HathiTrust Record")</f>
        <v/>
      </c>
      <c r="AS2120">
        <f>HYPERLINK("https://creighton-primo.hosted.exlibrisgroup.com/primo-explore/search?tab=default_tab&amp;search_scope=EVERYTHING&amp;vid=01CRU&amp;lang=en_US&amp;offset=0&amp;query=any,contains,991005006319702656","Catalog Record")</f>
        <v/>
      </c>
      <c r="AT2120">
        <f>HYPERLINK("http://www.worldcat.org/oclc/14617049","WorldCat Record")</f>
        <v/>
      </c>
      <c r="AU2120" t="inlineStr">
        <is>
          <t>65720774:eng</t>
        </is>
      </c>
      <c r="AV2120" t="inlineStr">
        <is>
          <t>14617049</t>
        </is>
      </c>
      <c r="AW2120" t="inlineStr">
        <is>
          <t>991005006319702656</t>
        </is>
      </c>
      <c r="AX2120" t="inlineStr">
        <is>
          <t>991005006319702656</t>
        </is>
      </c>
      <c r="AY2120" t="inlineStr">
        <is>
          <t>2261075440002656</t>
        </is>
      </c>
      <c r="AZ2120" t="inlineStr">
        <is>
          <t>BOOK</t>
        </is>
      </c>
      <c r="BC2120" t="inlineStr">
        <is>
          <t>32285001031359</t>
        </is>
      </c>
      <c r="BD2120" t="inlineStr">
        <is>
          <t>893719649</t>
        </is>
      </c>
    </row>
    <row r="2121">
      <c r="A2121" t="inlineStr">
        <is>
          <t>No</t>
        </is>
      </c>
      <c r="B2121" t="inlineStr">
        <is>
          <t>HQ76 .H353 1982</t>
        </is>
      </c>
      <c r="C2121" t="inlineStr">
        <is>
          <t>0                      HQ 0076000H  353         1982</t>
        </is>
      </c>
      <c r="D2121" t="inlineStr">
        <is>
          <t>Gay children grown up : gender culture and gender deviance / by Joseph Harry.</t>
        </is>
      </c>
      <c r="F2121" t="inlineStr">
        <is>
          <t>No</t>
        </is>
      </c>
      <c r="G2121" t="inlineStr">
        <is>
          <t>1</t>
        </is>
      </c>
      <c r="H2121" t="inlineStr">
        <is>
          <t>No</t>
        </is>
      </c>
      <c r="I2121" t="inlineStr">
        <is>
          <t>No</t>
        </is>
      </c>
      <c r="J2121" t="inlineStr">
        <is>
          <t>0</t>
        </is>
      </c>
      <c r="K2121" t="inlineStr">
        <is>
          <t>Harry, Joseph.</t>
        </is>
      </c>
      <c r="L2121" t="inlineStr">
        <is>
          <t>New York : Praeger, 1982.</t>
        </is>
      </c>
      <c r="M2121" t="inlineStr">
        <is>
          <t>1982</t>
        </is>
      </c>
      <c r="O2121" t="inlineStr">
        <is>
          <t>eng</t>
        </is>
      </c>
      <c r="P2121" t="inlineStr">
        <is>
          <t>nyu</t>
        </is>
      </c>
      <c r="R2121" t="inlineStr">
        <is>
          <t xml:space="preserve">HQ </t>
        </is>
      </c>
      <c r="S2121" t="n">
        <v>20</v>
      </c>
      <c r="T2121" t="n">
        <v>20</v>
      </c>
      <c r="U2121" t="inlineStr">
        <is>
          <t>1996-11-21</t>
        </is>
      </c>
      <c r="V2121" t="inlineStr">
        <is>
          <t>1996-11-21</t>
        </is>
      </c>
      <c r="W2121" t="inlineStr">
        <is>
          <t>1990-02-27</t>
        </is>
      </c>
      <c r="X2121" t="inlineStr">
        <is>
          <t>1990-02-27</t>
        </is>
      </c>
      <c r="Y2121" t="n">
        <v>337</v>
      </c>
      <c r="Z2121" t="n">
        <v>279</v>
      </c>
      <c r="AA2121" t="n">
        <v>281</v>
      </c>
      <c r="AB2121" t="n">
        <v>3</v>
      </c>
      <c r="AC2121" t="n">
        <v>3</v>
      </c>
      <c r="AD2121" t="n">
        <v>9</v>
      </c>
      <c r="AE2121" t="n">
        <v>9</v>
      </c>
      <c r="AF2121" t="n">
        <v>3</v>
      </c>
      <c r="AG2121" t="n">
        <v>3</v>
      </c>
      <c r="AH2121" t="n">
        <v>2</v>
      </c>
      <c r="AI2121" t="n">
        <v>2</v>
      </c>
      <c r="AJ2121" t="n">
        <v>4</v>
      </c>
      <c r="AK2121" t="n">
        <v>4</v>
      </c>
      <c r="AL2121" t="n">
        <v>2</v>
      </c>
      <c r="AM2121" t="n">
        <v>2</v>
      </c>
      <c r="AN2121" t="n">
        <v>0</v>
      </c>
      <c r="AO2121" t="n">
        <v>0</v>
      </c>
      <c r="AP2121" t="inlineStr">
        <is>
          <t>No</t>
        </is>
      </c>
      <c r="AQ2121" t="inlineStr">
        <is>
          <t>Yes</t>
        </is>
      </c>
      <c r="AR2121">
        <f>HYPERLINK("http://catalog.hathitrust.org/Record/000145980","HathiTrust Record")</f>
        <v/>
      </c>
      <c r="AS2121">
        <f>HYPERLINK("https://creighton-primo.hosted.exlibrisgroup.com/primo-explore/search?tab=default_tab&amp;search_scope=EVERYTHING&amp;vid=01CRU&amp;lang=en_US&amp;offset=0&amp;query=any,contains,991005234089702656","Catalog Record")</f>
        <v/>
      </c>
      <c r="AT2121">
        <f>HYPERLINK("http://www.worldcat.org/oclc/8347696","WorldCat Record")</f>
        <v/>
      </c>
      <c r="AU2121" t="inlineStr">
        <is>
          <t>428798175:eng</t>
        </is>
      </c>
      <c r="AV2121" t="inlineStr">
        <is>
          <t>8347696</t>
        </is>
      </c>
      <c r="AW2121" t="inlineStr">
        <is>
          <t>991005234089702656</t>
        </is>
      </c>
      <c r="AX2121" t="inlineStr">
        <is>
          <t>991005234089702656</t>
        </is>
      </c>
      <c r="AY2121" t="inlineStr">
        <is>
          <t>2261862840002656</t>
        </is>
      </c>
      <c r="AZ2121" t="inlineStr">
        <is>
          <t>BOOK</t>
        </is>
      </c>
      <c r="BB2121" t="inlineStr">
        <is>
          <t>9780030605512</t>
        </is>
      </c>
      <c r="BC2121" t="inlineStr">
        <is>
          <t>32285000071141</t>
        </is>
      </c>
      <c r="BD2121" t="inlineStr">
        <is>
          <t>893431095</t>
        </is>
      </c>
    </row>
    <row r="2122">
      <c r="A2122" t="inlineStr">
        <is>
          <t>No</t>
        </is>
      </c>
      <c r="B2122" t="inlineStr">
        <is>
          <t>HQ76 .H655</t>
        </is>
      </c>
      <c r="C2122" t="inlineStr">
        <is>
          <t>0                      HQ 0076000H  655</t>
        </is>
      </c>
      <c r="D2122" t="inlineStr">
        <is>
          <t>The gay world : male homosexuality and the social creation of evil.</t>
        </is>
      </c>
      <c r="F2122" t="inlineStr">
        <is>
          <t>No</t>
        </is>
      </c>
      <c r="G2122" t="inlineStr">
        <is>
          <t>1</t>
        </is>
      </c>
      <c r="H2122" t="inlineStr">
        <is>
          <t>No</t>
        </is>
      </c>
      <c r="I2122" t="inlineStr">
        <is>
          <t>No</t>
        </is>
      </c>
      <c r="J2122" t="inlineStr">
        <is>
          <t>0</t>
        </is>
      </c>
      <c r="K2122" t="inlineStr">
        <is>
          <t>Hoffman, Martin, 1935-</t>
        </is>
      </c>
      <c r="L2122" t="inlineStr">
        <is>
          <t>New York : Basic Books, [1968]</t>
        </is>
      </c>
      <c r="M2122" t="inlineStr">
        <is>
          <t>1968</t>
        </is>
      </c>
      <c r="O2122" t="inlineStr">
        <is>
          <t>eng</t>
        </is>
      </c>
      <c r="P2122" t="inlineStr">
        <is>
          <t>nyu</t>
        </is>
      </c>
      <c r="R2122" t="inlineStr">
        <is>
          <t xml:space="preserve">HQ </t>
        </is>
      </c>
      <c r="S2122" t="n">
        <v>11</v>
      </c>
      <c r="T2122" t="n">
        <v>11</v>
      </c>
      <c r="U2122" t="inlineStr">
        <is>
          <t>1996-11-13</t>
        </is>
      </c>
      <c r="V2122" t="inlineStr">
        <is>
          <t>1996-11-13</t>
        </is>
      </c>
      <c r="W2122" t="inlineStr">
        <is>
          <t>1992-03-23</t>
        </is>
      </c>
      <c r="X2122" t="inlineStr">
        <is>
          <t>1992-03-23</t>
        </is>
      </c>
      <c r="Y2122" t="n">
        <v>595</v>
      </c>
      <c r="Z2122" t="n">
        <v>519</v>
      </c>
      <c r="AA2122" t="n">
        <v>555</v>
      </c>
      <c r="AB2122" t="n">
        <v>4</v>
      </c>
      <c r="AC2122" t="n">
        <v>4</v>
      </c>
      <c r="AD2122" t="n">
        <v>15</v>
      </c>
      <c r="AE2122" t="n">
        <v>15</v>
      </c>
      <c r="AF2122" t="n">
        <v>5</v>
      </c>
      <c r="AG2122" t="n">
        <v>5</v>
      </c>
      <c r="AH2122" t="n">
        <v>2</v>
      </c>
      <c r="AI2122" t="n">
        <v>2</v>
      </c>
      <c r="AJ2122" t="n">
        <v>7</v>
      </c>
      <c r="AK2122" t="n">
        <v>7</v>
      </c>
      <c r="AL2122" t="n">
        <v>2</v>
      </c>
      <c r="AM2122" t="n">
        <v>2</v>
      </c>
      <c r="AN2122" t="n">
        <v>1</v>
      </c>
      <c r="AO2122" t="n">
        <v>1</v>
      </c>
      <c r="AP2122" t="inlineStr">
        <is>
          <t>No</t>
        </is>
      </c>
      <c r="AQ2122" t="inlineStr">
        <is>
          <t>Yes</t>
        </is>
      </c>
      <c r="AR2122">
        <f>HYPERLINK("http://catalog.hathitrust.org/Record/001109880","HathiTrust Record")</f>
        <v/>
      </c>
      <c r="AS2122">
        <f>HYPERLINK("https://creighton-primo.hosted.exlibrisgroup.com/primo-explore/search?tab=default_tab&amp;search_scope=EVERYTHING&amp;vid=01CRU&amp;lang=en_US&amp;offset=0&amp;query=any,contains,991001776899702656","Catalog Record")</f>
        <v/>
      </c>
      <c r="AT2122">
        <f>HYPERLINK("http://www.worldcat.org/oclc/236461","WorldCat Record")</f>
        <v/>
      </c>
      <c r="AU2122" t="inlineStr">
        <is>
          <t>197551148:eng</t>
        </is>
      </c>
      <c r="AV2122" t="inlineStr">
        <is>
          <t>236461</t>
        </is>
      </c>
      <c r="AW2122" t="inlineStr">
        <is>
          <t>991001776899702656</t>
        </is>
      </c>
      <c r="AX2122" t="inlineStr">
        <is>
          <t>991001776899702656</t>
        </is>
      </c>
      <c r="AY2122" t="inlineStr">
        <is>
          <t>2257643090002656</t>
        </is>
      </c>
      <c r="AZ2122" t="inlineStr">
        <is>
          <t>BOOK</t>
        </is>
      </c>
      <c r="BC2122" t="inlineStr">
        <is>
          <t>32285001026243</t>
        </is>
      </c>
      <c r="BD2122" t="inlineStr">
        <is>
          <t>893697025</t>
        </is>
      </c>
    </row>
    <row r="2123">
      <c r="A2123" t="inlineStr">
        <is>
          <t>No</t>
        </is>
      </c>
      <c r="B2123" t="inlineStr">
        <is>
          <t>HQ76 .H78</t>
        </is>
      </c>
      <c r="C2123" t="inlineStr">
        <is>
          <t>0                      HQ 0076000H  78</t>
        </is>
      </c>
      <c r="D2123" t="inlineStr">
        <is>
          <t>Tearoom trade : impersonal sex in public places.</t>
        </is>
      </c>
      <c r="F2123" t="inlineStr">
        <is>
          <t>No</t>
        </is>
      </c>
      <c r="G2123" t="inlineStr">
        <is>
          <t>1</t>
        </is>
      </c>
      <c r="H2123" t="inlineStr">
        <is>
          <t>No</t>
        </is>
      </c>
      <c r="I2123" t="inlineStr">
        <is>
          <t>No</t>
        </is>
      </c>
      <c r="J2123" t="inlineStr">
        <is>
          <t>0</t>
        </is>
      </c>
      <c r="K2123" t="inlineStr">
        <is>
          <t>Humphreys, Laud.</t>
        </is>
      </c>
      <c r="L2123" t="inlineStr">
        <is>
          <t>Chicago : Aldine Pub. Co., [1970]</t>
        </is>
      </c>
      <c r="M2123" t="inlineStr">
        <is>
          <t>1970</t>
        </is>
      </c>
      <c r="O2123" t="inlineStr">
        <is>
          <t>eng</t>
        </is>
      </c>
      <c r="P2123" t="inlineStr">
        <is>
          <t>ilu</t>
        </is>
      </c>
      <c r="Q2123" t="inlineStr">
        <is>
          <t>Observations</t>
        </is>
      </c>
      <c r="R2123" t="inlineStr">
        <is>
          <t xml:space="preserve">HQ </t>
        </is>
      </c>
      <c r="S2123" t="n">
        <v>7</v>
      </c>
      <c r="T2123" t="n">
        <v>7</v>
      </c>
      <c r="U2123" t="inlineStr">
        <is>
          <t>1998-09-01</t>
        </is>
      </c>
      <c r="V2123" t="inlineStr">
        <is>
          <t>1998-09-01</t>
        </is>
      </c>
      <c r="W2123" t="inlineStr">
        <is>
          <t>1990-09-20</t>
        </is>
      </c>
      <c r="X2123" t="inlineStr">
        <is>
          <t>1990-09-20</t>
        </is>
      </c>
      <c r="Y2123" t="n">
        <v>481</v>
      </c>
      <c r="Z2123" t="n">
        <v>412</v>
      </c>
      <c r="AA2123" t="n">
        <v>822</v>
      </c>
      <c r="AB2123" t="n">
        <v>9</v>
      </c>
      <c r="AC2123" t="n">
        <v>9</v>
      </c>
      <c r="AD2123" t="n">
        <v>22</v>
      </c>
      <c r="AE2123" t="n">
        <v>42</v>
      </c>
      <c r="AF2123" t="n">
        <v>4</v>
      </c>
      <c r="AG2123" t="n">
        <v>15</v>
      </c>
      <c r="AH2123" t="n">
        <v>3</v>
      </c>
      <c r="AI2123" t="n">
        <v>8</v>
      </c>
      <c r="AJ2123" t="n">
        <v>8</v>
      </c>
      <c r="AK2123" t="n">
        <v>16</v>
      </c>
      <c r="AL2123" t="n">
        <v>7</v>
      </c>
      <c r="AM2123" t="n">
        <v>7</v>
      </c>
      <c r="AN2123" t="n">
        <v>3</v>
      </c>
      <c r="AO2123" t="n">
        <v>4</v>
      </c>
      <c r="AP2123" t="inlineStr">
        <is>
          <t>No</t>
        </is>
      </c>
      <c r="AQ2123" t="inlineStr">
        <is>
          <t>Yes</t>
        </is>
      </c>
      <c r="AR2123">
        <f>HYPERLINK("http://catalog.hathitrust.org/Record/001109881","HathiTrust Record")</f>
        <v/>
      </c>
      <c r="AS2123">
        <f>HYPERLINK("https://creighton-primo.hosted.exlibrisgroup.com/primo-explore/search?tab=default_tab&amp;search_scope=EVERYTHING&amp;vid=01CRU&amp;lang=en_US&amp;offset=0&amp;query=any,contains,991000425709702656","Catalog Record")</f>
        <v/>
      </c>
      <c r="AT2123">
        <f>HYPERLINK("http://www.worldcat.org/oclc/75029","WorldCat Record")</f>
        <v/>
      </c>
      <c r="AU2123" t="inlineStr">
        <is>
          <t>417290:eng</t>
        </is>
      </c>
      <c r="AV2123" t="inlineStr">
        <is>
          <t>75029</t>
        </is>
      </c>
      <c r="AW2123" t="inlineStr">
        <is>
          <t>991000425709702656</t>
        </is>
      </c>
      <c r="AX2123" t="inlineStr">
        <is>
          <t>991000425709702656</t>
        </is>
      </c>
      <c r="AY2123" t="inlineStr">
        <is>
          <t>2256081940002656</t>
        </is>
      </c>
      <c r="AZ2123" t="inlineStr">
        <is>
          <t>BOOK</t>
        </is>
      </c>
      <c r="BC2123" t="inlineStr">
        <is>
          <t>32285000306141</t>
        </is>
      </c>
      <c r="BD2123" t="inlineStr">
        <is>
          <t>893249334</t>
        </is>
      </c>
    </row>
    <row r="2124">
      <c r="A2124" t="inlineStr">
        <is>
          <t>No</t>
        </is>
      </c>
      <c r="B2124" t="inlineStr">
        <is>
          <t>HQ76 .M613 1976</t>
        </is>
      </c>
      <c r="C2124" t="inlineStr">
        <is>
          <t>0                      HQ 0076000M  613         1976</t>
        </is>
      </c>
      <c r="D2124" t="inlineStr">
        <is>
          <t>Perversions of the sex instinct : a study of sexual inversion based on clinical data and official documents / by Albert Moll ; translated by Maurice Popkin.</t>
        </is>
      </c>
      <c r="F2124" t="inlineStr">
        <is>
          <t>No</t>
        </is>
      </c>
      <c r="G2124" t="inlineStr">
        <is>
          <t>1</t>
        </is>
      </c>
      <c r="H2124" t="inlineStr">
        <is>
          <t>No</t>
        </is>
      </c>
      <c r="I2124" t="inlineStr">
        <is>
          <t>No</t>
        </is>
      </c>
      <c r="J2124" t="inlineStr">
        <is>
          <t>0</t>
        </is>
      </c>
      <c r="K2124" t="inlineStr">
        <is>
          <t>Moll, Albert, 1862-</t>
        </is>
      </c>
      <c r="L2124" t="inlineStr">
        <is>
          <t>New York : AMS Press, 1976.</t>
        </is>
      </c>
      <c r="M2124" t="inlineStr">
        <is>
          <t>1976</t>
        </is>
      </c>
      <c r="O2124" t="inlineStr">
        <is>
          <t>eng</t>
        </is>
      </c>
      <c r="P2124" t="inlineStr">
        <is>
          <t>nyu</t>
        </is>
      </c>
      <c r="R2124" t="inlineStr">
        <is>
          <t xml:space="preserve">HQ </t>
        </is>
      </c>
      <c r="S2124" t="n">
        <v>11</v>
      </c>
      <c r="T2124" t="n">
        <v>11</v>
      </c>
      <c r="U2124" t="inlineStr">
        <is>
          <t>2004-02-06</t>
        </is>
      </c>
      <c r="V2124" t="inlineStr">
        <is>
          <t>2004-02-06</t>
        </is>
      </c>
      <c r="W2124" t="inlineStr">
        <is>
          <t>1992-11-10</t>
        </is>
      </c>
      <c r="X2124" t="inlineStr">
        <is>
          <t>1992-11-10</t>
        </is>
      </c>
      <c r="Y2124" t="n">
        <v>56</v>
      </c>
      <c r="Z2124" t="n">
        <v>46</v>
      </c>
      <c r="AA2124" t="n">
        <v>83</v>
      </c>
      <c r="AB2124" t="n">
        <v>1</v>
      </c>
      <c r="AC2124" t="n">
        <v>2</v>
      </c>
      <c r="AD2124" t="n">
        <v>0</v>
      </c>
      <c r="AE2124" t="n">
        <v>1</v>
      </c>
      <c r="AF2124" t="n">
        <v>0</v>
      </c>
      <c r="AG2124" t="n">
        <v>0</v>
      </c>
      <c r="AH2124" t="n">
        <v>0</v>
      </c>
      <c r="AI2124" t="n">
        <v>0</v>
      </c>
      <c r="AJ2124" t="n">
        <v>0</v>
      </c>
      <c r="AK2124" t="n">
        <v>0</v>
      </c>
      <c r="AL2124" t="n">
        <v>0</v>
      </c>
      <c r="AM2124" t="n">
        <v>1</v>
      </c>
      <c r="AN2124" t="n">
        <v>0</v>
      </c>
      <c r="AO2124" t="n">
        <v>0</v>
      </c>
      <c r="AP2124" t="inlineStr">
        <is>
          <t>No</t>
        </is>
      </c>
      <c r="AQ2124" t="inlineStr">
        <is>
          <t>No</t>
        </is>
      </c>
      <c r="AS2124">
        <f>HYPERLINK("https://creighton-primo.hosted.exlibrisgroup.com/primo-explore/search?tab=default_tab&amp;search_scope=EVERYTHING&amp;vid=01CRU&amp;lang=en_US&amp;offset=0&amp;query=any,contains,991003986929702656","Catalog Record")</f>
        <v/>
      </c>
      <c r="AT2124">
        <f>HYPERLINK("http://www.worldcat.org/oclc/2034611","WorldCat Record")</f>
        <v/>
      </c>
      <c r="AU2124" t="inlineStr">
        <is>
          <t>4917837045:eng</t>
        </is>
      </c>
      <c r="AV2124" t="inlineStr">
        <is>
          <t>2034611</t>
        </is>
      </c>
      <c r="AW2124" t="inlineStr">
        <is>
          <t>991003986929702656</t>
        </is>
      </c>
      <c r="AX2124" t="inlineStr">
        <is>
          <t>991003986929702656</t>
        </is>
      </c>
      <c r="AY2124" t="inlineStr">
        <is>
          <t>2270016980002656</t>
        </is>
      </c>
      <c r="AZ2124" t="inlineStr">
        <is>
          <t>BOOK</t>
        </is>
      </c>
      <c r="BB2124" t="inlineStr">
        <is>
          <t>9780404574826</t>
        </is>
      </c>
      <c r="BC2124" t="inlineStr">
        <is>
          <t>32285001384188</t>
        </is>
      </c>
      <c r="BD2124" t="inlineStr">
        <is>
          <t>893535752</t>
        </is>
      </c>
    </row>
    <row r="2125">
      <c r="A2125" t="inlineStr">
        <is>
          <t>No</t>
        </is>
      </c>
      <c r="B2125" t="inlineStr">
        <is>
          <t>HQ76 .O36 2001</t>
        </is>
      </c>
      <c r="C2125" t="inlineStr">
        <is>
          <t>0                      HQ 0076000O  36          2001</t>
        </is>
      </c>
      <c r="D2125" t="inlineStr">
        <is>
          <t>Outspeak : narrating identities that matter / Sean P. O'Connell.</t>
        </is>
      </c>
      <c r="F2125" t="inlineStr">
        <is>
          <t>No</t>
        </is>
      </c>
      <c r="G2125" t="inlineStr">
        <is>
          <t>1</t>
        </is>
      </c>
      <c r="H2125" t="inlineStr">
        <is>
          <t>No</t>
        </is>
      </c>
      <c r="I2125" t="inlineStr">
        <is>
          <t>No</t>
        </is>
      </c>
      <c r="J2125" t="inlineStr">
        <is>
          <t>0</t>
        </is>
      </c>
      <c r="K2125" t="inlineStr">
        <is>
          <t>O'Connell, Sean P., 1958-</t>
        </is>
      </c>
      <c r="L2125" t="inlineStr">
        <is>
          <t>Albany : State University of New York Press, c2001.</t>
        </is>
      </c>
      <c r="M2125" t="inlineStr">
        <is>
          <t>2001</t>
        </is>
      </c>
      <c r="O2125" t="inlineStr">
        <is>
          <t>eng</t>
        </is>
      </c>
      <c r="P2125" t="inlineStr">
        <is>
          <t>nyu</t>
        </is>
      </c>
      <c r="R2125" t="inlineStr">
        <is>
          <t xml:space="preserve">HQ </t>
        </is>
      </c>
      <c r="S2125" t="n">
        <v>5</v>
      </c>
      <c r="T2125" t="n">
        <v>5</v>
      </c>
      <c r="U2125" t="inlineStr">
        <is>
          <t>2007-02-13</t>
        </is>
      </c>
      <c r="V2125" t="inlineStr">
        <is>
          <t>2007-02-13</t>
        </is>
      </c>
      <c r="W2125" t="inlineStr">
        <is>
          <t>2001-01-03</t>
        </is>
      </c>
      <c r="X2125" t="inlineStr">
        <is>
          <t>2001-01-03</t>
        </is>
      </c>
      <c r="Y2125" t="n">
        <v>259</v>
      </c>
      <c r="Z2125" t="n">
        <v>228</v>
      </c>
      <c r="AA2125" t="n">
        <v>233</v>
      </c>
      <c r="AB2125" t="n">
        <v>2</v>
      </c>
      <c r="AC2125" t="n">
        <v>2</v>
      </c>
      <c r="AD2125" t="n">
        <v>12</v>
      </c>
      <c r="AE2125" t="n">
        <v>12</v>
      </c>
      <c r="AF2125" t="n">
        <v>5</v>
      </c>
      <c r="AG2125" t="n">
        <v>5</v>
      </c>
      <c r="AH2125" t="n">
        <v>2</v>
      </c>
      <c r="AI2125" t="n">
        <v>2</v>
      </c>
      <c r="AJ2125" t="n">
        <v>7</v>
      </c>
      <c r="AK2125" t="n">
        <v>7</v>
      </c>
      <c r="AL2125" t="n">
        <v>1</v>
      </c>
      <c r="AM2125" t="n">
        <v>1</v>
      </c>
      <c r="AN2125" t="n">
        <v>0</v>
      </c>
      <c r="AO2125" t="n">
        <v>0</v>
      </c>
      <c r="AP2125" t="inlineStr">
        <is>
          <t>No</t>
        </is>
      </c>
      <c r="AQ2125" t="inlineStr">
        <is>
          <t>No</t>
        </is>
      </c>
      <c r="AS2125">
        <f>HYPERLINK("https://creighton-primo.hosted.exlibrisgroup.com/primo-explore/search?tab=default_tab&amp;search_scope=EVERYTHING&amp;vid=01CRU&amp;lang=en_US&amp;offset=0&amp;query=any,contains,991003329669702656","Catalog Record")</f>
        <v/>
      </c>
      <c r="AT2125">
        <f>HYPERLINK("http://www.worldcat.org/oclc/43118248","WorldCat Record")</f>
        <v/>
      </c>
      <c r="AU2125" t="inlineStr">
        <is>
          <t>2747997:eng</t>
        </is>
      </c>
      <c r="AV2125" t="inlineStr">
        <is>
          <t>43118248</t>
        </is>
      </c>
      <c r="AW2125" t="inlineStr">
        <is>
          <t>991003329669702656</t>
        </is>
      </c>
      <c r="AX2125" t="inlineStr">
        <is>
          <t>991003329669702656</t>
        </is>
      </c>
      <c r="AY2125" t="inlineStr">
        <is>
          <t>2266420120002656</t>
        </is>
      </c>
      <c r="AZ2125" t="inlineStr">
        <is>
          <t>BOOK</t>
        </is>
      </c>
      <c r="BB2125" t="inlineStr">
        <is>
          <t>9780791447376</t>
        </is>
      </c>
      <c r="BC2125" t="inlineStr">
        <is>
          <t>32285004279047</t>
        </is>
      </c>
      <c r="BD2125" t="inlineStr">
        <is>
          <t>893518381</t>
        </is>
      </c>
    </row>
    <row r="2126">
      <c r="A2126" t="inlineStr">
        <is>
          <t>No</t>
        </is>
      </c>
      <c r="B2126" t="inlineStr">
        <is>
          <t>HQ76 .P3</t>
        </is>
      </c>
      <c r="C2126" t="inlineStr">
        <is>
          <t>0                      HQ 0076000P  3</t>
        </is>
      </c>
      <c r="D2126" t="inlineStr">
        <is>
          <t>Homosexuality : a selective bibliography of over 3,000 items.</t>
        </is>
      </c>
      <c r="F2126" t="inlineStr">
        <is>
          <t>No</t>
        </is>
      </c>
      <c r="G2126" t="inlineStr">
        <is>
          <t>1</t>
        </is>
      </c>
      <c r="H2126" t="inlineStr">
        <is>
          <t>No</t>
        </is>
      </c>
      <c r="I2126" t="inlineStr">
        <is>
          <t>No</t>
        </is>
      </c>
      <c r="J2126" t="inlineStr">
        <is>
          <t>0</t>
        </is>
      </c>
      <c r="K2126" t="inlineStr">
        <is>
          <t>Parker, William, 1921-</t>
        </is>
      </c>
      <c r="L2126" t="inlineStr">
        <is>
          <t>Metuchen, N.J. : Scarecrow Press, 1971.</t>
        </is>
      </c>
      <c r="M2126" t="inlineStr">
        <is>
          <t>1971</t>
        </is>
      </c>
      <c r="O2126" t="inlineStr">
        <is>
          <t>eng</t>
        </is>
      </c>
      <c r="P2126" t="inlineStr">
        <is>
          <t>nju</t>
        </is>
      </c>
      <c r="R2126" t="inlineStr">
        <is>
          <t xml:space="preserve">HQ </t>
        </is>
      </c>
      <c r="S2126" t="n">
        <v>2</v>
      </c>
      <c r="T2126" t="n">
        <v>2</v>
      </c>
      <c r="U2126" t="inlineStr">
        <is>
          <t>1998-02-08</t>
        </is>
      </c>
      <c r="V2126" t="inlineStr">
        <is>
          <t>1998-02-08</t>
        </is>
      </c>
      <c r="W2126" t="inlineStr">
        <is>
          <t>1996-12-20</t>
        </is>
      </c>
      <c r="X2126" t="inlineStr">
        <is>
          <t>1996-12-20</t>
        </is>
      </c>
      <c r="Y2126" t="n">
        <v>464</v>
      </c>
      <c r="Z2126" t="n">
        <v>411</v>
      </c>
      <c r="AA2126" t="n">
        <v>419</v>
      </c>
      <c r="AB2126" t="n">
        <v>4</v>
      </c>
      <c r="AC2126" t="n">
        <v>4</v>
      </c>
      <c r="AD2126" t="n">
        <v>17</v>
      </c>
      <c r="AE2126" t="n">
        <v>17</v>
      </c>
      <c r="AF2126" t="n">
        <v>3</v>
      </c>
      <c r="AG2126" t="n">
        <v>3</v>
      </c>
      <c r="AH2126" t="n">
        <v>3</v>
      </c>
      <c r="AI2126" t="n">
        <v>3</v>
      </c>
      <c r="AJ2126" t="n">
        <v>9</v>
      </c>
      <c r="AK2126" t="n">
        <v>9</v>
      </c>
      <c r="AL2126" t="n">
        <v>3</v>
      </c>
      <c r="AM2126" t="n">
        <v>3</v>
      </c>
      <c r="AN2126" t="n">
        <v>2</v>
      </c>
      <c r="AO2126" t="n">
        <v>2</v>
      </c>
      <c r="AP2126" t="inlineStr">
        <is>
          <t>No</t>
        </is>
      </c>
      <c r="AQ2126" t="inlineStr">
        <is>
          <t>Yes</t>
        </is>
      </c>
      <c r="AR2126">
        <f>HYPERLINK("http://catalog.hathitrust.org/Record/001179064","HathiTrust Record")</f>
        <v/>
      </c>
      <c r="AS2126">
        <f>HYPERLINK("https://creighton-primo.hosted.exlibrisgroup.com/primo-explore/search?tab=default_tab&amp;search_scope=EVERYTHING&amp;vid=01CRU&amp;lang=en_US&amp;offset=0&amp;query=any,contains,991000909969702656","Catalog Record")</f>
        <v/>
      </c>
      <c r="AT2126">
        <f>HYPERLINK("http://www.worldcat.org/oclc/159274","WorldCat Record")</f>
        <v/>
      </c>
      <c r="AU2126" t="inlineStr">
        <is>
          <t>1260417:eng</t>
        </is>
      </c>
      <c r="AV2126" t="inlineStr">
        <is>
          <t>159274</t>
        </is>
      </c>
      <c r="AW2126" t="inlineStr">
        <is>
          <t>991000909969702656</t>
        </is>
      </c>
      <c r="AX2126" t="inlineStr">
        <is>
          <t>991000909969702656</t>
        </is>
      </c>
      <c r="AY2126" t="inlineStr">
        <is>
          <t>2259102210002656</t>
        </is>
      </c>
      <c r="AZ2126" t="inlineStr">
        <is>
          <t>BOOK</t>
        </is>
      </c>
      <c r="BB2126" t="inlineStr">
        <is>
          <t>9780810804258</t>
        </is>
      </c>
      <c r="BC2126" t="inlineStr">
        <is>
          <t>32285002401395</t>
        </is>
      </c>
      <c r="BD2126" t="inlineStr">
        <is>
          <t>893596019</t>
        </is>
      </c>
    </row>
    <row r="2127">
      <c r="A2127" t="inlineStr">
        <is>
          <t>No</t>
        </is>
      </c>
      <c r="B2127" t="inlineStr">
        <is>
          <t>HQ76 .P3 1970-75</t>
        </is>
      </c>
      <c r="C2127" t="inlineStr">
        <is>
          <t>0                      HQ 0076000P  3           1970                                        -75</t>
        </is>
      </c>
      <c r="D2127" t="inlineStr">
        <is>
          <t>Homosexuality bibliography : supplement, 1970-1975 / by William Parker.</t>
        </is>
      </c>
      <c r="F2127" t="inlineStr">
        <is>
          <t>No</t>
        </is>
      </c>
      <c r="G2127" t="inlineStr">
        <is>
          <t>1</t>
        </is>
      </c>
      <c r="H2127" t="inlineStr">
        <is>
          <t>No</t>
        </is>
      </c>
      <c r="I2127" t="inlineStr">
        <is>
          <t>No</t>
        </is>
      </c>
      <c r="J2127" t="inlineStr">
        <is>
          <t>0</t>
        </is>
      </c>
      <c r="K2127" t="inlineStr">
        <is>
          <t>Parker, William, 1921-</t>
        </is>
      </c>
      <c r="L2127" t="inlineStr">
        <is>
          <t>Metuchen, N.J. : Scarecrow Press, 1977.</t>
        </is>
      </c>
      <c r="M2127" t="inlineStr">
        <is>
          <t>1977</t>
        </is>
      </c>
      <c r="O2127" t="inlineStr">
        <is>
          <t>eng</t>
        </is>
      </c>
      <c r="P2127" t="inlineStr">
        <is>
          <t>nju</t>
        </is>
      </c>
      <c r="R2127" t="inlineStr">
        <is>
          <t xml:space="preserve">HQ </t>
        </is>
      </c>
      <c r="S2127" t="n">
        <v>1</v>
      </c>
      <c r="T2127" t="n">
        <v>1</v>
      </c>
      <c r="U2127" t="inlineStr">
        <is>
          <t>1998-02-08</t>
        </is>
      </c>
      <c r="V2127" t="inlineStr">
        <is>
          <t>1998-02-08</t>
        </is>
      </c>
      <c r="W2127" t="inlineStr">
        <is>
          <t>1996-12-20</t>
        </is>
      </c>
      <c r="X2127" t="inlineStr">
        <is>
          <t>1996-12-20</t>
        </is>
      </c>
      <c r="Y2127" t="n">
        <v>404</v>
      </c>
      <c r="Z2127" t="n">
        <v>358</v>
      </c>
      <c r="AA2127" t="n">
        <v>376</v>
      </c>
      <c r="AB2127" t="n">
        <v>3</v>
      </c>
      <c r="AC2127" t="n">
        <v>3</v>
      </c>
      <c r="AD2127" t="n">
        <v>15</v>
      </c>
      <c r="AE2127" t="n">
        <v>17</v>
      </c>
      <c r="AF2127" t="n">
        <v>4</v>
      </c>
      <c r="AG2127" t="n">
        <v>5</v>
      </c>
      <c r="AH2127" t="n">
        <v>3</v>
      </c>
      <c r="AI2127" t="n">
        <v>4</v>
      </c>
      <c r="AJ2127" t="n">
        <v>11</v>
      </c>
      <c r="AK2127" t="n">
        <v>11</v>
      </c>
      <c r="AL2127" t="n">
        <v>2</v>
      </c>
      <c r="AM2127" t="n">
        <v>2</v>
      </c>
      <c r="AN2127" t="n">
        <v>0</v>
      </c>
      <c r="AO2127" t="n">
        <v>0</v>
      </c>
      <c r="AP2127" t="inlineStr">
        <is>
          <t>No</t>
        </is>
      </c>
      <c r="AQ2127" t="inlineStr">
        <is>
          <t>Yes</t>
        </is>
      </c>
      <c r="AR2127">
        <f>HYPERLINK("http://catalog.hathitrust.org/Record/000173336","HathiTrust Record")</f>
        <v/>
      </c>
      <c r="AS2127">
        <f>HYPERLINK("https://creighton-primo.hosted.exlibrisgroup.com/primo-explore/search?tab=default_tab&amp;search_scope=EVERYTHING&amp;vid=01CRU&amp;lang=en_US&amp;offset=0&amp;query=any,contains,991004245489702656","Catalog Record")</f>
        <v/>
      </c>
      <c r="AT2127">
        <f>HYPERLINK("http://www.worldcat.org/oclc/2798268","WorldCat Record")</f>
        <v/>
      </c>
      <c r="AU2127" t="inlineStr">
        <is>
          <t>363475775:eng</t>
        </is>
      </c>
      <c r="AV2127" t="inlineStr">
        <is>
          <t>2798268</t>
        </is>
      </c>
      <c r="AW2127" t="inlineStr">
        <is>
          <t>991004245489702656</t>
        </is>
      </c>
      <c r="AX2127" t="inlineStr">
        <is>
          <t>991004245489702656</t>
        </is>
      </c>
      <c r="AY2127" t="inlineStr">
        <is>
          <t>2272804530002656</t>
        </is>
      </c>
      <c r="AZ2127" t="inlineStr">
        <is>
          <t>BOOK</t>
        </is>
      </c>
      <c r="BB2127" t="inlineStr">
        <is>
          <t>9780810810501</t>
        </is>
      </c>
      <c r="BC2127" t="inlineStr">
        <is>
          <t>32285002401403</t>
        </is>
      </c>
      <c r="BD2127" t="inlineStr">
        <is>
          <t>893624507</t>
        </is>
      </c>
    </row>
    <row r="2128">
      <c r="A2128" t="inlineStr">
        <is>
          <t>No</t>
        </is>
      </c>
      <c r="B2128" t="inlineStr">
        <is>
          <t>HQ76 .P3 1976-82</t>
        </is>
      </c>
      <c r="C2128" t="inlineStr">
        <is>
          <t>0                      HQ 0076000P  3           1976                                        -82</t>
        </is>
      </c>
      <c r="D2128" t="inlineStr">
        <is>
          <t>Homosexuality bibliography. Second supplement, 1976-1982 / by William Parker.</t>
        </is>
      </c>
      <c r="F2128" t="inlineStr">
        <is>
          <t>No</t>
        </is>
      </c>
      <c r="G2128" t="inlineStr">
        <is>
          <t>1</t>
        </is>
      </c>
      <c r="H2128" t="inlineStr">
        <is>
          <t>No</t>
        </is>
      </c>
      <c r="I2128" t="inlineStr">
        <is>
          <t>No</t>
        </is>
      </c>
      <c r="J2128" t="inlineStr">
        <is>
          <t>0</t>
        </is>
      </c>
      <c r="K2128" t="inlineStr">
        <is>
          <t>Parker, William, 1921-</t>
        </is>
      </c>
      <c r="L2128" t="inlineStr">
        <is>
          <t>Metuchen, N.J. : Scarecrow Press, 1985.</t>
        </is>
      </c>
      <c r="M2128" t="inlineStr">
        <is>
          <t>1985</t>
        </is>
      </c>
      <c r="O2128" t="inlineStr">
        <is>
          <t>eng</t>
        </is>
      </c>
      <c r="P2128" t="inlineStr">
        <is>
          <t>nju</t>
        </is>
      </c>
      <c r="R2128" t="inlineStr">
        <is>
          <t xml:space="preserve">HQ </t>
        </is>
      </c>
      <c r="S2128" t="n">
        <v>3</v>
      </c>
      <c r="T2128" t="n">
        <v>3</v>
      </c>
      <c r="U2128" t="inlineStr">
        <is>
          <t>1998-02-08</t>
        </is>
      </c>
      <c r="V2128" t="inlineStr">
        <is>
          <t>1998-02-08</t>
        </is>
      </c>
      <c r="W2128" t="inlineStr">
        <is>
          <t>1996-12-20</t>
        </is>
      </c>
      <c r="X2128" t="inlineStr">
        <is>
          <t>1996-12-20</t>
        </is>
      </c>
      <c r="Y2128" t="n">
        <v>292</v>
      </c>
      <c r="Z2128" t="n">
        <v>253</v>
      </c>
      <c r="AA2128" t="n">
        <v>258</v>
      </c>
      <c r="AB2128" t="n">
        <v>2</v>
      </c>
      <c r="AC2128" t="n">
        <v>2</v>
      </c>
      <c r="AD2128" t="n">
        <v>9</v>
      </c>
      <c r="AE2128" t="n">
        <v>9</v>
      </c>
      <c r="AF2128" t="n">
        <v>3</v>
      </c>
      <c r="AG2128" t="n">
        <v>3</v>
      </c>
      <c r="AH2128" t="n">
        <v>2</v>
      </c>
      <c r="AI2128" t="n">
        <v>2</v>
      </c>
      <c r="AJ2128" t="n">
        <v>6</v>
      </c>
      <c r="AK2128" t="n">
        <v>6</v>
      </c>
      <c r="AL2128" t="n">
        <v>1</v>
      </c>
      <c r="AM2128" t="n">
        <v>1</v>
      </c>
      <c r="AN2128" t="n">
        <v>0</v>
      </c>
      <c r="AO2128" t="n">
        <v>0</v>
      </c>
      <c r="AP2128" t="inlineStr">
        <is>
          <t>No</t>
        </is>
      </c>
      <c r="AQ2128" t="inlineStr">
        <is>
          <t>No</t>
        </is>
      </c>
      <c r="AS2128">
        <f>HYPERLINK("https://creighton-primo.hosted.exlibrisgroup.com/primo-explore/search?tab=default_tab&amp;search_scope=EVERYTHING&amp;vid=01CRU&amp;lang=en_US&amp;offset=0&amp;query=any,contains,991000510979702656","Catalog Record")</f>
        <v/>
      </c>
      <c r="AT2128">
        <f>HYPERLINK("http://www.worldcat.org/oclc/11236048","WorldCat Record")</f>
        <v/>
      </c>
      <c r="AU2128" t="inlineStr">
        <is>
          <t>5114085302:eng</t>
        </is>
      </c>
      <c r="AV2128" t="inlineStr">
        <is>
          <t>11236048</t>
        </is>
      </c>
      <c r="AW2128" t="inlineStr">
        <is>
          <t>991000510979702656</t>
        </is>
      </c>
      <c r="AX2128" t="inlineStr">
        <is>
          <t>991000510979702656</t>
        </is>
      </c>
      <c r="AY2128" t="inlineStr">
        <is>
          <t>2258976800002656</t>
        </is>
      </c>
      <c r="AZ2128" t="inlineStr">
        <is>
          <t>BOOK</t>
        </is>
      </c>
      <c r="BB2128" t="inlineStr">
        <is>
          <t>9780810817531</t>
        </is>
      </c>
      <c r="BC2128" t="inlineStr">
        <is>
          <t>32285002401411</t>
        </is>
      </c>
      <c r="BD2128" t="inlineStr">
        <is>
          <t>893321105</t>
        </is>
      </c>
    </row>
    <row r="2129">
      <c r="A2129" t="inlineStr">
        <is>
          <t>No</t>
        </is>
      </c>
      <c r="B2129" t="inlineStr">
        <is>
          <t>HQ76 .S54 1977</t>
        </is>
      </c>
      <c r="C2129" t="inlineStr">
        <is>
          <t>0                      HQ 0076000S  54          1977</t>
        </is>
      </c>
      <c r="D2129" t="inlineStr">
        <is>
          <t>From the closet to the courts : the lesbian transition / Ruth Simpson.</t>
        </is>
      </c>
      <c r="F2129" t="inlineStr">
        <is>
          <t>No</t>
        </is>
      </c>
      <c r="G2129" t="inlineStr">
        <is>
          <t>1</t>
        </is>
      </c>
      <c r="H2129" t="inlineStr">
        <is>
          <t>No</t>
        </is>
      </c>
      <c r="I2129" t="inlineStr">
        <is>
          <t>No</t>
        </is>
      </c>
      <c r="J2129" t="inlineStr">
        <is>
          <t>0</t>
        </is>
      </c>
      <c r="K2129" t="inlineStr">
        <is>
          <t>Simpson, Ruth, 1926-</t>
        </is>
      </c>
      <c r="L2129" t="inlineStr">
        <is>
          <t>New York : Penguin Books, 1977, c1976.</t>
        </is>
      </c>
      <c r="M2129" t="inlineStr">
        <is>
          <t>1977</t>
        </is>
      </c>
      <c r="O2129" t="inlineStr">
        <is>
          <t>eng</t>
        </is>
      </c>
      <c r="P2129" t="inlineStr">
        <is>
          <t>nyu</t>
        </is>
      </c>
      <c r="R2129" t="inlineStr">
        <is>
          <t xml:space="preserve">HQ </t>
        </is>
      </c>
      <c r="S2129" t="n">
        <v>18</v>
      </c>
      <c r="T2129" t="n">
        <v>18</v>
      </c>
      <c r="U2129" t="inlineStr">
        <is>
          <t>1995-05-08</t>
        </is>
      </c>
      <c r="V2129" t="inlineStr">
        <is>
          <t>1995-05-08</t>
        </is>
      </c>
      <c r="W2129" t="inlineStr">
        <is>
          <t>1992-04-07</t>
        </is>
      </c>
      <c r="X2129" t="inlineStr">
        <is>
          <t>1992-04-07</t>
        </is>
      </c>
      <c r="Y2129" t="n">
        <v>120</v>
      </c>
      <c r="Z2129" t="n">
        <v>99</v>
      </c>
      <c r="AA2129" t="n">
        <v>448</v>
      </c>
      <c r="AB2129" t="n">
        <v>1</v>
      </c>
      <c r="AC2129" t="n">
        <v>4</v>
      </c>
      <c r="AD2129" t="n">
        <v>3</v>
      </c>
      <c r="AE2129" t="n">
        <v>19</v>
      </c>
      <c r="AF2129" t="n">
        <v>1</v>
      </c>
      <c r="AG2129" t="n">
        <v>8</v>
      </c>
      <c r="AH2129" t="n">
        <v>3</v>
      </c>
      <c r="AI2129" t="n">
        <v>6</v>
      </c>
      <c r="AJ2129" t="n">
        <v>2</v>
      </c>
      <c r="AK2129" t="n">
        <v>6</v>
      </c>
      <c r="AL2129" t="n">
        <v>0</v>
      </c>
      <c r="AM2129" t="n">
        <v>3</v>
      </c>
      <c r="AN2129" t="n">
        <v>0</v>
      </c>
      <c r="AO2129" t="n">
        <v>1</v>
      </c>
      <c r="AP2129" t="inlineStr">
        <is>
          <t>No</t>
        </is>
      </c>
      <c r="AQ2129" t="inlineStr">
        <is>
          <t>No</t>
        </is>
      </c>
      <c r="AS2129">
        <f>HYPERLINK("https://creighton-primo.hosted.exlibrisgroup.com/primo-explore/search?tab=default_tab&amp;search_scope=EVERYTHING&amp;vid=01CRU&amp;lang=en_US&amp;offset=0&amp;query=any,contains,991004102579702656","Catalog Record")</f>
        <v/>
      </c>
      <c r="AT2129">
        <f>HYPERLINK("http://www.worldcat.org/oclc/2373057","WorldCat Record")</f>
        <v/>
      </c>
      <c r="AU2129" t="inlineStr">
        <is>
          <t>12291692:eng</t>
        </is>
      </c>
      <c r="AV2129" t="inlineStr">
        <is>
          <t>2373057</t>
        </is>
      </c>
      <c r="AW2129" t="inlineStr">
        <is>
          <t>991004102579702656</t>
        </is>
      </c>
      <c r="AX2129" t="inlineStr">
        <is>
          <t>991004102579702656</t>
        </is>
      </c>
      <c r="AY2129" t="inlineStr">
        <is>
          <t>2257386170002656</t>
        </is>
      </c>
      <c r="AZ2129" t="inlineStr">
        <is>
          <t>BOOK</t>
        </is>
      </c>
      <c r="BB2129" t="inlineStr">
        <is>
          <t>9780140043532</t>
        </is>
      </c>
      <c r="BC2129" t="inlineStr">
        <is>
          <t>32285001055945</t>
        </is>
      </c>
      <c r="BD2129" t="inlineStr">
        <is>
          <t>893337326</t>
        </is>
      </c>
    </row>
    <row r="2130">
      <c r="A2130" t="inlineStr">
        <is>
          <t>No</t>
        </is>
      </c>
      <c r="B2130" t="inlineStr">
        <is>
          <t>HQ76 .W38</t>
        </is>
      </c>
      <c r="C2130" t="inlineStr">
        <is>
          <t>0                      HQ 0076000W  38</t>
        </is>
      </c>
      <c r="D2130" t="inlineStr">
        <is>
          <t>Society and the healthy homosexual / [by] George Weinberg.</t>
        </is>
      </c>
      <c r="F2130" t="inlineStr">
        <is>
          <t>No</t>
        </is>
      </c>
      <c r="G2130" t="inlineStr">
        <is>
          <t>1</t>
        </is>
      </c>
      <c r="H2130" t="inlineStr">
        <is>
          <t>No</t>
        </is>
      </c>
      <c r="I2130" t="inlineStr">
        <is>
          <t>No</t>
        </is>
      </c>
      <c r="J2130" t="inlineStr">
        <is>
          <t>0</t>
        </is>
      </c>
      <c r="K2130" t="inlineStr">
        <is>
          <t>Weinberg, George H.</t>
        </is>
      </c>
      <c r="L2130" t="inlineStr">
        <is>
          <t>New York : St. Martin's Press, [1972]</t>
        </is>
      </c>
      <c r="M2130" t="inlineStr">
        <is>
          <t>1972</t>
        </is>
      </c>
      <c r="O2130" t="inlineStr">
        <is>
          <t>eng</t>
        </is>
      </c>
      <c r="P2130" t="inlineStr">
        <is>
          <t>nyu</t>
        </is>
      </c>
      <c r="R2130" t="inlineStr">
        <is>
          <t xml:space="preserve">HQ </t>
        </is>
      </c>
      <c r="S2130" t="n">
        <v>20</v>
      </c>
      <c r="T2130" t="n">
        <v>20</v>
      </c>
      <c r="U2130" t="inlineStr">
        <is>
          <t>1995-11-18</t>
        </is>
      </c>
      <c r="V2130" t="inlineStr">
        <is>
          <t>1995-11-18</t>
        </is>
      </c>
      <c r="W2130" t="inlineStr">
        <is>
          <t>1992-03-13</t>
        </is>
      </c>
      <c r="X2130" t="inlineStr">
        <is>
          <t>1992-03-13</t>
        </is>
      </c>
      <c r="Y2130" t="n">
        <v>509</v>
      </c>
      <c r="Z2130" t="n">
        <v>453</v>
      </c>
      <c r="AA2130" t="n">
        <v>637</v>
      </c>
      <c r="AB2130" t="n">
        <v>4</v>
      </c>
      <c r="AC2130" t="n">
        <v>5</v>
      </c>
      <c r="AD2130" t="n">
        <v>20</v>
      </c>
      <c r="AE2130" t="n">
        <v>27</v>
      </c>
      <c r="AF2130" t="n">
        <v>7</v>
      </c>
      <c r="AG2130" t="n">
        <v>9</v>
      </c>
      <c r="AH2130" t="n">
        <v>5</v>
      </c>
      <c r="AI2130" t="n">
        <v>6</v>
      </c>
      <c r="AJ2130" t="n">
        <v>10</v>
      </c>
      <c r="AK2130" t="n">
        <v>15</v>
      </c>
      <c r="AL2130" t="n">
        <v>3</v>
      </c>
      <c r="AM2130" t="n">
        <v>4</v>
      </c>
      <c r="AN2130" t="n">
        <v>0</v>
      </c>
      <c r="AO2130" t="n">
        <v>0</v>
      </c>
      <c r="AP2130" t="inlineStr">
        <is>
          <t>No</t>
        </is>
      </c>
      <c r="AQ2130" t="inlineStr">
        <is>
          <t>Yes</t>
        </is>
      </c>
      <c r="AR2130">
        <f>HYPERLINK("http://catalog.hathitrust.org/Record/000158312","HathiTrust Record")</f>
        <v/>
      </c>
      <c r="AS2130">
        <f>HYPERLINK("https://creighton-primo.hosted.exlibrisgroup.com/primo-explore/search?tab=default_tab&amp;search_scope=EVERYTHING&amp;vid=01CRU&amp;lang=en_US&amp;offset=0&amp;query=any,contains,991002208299702656","Catalog Record")</f>
        <v/>
      </c>
      <c r="AT2130">
        <f>HYPERLINK("http://www.worldcat.org/oclc/286908","WorldCat Record")</f>
        <v/>
      </c>
      <c r="AU2130" t="inlineStr">
        <is>
          <t>1456996:eng</t>
        </is>
      </c>
      <c r="AV2130" t="inlineStr">
        <is>
          <t>286908</t>
        </is>
      </c>
      <c r="AW2130" t="inlineStr">
        <is>
          <t>991002208299702656</t>
        </is>
      </c>
      <c r="AX2130" t="inlineStr">
        <is>
          <t>991002208299702656</t>
        </is>
      </c>
      <c r="AY2130" t="inlineStr">
        <is>
          <t>2263802890002656</t>
        </is>
      </c>
      <c r="AZ2130" t="inlineStr">
        <is>
          <t>BOOK</t>
        </is>
      </c>
      <c r="BC2130" t="inlineStr">
        <is>
          <t>32285000999762</t>
        </is>
      </c>
      <c r="BD2130" t="inlineStr">
        <is>
          <t>893903764</t>
        </is>
      </c>
    </row>
    <row r="2131">
      <c r="A2131" t="inlineStr">
        <is>
          <t>No</t>
        </is>
      </c>
      <c r="B2131" t="inlineStr">
        <is>
          <t>HQ76 .W4 1968b</t>
        </is>
      </c>
      <c r="C2131" t="inlineStr">
        <is>
          <t>0                      HQ 0076000W  4           1968b</t>
        </is>
      </c>
      <c r="D2131" t="inlineStr">
        <is>
          <t>Homosexuality / [by] D. J. West.</t>
        </is>
      </c>
      <c r="F2131" t="inlineStr">
        <is>
          <t>No</t>
        </is>
      </c>
      <c r="G2131" t="inlineStr">
        <is>
          <t>1</t>
        </is>
      </c>
      <c r="H2131" t="inlineStr">
        <is>
          <t>No</t>
        </is>
      </c>
      <c r="I2131" t="inlineStr">
        <is>
          <t>No</t>
        </is>
      </c>
      <c r="J2131" t="inlineStr">
        <is>
          <t>0</t>
        </is>
      </c>
      <c r="K2131" t="inlineStr">
        <is>
          <t>West, D. J. (Donald James), 1924-</t>
        </is>
      </c>
      <c r="L2131" t="inlineStr">
        <is>
          <t>Chicago : Aldine Pub. Co., [1968, c1967]</t>
        </is>
      </c>
      <c r="M2131" t="inlineStr">
        <is>
          <t>1968</t>
        </is>
      </c>
      <c r="N2131" t="inlineStr">
        <is>
          <t>[1st U.S. ed.]</t>
        </is>
      </c>
      <c r="O2131" t="inlineStr">
        <is>
          <t>eng</t>
        </is>
      </c>
      <c r="P2131" t="inlineStr">
        <is>
          <t>ilu</t>
        </is>
      </c>
      <c r="R2131" t="inlineStr">
        <is>
          <t xml:space="preserve">HQ </t>
        </is>
      </c>
      <c r="S2131" t="n">
        <v>8</v>
      </c>
      <c r="T2131" t="n">
        <v>8</v>
      </c>
      <c r="U2131" t="inlineStr">
        <is>
          <t>1995-01-29</t>
        </is>
      </c>
      <c r="V2131" t="inlineStr">
        <is>
          <t>1995-01-29</t>
        </is>
      </c>
      <c r="W2131" t="inlineStr">
        <is>
          <t>1992-04-03</t>
        </is>
      </c>
      <c r="X2131" t="inlineStr">
        <is>
          <t>1992-04-03</t>
        </is>
      </c>
      <c r="Y2131" t="n">
        <v>498</v>
      </c>
      <c r="Z2131" t="n">
        <v>445</v>
      </c>
      <c r="AA2131" t="n">
        <v>566</v>
      </c>
      <c r="AB2131" t="n">
        <v>4</v>
      </c>
      <c r="AC2131" t="n">
        <v>4</v>
      </c>
      <c r="AD2131" t="n">
        <v>17</v>
      </c>
      <c r="AE2131" t="n">
        <v>18</v>
      </c>
      <c r="AF2131" t="n">
        <v>6</v>
      </c>
      <c r="AG2131" t="n">
        <v>6</v>
      </c>
      <c r="AH2131" t="n">
        <v>2</v>
      </c>
      <c r="AI2131" t="n">
        <v>3</v>
      </c>
      <c r="AJ2131" t="n">
        <v>8</v>
      </c>
      <c r="AK2131" t="n">
        <v>8</v>
      </c>
      <c r="AL2131" t="n">
        <v>2</v>
      </c>
      <c r="AM2131" t="n">
        <v>2</v>
      </c>
      <c r="AN2131" t="n">
        <v>1</v>
      </c>
      <c r="AO2131" t="n">
        <v>1</v>
      </c>
      <c r="AP2131" t="inlineStr">
        <is>
          <t>No</t>
        </is>
      </c>
      <c r="AQ2131" t="inlineStr">
        <is>
          <t>Yes</t>
        </is>
      </c>
      <c r="AR2131">
        <f>HYPERLINK("http://catalog.hathitrust.org/Record/001109884","HathiTrust Record")</f>
        <v/>
      </c>
      <c r="AS2131">
        <f>HYPERLINK("https://creighton-primo.hosted.exlibrisgroup.com/primo-explore/search?tab=default_tab&amp;search_scope=EVERYTHING&amp;vid=01CRU&amp;lang=en_US&amp;offset=0&amp;query=any,contains,991002017009702656","Catalog Record")</f>
        <v/>
      </c>
      <c r="AT2131">
        <f>HYPERLINK("http://www.worldcat.org/oclc/259200","WorldCat Record")</f>
        <v/>
      </c>
      <c r="AU2131" t="inlineStr">
        <is>
          <t>1364923:eng</t>
        </is>
      </c>
      <c r="AV2131" t="inlineStr">
        <is>
          <t>259200</t>
        </is>
      </c>
      <c r="AW2131" t="inlineStr">
        <is>
          <t>991002017009702656</t>
        </is>
      </c>
      <c r="AX2131" t="inlineStr">
        <is>
          <t>991002017009702656</t>
        </is>
      </c>
      <c r="AY2131" t="inlineStr">
        <is>
          <t>2271309720002656</t>
        </is>
      </c>
      <c r="AZ2131" t="inlineStr">
        <is>
          <t>BOOK</t>
        </is>
      </c>
      <c r="BC2131" t="inlineStr">
        <is>
          <t>32285001048262</t>
        </is>
      </c>
      <c r="BD2131" t="inlineStr">
        <is>
          <t>893347016</t>
        </is>
      </c>
    </row>
    <row r="2132">
      <c r="A2132" t="inlineStr">
        <is>
          <t>No</t>
        </is>
      </c>
      <c r="B2132" t="inlineStr">
        <is>
          <t>HQ76 .W9</t>
        </is>
      </c>
      <c r="C2132" t="inlineStr">
        <is>
          <t>0                      HQ 0076000W  9</t>
        </is>
      </c>
      <c r="D2132" t="inlineStr">
        <is>
          <t>Growing up straight : what every thoughtful parent should know about homosexuality / by Peter and Barbara Wyden. Introd. by Stanley F. Yolles.</t>
        </is>
      </c>
      <c r="F2132" t="inlineStr">
        <is>
          <t>No</t>
        </is>
      </c>
      <c r="G2132" t="inlineStr">
        <is>
          <t>1</t>
        </is>
      </c>
      <c r="H2132" t="inlineStr">
        <is>
          <t>No</t>
        </is>
      </c>
      <c r="I2132" t="inlineStr">
        <is>
          <t>No</t>
        </is>
      </c>
      <c r="J2132" t="inlineStr">
        <is>
          <t>0</t>
        </is>
      </c>
      <c r="K2132" t="inlineStr">
        <is>
          <t>Wyden, Peter.</t>
        </is>
      </c>
      <c r="L2132" t="inlineStr">
        <is>
          <t>New York : Stein and Day, [1968]</t>
        </is>
      </c>
      <c r="M2132" t="inlineStr">
        <is>
          <t>1968</t>
        </is>
      </c>
      <c r="O2132" t="inlineStr">
        <is>
          <t>eng</t>
        </is>
      </c>
      <c r="P2132" t="inlineStr">
        <is>
          <t>nyu</t>
        </is>
      </c>
      <c r="R2132" t="inlineStr">
        <is>
          <t xml:space="preserve">HQ </t>
        </is>
      </c>
      <c r="S2132" t="n">
        <v>6</v>
      </c>
      <c r="T2132" t="n">
        <v>6</v>
      </c>
      <c r="U2132" t="inlineStr">
        <is>
          <t>1995-03-28</t>
        </is>
      </c>
      <c r="V2132" t="inlineStr">
        <is>
          <t>1995-03-28</t>
        </is>
      </c>
      <c r="W2132" t="inlineStr">
        <is>
          <t>1992-12-16</t>
        </is>
      </c>
      <c r="X2132" t="inlineStr">
        <is>
          <t>1992-12-16</t>
        </is>
      </c>
      <c r="Y2132" t="n">
        <v>539</v>
      </c>
      <c r="Z2132" t="n">
        <v>502</v>
      </c>
      <c r="AA2132" t="n">
        <v>513</v>
      </c>
      <c r="AB2132" t="n">
        <v>6</v>
      </c>
      <c r="AC2132" t="n">
        <v>6</v>
      </c>
      <c r="AD2132" t="n">
        <v>11</v>
      </c>
      <c r="AE2132" t="n">
        <v>11</v>
      </c>
      <c r="AF2132" t="n">
        <v>3</v>
      </c>
      <c r="AG2132" t="n">
        <v>3</v>
      </c>
      <c r="AH2132" t="n">
        <v>2</v>
      </c>
      <c r="AI2132" t="n">
        <v>2</v>
      </c>
      <c r="AJ2132" t="n">
        <v>5</v>
      </c>
      <c r="AK2132" t="n">
        <v>5</v>
      </c>
      <c r="AL2132" t="n">
        <v>4</v>
      </c>
      <c r="AM2132" t="n">
        <v>4</v>
      </c>
      <c r="AN2132" t="n">
        <v>0</v>
      </c>
      <c r="AO2132" t="n">
        <v>0</v>
      </c>
      <c r="AP2132" t="inlineStr">
        <is>
          <t>No</t>
        </is>
      </c>
      <c r="AQ2132" t="inlineStr">
        <is>
          <t>Yes</t>
        </is>
      </c>
      <c r="AR2132">
        <f>HYPERLINK("http://catalog.hathitrust.org/Record/004399047","HathiTrust Record")</f>
        <v/>
      </c>
      <c r="AS2132">
        <f>HYPERLINK("https://creighton-primo.hosted.exlibrisgroup.com/primo-explore/search?tab=default_tab&amp;search_scope=EVERYTHING&amp;vid=01CRU&amp;lang=en_US&amp;offset=0&amp;query=any,contains,991003393209702656","Catalog Record")</f>
        <v/>
      </c>
      <c r="AT2132">
        <f>HYPERLINK("http://www.worldcat.org/oclc/931776","WorldCat Record")</f>
        <v/>
      </c>
      <c r="AU2132" t="inlineStr">
        <is>
          <t>1322641:eng</t>
        </is>
      </c>
      <c r="AV2132" t="inlineStr">
        <is>
          <t>931776</t>
        </is>
      </c>
      <c r="AW2132" t="inlineStr">
        <is>
          <t>991003393209702656</t>
        </is>
      </c>
      <c r="AX2132" t="inlineStr">
        <is>
          <t>991003393209702656</t>
        </is>
      </c>
      <c r="AY2132" t="inlineStr">
        <is>
          <t>2268979820002656</t>
        </is>
      </c>
      <c r="AZ2132" t="inlineStr">
        <is>
          <t>BOOK</t>
        </is>
      </c>
      <c r="BC2132" t="inlineStr">
        <is>
          <t>32285001443000</t>
        </is>
      </c>
      <c r="BD2132" t="inlineStr">
        <is>
          <t>893899946</t>
        </is>
      </c>
    </row>
    <row r="2133">
      <c r="A2133" t="inlineStr">
        <is>
          <t>No</t>
        </is>
      </c>
      <c r="B2133" t="inlineStr">
        <is>
          <t>HQ76.13 .G74 1999</t>
        </is>
      </c>
      <c r="C2133" t="inlineStr">
        <is>
          <t>0                      HQ 0076130G  74          1999</t>
        </is>
      </c>
      <c r="D2133" t="inlineStr">
        <is>
          <t>The velveteen father : an unexpected journey to parenthood / Jesse Green.</t>
        </is>
      </c>
      <c r="F2133" t="inlineStr">
        <is>
          <t>No</t>
        </is>
      </c>
      <c r="G2133" t="inlineStr">
        <is>
          <t>1</t>
        </is>
      </c>
      <c r="H2133" t="inlineStr">
        <is>
          <t>No</t>
        </is>
      </c>
      <c r="I2133" t="inlineStr">
        <is>
          <t>No</t>
        </is>
      </c>
      <c r="J2133" t="inlineStr">
        <is>
          <t>0</t>
        </is>
      </c>
      <c r="K2133" t="inlineStr">
        <is>
          <t>Green, Jesse.</t>
        </is>
      </c>
      <c r="L2133" t="inlineStr">
        <is>
          <t>New York : Villard, c1999.</t>
        </is>
      </c>
      <c r="M2133" t="inlineStr">
        <is>
          <t>1999</t>
        </is>
      </c>
      <c r="N2133" t="inlineStr">
        <is>
          <t>1st ed.</t>
        </is>
      </c>
      <c r="O2133" t="inlineStr">
        <is>
          <t>eng</t>
        </is>
      </c>
      <c r="P2133" t="inlineStr">
        <is>
          <t>nyu</t>
        </is>
      </c>
      <c r="R2133" t="inlineStr">
        <is>
          <t xml:space="preserve">HQ </t>
        </is>
      </c>
      <c r="S2133" t="n">
        <v>4</v>
      </c>
      <c r="T2133" t="n">
        <v>4</v>
      </c>
      <c r="U2133" t="inlineStr">
        <is>
          <t>2005-11-13</t>
        </is>
      </c>
      <c r="V2133" t="inlineStr">
        <is>
          <t>2005-11-13</t>
        </is>
      </c>
      <c r="W2133" t="inlineStr">
        <is>
          <t>1999-12-09</t>
        </is>
      </c>
      <c r="X2133" t="inlineStr">
        <is>
          <t>1999-12-09</t>
        </is>
      </c>
      <c r="Y2133" t="n">
        <v>298</v>
      </c>
      <c r="Z2133" t="n">
        <v>288</v>
      </c>
      <c r="AA2133" t="n">
        <v>322</v>
      </c>
      <c r="AB2133" t="n">
        <v>2</v>
      </c>
      <c r="AC2133" t="n">
        <v>2</v>
      </c>
      <c r="AD2133" t="n">
        <v>4</v>
      </c>
      <c r="AE2133" t="n">
        <v>4</v>
      </c>
      <c r="AF2133" t="n">
        <v>0</v>
      </c>
      <c r="AG2133" t="n">
        <v>0</v>
      </c>
      <c r="AH2133" t="n">
        <v>1</v>
      </c>
      <c r="AI2133" t="n">
        <v>1</v>
      </c>
      <c r="AJ2133" t="n">
        <v>3</v>
      </c>
      <c r="AK2133" t="n">
        <v>3</v>
      </c>
      <c r="AL2133" t="n">
        <v>1</v>
      </c>
      <c r="AM2133" t="n">
        <v>1</v>
      </c>
      <c r="AN2133" t="n">
        <v>0</v>
      </c>
      <c r="AO2133" t="n">
        <v>0</v>
      </c>
      <c r="AP2133" t="inlineStr">
        <is>
          <t>No</t>
        </is>
      </c>
      <c r="AQ2133" t="inlineStr">
        <is>
          <t>Yes</t>
        </is>
      </c>
      <c r="AR2133">
        <f>HYPERLINK("http://catalog.hathitrust.org/Record/004575977","HathiTrust Record")</f>
        <v/>
      </c>
      <c r="AS2133">
        <f>HYPERLINK("https://creighton-primo.hosted.exlibrisgroup.com/primo-explore/search?tab=default_tab&amp;search_scope=EVERYTHING&amp;vid=01CRU&amp;lang=en_US&amp;offset=0&amp;query=any,contains,991002992039702656","Catalog Record")</f>
        <v/>
      </c>
      <c r="AT2133">
        <f>HYPERLINK("http://www.worldcat.org/oclc/40403629","WorldCat Record")</f>
        <v/>
      </c>
      <c r="AU2133" t="inlineStr">
        <is>
          <t>23477149:eng</t>
        </is>
      </c>
      <c r="AV2133" t="inlineStr">
        <is>
          <t>40403629</t>
        </is>
      </c>
      <c r="AW2133" t="inlineStr">
        <is>
          <t>991002992039702656</t>
        </is>
      </c>
      <c r="AX2133" t="inlineStr">
        <is>
          <t>991002992039702656</t>
        </is>
      </c>
      <c r="AY2133" t="inlineStr">
        <is>
          <t>2256320690002656</t>
        </is>
      </c>
      <c r="AZ2133" t="inlineStr">
        <is>
          <t>BOOK</t>
        </is>
      </c>
      <c r="BB2133" t="inlineStr">
        <is>
          <t>9780375501647</t>
        </is>
      </c>
      <c r="BC2133" t="inlineStr">
        <is>
          <t>32285003631487</t>
        </is>
      </c>
      <c r="BD2133" t="inlineStr">
        <is>
          <t>893799256</t>
        </is>
      </c>
    </row>
    <row r="2134">
      <c r="A2134" t="inlineStr">
        <is>
          <t>No</t>
        </is>
      </c>
      <c r="B2134" t="inlineStr">
        <is>
          <t>HQ76.2.G4 P55 1988</t>
        </is>
      </c>
      <c r="C2134" t="inlineStr">
        <is>
          <t>0                      HQ 0076200G  4                  P  55          1988</t>
        </is>
      </c>
      <c r="D2134" t="inlineStr">
        <is>
          <t>The pink triangle : the Nazi war against homosexuals / Richard Plant.</t>
        </is>
      </c>
      <c r="F2134" t="inlineStr">
        <is>
          <t>No</t>
        </is>
      </c>
      <c r="G2134" t="inlineStr">
        <is>
          <t>1</t>
        </is>
      </c>
      <c r="H2134" t="inlineStr">
        <is>
          <t>No</t>
        </is>
      </c>
      <c r="I2134" t="inlineStr">
        <is>
          <t>No</t>
        </is>
      </c>
      <c r="J2134" t="inlineStr">
        <is>
          <t>0</t>
        </is>
      </c>
      <c r="K2134" t="inlineStr">
        <is>
          <t>Plant, Richard, 1910-1998.</t>
        </is>
      </c>
      <c r="L2134" t="inlineStr">
        <is>
          <t>New York : Henry Holt, 1988, c1986.</t>
        </is>
      </c>
      <c r="M2134" t="inlineStr">
        <is>
          <t>1988</t>
        </is>
      </c>
      <c r="N2134" t="inlineStr">
        <is>
          <t>1st Owl Book ed.</t>
        </is>
      </c>
      <c r="O2134" t="inlineStr">
        <is>
          <t>eng</t>
        </is>
      </c>
      <c r="P2134" t="inlineStr">
        <is>
          <t>nyu</t>
        </is>
      </c>
      <c r="R2134" t="inlineStr">
        <is>
          <t xml:space="preserve">HQ </t>
        </is>
      </c>
      <c r="S2134" t="n">
        <v>4</v>
      </c>
      <c r="T2134" t="n">
        <v>4</v>
      </c>
      <c r="U2134" t="inlineStr">
        <is>
          <t>2001-05-13</t>
        </is>
      </c>
      <c r="V2134" t="inlineStr">
        <is>
          <t>2001-05-13</t>
        </is>
      </c>
      <c r="W2134" t="inlineStr">
        <is>
          <t>1997-02-07</t>
        </is>
      </c>
      <c r="X2134" t="inlineStr">
        <is>
          <t>1997-02-07</t>
        </is>
      </c>
      <c r="Y2134" t="n">
        <v>206</v>
      </c>
      <c r="Z2134" t="n">
        <v>178</v>
      </c>
      <c r="AA2134" t="n">
        <v>1066</v>
      </c>
      <c r="AB2134" t="n">
        <v>4</v>
      </c>
      <c r="AC2134" t="n">
        <v>8</v>
      </c>
      <c r="AD2134" t="n">
        <v>6</v>
      </c>
      <c r="AE2134" t="n">
        <v>31</v>
      </c>
      <c r="AF2134" t="n">
        <v>2</v>
      </c>
      <c r="AG2134" t="n">
        <v>11</v>
      </c>
      <c r="AH2134" t="n">
        <v>1</v>
      </c>
      <c r="AI2134" t="n">
        <v>8</v>
      </c>
      <c r="AJ2134" t="n">
        <v>1</v>
      </c>
      <c r="AK2134" t="n">
        <v>13</v>
      </c>
      <c r="AL2134" t="n">
        <v>3</v>
      </c>
      <c r="AM2134" t="n">
        <v>5</v>
      </c>
      <c r="AN2134" t="n">
        <v>0</v>
      </c>
      <c r="AO2134" t="n">
        <v>0</v>
      </c>
      <c r="AP2134" t="inlineStr">
        <is>
          <t>No</t>
        </is>
      </c>
      <c r="AQ2134" t="inlineStr">
        <is>
          <t>No</t>
        </is>
      </c>
      <c r="AS2134">
        <f>HYPERLINK("https://creighton-primo.hosted.exlibrisgroup.com/primo-explore/search?tab=default_tab&amp;search_scope=EVERYTHING&amp;vid=01CRU&amp;lang=en_US&amp;offset=0&amp;query=any,contains,991002510029702656","Catalog Record")</f>
        <v/>
      </c>
      <c r="AT2134">
        <f>HYPERLINK("http://www.worldcat.org/oclc/32633299","WorldCat Record")</f>
        <v/>
      </c>
      <c r="AU2134" t="inlineStr">
        <is>
          <t>863899380:eng</t>
        </is>
      </c>
      <c r="AV2134" t="inlineStr">
        <is>
          <t>32633299</t>
        </is>
      </c>
      <c r="AW2134" t="inlineStr">
        <is>
          <t>991002510029702656</t>
        </is>
      </c>
      <c r="AX2134" t="inlineStr">
        <is>
          <t>991002510029702656</t>
        </is>
      </c>
      <c r="AY2134" t="inlineStr">
        <is>
          <t>2260866560002656</t>
        </is>
      </c>
      <c r="AZ2134" t="inlineStr">
        <is>
          <t>BOOK</t>
        </is>
      </c>
      <c r="BB2134" t="inlineStr">
        <is>
          <t>9780805006001</t>
        </is>
      </c>
      <c r="BC2134" t="inlineStr">
        <is>
          <t>32285002414927</t>
        </is>
      </c>
      <c r="BD2134" t="inlineStr">
        <is>
          <t>893427671</t>
        </is>
      </c>
    </row>
    <row r="2135">
      <c r="A2135" t="inlineStr">
        <is>
          <t>No</t>
        </is>
      </c>
      <c r="B2135" t="inlineStr">
        <is>
          <t>HQ76.2.G4 R4</t>
        </is>
      </c>
      <c r="C2135" t="inlineStr">
        <is>
          <t>0                      HQ 0076200G  4                  R  4</t>
        </is>
      </c>
      <c r="D2135" t="inlineStr">
        <is>
          <t>The Nazi extermination of homosexuals / Frank Rector.</t>
        </is>
      </c>
      <c r="F2135" t="inlineStr">
        <is>
          <t>No</t>
        </is>
      </c>
      <c r="G2135" t="inlineStr">
        <is>
          <t>1</t>
        </is>
      </c>
      <c r="H2135" t="inlineStr">
        <is>
          <t>No</t>
        </is>
      </c>
      <c r="I2135" t="inlineStr">
        <is>
          <t>No</t>
        </is>
      </c>
      <c r="J2135" t="inlineStr">
        <is>
          <t>0</t>
        </is>
      </c>
      <c r="K2135" t="inlineStr">
        <is>
          <t>Rector, Frank.</t>
        </is>
      </c>
      <c r="L2135" t="inlineStr">
        <is>
          <t>New York : Stein and Day, 1981.</t>
        </is>
      </c>
      <c r="M2135" t="inlineStr">
        <is>
          <t>1981</t>
        </is>
      </c>
      <c r="O2135" t="inlineStr">
        <is>
          <t>eng</t>
        </is>
      </c>
      <c r="P2135" t="inlineStr">
        <is>
          <t>nyu</t>
        </is>
      </c>
      <c r="R2135" t="inlineStr">
        <is>
          <t xml:space="preserve">HQ </t>
        </is>
      </c>
      <c r="S2135" t="n">
        <v>5</v>
      </c>
      <c r="T2135" t="n">
        <v>5</v>
      </c>
      <c r="U2135" t="inlineStr">
        <is>
          <t>1995-02-22</t>
        </is>
      </c>
      <c r="V2135" t="inlineStr">
        <is>
          <t>1995-02-22</t>
        </is>
      </c>
      <c r="W2135" t="inlineStr">
        <is>
          <t>1990-03-19</t>
        </is>
      </c>
      <c r="X2135" t="inlineStr">
        <is>
          <t>1990-03-19</t>
        </is>
      </c>
      <c r="Y2135" t="n">
        <v>350</v>
      </c>
      <c r="Z2135" t="n">
        <v>304</v>
      </c>
      <c r="AA2135" t="n">
        <v>314</v>
      </c>
      <c r="AB2135" t="n">
        <v>3</v>
      </c>
      <c r="AC2135" t="n">
        <v>3</v>
      </c>
      <c r="AD2135" t="n">
        <v>10</v>
      </c>
      <c r="AE2135" t="n">
        <v>10</v>
      </c>
      <c r="AF2135" t="n">
        <v>2</v>
      </c>
      <c r="AG2135" t="n">
        <v>2</v>
      </c>
      <c r="AH2135" t="n">
        <v>3</v>
      </c>
      <c r="AI2135" t="n">
        <v>3</v>
      </c>
      <c r="AJ2135" t="n">
        <v>6</v>
      </c>
      <c r="AK2135" t="n">
        <v>6</v>
      </c>
      <c r="AL2135" t="n">
        <v>2</v>
      </c>
      <c r="AM2135" t="n">
        <v>2</v>
      </c>
      <c r="AN2135" t="n">
        <v>0</v>
      </c>
      <c r="AO2135" t="n">
        <v>0</v>
      </c>
      <c r="AP2135" t="inlineStr">
        <is>
          <t>No</t>
        </is>
      </c>
      <c r="AQ2135" t="inlineStr">
        <is>
          <t>Yes</t>
        </is>
      </c>
      <c r="AR2135">
        <f>HYPERLINK("http://catalog.hathitrust.org/Record/000263139","HathiTrust Record")</f>
        <v/>
      </c>
      <c r="AS2135">
        <f>HYPERLINK("https://creighton-primo.hosted.exlibrisgroup.com/primo-explore/search?tab=default_tab&amp;search_scope=EVERYTHING&amp;vid=01CRU&amp;lang=en_US&amp;offset=0&amp;query=any,contains,991004873269702656","Catalog Record")</f>
        <v/>
      </c>
      <c r="AT2135">
        <f>HYPERLINK("http://www.worldcat.org/oclc/5776745","WorldCat Record")</f>
        <v/>
      </c>
      <c r="AU2135" t="inlineStr">
        <is>
          <t>473056:eng</t>
        </is>
      </c>
      <c r="AV2135" t="inlineStr">
        <is>
          <t>5776745</t>
        </is>
      </c>
      <c r="AW2135" t="inlineStr">
        <is>
          <t>991004873269702656</t>
        </is>
      </c>
      <c r="AX2135" t="inlineStr">
        <is>
          <t>991004873269702656</t>
        </is>
      </c>
      <c r="AY2135" t="inlineStr">
        <is>
          <t>2256144750002656</t>
        </is>
      </c>
      <c r="AZ2135" t="inlineStr">
        <is>
          <t>BOOK</t>
        </is>
      </c>
      <c r="BB2135" t="inlineStr">
        <is>
          <t>9780812827293</t>
        </is>
      </c>
      <c r="BC2135" t="inlineStr">
        <is>
          <t>32285000086131</t>
        </is>
      </c>
      <c r="BD2135" t="inlineStr">
        <is>
          <t>893507324</t>
        </is>
      </c>
    </row>
    <row r="2136">
      <c r="A2136" t="inlineStr">
        <is>
          <t>No</t>
        </is>
      </c>
      <c r="B2136" t="inlineStr">
        <is>
          <t>HQ76.2.G72 L655 2005</t>
        </is>
      </c>
      <c r="C2136" t="inlineStr">
        <is>
          <t>0                      HQ 0076200G  72                 L  655         2005</t>
        </is>
      </c>
      <c r="D2136" t="inlineStr">
        <is>
          <t>Queer London : perils and pleasures in the sexual metropolis, 1918-1957 / Matt Houlbrook.</t>
        </is>
      </c>
      <c r="F2136" t="inlineStr">
        <is>
          <t>No</t>
        </is>
      </c>
      <c r="G2136" t="inlineStr">
        <is>
          <t>1</t>
        </is>
      </c>
      <c r="H2136" t="inlineStr">
        <is>
          <t>No</t>
        </is>
      </c>
      <c r="I2136" t="inlineStr">
        <is>
          <t>No</t>
        </is>
      </c>
      <c r="J2136" t="inlineStr">
        <is>
          <t>0</t>
        </is>
      </c>
      <c r="K2136" t="inlineStr">
        <is>
          <t>Houlbrook, Matt.</t>
        </is>
      </c>
      <c r="L2136" t="inlineStr">
        <is>
          <t>Chicago : University of Chicago Press, c2005.</t>
        </is>
      </c>
      <c r="M2136" t="inlineStr">
        <is>
          <t>2005</t>
        </is>
      </c>
      <c r="O2136" t="inlineStr">
        <is>
          <t>eng</t>
        </is>
      </c>
      <c r="P2136" t="inlineStr">
        <is>
          <t>ilu</t>
        </is>
      </c>
      <c r="Q2136" t="inlineStr">
        <is>
          <t>The Chicago series on sexuality, history, and society</t>
        </is>
      </c>
      <c r="R2136" t="inlineStr">
        <is>
          <t xml:space="preserve">HQ </t>
        </is>
      </c>
      <c r="S2136" t="n">
        <v>2</v>
      </c>
      <c r="T2136" t="n">
        <v>2</v>
      </c>
      <c r="U2136" t="inlineStr">
        <is>
          <t>2006-10-04</t>
        </is>
      </c>
      <c r="V2136" t="inlineStr">
        <is>
          <t>2006-10-04</t>
        </is>
      </c>
      <c r="W2136" t="inlineStr">
        <is>
          <t>2006-05-11</t>
        </is>
      </c>
      <c r="X2136" t="inlineStr">
        <is>
          <t>2006-05-11</t>
        </is>
      </c>
      <c r="Y2136" t="n">
        <v>459</v>
      </c>
      <c r="Z2136" t="n">
        <v>294</v>
      </c>
      <c r="AA2136" t="n">
        <v>303</v>
      </c>
      <c r="AB2136" t="n">
        <v>3</v>
      </c>
      <c r="AC2136" t="n">
        <v>3</v>
      </c>
      <c r="AD2136" t="n">
        <v>16</v>
      </c>
      <c r="AE2136" t="n">
        <v>17</v>
      </c>
      <c r="AF2136" t="n">
        <v>6</v>
      </c>
      <c r="AG2136" t="n">
        <v>7</v>
      </c>
      <c r="AH2136" t="n">
        <v>5</v>
      </c>
      <c r="AI2136" t="n">
        <v>5</v>
      </c>
      <c r="AJ2136" t="n">
        <v>6</v>
      </c>
      <c r="AK2136" t="n">
        <v>6</v>
      </c>
      <c r="AL2136" t="n">
        <v>2</v>
      </c>
      <c r="AM2136" t="n">
        <v>2</v>
      </c>
      <c r="AN2136" t="n">
        <v>0</v>
      </c>
      <c r="AO2136" t="n">
        <v>0</v>
      </c>
      <c r="AP2136" t="inlineStr">
        <is>
          <t>No</t>
        </is>
      </c>
      <c r="AQ2136" t="inlineStr">
        <is>
          <t>No</t>
        </is>
      </c>
      <c r="AS2136">
        <f>HYPERLINK("https://creighton-primo.hosted.exlibrisgroup.com/primo-explore/search?tab=default_tab&amp;search_scope=EVERYTHING&amp;vid=01CRU&amp;lang=en_US&amp;offset=0&amp;query=any,contains,991004807039702656","Catalog Record")</f>
        <v/>
      </c>
      <c r="AT2136">
        <f>HYPERLINK("http://www.worldcat.org/oclc/57675867","WorldCat Record")</f>
        <v/>
      </c>
      <c r="AU2136" t="inlineStr">
        <is>
          <t>905405864:eng</t>
        </is>
      </c>
      <c r="AV2136" t="inlineStr">
        <is>
          <t>57675867</t>
        </is>
      </c>
      <c r="AW2136" t="inlineStr">
        <is>
          <t>991004807039702656</t>
        </is>
      </c>
      <c r="AX2136" t="inlineStr">
        <is>
          <t>991004807039702656</t>
        </is>
      </c>
      <c r="AY2136" t="inlineStr">
        <is>
          <t>2272006850002656</t>
        </is>
      </c>
      <c r="AZ2136" t="inlineStr">
        <is>
          <t>BOOK</t>
        </is>
      </c>
      <c r="BB2136" t="inlineStr">
        <is>
          <t>9780226354606</t>
        </is>
      </c>
      <c r="BC2136" t="inlineStr">
        <is>
          <t>32285005186662</t>
        </is>
      </c>
      <c r="BD2136" t="inlineStr">
        <is>
          <t>893344286</t>
        </is>
      </c>
    </row>
    <row r="2137">
      <c r="A2137" t="inlineStr">
        <is>
          <t>No</t>
        </is>
      </c>
      <c r="B2137" t="inlineStr">
        <is>
          <t>HQ76.2.G8 H35 1990</t>
        </is>
      </c>
      <c r="C2137" t="inlineStr">
        <is>
          <t>0                      HQ 0076200G  8                  H  35          1990</t>
        </is>
      </c>
      <c r="D2137" t="inlineStr">
        <is>
          <t>One hundred years of homosexuality : and other essays on Greek love / David M. Halperin.</t>
        </is>
      </c>
      <c r="F2137" t="inlineStr">
        <is>
          <t>No</t>
        </is>
      </c>
      <c r="G2137" t="inlineStr">
        <is>
          <t>1</t>
        </is>
      </c>
      <c r="H2137" t="inlineStr">
        <is>
          <t>No</t>
        </is>
      </c>
      <c r="I2137" t="inlineStr">
        <is>
          <t>No</t>
        </is>
      </c>
      <c r="J2137" t="inlineStr">
        <is>
          <t>0</t>
        </is>
      </c>
      <c r="K2137" t="inlineStr">
        <is>
          <t>Halperin, David M., 1952-</t>
        </is>
      </c>
      <c r="L2137" t="inlineStr">
        <is>
          <t>New York : Routledge, 1990.</t>
        </is>
      </c>
      <c r="M2137" t="inlineStr">
        <is>
          <t>1990</t>
        </is>
      </c>
      <c r="O2137" t="inlineStr">
        <is>
          <t>eng</t>
        </is>
      </c>
      <c r="P2137" t="inlineStr">
        <is>
          <t>nyu</t>
        </is>
      </c>
      <c r="R2137" t="inlineStr">
        <is>
          <t xml:space="preserve">HQ </t>
        </is>
      </c>
      <c r="S2137" t="n">
        <v>21</v>
      </c>
      <c r="T2137" t="n">
        <v>21</v>
      </c>
      <c r="U2137" t="inlineStr">
        <is>
          <t>2007-11-06</t>
        </is>
      </c>
      <c r="V2137" t="inlineStr">
        <is>
          <t>2007-11-06</t>
        </is>
      </c>
      <c r="W2137" t="inlineStr">
        <is>
          <t>1990-05-02</t>
        </is>
      </c>
      <c r="X2137" t="inlineStr">
        <is>
          <t>1990-05-02</t>
        </is>
      </c>
      <c r="Y2137" t="n">
        <v>740</v>
      </c>
      <c r="Z2137" t="n">
        <v>557</v>
      </c>
      <c r="AA2137" t="n">
        <v>586</v>
      </c>
      <c r="AB2137" t="n">
        <v>2</v>
      </c>
      <c r="AC2137" t="n">
        <v>2</v>
      </c>
      <c r="AD2137" t="n">
        <v>29</v>
      </c>
      <c r="AE2137" t="n">
        <v>29</v>
      </c>
      <c r="AF2137" t="n">
        <v>11</v>
      </c>
      <c r="AG2137" t="n">
        <v>11</v>
      </c>
      <c r="AH2137" t="n">
        <v>10</v>
      </c>
      <c r="AI2137" t="n">
        <v>10</v>
      </c>
      <c r="AJ2137" t="n">
        <v>16</v>
      </c>
      <c r="AK2137" t="n">
        <v>16</v>
      </c>
      <c r="AL2137" t="n">
        <v>1</v>
      </c>
      <c r="AM2137" t="n">
        <v>1</v>
      </c>
      <c r="AN2137" t="n">
        <v>0</v>
      </c>
      <c r="AO2137" t="n">
        <v>0</v>
      </c>
      <c r="AP2137" t="inlineStr">
        <is>
          <t>No</t>
        </is>
      </c>
      <c r="AQ2137" t="inlineStr">
        <is>
          <t>No</t>
        </is>
      </c>
      <c r="AS2137">
        <f>HYPERLINK("https://creighton-primo.hosted.exlibrisgroup.com/primo-explore/search?tab=default_tab&amp;search_scope=EVERYTHING&amp;vid=01CRU&amp;lang=en_US&amp;offset=0&amp;query=any,contains,991001493429702656","Catalog Record")</f>
        <v/>
      </c>
      <c r="AT2137">
        <f>HYPERLINK("http://www.worldcat.org/oclc/19740359","WorldCat Record")</f>
        <v/>
      </c>
      <c r="AU2137" t="inlineStr">
        <is>
          <t>152306706:eng</t>
        </is>
      </c>
      <c r="AV2137" t="inlineStr">
        <is>
          <t>19740359</t>
        </is>
      </c>
      <c r="AW2137" t="inlineStr">
        <is>
          <t>991001493429702656</t>
        </is>
      </c>
      <c r="AX2137" t="inlineStr">
        <is>
          <t>991001493429702656</t>
        </is>
      </c>
      <c r="AY2137" t="inlineStr">
        <is>
          <t>2264478080002656</t>
        </is>
      </c>
      <c r="AZ2137" t="inlineStr">
        <is>
          <t>BOOK</t>
        </is>
      </c>
      <c r="BB2137" t="inlineStr">
        <is>
          <t>9780415900973</t>
        </is>
      </c>
      <c r="BC2137" t="inlineStr">
        <is>
          <t>32285000117589</t>
        </is>
      </c>
      <c r="BD2137" t="inlineStr">
        <is>
          <t>893791485</t>
        </is>
      </c>
    </row>
    <row r="2138">
      <c r="A2138" t="inlineStr">
        <is>
          <t>No</t>
        </is>
      </c>
      <c r="B2138" t="inlineStr">
        <is>
          <t>HQ76.2.M62 G813 1995</t>
        </is>
      </c>
      <c r="C2138" t="inlineStr">
        <is>
          <t>0                      HQ 0076200M  62                 G  813         1995</t>
        </is>
      </c>
      <c r="D2138" t="inlineStr">
        <is>
          <t>De los otros : intimacy and homosexuality among Mexican men / Joseph Carrier.</t>
        </is>
      </c>
      <c r="F2138" t="inlineStr">
        <is>
          <t>No</t>
        </is>
      </c>
      <c r="G2138" t="inlineStr">
        <is>
          <t>1</t>
        </is>
      </c>
      <c r="H2138" t="inlineStr">
        <is>
          <t>No</t>
        </is>
      </c>
      <c r="I2138" t="inlineStr">
        <is>
          <t>No</t>
        </is>
      </c>
      <c r="J2138" t="inlineStr">
        <is>
          <t>0</t>
        </is>
      </c>
      <c r="K2138" t="inlineStr">
        <is>
          <t>Carrier, Joseph.</t>
        </is>
      </c>
      <c r="L2138" t="inlineStr">
        <is>
          <t>New York : Columbia University Press, c1995.</t>
        </is>
      </c>
      <c r="M2138" t="inlineStr">
        <is>
          <t>1995</t>
        </is>
      </c>
      <c r="O2138" t="inlineStr">
        <is>
          <t>eng</t>
        </is>
      </c>
      <c r="P2138" t="inlineStr">
        <is>
          <t>nyu</t>
        </is>
      </c>
      <c r="Q2138" t="inlineStr">
        <is>
          <t>Between men--between women</t>
        </is>
      </c>
      <c r="R2138" t="inlineStr">
        <is>
          <t xml:space="preserve">HQ </t>
        </is>
      </c>
      <c r="S2138" t="n">
        <v>4</v>
      </c>
      <c r="T2138" t="n">
        <v>4</v>
      </c>
      <c r="U2138" t="inlineStr">
        <is>
          <t>2001-04-20</t>
        </is>
      </c>
      <c r="V2138" t="inlineStr">
        <is>
          <t>2001-04-20</t>
        </is>
      </c>
      <c r="W2138" t="inlineStr">
        <is>
          <t>1996-11-22</t>
        </is>
      </c>
      <c r="X2138" t="inlineStr">
        <is>
          <t>1996-11-22</t>
        </is>
      </c>
      <c r="Y2138" t="n">
        <v>470</v>
      </c>
      <c r="Z2138" t="n">
        <v>410</v>
      </c>
      <c r="AA2138" t="n">
        <v>415</v>
      </c>
      <c r="AB2138" t="n">
        <v>2</v>
      </c>
      <c r="AC2138" t="n">
        <v>2</v>
      </c>
      <c r="AD2138" t="n">
        <v>14</v>
      </c>
      <c r="AE2138" t="n">
        <v>14</v>
      </c>
      <c r="AF2138" t="n">
        <v>3</v>
      </c>
      <c r="AG2138" t="n">
        <v>3</v>
      </c>
      <c r="AH2138" t="n">
        <v>6</v>
      </c>
      <c r="AI2138" t="n">
        <v>6</v>
      </c>
      <c r="AJ2138" t="n">
        <v>8</v>
      </c>
      <c r="AK2138" t="n">
        <v>8</v>
      </c>
      <c r="AL2138" t="n">
        <v>1</v>
      </c>
      <c r="AM2138" t="n">
        <v>1</v>
      </c>
      <c r="AN2138" t="n">
        <v>0</v>
      </c>
      <c r="AO2138" t="n">
        <v>0</v>
      </c>
      <c r="AP2138" t="inlineStr">
        <is>
          <t>No</t>
        </is>
      </c>
      <c r="AQ2138" t="inlineStr">
        <is>
          <t>No</t>
        </is>
      </c>
      <c r="AS2138">
        <f>HYPERLINK("https://creighton-primo.hosted.exlibrisgroup.com/primo-explore/search?tab=default_tab&amp;search_scope=EVERYTHING&amp;vid=01CRU&amp;lang=en_US&amp;offset=0&amp;query=any,contains,991002473599702656","Catalog Record")</f>
        <v/>
      </c>
      <c r="AT2138">
        <f>HYPERLINK("http://www.worldcat.org/oclc/32203363","WorldCat Record")</f>
        <v/>
      </c>
      <c r="AU2138" t="inlineStr">
        <is>
          <t>837044121:eng</t>
        </is>
      </c>
      <c r="AV2138" t="inlineStr">
        <is>
          <t>32203363</t>
        </is>
      </c>
      <c r="AW2138" t="inlineStr">
        <is>
          <t>991002473599702656</t>
        </is>
      </c>
      <c r="AX2138" t="inlineStr">
        <is>
          <t>991002473599702656</t>
        </is>
      </c>
      <c r="AY2138" t="inlineStr">
        <is>
          <t>2269135350002656</t>
        </is>
      </c>
      <c r="AZ2138" t="inlineStr">
        <is>
          <t>BOOK</t>
        </is>
      </c>
      <c r="BB2138" t="inlineStr">
        <is>
          <t>9780231096928</t>
        </is>
      </c>
      <c r="BC2138" t="inlineStr">
        <is>
          <t>32285002385408</t>
        </is>
      </c>
      <c r="BD2138" t="inlineStr">
        <is>
          <t>893239104</t>
        </is>
      </c>
    </row>
    <row r="2139">
      <c r="A2139" t="inlineStr">
        <is>
          <t>No</t>
        </is>
      </c>
      <c r="B2139" t="inlineStr">
        <is>
          <t>HQ76.2.N49 R67 1991</t>
        </is>
      </c>
      <c r="C2139" t="inlineStr">
        <is>
          <t>0                      HQ 0076200N  49                 R  67          1991</t>
        </is>
      </c>
      <c r="D2139" t="inlineStr">
        <is>
          <t>Male homosexual behavior and the effects of AIDS education : a study of behavior and safer sex in New Zealand and South Australia / B.R. Simon Rosser ; foreword by Eli Coleman.</t>
        </is>
      </c>
      <c r="F2139" t="inlineStr">
        <is>
          <t>No</t>
        </is>
      </c>
      <c r="G2139" t="inlineStr">
        <is>
          <t>1</t>
        </is>
      </c>
      <c r="H2139" t="inlineStr">
        <is>
          <t>No</t>
        </is>
      </c>
      <c r="I2139" t="inlineStr">
        <is>
          <t>No</t>
        </is>
      </c>
      <c r="J2139" t="inlineStr">
        <is>
          <t>0</t>
        </is>
      </c>
      <c r="K2139" t="inlineStr">
        <is>
          <t>Rosser, B. R. Simon.</t>
        </is>
      </c>
      <c r="L2139" t="inlineStr">
        <is>
          <t>New York : Praeger, 1991.</t>
        </is>
      </c>
      <c r="M2139" t="inlineStr">
        <is>
          <t>1991</t>
        </is>
      </c>
      <c r="O2139" t="inlineStr">
        <is>
          <t>eng</t>
        </is>
      </c>
      <c r="P2139" t="inlineStr">
        <is>
          <t>nyu</t>
        </is>
      </c>
      <c r="R2139" t="inlineStr">
        <is>
          <t xml:space="preserve">HQ </t>
        </is>
      </c>
      <c r="S2139" t="n">
        <v>8</v>
      </c>
      <c r="T2139" t="n">
        <v>8</v>
      </c>
      <c r="U2139" t="inlineStr">
        <is>
          <t>1996-04-29</t>
        </is>
      </c>
      <c r="V2139" t="inlineStr">
        <is>
          <t>1996-04-29</t>
        </is>
      </c>
      <c r="W2139" t="inlineStr">
        <is>
          <t>1992-12-10</t>
        </is>
      </c>
      <c r="X2139" t="inlineStr">
        <is>
          <t>1992-12-10</t>
        </is>
      </c>
      <c r="Y2139" t="n">
        <v>298</v>
      </c>
      <c r="Z2139" t="n">
        <v>228</v>
      </c>
      <c r="AA2139" t="n">
        <v>563</v>
      </c>
      <c r="AB2139" t="n">
        <v>2</v>
      </c>
      <c r="AC2139" t="n">
        <v>5</v>
      </c>
      <c r="AD2139" t="n">
        <v>11</v>
      </c>
      <c r="AE2139" t="n">
        <v>18</v>
      </c>
      <c r="AF2139" t="n">
        <v>2</v>
      </c>
      <c r="AG2139" t="n">
        <v>6</v>
      </c>
      <c r="AH2139" t="n">
        <v>3</v>
      </c>
      <c r="AI2139" t="n">
        <v>4</v>
      </c>
      <c r="AJ2139" t="n">
        <v>9</v>
      </c>
      <c r="AK2139" t="n">
        <v>10</v>
      </c>
      <c r="AL2139" t="n">
        <v>1</v>
      </c>
      <c r="AM2139" t="n">
        <v>4</v>
      </c>
      <c r="AN2139" t="n">
        <v>0</v>
      </c>
      <c r="AO2139" t="n">
        <v>0</v>
      </c>
      <c r="AP2139" t="inlineStr">
        <is>
          <t>No</t>
        </is>
      </c>
      <c r="AQ2139" t="inlineStr">
        <is>
          <t>Yes</t>
        </is>
      </c>
      <c r="AR2139">
        <f>HYPERLINK("http://catalog.hathitrust.org/Record/002514310","HathiTrust Record")</f>
        <v/>
      </c>
      <c r="AS2139">
        <f>HYPERLINK("https://creighton-primo.hosted.exlibrisgroup.com/primo-explore/search?tab=default_tab&amp;search_scope=EVERYTHING&amp;vid=01CRU&amp;lang=en_US&amp;offset=0&amp;query=any,contains,991001840369702656","Catalog Record")</f>
        <v/>
      </c>
      <c r="AT2139">
        <f>HYPERLINK("http://www.worldcat.org/oclc/23139653","WorldCat Record")</f>
        <v/>
      </c>
      <c r="AU2139" t="inlineStr">
        <is>
          <t>797266389:eng</t>
        </is>
      </c>
      <c r="AV2139" t="inlineStr">
        <is>
          <t>23139653</t>
        </is>
      </c>
      <c r="AW2139" t="inlineStr">
        <is>
          <t>991001840369702656</t>
        </is>
      </c>
      <c r="AX2139" t="inlineStr">
        <is>
          <t>991001840369702656</t>
        </is>
      </c>
      <c r="AY2139" t="inlineStr">
        <is>
          <t>2258264740002656</t>
        </is>
      </c>
      <c r="AZ2139" t="inlineStr">
        <is>
          <t>BOOK</t>
        </is>
      </c>
      <c r="BB2139" t="inlineStr">
        <is>
          <t>9780275938093</t>
        </is>
      </c>
      <c r="BC2139" t="inlineStr">
        <is>
          <t>32285001401891</t>
        </is>
      </c>
      <c r="BD2139" t="inlineStr">
        <is>
          <t>893346831</t>
        </is>
      </c>
    </row>
    <row r="2140">
      <c r="A2140" t="inlineStr">
        <is>
          <t>No</t>
        </is>
      </c>
      <c r="B2140" t="inlineStr">
        <is>
          <t>HQ76.2.U5 A75 1996</t>
        </is>
      </c>
      <c r="C2140" t="inlineStr">
        <is>
          <t>0                      HQ 0076200U  5                  A  75          1996</t>
        </is>
      </c>
      <c r="D2140" t="inlineStr">
        <is>
          <t>Asian American sexualities : dimensions of the gay and lesbian experience / edited by Russell Leong.</t>
        </is>
      </c>
      <c r="F2140" t="inlineStr">
        <is>
          <t>No</t>
        </is>
      </c>
      <c r="G2140" t="inlineStr">
        <is>
          <t>1</t>
        </is>
      </c>
      <c r="H2140" t="inlineStr">
        <is>
          <t>No</t>
        </is>
      </c>
      <c r="I2140" t="inlineStr">
        <is>
          <t>No</t>
        </is>
      </c>
      <c r="J2140" t="inlineStr">
        <is>
          <t>0</t>
        </is>
      </c>
      <c r="L2140" t="inlineStr">
        <is>
          <t>New York : Routledge, c1996.</t>
        </is>
      </c>
      <c r="M2140" t="inlineStr">
        <is>
          <t>1996</t>
        </is>
      </c>
      <c r="O2140" t="inlineStr">
        <is>
          <t>eng</t>
        </is>
      </c>
      <c r="P2140" t="inlineStr">
        <is>
          <t>nyu</t>
        </is>
      </c>
      <c r="R2140" t="inlineStr">
        <is>
          <t xml:space="preserve">HQ </t>
        </is>
      </c>
      <c r="S2140" t="n">
        <v>1</v>
      </c>
      <c r="T2140" t="n">
        <v>1</v>
      </c>
      <c r="U2140" t="inlineStr">
        <is>
          <t>2001-04-20</t>
        </is>
      </c>
      <c r="V2140" t="inlineStr">
        <is>
          <t>2001-04-20</t>
        </is>
      </c>
      <c r="W2140" t="inlineStr">
        <is>
          <t>1997-06-03</t>
        </is>
      </c>
      <c r="X2140" t="inlineStr">
        <is>
          <t>1997-06-03</t>
        </is>
      </c>
      <c r="Y2140" t="n">
        <v>357</v>
      </c>
      <c r="Z2140" t="n">
        <v>283</v>
      </c>
      <c r="AA2140" t="n">
        <v>312</v>
      </c>
      <c r="AB2140" t="n">
        <v>2</v>
      </c>
      <c r="AC2140" t="n">
        <v>2</v>
      </c>
      <c r="AD2140" t="n">
        <v>14</v>
      </c>
      <c r="AE2140" t="n">
        <v>14</v>
      </c>
      <c r="AF2140" t="n">
        <v>3</v>
      </c>
      <c r="AG2140" t="n">
        <v>3</v>
      </c>
      <c r="AH2140" t="n">
        <v>3</v>
      </c>
      <c r="AI2140" t="n">
        <v>3</v>
      </c>
      <c r="AJ2140" t="n">
        <v>10</v>
      </c>
      <c r="AK2140" t="n">
        <v>10</v>
      </c>
      <c r="AL2140" t="n">
        <v>1</v>
      </c>
      <c r="AM2140" t="n">
        <v>1</v>
      </c>
      <c r="AN2140" t="n">
        <v>0</v>
      </c>
      <c r="AO2140" t="n">
        <v>0</v>
      </c>
      <c r="AP2140" t="inlineStr">
        <is>
          <t>No</t>
        </is>
      </c>
      <c r="AQ2140" t="inlineStr">
        <is>
          <t>No</t>
        </is>
      </c>
      <c r="AS2140">
        <f>HYPERLINK("https://creighton-primo.hosted.exlibrisgroup.com/primo-explore/search?tab=default_tab&amp;search_scope=EVERYTHING&amp;vid=01CRU&amp;lang=en_US&amp;offset=0&amp;query=any,contains,991002515899702656","Catalog Record")</f>
        <v/>
      </c>
      <c r="AT2140">
        <f>HYPERLINK("http://www.worldcat.org/oclc/32704500","WorldCat Record")</f>
        <v/>
      </c>
      <c r="AU2140" t="inlineStr">
        <is>
          <t>836953410:eng</t>
        </is>
      </c>
      <c r="AV2140" t="inlineStr">
        <is>
          <t>32704500</t>
        </is>
      </c>
      <c r="AW2140" t="inlineStr">
        <is>
          <t>991002515899702656</t>
        </is>
      </c>
      <c r="AX2140" t="inlineStr">
        <is>
          <t>991002515899702656</t>
        </is>
      </c>
      <c r="AY2140" t="inlineStr">
        <is>
          <t>2271539960002656</t>
        </is>
      </c>
      <c r="AZ2140" t="inlineStr">
        <is>
          <t>BOOK</t>
        </is>
      </c>
      <c r="BB2140" t="inlineStr">
        <is>
          <t>9780415914369</t>
        </is>
      </c>
      <c r="BC2140" t="inlineStr">
        <is>
          <t>32285002613858</t>
        </is>
      </c>
      <c r="BD2140" t="inlineStr">
        <is>
          <t>893409184</t>
        </is>
      </c>
    </row>
    <row r="2141">
      <c r="A2141" t="inlineStr">
        <is>
          <t>No</t>
        </is>
      </c>
      <c r="B2141" t="inlineStr">
        <is>
          <t>HQ76.2.U5 B38 1996</t>
        </is>
      </c>
      <c r="C2141" t="inlineStr">
        <is>
          <t>0                      HQ 0076200U  5                  B  38          1996</t>
        </is>
      </c>
      <c r="D2141" t="inlineStr">
        <is>
          <t>Free your mind : the book for gay, lesbian, and bisexual youth--and their allies / Ellen Bass and Kate Kaufman.</t>
        </is>
      </c>
      <c r="F2141" t="inlineStr">
        <is>
          <t>No</t>
        </is>
      </c>
      <c r="G2141" t="inlineStr">
        <is>
          <t>1</t>
        </is>
      </c>
      <c r="H2141" t="inlineStr">
        <is>
          <t>No</t>
        </is>
      </c>
      <c r="I2141" t="inlineStr">
        <is>
          <t>No</t>
        </is>
      </c>
      <c r="J2141" t="inlineStr">
        <is>
          <t>0</t>
        </is>
      </c>
      <c r="K2141" t="inlineStr">
        <is>
          <t>Bass, Ellen.</t>
        </is>
      </c>
      <c r="L2141" t="inlineStr">
        <is>
          <t>New York : HarperPerennial, c1996.</t>
        </is>
      </c>
      <c r="M2141" t="inlineStr">
        <is>
          <t>1996</t>
        </is>
      </c>
      <c r="N2141" t="inlineStr">
        <is>
          <t>1st ed.</t>
        </is>
      </c>
      <c r="O2141" t="inlineStr">
        <is>
          <t>eng</t>
        </is>
      </c>
      <c r="P2141" t="inlineStr">
        <is>
          <t>nyu</t>
        </is>
      </c>
      <c r="R2141" t="inlineStr">
        <is>
          <t xml:space="preserve">HQ </t>
        </is>
      </c>
      <c r="S2141" t="n">
        <v>3</v>
      </c>
      <c r="T2141" t="n">
        <v>3</v>
      </c>
      <c r="U2141" t="inlineStr">
        <is>
          <t>2000-04-02</t>
        </is>
      </c>
      <c r="V2141" t="inlineStr">
        <is>
          <t>2000-04-02</t>
        </is>
      </c>
      <c r="W2141" t="inlineStr">
        <is>
          <t>1997-04-28</t>
        </is>
      </c>
      <c r="X2141" t="inlineStr">
        <is>
          <t>1997-04-28</t>
        </is>
      </c>
      <c r="Y2141" t="n">
        <v>587</v>
      </c>
      <c r="Z2141" t="n">
        <v>536</v>
      </c>
      <c r="AA2141" t="n">
        <v>547</v>
      </c>
      <c r="AB2141" t="n">
        <v>4</v>
      </c>
      <c r="AC2141" t="n">
        <v>4</v>
      </c>
      <c r="AD2141" t="n">
        <v>14</v>
      </c>
      <c r="AE2141" t="n">
        <v>14</v>
      </c>
      <c r="AF2141" t="n">
        <v>6</v>
      </c>
      <c r="AG2141" t="n">
        <v>6</v>
      </c>
      <c r="AH2141" t="n">
        <v>2</v>
      </c>
      <c r="AI2141" t="n">
        <v>2</v>
      </c>
      <c r="AJ2141" t="n">
        <v>8</v>
      </c>
      <c r="AK2141" t="n">
        <v>8</v>
      </c>
      <c r="AL2141" t="n">
        <v>1</v>
      </c>
      <c r="AM2141" t="n">
        <v>1</v>
      </c>
      <c r="AN2141" t="n">
        <v>1</v>
      </c>
      <c r="AO2141" t="n">
        <v>1</v>
      </c>
      <c r="AP2141" t="inlineStr">
        <is>
          <t>No</t>
        </is>
      </c>
      <c r="AQ2141" t="inlineStr">
        <is>
          <t>No</t>
        </is>
      </c>
      <c r="AS2141">
        <f>HYPERLINK("https://creighton-primo.hosted.exlibrisgroup.com/primo-explore/search?tab=default_tab&amp;search_scope=EVERYTHING&amp;vid=01CRU&amp;lang=en_US&amp;offset=0&amp;query=any,contains,991002598359702656","Catalog Record")</f>
        <v/>
      </c>
      <c r="AT2141">
        <f>HYPERLINK("http://www.worldcat.org/oclc/34046252","WorldCat Record")</f>
        <v/>
      </c>
      <c r="AU2141" t="inlineStr">
        <is>
          <t>17421666:eng</t>
        </is>
      </c>
      <c r="AV2141" t="inlineStr">
        <is>
          <t>34046252</t>
        </is>
      </c>
      <c r="AW2141" t="inlineStr">
        <is>
          <t>991002598359702656</t>
        </is>
      </c>
      <c r="AX2141" t="inlineStr">
        <is>
          <t>991002598359702656</t>
        </is>
      </c>
      <c r="AY2141" t="inlineStr">
        <is>
          <t>2263702950002656</t>
        </is>
      </c>
      <c r="AZ2141" t="inlineStr">
        <is>
          <t>BOOK</t>
        </is>
      </c>
      <c r="BB2141" t="inlineStr">
        <is>
          <t>9780060951047</t>
        </is>
      </c>
      <c r="BC2141" t="inlineStr">
        <is>
          <t>32285002541224</t>
        </is>
      </c>
      <c r="BD2141" t="inlineStr">
        <is>
          <t>893710466</t>
        </is>
      </c>
    </row>
    <row r="2142">
      <c r="A2142" t="inlineStr">
        <is>
          <t>No</t>
        </is>
      </c>
      <c r="B2142" t="inlineStr">
        <is>
          <t>HQ76.2.U5 B45 1979</t>
        </is>
      </c>
      <c r="C2142" t="inlineStr">
        <is>
          <t>0                      HQ 0076200U  5                  B  45          1979</t>
        </is>
      </c>
      <c r="D2142" t="inlineStr">
        <is>
          <t>Homosexualities : a study of diversity among men and women / Alan P. Bell, Martin S. Weinberg.</t>
        </is>
      </c>
      <c r="F2142" t="inlineStr">
        <is>
          <t>No</t>
        </is>
      </c>
      <c r="G2142" t="inlineStr">
        <is>
          <t>1</t>
        </is>
      </c>
      <c r="H2142" t="inlineStr">
        <is>
          <t>No</t>
        </is>
      </c>
      <c r="I2142" t="inlineStr">
        <is>
          <t>No</t>
        </is>
      </c>
      <c r="J2142" t="inlineStr">
        <is>
          <t>0</t>
        </is>
      </c>
      <c r="K2142" t="inlineStr">
        <is>
          <t>Bell, Alan P. (Alan Paul), 1932-2002.</t>
        </is>
      </c>
      <c r="L2142" t="inlineStr">
        <is>
          <t>New York : Simon and Schuster, 1979, c1978.</t>
        </is>
      </c>
      <c r="M2142" t="inlineStr">
        <is>
          <t>1979</t>
        </is>
      </c>
      <c r="N2142" t="inlineStr">
        <is>
          <t>1st Touchstone ed.</t>
        </is>
      </c>
      <c r="O2142" t="inlineStr">
        <is>
          <t>eng</t>
        </is>
      </c>
      <c r="P2142" t="inlineStr">
        <is>
          <t>nyu</t>
        </is>
      </c>
      <c r="Q2142" t="inlineStr">
        <is>
          <t>A Touchstone book</t>
        </is>
      </c>
      <c r="R2142" t="inlineStr">
        <is>
          <t xml:space="preserve">HQ </t>
        </is>
      </c>
      <c r="S2142" t="n">
        <v>26</v>
      </c>
      <c r="T2142" t="n">
        <v>26</v>
      </c>
      <c r="U2142" t="inlineStr">
        <is>
          <t>2002-04-22</t>
        </is>
      </c>
      <c r="V2142" t="inlineStr">
        <is>
          <t>2002-04-22</t>
        </is>
      </c>
      <c r="W2142" t="inlineStr">
        <is>
          <t>1990-04-03</t>
        </is>
      </c>
      <c r="X2142" t="inlineStr">
        <is>
          <t>1990-04-03</t>
        </is>
      </c>
      <c r="Y2142" t="n">
        <v>69</v>
      </c>
      <c r="Z2142" t="n">
        <v>63</v>
      </c>
      <c r="AA2142" t="n">
        <v>1150</v>
      </c>
      <c r="AB2142" t="n">
        <v>2</v>
      </c>
      <c r="AC2142" t="n">
        <v>9</v>
      </c>
      <c r="AD2142" t="n">
        <v>1</v>
      </c>
      <c r="AE2142" t="n">
        <v>37</v>
      </c>
      <c r="AF2142" t="n">
        <v>0</v>
      </c>
      <c r="AG2142" t="n">
        <v>11</v>
      </c>
      <c r="AH2142" t="n">
        <v>0</v>
      </c>
      <c r="AI2142" t="n">
        <v>7</v>
      </c>
      <c r="AJ2142" t="n">
        <v>1</v>
      </c>
      <c r="AK2142" t="n">
        <v>18</v>
      </c>
      <c r="AL2142" t="n">
        <v>0</v>
      </c>
      <c r="AM2142" t="n">
        <v>7</v>
      </c>
      <c r="AN2142" t="n">
        <v>0</v>
      </c>
      <c r="AO2142" t="n">
        <v>1</v>
      </c>
      <c r="AP2142" t="inlineStr">
        <is>
          <t>No</t>
        </is>
      </c>
      <c r="AQ2142" t="inlineStr">
        <is>
          <t>No</t>
        </is>
      </c>
      <c r="AS2142">
        <f>HYPERLINK("https://creighton-primo.hosted.exlibrisgroup.com/primo-explore/search?tab=default_tab&amp;search_scope=EVERYTHING&amp;vid=01CRU&amp;lang=en_US&amp;offset=0&amp;query=any,contains,991005265919702656","Catalog Record")</f>
        <v/>
      </c>
      <c r="AT2142">
        <f>HYPERLINK("http://www.worldcat.org/oclc/5126171","WorldCat Record")</f>
        <v/>
      </c>
      <c r="AU2142" t="inlineStr">
        <is>
          <t>4494910529:eng</t>
        </is>
      </c>
      <c r="AV2142" t="inlineStr">
        <is>
          <t>5126171</t>
        </is>
      </c>
      <c r="AW2142" t="inlineStr">
        <is>
          <t>991005265919702656</t>
        </is>
      </c>
      <c r="AX2142" t="inlineStr">
        <is>
          <t>991005265919702656</t>
        </is>
      </c>
      <c r="AY2142" t="inlineStr">
        <is>
          <t>2267884940002656</t>
        </is>
      </c>
      <c r="AZ2142" t="inlineStr">
        <is>
          <t>BOOK</t>
        </is>
      </c>
      <c r="BB2142" t="inlineStr">
        <is>
          <t>9780671251505</t>
        </is>
      </c>
      <c r="BC2142" t="inlineStr">
        <is>
          <t>32285000108257</t>
        </is>
      </c>
      <c r="BD2142" t="inlineStr">
        <is>
          <t>893613418</t>
        </is>
      </c>
    </row>
    <row r="2143">
      <c r="A2143" t="inlineStr">
        <is>
          <t>No</t>
        </is>
      </c>
      <c r="B2143" t="inlineStr">
        <is>
          <t>HQ76.2.U5 D45</t>
        </is>
      </c>
      <c r="C2143" t="inlineStr">
        <is>
          <t>0                      HQ 0076200U  5                  D  45</t>
        </is>
      </c>
      <c r="D2143" t="inlineStr">
        <is>
          <t>The silent community : public homosexual encounters / by Edward William Delph.</t>
        </is>
      </c>
      <c r="F2143" t="inlineStr">
        <is>
          <t>No</t>
        </is>
      </c>
      <c r="G2143" t="inlineStr">
        <is>
          <t>1</t>
        </is>
      </c>
      <c r="H2143" t="inlineStr">
        <is>
          <t>No</t>
        </is>
      </c>
      <c r="I2143" t="inlineStr">
        <is>
          <t>No</t>
        </is>
      </c>
      <c r="J2143" t="inlineStr">
        <is>
          <t>0</t>
        </is>
      </c>
      <c r="K2143" t="inlineStr">
        <is>
          <t>Delph, Edward William.</t>
        </is>
      </c>
      <c r="L2143" t="inlineStr">
        <is>
          <t>Beverly Hills, Calif. : Sage Publications, c1978.</t>
        </is>
      </c>
      <c r="M2143" t="inlineStr">
        <is>
          <t>1978</t>
        </is>
      </c>
      <c r="O2143" t="inlineStr">
        <is>
          <t>eng</t>
        </is>
      </c>
      <c r="P2143" t="inlineStr">
        <is>
          <t>cau</t>
        </is>
      </c>
      <c r="Q2143" t="inlineStr">
        <is>
          <t>Sociological observations ; v. 3</t>
        </is>
      </c>
      <c r="R2143" t="inlineStr">
        <is>
          <t xml:space="preserve">HQ </t>
        </is>
      </c>
      <c r="S2143" t="n">
        <v>5</v>
      </c>
      <c r="T2143" t="n">
        <v>5</v>
      </c>
      <c r="U2143" t="inlineStr">
        <is>
          <t>1994-03-20</t>
        </is>
      </c>
      <c r="V2143" t="inlineStr">
        <is>
          <t>1994-03-20</t>
        </is>
      </c>
      <c r="W2143" t="inlineStr">
        <is>
          <t>1990-02-26</t>
        </is>
      </c>
      <c r="X2143" t="inlineStr">
        <is>
          <t>1990-02-26</t>
        </is>
      </c>
      <c r="Y2143" t="n">
        <v>339</v>
      </c>
      <c r="Z2143" t="n">
        <v>281</v>
      </c>
      <c r="AA2143" t="n">
        <v>288</v>
      </c>
      <c r="AB2143" t="n">
        <v>1</v>
      </c>
      <c r="AC2143" t="n">
        <v>1</v>
      </c>
      <c r="AD2143" t="n">
        <v>9</v>
      </c>
      <c r="AE2143" t="n">
        <v>9</v>
      </c>
      <c r="AF2143" t="n">
        <v>3</v>
      </c>
      <c r="AG2143" t="n">
        <v>3</v>
      </c>
      <c r="AH2143" t="n">
        <v>4</v>
      </c>
      <c r="AI2143" t="n">
        <v>4</v>
      </c>
      <c r="AJ2143" t="n">
        <v>5</v>
      </c>
      <c r="AK2143" t="n">
        <v>5</v>
      </c>
      <c r="AL2143" t="n">
        <v>0</v>
      </c>
      <c r="AM2143" t="n">
        <v>0</v>
      </c>
      <c r="AN2143" t="n">
        <v>0</v>
      </c>
      <c r="AO2143" t="n">
        <v>0</v>
      </c>
      <c r="AP2143" t="inlineStr">
        <is>
          <t>No</t>
        </is>
      </c>
      <c r="AQ2143" t="inlineStr">
        <is>
          <t>Yes</t>
        </is>
      </c>
      <c r="AR2143">
        <f>HYPERLINK("http://catalog.hathitrust.org/Record/000180771","HathiTrust Record")</f>
        <v/>
      </c>
      <c r="AS2143">
        <f>HYPERLINK("https://creighton-primo.hosted.exlibrisgroup.com/primo-explore/search?tab=default_tab&amp;search_scope=EVERYTHING&amp;vid=01CRU&amp;lang=en_US&amp;offset=0&amp;query=any,contains,991004481549702656","Catalog Record")</f>
        <v/>
      </c>
      <c r="AT2143">
        <f>HYPERLINK("http://www.worldcat.org/oclc/3627669","WorldCat Record")</f>
        <v/>
      </c>
      <c r="AU2143" t="inlineStr">
        <is>
          <t>11656886:eng</t>
        </is>
      </c>
      <c r="AV2143" t="inlineStr">
        <is>
          <t>3627669</t>
        </is>
      </c>
      <c r="AW2143" t="inlineStr">
        <is>
          <t>991004481549702656</t>
        </is>
      </c>
      <c r="AX2143" t="inlineStr">
        <is>
          <t>991004481549702656</t>
        </is>
      </c>
      <c r="AY2143" t="inlineStr">
        <is>
          <t>2269250720002656</t>
        </is>
      </c>
      <c r="AZ2143" t="inlineStr">
        <is>
          <t>BOOK</t>
        </is>
      </c>
      <c r="BB2143" t="inlineStr">
        <is>
          <t>9780803909908</t>
        </is>
      </c>
      <c r="BC2143" t="inlineStr">
        <is>
          <t>32285000040989</t>
        </is>
      </c>
      <c r="BD2143" t="inlineStr">
        <is>
          <t>893536007</t>
        </is>
      </c>
    </row>
    <row r="2144">
      <c r="A2144" t="inlineStr">
        <is>
          <t>No</t>
        </is>
      </c>
      <c r="B2144" t="inlineStr">
        <is>
          <t>HQ76.2.U5 D49 1994</t>
        </is>
      </c>
      <c r="C2144" t="inlineStr">
        <is>
          <t>0                      HQ 0076200U  5                  D  49          1994</t>
        </is>
      </c>
      <c r="D2144" t="inlineStr">
        <is>
          <t>The family heart : a memoir of when our son came out / Robb Forman Dew.</t>
        </is>
      </c>
      <c r="F2144" t="inlineStr">
        <is>
          <t>No</t>
        </is>
      </c>
      <c r="G2144" t="inlineStr">
        <is>
          <t>1</t>
        </is>
      </c>
      <c r="H2144" t="inlineStr">
        <is>
          <t>No</t>
        </is>
      </c>
      <c r="I2144" t="inlineStr">
        <is>
          <t>No</t>
        </is>
      </c>
      <c r="J2144" t="inlineStr">
        <is>
          <t>0</t>
        </is>
      </c>
      <c r="K2144" t="inlineStr">
        <is>
          <t>Dew, Robb Forman.</t>
        </is>
      </c>
      <c r="L2144" t="inlineStr">
        <is>
          <t>Reading, Mass. : Addison-Wesley, c1994.</t>
        </is>
      </c>
      <c r="M2144" t="inlineStr">
        <is>
          <t>1994</t>
        </is>
      </c>
      <c r="O2144" t="inlineStr">
        <is>
          <t>eng</t>
        </is>
      </c>
      <c r="P2144" t="inlineStr">
        <is>
          <t>mau</t>
        </is>
      </c>
      <c r="R2144" t="inlineStr">
        <is>
          <t xml:space="preserve">HQ </t>
        </is>
      </c>
      <c r="S2144" t="n">
        <v>7</v>
      </c>
      <c r="T2144" t="n">
        <v>7</v>
      </c>
      <c r="U2144" t="inlineStr">
        <is>
          <t>1999-05-20</t>
        </is>
      </c>
      <c r="V2144" t="inlineStr">
        <is>
          <t>1999-05-20</t>
        </is>
      </c>
      <c r="W2144" t="inlineStr">
        <is>
          <t>1995-02-13</t>
        </is>
      </c>
      <c r="X2144" t="inlineStr">
        <is>
          <t>1995-02-13</t>
        </is>
      </c>
      <c r="Y2144" t="n">
        <v>661</v>
      </c>
      <c r="Z2144" t="n">
        <v>626</v>
      </c>
      <c r="AA2144" t="n">
        <v>757</v>
      </c>
      <c r="AB2144" t="n">
        <v>9</v>
      </c>
      <c r="AC2144" t="n">
        <v>11</v>
      </c>
      <c r="AD2144" t="n">
        <v>19</v>
      </c>
      <c r="AE2144" t="n">
        <v>21</v>
      </c>
      <c r="AF2144" t="n">
        <v>3</v>
      </c>
      <c r="AG2144" t="n">
        <v>5</v>
      </c>
      <c r="AH2144" t="n">
        <v>5</v>
      </c>
      <c r="AI2144" t="n">
        <v>5</v>
      </c>
      <c r="AJ2144" t="n">
        <v>10</v>
      </c>
      <c r="AK2144" t="n">
        <v>10</v>
      </c>
      <c r="AL2144" t="n">
        <v>5</v>
      </c>
      <c r="AM2144" t="n">
        <v>5</v>
      </c>
      <c r="AN2144" t="n">
        <v>0</v>
      </c>
      <c r="AO2144" t="n">
        <v>0</v>
      </c>
      <c r="AP2144" t="inlineStr">
        <is>
          <t>No</t>
        </is>
      </c>
      <c r="AQ2144" t="inlineStr">
        <is>
          <t>No</t>
        </is>
      </c>
      <c r="AS2144">
        <f>HYPERLINK("https://creighton-primo.hosted.exlibrisgroup.com/primo-explore/search?tab=default_tab&amp;search_scope=EVERYTHING&amp;vid=01CRU&amp;lang=en_US&amp;offset=0&amp;query=any,contains,991002305509702656","Catalog Record")</f>
        <v/>
      </c>
      <c r="AT2144">
        <f>HYPERLINK("http://www.worldcat.org/oclc/29908903","WorldCat Record")</f>
        <v/>
      </c>
      <c r="AU2144" t="inlineStr">
        <is>
          <t>31833417:eng</t>
        </is>
      </c>
      <c r="AV2144" t="inlineStr">
        <is>
          <t>29908903</t>
        </is>
      </c>
      <c r="AW2144" t="inlineStr">
        <is>
          <t>991002305509702656</t>
        </is>
      </c>
      <c r="AX2144" t="inlineStr">
        <is>
          <t>991002305509702656</t>
        </is>
      </c>
      <c r="AY2144" t="inlineStr">
        <is>
          <t>2260034450002656</t>
        </is>
      </c>
      <c r="AZ2144" t="inlineStr">
        <is>
          <t>BOOK</t>
        </is>
      </c>
      <c r="BB2144" t="inlineStr">
        <is>
          <t>9780201624502</t>
        </is>
      </c>
      <c r="BC2144" t="inlineStr">
        <is>
          <t>32285001998334</t>
        </is>
      </c>
      <c r="BD2144" t="inlineStr">
        <is>
          <t>893622131</t>
        </is>
      </c>
    </row>
    <row r="2145">
      <c r="A2145" t="inlineStr">
        <is>
          <t>No</t>
        </is>
      </c>
      <c r="B2145" t="inlineStr">
        <is>
          <t>HQ76.2.U5 F65 1998</t>
        </is>
      </c>
      <c r="C2145" t="inlineStr">
        <is>
          <t>0                      HQ 0076200U  5                  F  65          1998</t>
        </is>
      </c>
      <c r="D2145" t="inlineStr">
        <is>
          <t>Outspoken : role models from the lesbian and gay community / Michael Thomas Ford.</t>
        </is>
      </c>
      <c r="F2145" t="inlineStr">
        <is>
          <t>No</t>
        </is>
      </c>
      <c r="G2145" t="inlineStr">
        <is>
          <t>1</t>
        </is>
      </c>
      <c r="H2145" t="inlineStr">
        <is>
          <t>No</t>
        </is>
      </c>
      <c r="I2145" t="inlineStr">
        <is>
          <t>No</t>
        </is>
      </c>
      <c r="J2145" t="inlineStr">
        <is>
          <t>0</t>
        </is>
      </c>
      <c r="K2145" t="inlineStr">
        <is>
          <t>Ford, Michael Thomas.</t>
        </is>
      </c>
      <c r="L2145" t="inlineStr">
        <is>
          <t>New York : Beech Tree, Morrow Junior Books, c1998.</t>
        </is>
      </c>
      <c r="M2145" t="inlineStr">
        <is>
          <t>1998</t>
        </is>
      </c>
      <c r="N2145" t="inlineStr">
        <is>
          <t>1st Beech Tree ed.</t>
        </is>
      </c>
      <c r="O2145" t="inlineStr">
        <is>
          <t>eng</t>
        </is>
      </c>
      <c r="P2145" t="inlineStr">
        <is>
          <t>nyu</t>
        </is>
      </c>
      <c r="R2145" t="inlineStr">
        <is>
          <t xml:space="preserve">HQ </t>
        </is>
      </c>
      <c r="S2145" t="n">
        <v>1</v>
      </c>
      <c r="T2145" t="n">
        <v>1</v>
      </c>
      <c r="U2145" t="inlineStr">
        <is>
          <t>1998-12-08</t>
        </is>
      </c>
      <c r="V2145" t="inlineStr">
        <is>
          <t>1998-12-08</t>
        </is>
      </c>
      <c r="W2145" t="inlineStr">
        <is>
          <t>1998-08-26</t>
        </is>
      </c>
      <c r="X2145" t="inlineStr">
        <is>
          <t>1998-08-26</t>
        </is>
      </c>
      <c r="Y2145" t="n">
        <v>311</v>
      </c>
      <c r="Z2145" t="n">
        <v>295</v>
      </c>
      <c r="AA2145" t="n">
        <v>329</v>
      </c>
      <c r="AB2145" t="n">
        <v>5</v>
      </c>
      <c r="AC2145" t="n">
        <v>6</v>
      </c>
      <c r="AD2145" t="n">
        <v>10</v>
      </c>
      <c r="AE2145" t="n">
        <v>11</v>
      </c>
      <c r="AF2145" t="n">
        <v>1</v>
      </c>
      <c r="AG2145" t="n">
        <v>1</v>
      </c>
      <c r="AH2145" t="n">
        <v>3</v>
      </c>
      <c r="AI2145" t="n">
        <v>3</v>
      </c>
      <c r="AJ2145" t="n">
        <v>3</v>
      </c>
      <c r="AK2145" t="n">
        <v>3</v>
      </c>
      <c r="AL2145" t="n">
        <v>4</v>
      </c>
      <c r="AM2145" t="n">
        <v>5</v>
      </c>
      <c r="AN2145" t="n">
        <v>0</v>
      </c>
      <c r="AO2145" t="n">
        <v>0</v>
      </c>
      <c r="AP2145" t="inlineStr">
        <is>
          <t>No</t>
        </is>
      </c>
      <c r="AQ2145" t="inlineStr">
        <is>
          <t>No</t>
        </is>
      </c>
      <c r="AS2145">
        <f>HYPERLINK("https://creighton-primo.hosted.exlibrisgroup.com/primo-explore/search?tab=default_tab&amp;search_scope=EVERYTHING&amp;vid=01CRU&amp;lang=en_US&amp;offset=0&amp;query=any,contains,991002857039702656","Catalog Record")</f>
        <v/>
      </c>
      <c r="AT2145">
        <f>HYPERLINK("http://www.worldcat.org/oclc/37653176","WorldCat Record")</f>
        <v/>
      </c>
      <c r="AU2145" t="inlineStr">
        <is>
          <t>573939:eng</t>
        </is>
      </c>
      <c r="AV2145" t="inlineStr">
        <is>
          <t>37653176</t>
        </is>
      </c>
      <c r="AW2145" t="inlineStr">
        <is>
          <t>991002857039702656</t>
        </is>
      </c>
      <c r="AX2145" t="inlineStr">
        <is>
          <t>991002857039702656</t>
        </is>
      </c>
      <c r="AY2145" t="inlineStr">
        <is>
          <t>2271659230002656</t>
        </is>
      </c>
      <c r="AZ2145" t="inlineStr">
        <is>
          <t>BOOK</t>
        </is>
      </c>
      <c r="BB2145" t="inlineStr">
        <is>
          <t>9780688148966</t>
        </is>
      </c>
      <c r="BC2145" t="inlineStr">
        <is>
          <t>32285003463014</t>
        </is>
      </c>
      <c r="BD2145" t="inlineStr">
        <is>
          <t>893421882</t>
        </is>
      </c>
    </row>
    <row r="2146">
      <c r="A2146" t="inlineStr">
        <is>
          <t>No</t>
        </is>
      </c>
      <c r="B2146" t="inlineStr">
        <is>
          <t>HQ76.2.U5 F67 1996</t>
        </is>
      </c>
      <c r="C2146" t="inlineStr">
        <is>
          <t>0                      HQ 0076200U  5                  F  67          1996</t>
        </is>
      </c>
      <c r="D2146" t="inlineStr">
        <is>
          <t>The world out there : becoming part of the lesbian and gay community / Michael Thomas Ford.</t>
        </is>
      </c>
      <c r="F2146" t="inlineStr">
        <is>
          <t>No</t>
        </is>
      </c>
      <c r="G2146" t="inlineStr">
        <is>
          <t>1</t>
        </is>
      </c>
      <c r="H2146" t="inlineStr">
        <is>
          <t>No</t>
        </is>
      </c>
      <c r="I2146" t="inlineStr">
        <is>
          <t>No</t>
        </is>
      </c>
      <c r="J2146" t="inlineStr">
        <is>
          <t>0</t>
        </is>
      </c>
      <c r="K2146" t="inlineStr">
        <is>
          <t>Ford, Michael Thomas.</t>
        </is>
      </c>
      <c r="L2146" t="inlineStr">
        <is>
          <t>New York : New Press, c1996.</t>
        </is>
      </c>
      <c r="M2146" t="inlineStr">
        <is>
          <t>1996</t>
        </is>
      </c>
      <c r="O2146" t="inlineStr">
        <is>
          <t>eng</t>
        </is>
      </c>
      <c r="P2146" t="inlineStr">
        <is>
          <t>nyu</t>
        </is>
      </c>
      <c r="R2146" t="inlineStr">
        <is>
          <t xml:space="preserve">HQ </t>
        </is>
      </c>
      <c r="S2146" t="n">
        <v>7</v>
      </c>
      <c r="T2146" t="n">
        <v>7</v>
      </c>
      <c r="U2146" t="inlineStr">
        <is>
          <t>1998-09-01</t>
        </is>
      </c>
      <c r="V2146" t="inlineStr">
        <is>
          <t>1998-09-01</t>
        </is>
      </c>
      <c r="W2146" t="inlineStr">
        <is>
          <t>1996-11-20</t>
        </is>
      </c>
      <c r="X2146" t="inlineStr">
        <is>
          <t>1996-11-20</t>
        </is>
      </c>
      <c r="Y2146" t="n">
        <v>385</v>
      </c>
      <c r="Z2146" t="n">
        <v>360</v>
      </c>
      <c r="AA2146" t="n">
        <v>363</v>
      </c>
      <c r="AB2146" t="n">
        <v>3</v>
      </c>
      <c r="AC2146" t="n">
        <v>3</v>
      </c>
      <c r="AD2146" t="n">
        <v>9</v>
      </c>
      <c r="AE2146" t="n">
        <v>9</v>
      </c>
      <c r="AF2146" t="n">
        <v>1</v>
      </c>
      <c r="AG2146" t="n">
        <v>1</v>
      </c>
      <c r="AH2146" t="n">
        <v>1</v>
      </c>
      <c r="AI2146" t="n">
        <v>1</v>
      </c>
      <c r="AJ2146" t="n">
        <v>7</v>
      </c>
      <c r="AK2146" t="n">
        <v>7</v>
      </c>
      <c r="AL2146" t="n">
        <v>2</v>
      </c>
      <c r="AM2146" t="n">
        <v>2</v>
      </c>
      <c r="AN2146" t="n">
        <v>0</v>
      </c>
      <c r="AO2146" t="n">
        <v>0</v>
      </c>
      <c r="AP2146" t="inlineStr">
        <is>
          <t>No</t>
        </is>
      </c>
      <c r="AQ2146" t="inlineStr">
        <is>
          <t>No</t>
        </is>
      </c>
      <c r="AS2146">
        <f>HYPERLINK("https://creighton-primo.hosted.exlibrisgroup.com/primo-explore/search?tab=default_tab&amp;search_scope=EVERYTHING&amp;vid=01CRU&amp;lang=en_US&amp;offset=0&amp;query=any,contains,991002583359702656","Catalog Record")</f>
        <v/>
      </c>
      <c r="AT2146">
        <f>HYPERLINK("http://www.worldcat.org/oclc/33863032","WorldCat Record")</f>
        <v/>
      </c>
      <c r="AU2146" t="inlineStr">
        <is>
          <t>38837131:eng</t>
        </is>
      </c>
      <c r="AV2146" t="inlineStr">
        <is>
          <t>33863032</t>
        </is>
      </c>
      <c r="AW2146" t="inlineStr">
        <is>
          <t>991002583359702656</t>
        </is>
      </c>
      <c r="AX2146" t="inlineStr">
        <is>
          <t>991002583359702656</t>
        </is>
      </c>
      <c r="AY2146" t="inlineStr">
        <is>
          <t>2262662660002656</t>
        </is>
      </c>
      <c r="AZ2146" t="inlineStr">
        <is>
          <t>BOOK</t>
        </is>
      </c>
      <c r="BB2146" t="inlineStr">
        <is>
          <t>9781565842342</t>
        </is>
      </c>
      <c r="BC2146" t="inlineStr">
        <is>
          <t>32285002374709</t>
        </is>
      </c>
      <c r="BD2146" t="inlineStr">
        <is>
          <t>893809571</t>
        </is>
      </c>
    </row>
    <row r="2147">
      <c r="A2147" t="inlineStr">
        <is>
          <t>No</t>
        </is>
      </c>
      <c r="B2147" t="inlineStr">
        <is>
          <t>HQ76.2.U5 F86 1995</t>
        </is>
      </c>
      <c r="C2147" t="inlineStr">
        <is>
          <t>0                      HQ 0076200U  5                  F  86          1995</t>
        </is>
      </c>
      <c r="D2147" t="inlineStr">
        <is>
          <t>Growing up gay : from left out to coming out / by Funny Gay Males (Jaffe Cohen, Danny McWilliams, and Bob Smith) ; illustrations by Michiko Stehrenberger.</t>
        </is>
      </c>
      <c r="F2147" t="inlineStr">
        <is>
          <t>No</t>
        </is>
      </c>
      <c r="G2147" t="inlineStr">
        <is>
          <t>1</t>
        </is>
      </c>
      <c r="H2147" t="inlineStr">
        <is>
          <t>No</t>
        </is>
      </c>
      <c r="I2147" t="inlineStr">
        <is>
          <t>No</t>
        </is>
      </c>
      <c r="J2147" t="inlineStr">
        <is>
          <t>0</t>
        </is>
      </c>
      <c r="K2147" t="inlineStr">
        <is>
          <t>Funny Gay Males (Comedy team)</t>
        </is>
      </c>
      <c r="L2147" t="inlineStr">
        <is>
          <t>New York : Hyperion, c1995.</t>
        </is>
      </c>
      <c r="M2147" t="inlineStr">
        <is>
          <t>1995</t>
        </is>
      </c>
      <c r="N2147" t="inlineStr">
        <is>
          <t>1st ed.</t>
        </is>
      </c>
      <c r="O2147" t="inlineStr">
        <is>
          <t>eng</t>
        </is>
      </c>
      <c r="P2147" t="inlineStr">
        <is>
          <t>nyu</t>
        </is>
      </c>
      <c r="R2147" t="inlineStr">
        <is>
          <t xml:space="preserve">HQ </t>
        </is>
      </c>
      <c r="S2147" t="n">
        <v>25</v>
      </c>
      <c r="T2147" t="n">
        <v>25</v>
      </c>
      <c r="U2147" t="inlineStr">
        <is>
          <t>2001-12-08</t>
        </is>
      </c>
      <c r="V2147" t="inlineStr">
        <is>
          <t>2001-12-08</t>
        </is>
      </c>
      <c r="W2147" t="inlineStr">
        <is>
          <t>1996-03-15</t>
        </is>
      </c>
      <c r="X2147" t="inlineStr">
        <is>
          <t>1996-03-15</t>
        </is>
      </c>
      <c r="Y2147" t="n">
        <v>144</v>
      </c>
      <c r="Z2147" t="n">
        <v>136</v>
      </c>
      <c r="AA2147" t="n">
        <v>143</v>
      </c>
      <c r="AB2147" t="n">
        <v>3</v>
      </c>
      <c r="AC2147" t="n">
        <v>3</v>
      </c>
      <c r="AD2147" t="n">
        <v>3</v>
      </c>
      <c r="AE2147" t="n">
        <v>3</v>
      </c>
      <c r="AF2147" t="n">
        <v>0</v>
      </c>
      <c r="AG2147" t="n">
        <v>0</v>
      </c>
      <c r="AH2147" t="n">
        <v>0</v>
      </c>
      <c r="AI2147" t="n">
        <v>0</v>
      </c>
      <c r="AJ2147" t="n">
        <v>1</v>
      </c>
      <c r="AK2147" t="n">
        <v>1</v>
      </c>
      <c r="AL2147" t="n">
        <v>2</v>
      </c>
      <c r="AM2147" t="n">
        <v>2</v>
      </c>
      <c r="AN2147" t="n">
        <v>0</v>
      </c>
      <c r="AO2147" t="n">
        <v>0</v>
      </c>
      <c r="AP2147" t="inlineStr">
        <is>
          <t>No</t>
        </is>
      </c>
      <c r="AQ2147" t="inlineStr">
        <is>
          <t>Yes</t>
        </is>
      </c>
      <c r="AR2147">
        <f>HYPERLINK("http://catalog.hathitrust.org/Record/004032186","HathiTrust Record")</f>
        <v/>
      </c>
      <c r="AS2147">
        <f>HYPERLINK("https://creighton-primo.hosted.exlibrisgroup.com/primo-explore/search?tab=default_tab&amp;search_scope=EVERYTHING&amp;vid=01CRU&amp;lang=en_US&amp;offset=0&amp;query=any,contains,991002438499702656","Catalog Record")</f>
        <v/>
      </c>
      <c r="AT2147">
        <f>HYPERLINK("http://www.worldcat.org/oclc/31782394","WorldCat Record")</f>
        <v/>
      </c>
      <c r="AU2147" t="inlineStr">
        <is>
          <t>34250364:eng</t>
        </is>
      </c>
      <c r="AV2147" t="inlineStr">
        <is>
          <t>31782394</t>
        </is>
      </c>
      <c r="AW2147" t="inlineStr">
        <is>
          <t>991002438499702656</t>
        </is>
      </c>
      <c r="AX2147" t="inlineStr">
        <is>
          <t>991002438499702656</t>
        </is>
      </c>
      <c r="AY2147" t="inlineStr">
        <is>
          <t>2261109160002656</t>
        </is>
      </c>
      <c r="AZ2147" t="inlineStr">
        <is>
          <t>BOOK</t>
        </is>
      </c>
      <c r="BB2147" t="inlineStr">
        <is>
          <t>9780786880560</t>
        </is>
      </c>
      <c r="BC2147" t="inlineStr">
        <is>
          <t>32285002143351</t>
        </is>
      </c>
      <c r="BD2147" t="inlineStr">
        <is>
          <t>893809490</t>
        </is>
      </c>
    </row>
    <row r="2148">
      <c r="A2148" t="inlineStr">
        <is>
          <t>No</t>
        </is>
      </c>
      <c r="B2148" t="inlineStr">
        <is>
          <t>HQ76.2.U5 G37 1992</t>
        </is>
      </c>
      <c r="C2148" t="inlineStr">
        <is>
          <t>0                      HQ 0076200U  5                  G  37          1992</t>
        </is>
      </c>
      <c r="D2148" t="inlineStr">
        <is>
          <t>Gay culture in America : essays from the field / edited by Gilbert Herdt.</t>
        </is>
      </c>
      <c r="F2148" t="inlineStr">
        <is>
          <t>No</t>
        </is>
      </c>
      <c r="G2148" t="inlineStr">
        <is>
          <t>1</t>
        </is>
      </c>
      <c r="H2148" t="inlineStr">
        <is>
          <t>No</t>
        </is>
      </c>
      <c r="I2148" t="inlineStr">
        <is>
          <t>No</t>
        </is>
      </c>
      <c r="J2148" t="inlineStr">
        <is>
          <t>0</t>
        </is>
      </c>
      <c r="L2148" t="inlineStr">
        <is>
          <t>Boston : Beacon Press, c1992.</t>
        </is>
      </c>
      <c r="M2148" t="inlineStr">
        <is>
          <t>1992</t>
        </is>
      </c>
      <c r="O2148" t="inlineStr">
        <is>
          <t>eng</t>
        </is>
      </c>
      <c r="P2148" t="inlineStr">
        <is>
          <t>mau</t>
        </is>
      </c>
      <c r="R2148" t="inlineStr">
        <is>
          <t xml:space="preserve">HQ </t>
        </is>
      </c>
      <c r="S2148" t="n">
        <v>14</v>
      </c>
      <c r="T2148" t="n">
        <v>14</v>
      </c>
      <c r="U2148" t="inlineStr">
        <is>
          <t>2004-04-23</t>
        </is>
      </c>
      <c r="V2148" t="inlineStr">
        <is>
          <t>2004-04-23</t>
        </is>
      </c>
      <c r="W2148" t="inlineStr">
        <is>
          <t>1998-04-22</t>
        </is>
      </c>
      <c r="X2148" t="inlineStr">
        <is>
          <t>1998-04-22</t>
        </is>
      </c>
      <c r="Y2148" t="n">
        <v>652</v>
      </c>
      <c r="Z2148" t="n">
        <v>577</v>
      </c>
      <c r="AA2148" t="n">
        <v>601</v>
      </c>
      <c r="AB2148" t="n">
        <v>4</v>
      </c>
      <c r="AC2148" t="n">
        <v>4</v>
      </c>
      <c r="AD2148" t="n">
        <v>26</v>
      </c>
      <c r="AE2148" t="n">
        <v>28</v>
      </c>
      <c r="AF2148" t="n">
        <v>9</v>
      </c>
      <c r="AG2148" t="n">
        <v>10</v>
      </c>
      <c r="AH2148" t="n">
        <v>6</v>
      </c>
      <c r="AI2148" t="n">
        <v>6</v>
      </c>
      <c r="AJ2148" t="n">
        <v>14</v>
      </c>
      <c r="AK2148" t="n">
        <v>14</v>
      </c>
      <c r="AL2148" t="n">
        <v>3</v>
      </c>
      <c r="AM2148" t="n">
        <v>3</v>
      </c>
      <c r="AN2148" t="n">
        <v>0</v>
      </c>
      <c r="AO2148" t="n">
        <v>1</v>
      </c>
      <c r="AP2148" t="inlineStr">
        <is>
          <t>No</t>
        </is>
      </c>
      <c r="AQ2148" t="inlineStr">
        <is>
          <t>Yes</t>
        </is>
      </c>
      <c r="AR2148">
        <f>HYPERLINK("http://catalog.hathitrust.org/Record/002516181","HathiTrust Record")</f>
        <v/>
      </c>
      <c r="AS2148">
        <f>HYPERLINK("https://creighton-primo.hosted.exlibrisgroup.com/primo-explore/search?tab=default_tab&amp;search_scope=EVERYTHING&amp;vid=01CRU&amp;lang=en_US&amp;offset=0&amp;query=any,contains,991001867019702656","Catalog Record")</f>
        <v/>
      </c>
      <c r="AT2148">
        <f>HYPERLINK("http://www.worldcat.org/oclc/23463976","WorldCat Record")</f>
        <v/>
      </c>
      <c r="AU2148" t="inlineStr">
        <is>
          <t>20717934:eng</t>
        </is>
      </c>
      <c r="AV2148" t="inlineStr">
        <is>
          <t>23463976</t>
        </is>
      </c>
      <c r="AW2148" t="inlineStr">
        <is>
          <t>991001867019702656</t>
        </is>
      </c>
      <c r="AX2148" t="inlineStr">
        <is>
          <t>991001867019702656</t>
        </is>
      </c>
      <c r="AY2148" t="inlineStr">
        <is>
          <t>2256135390002656</t>
        </is>
      </c>
      <c r="AZ2148" t="inlineStr">
        <is>
          <t>BOOK</t>
        </is>
      </c>
      <c r="BB2148" t="inlineStr">
        <is>
          <t>9780807079140</t>
        </is>
      </c>
      <c r="BC2148" t="inlineStr">
        <is>
          <t>32285003376315</t>
        </is>
      </c>
      <c r="BD2148" t="inlineStr">
        <is>
          <t>893503760</t>
        </is>
      </c>
    </row>
    <row r="2149">
      <c r="A2149" t="inlineStr">
        <is>
          <t>No</t>
        </is>
      </c>
      <c r="B2149" t="inlineStr">
        <is>
          <t>HQ76.2.U5 H34 1991</t>
        </is>
      </c>
      <c r="C2149" t="inlineStr">
        <is>
          <t>0                      HQ 0076200U  5                  H  34          1991</t>
        </is>
      </c>
      <c r="D2149" t="inlineStr">
        <is>
          <t>Coming out right : a guide for the gay male / Wes Muchmore and William Hanson.</t>
        </is>
      </c>
      <c r="F2149" t="inlineStr">
        <is>
          <t>No</t>
        </is>
      </c>
      <c r="G2149" t="inlineStr">
        <is>
          <t>1</t>
        </is>
      </c>
      <c r="H2149" t="inlineStr">
        <is>
          <t>No</t>
        </is>
      </c>
      <c r="I2149" t="inlineStr">
        <is>
          <t>No</t>
        </is>
      </c>
      <c r="J2149" t="inlineStr">
        <is>
          <t>0</t>
        </is>
      </c>
      <c r="K2149" t="inlineStr">
        <is>
          <t>Muchmore, Wes.</t>
        </is>
      </c>
      <c r="L2149" t="inlineStr">
        <is>
          <t>Boston : Alyson Publications, c1991.</t>
        </is>
      </c>
      <c r="M2149" t="inlineStr">
        <is>
          <t>1991</t>
        </is>
      </c>
      <c r="N2149" t="inlineStr">
        <is>
          <t>Rev. ed.</t>
        </is>
      </c>
      <c r="O2149" t="inlineStr">
        <is>
          <t>eng</t>
        </is>
      </c>
      <c r="P2149" t="inlineStr">
        <is>
          <t>mau</t>
        </is>
      </c>
      <c r="R2149" t="inlineStr">
        <is>
          <t xml:space="preserve">HQ </t>
        </is>
      </c>
      <c r="S2149" t="n">
        <v>17</v>
      </c>
      <c r="T2149" t="n">
        <v>17</v>
      </c>
      <c r="U2149" t="inlineStr">
        <is>
          <t>2001-12-08</t>
        </is>
      </c>
      <c r="V2149" t="inlineStr">
        <is>
          <t>2001-12-08</t>
        </is>
      </c>
      <c r="W2149" t="inlineStr">
        <is>
          <t>1996-04-15</t>
        </is>
      </c>
      <c r="X2149" t="inlineStr">
        <is>
          <t>1996-04-15</t>
        </is>
      </c>
      <c r="Y2149" t="n">
        <v>94</v>
      </c>
      <c r="Z2149" t="n">
        <v>81</v>
      </c>
      <c r="AA2149" t="n">
        <v>155</v>
      </c>
      <c r="AB2149" t="n">
        <v>2</v>
      </c>
      <c r="AC2149" t="n">
        <v>3</v>
      </c>
      <c r="AD2149" t="n">
        <v>4</v>
      </c>
      <c r="AE2149" t="n">
        <v>9</v>
      </c>
      <c r="AF2149" t="n">
        <v>1</v>
      </c>
      <c r="AG2149" t="n">
        <v>2</v>
      </c>
      <c r="AH2149" t="n">
        <v>0</v>
      </c>
      <c r="AI2149" t="n">
        <v>3</v>
      </c>
      <c r="AJ2149" t="n">
        <v>3</v>
      </c>
      <c r="AK2149" t="n">
        <v>4</v>
      </c>
      <c r="AL2149" t="n">
        <v>1</v>
      </c>
      <c r="AM2149" t="n">
        <v>2</v>
      </c>
      <c r="AN2149" t="n">
        <v>0</v>
      </c>
      <c r="AO2149" t="n">
        <v>0</v>
      </c>
      <c r="AP2149" t="inlineStr">
        <is>
          <t>No</t>
        </is>
      </c>
      <c r="AQ2149" t="inlineStr">
        <is>
          <t>Yes</t>
        </is>
      </c>
      <c r="AR2149">
        <f>HYPERLINK("http://catalog.hathitrust.org/Record/004498288","HathiTrust Record")</f>
        <v/>
      </c>
      <c r="AS2149">
        <f>HYPERLINK("https://creighton-primo.hosted.exlibrisgroup.com/primo-explore/search?tab=default_tab&amp;search_scope=EVERYTHING&amp;vid=01CRU&amp;lang=en_US&amp;offset=0&amp;query=any,contains,991001695059702656","Catalog Record")</f>
        <v/>
      </c>
      <c r="AT2149">
        <f>HYPERLINK("http://www.worldcat.org/oclc/21482680","WorldCat Record")</f>
        <v/>
      </c>
      <c r="AU2149" t="inlineStr">
        <is>
          <t>3863759044:eng</t>
        </is>
      </c>
      <c r="AV2149" t="inlineStr">
        <is>
          <t>21482680</t>
        </is>
      </c>
      <c r="AW2149" t="inlineStr">
        <is>
          <t>991001695059702656</t>
        </is>
      </c>
      <c r="AX2149" t="inlineStr">
        <is>
          <t>991001695059702656</t>
        </is>
      </c>
      <c r="AY2149" t="inlineStr">
        <is>
          <t>2260058070002656</t>
        </is>
      </c>
      <c r="AZ2149" t="inlineStr">
        <is>
          <t>BOOK</t>
        </is>
      </c>
      <c r="BB2149" t="inlineStr">
        <is>
          <t>9781555830212</t>
        </is>
      </c>
      <c r="BC2149" t="inlineStr">
        <is>
          <t>32285002153103</t>
        </is>
      </c>
      <c r="BD2149" t="inlineStr">
        <is>
          <t>893420525</t>
        </is>
      </c>
    </row>
    <row r="2150">
      <c r="A2150" t="inlineStr">
        <is>
          <t>No</t>
        </is>
      </c>
      <c r="B2150" t="inlineStr">
        <is>
          <t>HQ76.2.U5 H347 1997</t>
        </is>
      </c>
      <c r="C2150" t="inlineStr">
        <is>
          <t>0                      HQ 0076200U  5                  H  347         1997</t>
        </is>
      </c>
      <c r="D2150" t="inlineStr">
        <is>
          <t>The rise and fall of gay culture / Daniel Harris.</t>
        </is>
      </c>
      <c r="F2150" t="inlineStr">
        <is>
          <t>No</t>
        </is>
      </c>
      <c r="G2150" t="inlineStr">
        <is>
          <t>1</t>
        </is>
      </c>
      <c r="H2150" t="inlineStr">
        <is>
          <t>No</t>
        </is>
      </c>
      <c r="I2150" t="inlineStr">
        <is>
          <t>No</t>
        </is>
      </c>
      <c r="J2150" t="inlineStr">
        <is>
          <t>0</t>
        </is>
      </c>
      <c r="K2150" t="inlineStr">
        <is>
          <t>Harris, Daniel, 1957-</t>
        </is>
      </c>
      <c r="L2150" t="inlineStr">
        <is>
          <t>New York : Hyperion, c1997.</t>
        </is>
      </c>
      <c r="M2150" t="inlineStr">
        <is>
          <t>1997</t>
        </is>
      </c>
      <c r="N2150" t="inlineStr">
        <is>
          <t>1st ed.</t>
        </is>
      </c>
      <c r="O2150" t="inlineStr">
        <is>
          <t>eng</t>
        </is>
      </c>
      <c r="P2150" t="inlineStr">
        <is>
          <t>nyu</t>
        </is>
      </c>
      <c r="R2150" t="inlineStr">
        <is>
          <t xml:space="preserve">HQ </t>
        </is>
      </c>
      <c r="S2150" t="n">
        <v>12</v>
      </c>
      <c r="T2150" t="n">
        <v>12</v>
      </c>
      <c r="U2150" t="inlineStr">
        <is>
          <t>2007-03-30</t>
        </is>
      </c>
      <c r="V2150" t="inlineStr">
        <is>
          <t>2007-03-30</t>
        </is>
      </c>
      <c r="W2150" t="inlineStr">
        <is>
          <t>1998-02-02</t>
        </is>
      </c>
      <c r="X2150" t="inlineStr">
        <is>
          <t>1998-02-02</t>
        </is>
      </c>
      <c r="Y2150" t="n">
        <v>487</v>
      </c>
      <c r="Z2150" t="n">
        <v>436</v>
      </c>
      <c r="AA2150" t="n">
        <v>512</v>
      </c>
      <c r="AB2150" t="n">
        <v>4</v>
      </c>
      <c r="AC2150" t="n">
        <v>4</v>
      </c>
      <c r="AD2150" t="n">
        <v>15</v>
      </c>
      <c r="AE2150" t="n">
        <v>16</v>
      </c>
      <c r="AF2150" t="n">
        <v>3</v>
      </c>
      <c r="AG2150" t="n">
        <v>4</v>
      </c>
      <c r="AH2150" t="n">
        <v>4</v>
      </c>
      <c r="AI2150" t="n">
        <v>5</v>
      </c>
      <c r="AJ2150" t="n">
        <v>7</v>
      </c>
      <c r="AK2150" t="n">
        <v>7</v>
      </c>
      <c r="AL2150" t="n">
        <v>3</v>
      </c>
      <c r="AM2150" t="n">
        <v>3</v>
      </c>
      <c r="AN2150" t="n">
        <v>0</v>
      </c>
      <c r="AO2150" t="n">
        <v>0</v>
      </c>
      <c r="AP2150" t="inlineStr">
        <is>
          <t>No</t>
        </is>
      </c>
      <c r="AQ2150" t="inlineStr">
        <is>
          <t>Yes</t>
        </is>
      </c>
      <c r="AR2150">
        <f>HYPERLINK("http://catalog.hathitrust.org/Record/003949863","HathiTrust Record")</f>
        <v/>
      </c>
      <c r="AS2150">
        <f>HYPERLINK("https://creighton-primo.hosted.exlibrisgroup.com/primo-explore/search?tab=default_tab&amp;search_scope=EVERYTHING&amp;vid=01CRU&amp;lang=en_US&amp;offset=0&amp;query=any,contains,991002733029702656","Catalog Record")</f>
        <v/>
      </c>
      <c r="AT2150">
        <f>HYPERLINK("http://www.worldcat.org/oclc/35849089","WorldCat Record")</f>
        <v/>
      </c>
      <c r="AU2150" t="inlineStr">
        <is>
          <t>2638901:eng</t>
        </is>
      </c>
      <c r="AV2150" t="inlineStr">
        <is>
          <t>35849089</t>
        </is>
      </c>
      <c r="AW2150" t="inlineStr">
        <is>
          <t>991002733029702656</t>
        </is>
      </c>
      <c r="AX2150" t="inlineStr">
        <is>
          <t>991002733029702656</t>
        </is>
      </c>
      <c r="AY2150" t="inlineStr">
        <is>
          <t>2261281920002656</t>
        </is>
      </c>
      <c r="AZ2150" t="inlineStr">
        <is>
          <t>BOOK</t>
        </is>
      </c>
      <c r="BB2150" t="inlineStr">
        <is>
          <t>9780786861651</t>
        </is>
      </c>
      <c r="BC2150" t="inlineStr">
        <is>
          <t>32285003311502</t>
        </is>
      </c>
      <c r="BD2150" t="inlineStr">
        <is>
          <t>893530388</t>
        </is>
      </c>
    </row>
    <row r="2151">
      <c r="A2151" t="inlineStr">
        <is>
          <t>No</t>
        </is>
      </c>
      <c r="B2151" t="inlineStr">
        <is>
          <t>HQ76.2.U5 H35 1984</t>
        </is>
      </c>
      <c r="C2151" t="inlineStr">
        <is>
          <t>0                      HQ 0076200U  5                  H  35          1984</t>
        </is>
      </c>
      <c r="D2151" t="inlineStr">
        <is>
          <t>Gay couples / Joseph Harry.</t>
        </is>
      </c>
      <c r="F2151" t="inlineStr">
        <is>
          <t>No</t>
        </is>
      </c>
      <c r="G2151" t="inlineStr">
        <is>
          <t>1</t>
        </is>
      </c>
      <c r="H2151" t="inlineStr">
        <is>
          <t>No</t>
        </is>
      </c>
      <c r="I2151" t="inlineStr">
        <is>
          <t>No</t>
        </is>
      </c>
      <c r="J2151" t="inlineStr">
        <is>
          <t>0</t>
        </is>
      </c>
      <c r="K2151" t="inlineStr">
        <is>
          <t>Harry, Joseph.</t>
        </is>
      </c>
      <c r="L2151" t="inlineStr">
        <is>
          <t>New York, NY : Praeger, 1984.</t>
        </is>
      </c>
      <c r="M2151" t="inlineStr">
        <is>
          <t>1984</t>
        </is>
      </c>
      <c r="O2151" t="inlineStr">
        <is>
          <t>eng</t>
        </is>
      </c>
      <c r="P2151" t="inlineStr">
        <is>
          <t>nyu</t>
        </is>
      </c>
      <c r="R2151" t="inlineStr">
        <is>
          <t xml:space="preserve">HQ </t>
        </is>
      </c>
      <c r="S2151" t="n">
        <v>21</v>
      </c>
      <c r="T2151" t="n">
        <v>21</v>
      </c>
      <c r="U2151" t="inlineStr">
        <is>
          <t>2004-04-23</t>
        </is>
      </c>
      <c r="V2151" t="inlineStr">
        <is>
          <t>2004-04-23</t>
        </is>
      </c>
      <c r="W2151" t="inlineStr">
        <is>
          <t>1990-06-26</t>
        </is>
      </c>
      <c r="X2151" t="inlineStr">
        <is>
          <t>1990-06-26</t>
        </is>
      </c>
      <c r="Y2151" t="n">
        <v>304</v>
      </c>
      <c r="Z2151" t="n">
        <v>256</v>
      </c>
      <c r="AA2151" t="n">
        <v>263</v>
      </c>
      <c r="AB2151" t="n">
        <v>3</v>
      </c>
      <c r="AC2151" t="n">
        <v>3</v>
      </c>
      <c r="AD2151" t="n">
        <v>9</v>
      </c>
      <c r="AE2151" t="n">
        <v>9</v>
      </c>
      <c r="AF2151" t="n">
        <v>4</v>
      </c>
      <c r="AG2151" t="n">
        <v>4</v>
      </c>
      <c r="AH2151" t="n">
        <v>1</v>
      </c>
      <c r="AI2151" t="n">
        <v>1</v>
      </c>
      <c r="AJ2151" t="n">
        <v>3</v>
      </c>
      <c r="AK2151" t="n">
        <v>3</v>
      </c>
      <c r="AL2151" t="n">
        <v>2</v>
      </c>
      <c r="AM2151" t="n">
        <v>2</v>
      </c>
      <c r="AN2151" t="n">
        <v>0</v>
      </c>
      <c r="AO2151" t="n">
        <v>0</v>
      </c>
      <c r="AP2151" t="inlineStr">
        <is>
          <t>No</t>
        </is>
      </c>
      <c r="AQ2151" t="inlineStr">
        <is>
          <t>Yes</t>
        </is>
      </c>
      <c r="AR2151">
        <f>HYPERLINK("http://catalog.hathitrust.org/Record/000323184","HathiTrust Record")</f>
        <v/>
      </c>
      <c r="AS2151">
        <f>HYPERLINK("https://creighton-primo.hosted.exlibrisgroup.com/primo-explore/search?tab=default_tab&amp;search_scope=EVERYTHING&amp;vid=01CRU&amp;lang=en_US&amp;offset=0&amp;query=any,contains,991000299759702656","Catalog Record")</f>
        <v/>
      </c>
      <c r="AT2151">
        <f>HYPERLINK("http://www.worldcat.org/oclc/10020749","WorldCat Record")</f>
        <v/>
      </c>
      <c r="AU2151" t="inlineStr">
        <is>
          <t>2559956:eng</t>
        </is>
      </c>
      <c r="AV2151" t="inlineStr">
        <is>
          <t>10020749</t>
        </is>
      </c>
      <c r="AW2151" t="inlineStr">
        <is>
          <t>991000299759702656</t>
        </is>
      </c>
      <c r="AX2151" t="inlineStr">
        <is>
          <t>991000299759702656</t>
        </is>
      </c>
      <c r="AY2151" t="inlineStr">
        <is>
          <t>2265171700002656</t>
        </is>
      </c>
      <c r="AZ2151" t="inlineStr">
        <is>
          <t>BOOK</t>
        </is>
      </c>
      <c r="BB2151" t="inlineStr">
        <is>
          <t>9780030698262</t>
        </is>
      </c>
      <c r="BC2151" t="inlineStr">
        <is>
          <t>32285000215185</t>
        </is>
      </c>
      <c r="BD2151" t="inlineStr">
        <is>
          <t>893702003</t>
        </is>
      </c>
    </row>
    <row r="2152">
      <c r="A2152" t="inlineStr">
        <is>
          <t>No</t>
        </is>
      </c>
      <c r="B2152" t="inlineStr">
        <is>
          <t>HQ76.2.U5 H66 1991</t>
        </is>
      </c>
      <c r="C2152" t="inlineStr">
        <is>
          <t>0                      HQ 0076200U  5                  H  66          1991</t>
        </is>
      </c>
      <c r="D2152" t="inlineStr">
        <is>
          <t>Hometowns : gay men write about where they belong / edited and with an introduction by John Preston.</t>
        </is>
      </c>
      <c r="F2152" t="inlineStr">
        <is>
          <t>No</t>
        </is>
      </c>
      <c r="G2152" t="inlineStr">
        <is>
          <t>1</t>
        </is>
      </c>
      <c r="H2152" t="inlineStr">
        <is>
          <t>No</t>
        </is>
      </c>
      <c r="I2152" t="inlineStr">
        <is>
          <t>No</t>
        </is>
      </c>
      <c r="J2152" t="inlineStr">
        <is>
          <t>0</t>
        </is>
      </c>
      <c r="L2152" t="inlineStr">
        <is>
          <t>New York, N.Y. : Dutton, 1991.</t>
        </is>
      </c>
      <c r="M2152" t="inlineStr">
        <is>
          <t>1991</t>
        </is>
      </c>
      <c r="O2152" t="inlineStr">
        <is>
          <t>eng</t>
        </is>
      </c>
      <c r="P2152" t="inlineStr">
        <is>
          <t>nyu</t>
        </is>
      </c>
      <c r="R2152" t="inlineStr">
        <is>
          <t xml:space="preserve">HQ </t>
        </is>
      </c>
      <c r="S2152" t="n">
        <v>4</v>
      </c>
      <c r="T2152" t="n">
        <v>4</v>
      </c>
      <c r="U2152" t="inlineStr">
        <is>
          <t>1993-06-26</t>
        </is>
      </c>
      <c r="V2152" t="inlineStr">
        <is>
          <t>1993-06-26</t>
        </is>
      </c>
      <c r="W2152" t="inlineStr">
        <is>
          <t>1991-11-26</t>
        </is>
      </c>
      <c r="X2152" t="inlineStr">
        <is>
          <t>1991-11-26</t>
        </is>
      </c>
      <c r="Y2152" t="n">
        <v>360</v>
      </c>
      <c r="Z2152" t="n">
        <v>339</v>
      </c>
      <c r="AA2152" t="n">
        <v>402</v>
      </c>
      <c r="AB2152" t="n">
        <v>5</v>
      </c>
      <c r="AC2152" t="n">
        <v>7</v>
      </c>
      <c r="AD2152" t="n">
        <v>9</v>
      </c>
      <c r="AE2152" t="n">
        <v>11</v>
      </c>
      <c r="AF2152" t="n">
        <v>2</v>
      </c>
      <c r="AG2152" t="n">
        <v>2</v>
      </c>
      <c r="AH2152" t="n">
        <v>1</v>
      </c>
      <c r="AI2152" t="n">
        <v>2</v>
      </c>
      <c r="AJ2152" t="n">
        <v>4</v>
      </c>
      <c r="AK2152" t="n">
        <v>4</v>
      </c>
      <c r="AL2152" t="n">
        <v>3</v>
      </c>
      <c r="AM2152" t="n">
        <v>4</v>
      </c>
      <c r="AN2152" t="n">
        <v>0</v>
      </c>
      <c r="AO2152" t="n">
        <v>0</v>
      </c>
      <c r="AP2152" t="inlineStr">
        <is>
          <t>No</t>
        </is>
      </c>
      <c r="AQ2152" t="inlineStr">
        <is>
          <t>No</t>
        </is>
      </c>
      <c r="AS2152">
        <f>HYPERLINK("https://creighton-primo.hosted.exlibrisgroup.com/primo-explore/search?tab=default_tab&amp;search_scope=EVERYTHING&amp;vid=01CRU&amp;lang=en_US&amp;offset=0&amp;query=any,contains,991001858009702656","Catalog Record")</f>
        <v/>
      </c>
      <c r="AT2152">
        <f>HYPERLINK("http://www.worldcat.org/oclc/23355421","WorldCat Record")</f>
        <v/>
      </c>
      <c r="AU2152" t="inlineStr">
        <is>
          <t>916409367:eng</t>
        </is>
      </c>
      <c r="AV2152" t="inlineStr">
        <is>
          <t>23355421</t>
        </is>
      </c>
      <c r="AW2152" t="inlineStr">
        <is>
          <t>991001858009702656</t>
        </is>
      </c>
      <c r="AX2152" t="inlineStr">
        <is>
          <t>991001858009702656</t>
        </is>
      </c>
      <c r="AY2152" t="inlineStr">
        <is>
          <t>2271036580002656</t>
        </is>
      </c>
      <c r="AZ2152" t="inlineStr">
        <is>
          <t>BOOK</t>
        </is>
      </c>
      <c r="BB2152" t="inlineStr">
        <is>
          <t>9780525933533</t>
        </is>
      </c>
      <c r="BC2152" t="inlineStr">
        <is>
          <t>32285000817931</t>
        </is>
      </c>
      <c r="BD2152" t="inlineStr">
        <is>
          <t>893346849</t>
        </is>
      </c>
    </row>
    <row r="2153">
      <c r="A2153" t="inlineStr">
        <is>
          <t>No</t>
        </is>
      </c>
      <c r="B2153" t="inlineStr">
        <is>
          <t>HQ76.2.U5 H67 1999</t>
        </is>
      </c>
      <c r="C2153" t="inlineStr">
        <is>
          <t>0                      HQ 0076200U  5                  H  67          1999</t>
        </is>
      </c>
      <c r="D2153" t="inlineStr">
        <is>
          <t>A couple of friends : the remarkable friendship between straight women and gay men / Robert H. Hopcke and Laura Rafaty.</t>
        </is>
      </c>
      <c r="F2153" t="inlineStr">
        <is>
          <t>No</t>
        </is>
      </c>
      <c r="G2153" t="inlineStr">
        <is>
          <t>1</t>
        </is>
      </c>
      <c r="H2153" t="inlineStr">
        <is>
          <t>No</t>
        </is>
      </c>
      <c r="I2153" t="inlineStr">
        <is>
          <t>No</t>
        </is>
      </c>
      <c r="J2153" t="inlineStr">
        <is>
          <t>0</t>
        </is>
      </c>
      <c r="K2153" t="inlineStr">
        <is>
          <t>Hopcke, Robert H., 1958-</t>
        </is>
      </c>
      <c r="L2153" t="inlineStr">
        <is>
          <t>Berkeley, Calif. : Wildcat Canyon Press, c1999.</t>
        </is>
      </c>
      <c r="M2153" t="inlineStr">
        <is>
          <t>1999</t>
        </is>
      </c>
      <c r="O2153" t="inlineStr">
        <is>
          <t>eng</t>
        </is>
      </c>
      <c r="P2153" t="inlineStr">
        <is>
          <t>cau</t>
        </is>
      </c>
      <c r="R2153" t="inlineStr">
        <is>
          <t xml:space="preserve">HQ </t>
        </is>
      </c>
      <c r="S2153" t="n">
        <v>2</v>
      </c>
      <c r="T2153" t="n">
        <v>2</v>
      </c>
      <c r="U2153" t="inlineStr">
        <is>
          <t>2000-12-06</t>
        </is>
      </c>
      <c r="V2153" t="inlineStr">
        <is>
          <t>2000-12-06</t>
        </is>
      </c>
      <c r="W2153" t="inlineStr">
        <is>
          <t>2000-12-06</t>
        </is>
      </c>
      <c r="X2153" t="inlineStr">
        <is>
          <t>2000-12-06</t>
        </is>
      </c>
      <c r="Y2153" t="n">
        <v>61</v>
      </c>
      <c r="Z2153" t="n">
        <v>53</v>
      </c>
      <c r="AA2153" t="n">
        <v>53</v>
      </c>
      <c r="AB2153" t="n">
        <v>1</v>
      </c>
      <c r="AC2153" t="n">
        <v>1</v>
      </c>
      <c r="AD2153" t="n">
        <v>0</v>
      </c>
      <c r="AE2153" t="n">
        <v>0</v>
      </c>
      <c r="AF2153" t="n">
        <v>0</v>
      </c>
      <c r="AG2153" t="n">
        <v>0</v>
      </c>
      <c r="AH2153" t="n">
        <v>0</v>
      </c>
      <c r="AI2153" t="n">
        <v>0</v>
      </c>
      <c r="AJ2153" t="n">
        <v>0</v>
      </c>
      <c r="AK2153" t="n">
        <v>0</v>
      </c>
      <c r="AL2153" t="n">
        <v>0</v>
      </c>
      <c r="AM2153" t="n">
        <v>0</v>
      </c>
      <c r="AN2153" t="n">
        <v>0</v>
      </c>
      <c r="AO2153" t="n">
        <v>0</v>
      </c>
      <c r="AP2153" t="inlineStr">
        <is>
          <t>No</t>
        </is>
      </c>
      <c r="AQ2153" t="inlineStr">
        <is>
          <t>No</t>
        </is>
      </c>
      <c r="AS2153">
        <f>HYPERLINK("https://creighton-primo.hosted.exlibrisgroup.com/primo-explore/search?tab=default_tab&amp;search_scope=EVERYTHING&amp;vid=01CRU&amp;lang=en_US&amp;offset=0&amp;query=any,contains,991003328879702656","Catalog Record")</f>
        <v/>
      </c>
      <c r="AT2153">
        <f>HYPERLINK("http://www.worldcat.org/oclc/41754198","WorldCat Record")</f>
        <v/>
      </c>
      <c r="AU2153" t="inlineStr">
        <is>
          <t>20545033:eng</t>
        </is>
      </c>
      <c r="AV2153" t="inlineStr">
        <is>
          <t>41754198</t>
        </is>
      </c>
      <c r="AW2153" t="inlineStr">
        <is>
          <t>991003328879702656</t>
        </is>
      </c>
      <c r="AX2153" t="inlineStr">
        <is>
          <t>991003328879702656</t>
        </is>
      </c>
      <c r="AY2153" t="inlineStr">
        <is>
          <t>2266936930002656</t>
        </is>
      </c>
      <c r="AZ2153" t="inlineStr">
        <is>
          <t>BOOK</t>
        </is>
      </c>
      <c r="BB2153" t="inlineStr">
        <is>
          <t>9781885171337</t>
        </is>
      </c>
      <c r="BC2153" t="inlineStr">
        <is>
          <t>32285004275805</t>
        </is>
      </c>
      <c r="BD2153" t="inlineStr">
        <is>
          <t>893227954</t>
        </is>
      </c>
    </row>
    <row r="2154">
      <c r="A2154" t="inlineStr">
        <is>
          <t>No</t>
        </is>
      </c>
      <c r="B2154" t="inlineStr">
        <is>
          <t>HQ76.2.U5 I834 2009</t>
        </is>
      </c>
      <c r="C2154" t="inlineStr">
        <is>
          <t>0                      HQ 0076200U  5                  I  834         2009</t>
        </is>
      </c>
      <c r="D2154" t="inlineStr">
        <is>
          <t>Being homosexual : gay men and their development / by Richard A. Isay.</t>
        </is>
      </c>
      <c r="F2154" t="inlineStr">
        <is>
          <t>No</t>
        </is>
      </c>
      <c r="G2154" t="inlineStr">
        <is>
          <t>1</t>
        </is>
      </c>
      <c r="H2154" t="inlineStr">
        <is>
          <t>No</t>
        </is>
      </c>
      <c r="I2154" t="inlineStr">
        <is>
          <t>No</t>
        </is>
      </c>
      <c r="J2154" t="inlineStr">
        <is>
          <t>0</t>
        </is>
      </c>
      <c r="K2154" t="inlineStr">
        <is>
          <t>Isay, Richard A.</t>
        </is>
      </c>
      <c r="L2154" t="inlineStr">
        <is>
          <t>New York : Vintage Books, 2009.</t>
        </is>
      </c>
      <c r="M2154" t="inlineStr">
        <is>
          <t>2009</t>
        </is>
      </c>
      <c r="N2154" t="inlineStr">
        <is>
          <t>1st Vintage ed.</t>
        </is>
      </c>
      <c r="O2154" t="inlineStr">
        <is>
          <t>eng</t>
        </is>
      </c>
      <c r="P2154" t="inlineStr">
        <is>
          <t>nyu</t>
        </is>
      </c>
      <c r="R2154" t="inlineStr">
        <is>
          <t xml:space="preserve">HQ </t>
        </is>
      </c>
      <c r="S2154" t="n">
        <v>2</v>
      </c>
      <c r="T2154" t="n">
        <v>2</v>
      </c>
      <c r="U2154" t="inlineStr">
        <is>
          <t>2009-09-21</t>
        </is>
      </c>
      <c r="V2154" t="inlineStr">
        <is>
          <t>2009-09-21</t>
        </is>
      </c>
      <c r="W2154" t="inlineStr">
        <is>
          <t>2009-06-10</t>
        </is>
      </c>
      <c r="X2154" t="inlineStr">
        <is>
          <t>2009-06-10</t>
        </is>
      </c>
      <c r="Y2154" t="n">
        <v>195</v>
      </c>
      <c r="Z2154" t="n">
        <v>171</v>
      </c>
      <c r="AA2154" t="n">
        <v>907</v>
      </c>
      <c r="AB2154" t="n">
        <v>1</v>
      </c>
      <c r="AC2154" t="n">
        <v>7</v>
      </c>
      <c r="AD2154" t="n">
        <v>3</v>
      </c>
      <c r="AE2154" t="n">
        <v>28</v>
      </c>
      <c r="AF2154" t="n">
        <v>2</v>
      </c>
      <c r="AG2154" t="n">
        <v>11</v>
      </c>
      <c r="AH2154" t="n">
        <v>1</v>
      </c>
      <c r="AI2154" t="n">
        <v>6</v>
      </c>
      <c r="AJ2154" t="n">
        <v>1</v>
      </c>
      <c r="AK2154" t="n">
        <v>12</v>
      </c>
      <c r="AL2154" t="n">
        <v>0</v>
      </c>
      <c r="AM2154" t="n">
        <v>5</v>
      </c>
      <c r="AN2154" t="n">
        <v>0</v>
      </c>
      <c r="AO2154" t="n">
        <v>0</v>
      </c>
      <c r="AP2154" t="inlineStr">
        <is>
          <t>No</t>
        </is>
      </c>
      <c r="AQ2154" t="inlineStr">
        <is>
          <t>Yes</t>
        </is>
      </c>
      <c r="AR2154">
        <f>HYPERLINK("http://catalog.hathitrust.org/Record/006804255","HathiTrust Record")</f>
        <v/>
      </c>
      <c r="AS2154">
        <f>HYPERLINK("https://creighton-primo.hosted.exlibrisgroup.com/primo-explore/search?tab=default_tab&amp;search_scope=EVERYTHING&amp;vid=01CRU&amp;lang=en_US&amp;offset=0&amp;query=any,contains,991005318809702656","Catalog Record")</f>
        <v/>
      </c>
      <c r="AT2154">
        <f>HYPERLINK("http://www.worldcat.org/oclc/236339871","WorldCat Record")</f>
        <v/>
      </c>
      <c r="AU2154" t="inlineStr">
        <is>
          <t>18855752:eng</t>
        </is>
      </c>
      <c r="AV2154" t="inlineStr">
        <is>
          <t>236339871</t>
        </is>
      </c>
      <c r="AW2154" t="inlineStr">
        <is>
          <t>991005318809702656</t>
        </is>
      </c>
      <c r="AX2154" t="inlineStr">
        <is>
          <t>991005318809702656</t>
        </is>
      </c>
      <c r="AY2154" t="inlineStr">
        <is>
          <t>2255637920002656</t>
        </is>
      </c>
      <c r="AZ2154" t="inlineStr">
        <is>
          <t>BOOK</t>
        </is>
      </c>
      <c r="BB2154" t="inlineStr">
        <is>
          <t>9780307389572</t>
        </is>
      </c>
      <c r="BC2154" t="inlineStr">
        <is>
          <t>32285005534309</t>
        </is>
      </c>
      <c r="BD2154" t="inlineStr">
        <is>
          <t>893777209</t>
        </is>
      </c>
    </row>
    <row r="2155">
      <c r="A2155" t="inlineStr">
        <is>
          <t>No</t>
        </is>
      </c>
      <c r="B2155" t="inlineStr">
        <is>
          <t>HQ76.2.U5 K39 1993</t>
        </is>
      </c>
      <c r="C2155" t="inlineStr">
        <is>
          <t>0                      HQ 0076200U  5                  K  39          1993</t>
        </is>
      </c>
      <c r="D2155" t="inlineStr">
        <is>
          <t>Bearing witness : Gay Men's Health Crisis and the politics of AIDS / Philip M. Kayal.</t>
        </is>
      </c>
      <c r="F2155" t="inlineStr">
        <is>
          <t>No</t>
        </is>
      </c>
      <c r="G2155" t="inlineStr">
        <is>
          <t>1</t>
        </is>
      </c>
      <c r="H2155" t="inlineStr">
        <is>
          <t>No</t>
        </is>
      </c>
      <c r="I2155" t="inlineStr">
        <is>
          <t>No</t>
        </is>
      </c>
      <c r="J2155" t="inlineStr">
        <is>
          <t>0</t>
        </is>
      </c>
      <c r="K2155" t="inlineStr">
        <is>
          <t>Kayal, Philip M., 1943-</t>
        </is>
      </c>
      <c r="L2155" t="inlineStr">
        <is>
          <t>Boulder : Westview Press, c1993.</t>
        </is>
      </c>
      <c r="M2155" t="inlineStr">
        <is>
          <t>1993</t>
        </is>
      </c>
      <c r="O2155" t="inlineStr">
        <is>
          <t>eng</t>
        </is>
      </c>
      <c r="P2155" t="inlineStr">
        <is>
          <t>cou</t>
        </is>
      </c>
      <c r="R2155" t="inlineStr">
        <is>
          <t xml:space="preserve">HQ </t>
        </is>
      </c>
      <c r="S2155" t="n">
        <v>6</v>
      </c>
      <c r="T2155" t="n">
        <v>6</v>
      </c>
      <c r="U2155" t="inlineStr">
        <is>
          <t>1997-04-30</t>
        </is>
      </c>
      <c r="V2155" t="inlineStr">
        <is>
          <t>1997-04-30</t>
        </is>
      </c>
      <c r="W2155" t="inlineStr">
        <is>
          <t>1994-03-14</t>
        </is>
      </c>
      <c r="X2155" t="inlineStr">
        <is>
          <t>1994-03-14</t>
        </is>
      </c>
      <c r="Y2155" t="n">
        <v>526</v>
      </c>
      <c r="Z2155" t="n">
        <v>456</v>
      </c>
      <c r="AA2155" t="n">
        <v>490</v>
      </c>
      <c r="AB2155" t="n">
        <v>3</v>
      </c>
      <c r="AC2155" t="n">
        <v>3</v>
      </c>
      <c r="AD2155" t="n">
        <v>20</v>
      </c>
      <c r="AE2155" t="n">
        <v>21</v>
      </c>
      <c r="AF2155" t="n">
        <v>5</v>
      </c>
      <c r="AG2155" t="n">
        <v>6</v>
      </c>
      <c r="AH2155" t="n">
        <v>6</v>
      </c>
      <c r="AI2155" t="n">
        <v>7</v>
      </c>
      <c r="AJ2155" t="n">
        <v>12</v>
      </c>
      <c r="AK2155" t="n">
        <v>12</v>
      </c>
      <c r="AL2155" t="n">
        <v>2</v>
      </c>
      <c r="AM2155" t="n">
        <v>2</v>
      </c>
      <c r="AN2155" t="n">
        <v>0</v>
      </c>
      <c r="AO2155" t="n">
        <v>0</v>
      </c>
      <c r="AP2155" t="inlineStr">
        <is>
          <t>No</t>
        </is>
      </c>
      <c r="AQ2155" t="inlineStr">
        <is>
          <t>Yes</t>
        </is>
      </c>
      <c r="AR2155">
        <f>HYPERLINK("http://catalog.hathitrust.org/Record/002706672","HathiTrust Record")</f>
        <v/>
      </c>
      <c r="AS2155">
        <f>HYPERLINK("https://creighton-primo.hosted.exlibrisgroup.com/primo-explore/search?tab=default_tab&amp;search_scope=EVERYTHING&amp;vid=01CRU&amp;lang=en_US&amp;offset=0&amp;query=any,contains,991002112529702656","Catalog Record")</f>
        <v/>
      </c>
      <c r="AT2155">
        <f>HYPERLINK("http://www.worldcat.org/oclc/27068366","WorldCat Record")</f>
        <v/>
      </c>
      <c r="AU2155" t="inlineStr">
        <is>
          <t>836884201:eng</t>
        </is>
      </c>
      <c r="AV2155" t="inlineStr">
        <is>
          <t>27068366</t>
        </is>
      </c>
      <c r="AW2155" t="inlineStr">
        <is>
          <t>991002112529702656</t>
        </is>
      </c>
      <c r="AX2155" t="inlineStr">
        <is>
          <t>991002112529702656</t>
        </is>
      </c>
      <c r="AY2155" t="inlineStr">
        <is>
          <t>2256617760002656</t>
        </is>
      </c>
      <c r="AZ2155" t="inlineStr">
        <is>
          <t>BOOK</t>
        </is>
      </c>
      <c r="BB2155" t="inlineStr">
        <is>
          <t>9780813317281</t>
        </is>
      </c>
      <c r="BC2155" t="inlineStr">
        <is>
          <t>32285001856441</t>
        </is>
      </c>
      <c r="BD2155" t="inlineStr">
        <is>
          <t>893322577</t>
        </is>
      </c>
    </row>
    <row r="2156">
      <c r="A2156" t="inlineStr">
        <is>
          <t>No</t>
        </is>
      </c>
      <c r="B2156" t="inlineStr">
        <is>
          <t>HQ76.2.U5 K54</t>
        </is>
      </c>
      <c r="C2156" t="inlineStr">
        <is>
          <t>0                      HQ 0076200U  5                  K  54</t>
        </is>
      </c>
      <c r="D2156" t="inlineStr">
        <is>
          <t>Alienated affections : being gay in America / Seymour Kleinberg.</t>
        </is>
      </c>
      <c r="F2156" t="inlineStr">
        <is>
          <t>No</t>
        </is>
      </c>
      <c r="G2156" t="inlineStr">
        <is>
          <t>1</t>
        </is>
      </c>
      <c r="H2156" t="inlineStr">
        <is>
          <t>No</t>
        </is>
      </c>
      <c r="I2156" t="inlineStr">
        <is>
          <t>No</t>
        </is>
      </c>
      <c r="J2156" t="inlineStr">
        <is>
          <t>0</t>
        </is>
      </c>
      <c r="K2156" t="inlineStr">
        <is>
          <t>Kleinberg, Seymour, 1933-</t>
        </is>
      </c>
      <c r="L2156" t="inlineStr">
        <is>
          <t>New York : St. Martin's Press, 1980.</t>
        </is>
      </c>
      <c r="M2156" t="inlineStr">
        <is>
          <t>1981</t>
        </is>
      </c>
      <c r="N2156" t="inlineStr">
        <is>
          <t>1st ed.</t>
        </is>
      </c>
      <c r="O2156" t="inlineStr">
        <is>
          <t>eng</t>
        </is>
      </c>
      <c r="P2156" t="inlineStr">
        <is>
          <t>nyu</t>
        </is>
      </c>
      <c r="R2156" t="inlineStr">
        <is>
          <t xml:space="preserve">HQ </t>
        </is>
      </c>
      <c r="S2156" t="n">
        <v>8</v>
      </c>
      <c r="T2156" t="n">
        <v>8</v>
      </c>
      <c r="U2156" t="inlineStr">
        <is>
          <t>1998-01-28</t>
        </is>
      </c>
      <c r="V2156" t="inlineStr">
        <is>
          <t>1998-01-28</t>
        </is>
      </c>
      <c r="W2156" t="inlineStr">
        <is>
          <t>1992-03-30</t>
        </is>
      </c>
      <c r="X2156" t="inlineStr">
        <is>
          <t>1992-03-30</t>
        </is>
      </c>
      <c r="Y2156" t="n">
        <v>404</v>
      </c>
      <c r="Z2156" t="n">
        <v>360</v>
      </c>
      <c r="AA2156" t="n">
        <v>409</v>
      </c>
      <c r="AB2156" t="n">
        <v>3</v>
      </c>
      <c r="AC2156" t="n">
        <v>3</v>
      </c>
      <c r="AD2156" t="n">
        <v>10</v>
      </c>
      <c r="AE2156" t="n">
        <v>13</v>
      </c>
      <c r="AF2156" t="n">
        <v>5</v>
      </c>
      <c r="AG2156" t="n">
        <v>6</v>
      </c>
      <c r="AH2156" t="n">
        <v>3</v>
      </c>
      <c r="AI2156" t="n">
        <v>3</v>
      </c>
      <c r="AJ2156" t="n">
        <v>4</v>
      </c>
      <c r="AK2156" t="n">
        <v>6</v>
      </c>
      <c r="AL2156" t="n">
        <v>2</v>
      </c>
      <c r="AM2156" t="n">
        <v>2</v>
      </c>
      <c r="AN2156" t="n">
        <v>0</v>
      </c>
      <c r="AO2156" t="n">
        <v>0</v>
      </c>
      <c r="AP2156" t="inlineStr">
        <is>
          <t>No</t>
        </is>
      </c>
      <c r="AQ2156" t="inlineStr">
        <is>
          <t>No</t>
        </is>
      </c>
      <c r="AS2156">
        <f>HYPERLINK("https://creighton-primo.hosted.exlibrisgroup.com/primo-explore/search?tab=default_tab&amp;search_scope=EVERYTHING&amp;vid=01CRU&amp;lang=en_US&amp;offset=0&amp;query=any,contains,991005027929702656","Catalog Record")</f>
        <v/>
      </c>
      <c r="AT2156">
        <f>HYPERLINK("http://www.worldcat.org/oclc/6707867","WorldCat Record")</f>
        <v/>
      </c>
      <c r="AU2156" t="inlineStr">
        <is>
          <t>16695084:eng</t>
        </is>
      </c>
      <c r="AV2156" t="inlineStr">
        <is>
          <t>6707867</t>
        </is>
      </c>
      <c r="AW2156" t="inlineStr">
        <is>
          <t>991005027929702656</t>
        </is>
      </c>
      <c r="AX2156" t="inlineStr">
        <is>
          <t>991005027929702656</t>
        </is>
      </c>
      <c r="AY2156" t="inlineStr">
        <is>
          <t>2257545730002656</t>
        </is>
      </c>
      <c r="AZ2156" t="inlineStr">
        <is>
          <t>BOOK</t>
        </is>
      </c>
      <c r="BB2156" t="inlineStr">
        <is>
          <t>9780312018573</t>
        </is>
      </c>
      <c r="BC2156" t="inlineStr">
        <is>
          <t>32285001041143</t>
        </is>
      </c>
      <c r="BD2156" t="inlineStr">
        <is>
          <t>893606716</t>
        </is>
      </c>
    </row>
    <row r="2157">
      <c r="A2157" t="inlineStr">
        <is>
          <t>No</t>
        </is>
      </c>
      <c r="B2157" t="inlineStr">
        <is>
          <t>HQ76.2.U5 L46 1995</t>
        </is>
      </c>
      <c r="C2157" t="inlineStr">
        <is>
          <t>0                      HQ 0076200U  5                  L  46          1995</t>
        </is>
      </c>
      <c r="D2157" t="inlineStr">
        <is>
          <t>City of friends : a portrait of the gay and lesbian community in America / Simon LeVay and Elisabeth Nonas.</t>
        </is>
      </c>
      <c r="F2157" t="inlineStr">
        <is>
          <t>No</t>
        </is>
      </c>
      <c r="G2157" t="inlineStr">
        <is>
          <t>1</t>
        </is>
      </c>
      <c r="H2157" t="inlineStr">
        <is>
          <t>No</t>
        </is>
      </c>
      <c r="I2157" t="inlineStr">
        <is>
          <t>No</t>
        </is>
      </c>
      <c r="J2157" t="inlineStr">
        <is>
          <t>0</t>
        </is>
      </c>
      <c r="K2157" t="inlineStr">
        <is>
          <t>LeVay, Simon.</t>
        </is>
      </c>
      <c r="L2157" t="inlineStr">
        <is>
          <t>Cambridge, Mass. : MIT Press, c1995.</t>
        </is>
      </c>
      <c r="M2157" t="inlineStr">
        <is>
          <t>1995</t>
        </is>
      </c>
      <c r="O2157" t="inlineStr">
        <is>
          <t>eng</t>
        </is>
      </c>
      <c r="P2157" t="inlineStr">
        <is>
          <t>mau</t>
        </is>
      </c>
      <c r="R2157" t="inlineStr">
        <is>
          <t xml:space="preserve">HQ </t>
        </is>
      </c>
      <c r="S2157" t="n">
        <v>7</v>
      </c>
      <c r="T2157" t="n">
        <v>7</v>
      </c>
      <c r="U2157" t="inlineStr">
        <is>
          <t>2009-11-11</t>
        </is>
      </c>
      <c r="V2157" t="inlineStr">
        <is>
          <t>2009-11-11</t>
        </is>
      </c>
      <c r="W2157" t="inlineStr">
        <is>
          <t>1996-01-02</t>
        </is>
      </c>
      <c r="X2157" t="inlineStr">
        <is>
          <t>1996-01-02</t>
        </is>
      </c>
      <c r="Y2157" t="n">
        <v>613</v>
      </c>
      <c r="Z2157" t="n">
        <v>545</v>
      </c>
      <c r="AA2157" t="n">
        <v>549</v>
      </c>
      <c r="AB2157" t="n">
        <v>3</v>
      </c>
      <c r="AC2157" t="n">
        <v>3</v>
      </c>
      <c r="AD2157" t="n">
        <v>28</v>
      </c>
      <c r="AE2157" t="n">
        <v>28</v>
      </c>
      <c r="AF2157" t="n">
        <v>12</v>
      </c>
      <c r="AG2157" t="n">
        <v>12</v>
      </c>
      <c r="AH2157" t="n">
        <v>9</v>
      </c>
      <c r="AI2157" t="n">
        <v>9</v>
      </c>
      <c r="AJ2157" t="n">
        <v>12</v>
      </c>
      <c r="AK2157" t="n">
        <v>12</v>
      </c>
      <c r="AL2157" t="n">
        <v>2</v>
      </c>
      <c r="AM2157" t="n">
        <v>2</v>
      </c>
      <c r="AN2157" t="n">
        <v>1</v>
      </c>
      <c r="AO2157" t="n">
        <v>1</v>
      </c>
      <c r="AP2157" t="inlineStr">
        <is>
          <t>No</t>
        </is>
      </c>
      <c r="AQ2157" t="inlineStr">
        <is>
          <t>No</t>
        </is>
      </c>
      <c r="AS2157">
        <f>HYPERLINK("https://creighton-primo.hosted.exlibrisgroup.com/primo-explore/search?tab=default_tab&amp;search_scope=EVERYTHING&amp;vid=01CRU&amp;lang=en_US&amp;offset=0&amp;query=any,contains,991002530369702656","Catalog Record")</f>
        <v/>
      </c>
      <c r="AT2157">
        <f>HYPERLINK("http://www.worldcat.org/oclc/32892385","WorldCat Record")</f>
        <v/>
      </c>
      <c r="AU2157" t="inlineStr">
        <is>
          <t>836970269:eng</t>
        </is>
      </c>
      <c r="AV2157" t="inlineStr">
        <is>
          <t>32892385</t>
        </is>
      </c>
      <c r="AW2157" t="inlineStr">
        <is>
          <t>991002530369702656</t>
        </is>
      </c>
      <c r="AX2157" t="inlineStr">
        <is>
          <t>991002530369702656</t>
        </is>
      </c>
      <c r="AY2157" t="inlineStr">
        <is>
          <t>2255026430002656</t>
        </is>
      </c>
      <c r="AZ2157" t="inlineStr">
        <is>
          <t>BOOK</t>
        </is>
      </c>
      <c r="BB2157" t="inlineStr">
        <is>
          <t>9780262121941</t>
        </is>
      </c>
      <c r="BC2157" t="inlineStr">
        <is>
          <t>32285002113743</t>
        </is>
      </c>
      <c r="BD2157" t="inlineStr">
        <is>
          <t>893427693</t>
        </is>
      </c>
    </row>
    <row r="2158">
      <c r="A2158" t="inlineStr">
        <is>
          <t>No</t>
        </is>
      </c>
      <c r="B2158" t="inlineStr">
        <is>
          <t>HQ76.2.U5 M46 1992</t>
        </is>
      </c>
      <c r="C2158" t="inlineStr">
        <is>
          <t>0                      HQ 0076200U  5                  M  46          1992</t>
        </is>
      </c>
      <c r="D2158" t="inlineStr">
        <is>
          <t>A Member of the family : gay men write about their families / edited and with an introduction by John Preston.</t>
        </is>
      </c>
      <c r="F2158" t="inlineStr">
        <is>
          <t>No</t>
        </is>
      </c>
      <c r="G2158" t="inlineStr">
        <is>
          <t>1</t>
        </is>
      </c>
      <c r="H2158" t="inlineStr">
        <is>
          <t>No</t>
        </is>
      </c>
      <c r="I2158" t="inlineStr">
        <is>
          <t>No</t>
        </is>
      </c>
      <c r="J2158" t="inlineStr">
        <is>
          <t>0</t>
        </is>
      </c>
      <c r="L2158" t="inlineStr">
        <is>
          <t>New York, N.Y., U.S.A. : Dutton, c1992.</t>
        </is>
      </c>
      <c r="M2158" t="inlineStr">
        <is>
          <t>1992</t>
        </is>
      </c>
      <c r="O2158" t="inlineStr">
        <is>
          <t>eng</t>
        </is>
      </c>
      <c r="P2158" t="inlineStr">
        <is>
          <t>nyu</t>
        </is>
      </c>
      <c r="R2158" t="inlineStr">
        <is>
          <t xml:space="preserve">HQ </t>
        </is>
      </c>
      <c r="S2158" t="n">
        <v>3</v>
      </c>
      <c r="T2158" t="n">
        <v>3</v>
      </c>
      <c r="U2158" t="inlineStr">
        <is>
          <t>1994-12-15</t>
        </is>
      </c>
      <c r="V2158" t="inlineStr">
        <is>
          <t>1994-12-15</t>
        </is>
      </c>
      <c r="W2158" t="inlineStr">
        <is>
          <t>1993-05-13</t>
        </is>
      </c>
      <c r="X2158" t="inlineStr">
        <is>
          <t>1993-05-13</t>
        </is>
      </c>
      <c r="Y2158" t="n">
        <v>492</v>
      </c>
      <c r="Z2158" t="n">
        <v>460</v>
      </c>
      <c r="AA2158" t="n">
        <v>547</v>
      </c>
      <c r="AB2158" t="n">
        <v>7</v>
      </c>
      <c r="AC2158" t="n">
        <v>7</v>
      </c>
      <c r="AD2158" t="n">
        <v>14</v>
      </c>
      <c r="AE2158" t="n">
        <v>16</v>
      </c>
      <c r="AF2158" t="n">
        <v>4</v>
      </c>
      <c r="AG2158" t="n">
        <v>5</v>
      </c>
      <c r="AH2158" t="n">
        <v>5</v>
      </c>
      <c r="AI2158" t="n">
        <v>6</v>
      </c>
      <c r="AJ2158" t="n">
        <v>7</v>
      </c>
      <c r="AK2158" t="n">
        <v>7</v>
      </c>
      <c r="AL2158" t="n">
        <v>3</v>
      </c>
      <c r="AM2158" t="n">
        <v>3</v>
      </c>
      <c r="AN2158" t="n">
        <v>0</v>
      </c>
      <c r="AO2158" t="n">
        <v>0</v>
      </c>
      <c r="AP2158" t="inlineStr">
        <is>
          <t>No</t>
        </is>
      </c>
      <c r="AQ2158" t="inlineStr">
        <is>
          <t>Yes</t>
        </is>
      </c>
      <c r="AR2158">
        <f>HYPERLINK("http://catalog.hathitrust.org/Record/002598816","HathiTrust Record")</f>
        <v/>
      </c>
      <c r="AS2158">
        <f>HYPERLINK("https://creighton-primo.hosted.exlibrisgroup.com/primo-explore/search?tab=default_tab&amp;search_scope=EVERYTHING&amp;vid=01CRU&amp;lang=en_US&amp;offset=0&amp;query=any,contains,991002009529702656","Catalog Record")</f>
        <v/>
      </c>
      <c r="AT2158">
        <f>HYPERLINK("http://www.worldcat.org/oclc/25547876","WorldCat Record")</f>
        <v/>
      </c>
      <c r="AU2158" t="inlineStr">
        <is>
          <t>55571045:eng</t>
        </is>
      </c>
      <c r="AV2158" t="inlineStr">
        <is>
          <t>25547876</t>
        </is>
      </c>
      <c r="AW2158" t="inlineStr">
        <is>
          <t>991002009529702656</t>
        </is>
      </c>
      <c r="AX2158" t="inlineStr">
        <is>
          <t>991002009529702656</t>
        </is>
      </c>
      <c r="AY2158" t="inlineStr">
        <is>
          <t>2261666080002656</t>
        </is>
      </c>
      <c r="AZ2158" t="inlineStr">
        <is>
          <t>BOOK</t>
        </is>
      </c>
      <c r="BB2158" t="inlineStr">
        <is>
          <t>9780525935490</t>
        </is>
      </c>
      <c r="BC2158" t="inlineStr">
        <is>
          <t>32285001581288</t>
        </is>
      </c>
      <c r="BD2158" t="inlineStr">
        <is>
          <t>893590825</t>
        </is>
      </c>
    </row>
    <row r="2159">
      <c r="A2159" t="inlineStr">
        <is>
          <t>No</t>
        </is>
      </c>
      <c r="B2159" t="inlineStr">
        <is>
          <t>HQ76.2.U5 N37 1999</t>
        </is>
      </c>
      <c r="C2159" t="inlineStr">
        <is>
          <t>0                      HQ 0076200U  5                  N  37          1999</t>
        </is>
      </c>
      <c r="D2159" t="inlineStr">
        <is>
          <t>Gay men's friendships : invincible communities / Peter M. Nardi.</t>
        </is>
      </c>
      <c r="F2159" t="inlineStr">
        <is>
          <t>No</t>
        </is>
      </c>
      <c r="G2159" t="inlineStr">
        <is>
          <t>1</t>
        </is>
      </c>
      <c r="H2159" t="inlineStr">
        <is>
          <t>No</t>
        </is>
      </c>
      <c r="I2159" t="inlineStr">
        <is>
          <t>No</t>
        </is>
      </c>
      <c r="J2159" t="inlineStr">
        <is>
          <t>0</t>
        </is>
      </c>
      <c r="K2159" t="inlineStr">
        <is>
          <t>Nardi, Peter M.</t>
        </is>
      </c>
      <c r="L2159" t="inlineStr">
        <is>
          <t>Chicago, Ill : University of Chicago Press, 1999.</t>
        </is>
      </c>
      <c r="M2159" t="inlineStr">
        <is>
          <t>1999</t>
        </is>
      </c>
      <c r="O2159" t="inlineStr">
        <is>
          <t>eng</t>
        </is>
      </c>
      <c r="P2159" t="inlineStr">
        <is>
          <t>ilu</t>
        </is>
      </c>
      <c r="Q2159" t="inlineStr">
        <is>
          <t>Worlds of desire</t>
        </is>
      </c>
      <c r="R2159" t="inlineStr">
        <is>
          <t xml:space="preserve">HQ </t>
        </is>
      </c>
      <c r="S2159" t="n">
        <v>6</v>
      </c>
      <c r="T2159" t="n">
        <v>6</v>
      </c>
      <c r="U2159" t="inlineStr">
        <is>
          <t>2006-06-24</t>
        </is>
      </c>
      <c r="V2159" t="inlineStr">
        <is>
          <t>2006-06-24</t>
        </is>
      </c>
      <c r="W2159" t="inlineStr">
        <is>
          <t>1999-12-15</t>
        </is>
      </c>
      <c r="X2159" t="inlineStr">
        <is>
          <t>1999-12-15</t>
        </is>
      </c>
      <c r="Y2159" t="n">
        <v>519</v>
      </c>
      <c r="Z2159" t="n">
        <v>446</v>
      </c>
      <c r="AA2159" t="n">
        <v>452</v>
      </c>
      <c r="AB2159" t="n">
        <v>2</v>
      </c>
      <c r="AC2159" t="n">
        <v>2</v>
      </c>
      <c r="AD2159" t="n">
        <v>23</v>
      </c>
      <c r="AE2159" t="n">
        <v>23</v>
      </c>
      <c r="AF2159" t="n">
        <v>11</v>
      </c>
      <c r="AG2159" t="n">
        <v>11</v>
      </c>
      <c r="AH2159" t="n">
        <v>5</v>
      </c>
      <c r="AI2159" t="n">
        <v>5</v>
      </c>
      <c r="AJ2159" t="n">
        <v>12</v>
      </c>
      <c r="AK2159" t="n">
        <v>12</v>
      </c>
      <c r="AL2159" t="n">
        <v>1</v>
      </c>
      <c r="AM2159" t="n">
        <v>1</v>
      </c>
      <c r="AN2159" t="n">
        <v>0</v>
      </c>
      <c r="AO2159" t="n">
        <v>0</v>
      </c>
      <c r="AP2159" t="inlineStr">
        <is>
          <t>No</t>
        </is>
      </c>
      <c r="AQ2159" t="inlineStr">
        <is>
          <t>Yes</t>
        </is>
      </c>
      <c r="AR2159">
        <f>HYPERLINK("http://catalog.hathitrust.org/Record/004039565","HathiTrust Record")</f>
        <v/>
      </c>
      <c r="AS2159">
        <f>HYPERLINK("https://creighton-primo.hosted.exlibrisgroup.com/primo-explore/search?tab=default_tab&amp;search_scope=EVERYTHING&amp;vid=01CRU&amp;lang=en_US&amp;offset=0&amp;query=any,contains,991002987639702656","Catalog Record")</f>
        <v/>
      </c>
      <c r="AT2159">
        <f>HYPERLINK("http://www.worldcat.org/oclc/40269676","WorldCat Record")</f>
        <v/>
      </c>
      <c r="AU2159" t="inlineStr">
        <is>
          <t>375109579:eng</t>
        </is>
      </c>
      <c r="AV2159" t="inlineStr">
        <is>
          <t>40269676</t>
        </is>
      </c>
      <c r="AW2159" t="inlineStr">
        <is>
          <t>991002987639702656</t>
        </is>
      </c>
      <c r="AX2159" t="inlineStr">
        <is>
          <t>991002987639702656</t>
        </is>
      </c>
      <c r="AY2159" t="inlineStr">
        <is>
          <t>2259313040002656</t>
        </is>
      </c>
      <c r="AZ2159" t="inlineStr">
        <is>
          <t>BOOK</t>
        </is>
      </c>
      <c r="BB2159" t="inlineStr">
        <is>
          <t>9780226568430</t>
        </is>
      </c>
      <c r="BC2159" t="inlineStr">
        <is>
          <t>32285003632907</t>
        </is>
      </c>
      <c r="BD2159" t="inlineStr">
        <is>
          <t>893262582</t>
        </is>
      </c>
    </row>
    <row r="2160">
      <c r="A2160" t="inlineStr">
        <is>
          <t>No</t>
        </is>
      </c>
      <c r="B2160" t="inlineStr">
        <is>
          <t>HQ76.2.U5 Q44 1999</t>
        </is>
      </c>
      <c r="C2160" t="inlineStr">
        <is>
          <t>0                      HQ 0076200U  5                  Q  44          1999</t>
        </is>
      </c>
      <c r="D2160" t="inlineStr">
        <is>
          <t>Queer families, common agendas : gay people, lesbians, and family values / T. Richard Sullivan, editor.</t>
        </is>
      </c>
      <c r="F2160" t="inlineStr">
        <is>
          <t>No</t>
        </is>
      </c>
      <c r="G2160" t="inlineStr">
        <is>
          <t>1</t>
        </is>
      </c>
      <c r="H2160" t="inlineStr">
        <is>
          <t>No</t>
        </is>
      </c>
      <c r="I2160" t="inlineStr">
        <is>
          <t>No</t>
        </is>
      </c>
      <c r="J2160" t="inlineStr">
        <is>
          <t>0</t>
        </is>
      </c>
      <c r="L2160" t="inlineStr">
        <is>
          <t>New York : Harrington Park Press, c1999.</t>
        </is>
      </c>
      <c r="M2160" t="inlineStr">
        <is>
          <t>1999</t>
        </is>
      </c>
      <c r="O2160" t="inlineStr">
        <is>
          <t>eng</t>
        </is>
      </c>
      <c r="P2160" t="inlineStr">
        <is>
          <t>nyu</t>
        </is>
      </c>
      <c r="R2160" t="inlineStr">
        <is>
          <t xml:space="preserve">HQ </t>
        </is>
      </c>
      <c r="S2160" t="n">
        <v>1</v>
      </c>
      <c r="T2160" t="n">
        <v>1</v>
      </c>
      <c r="U2160" t="inlineStr">
        <is>
          <t>2010-05-21</t>
        </is>
      </c>
      <c r="V2160" t="inlineStr">
        <is>
          <t>2010-05-21</t>
        </is>
      </c>
      <c r="W2160" t="inlineStr">
        <is>
          <t>2007-11-01</t>
        </is>
      </c>
      <c r="X2160" t="inlineStr">
        <is>
          <t>2007-11-01</t>
        </is>
      </c>
      <c r="Y2160" t="n">
        <v>225</v>
      </c>
      <c r="Z2160" t="n">
        <v>184</v>
      </c>
      <c r="AA2160" t="n">
        <v>257</v>
      </c>
      <c r="AB2160" t="n">
        <v>2</v>
      </c>
      <c r="AC2160" t="n">
        <v>2</v>
      </c>
      <c r="AD2160" t="n">
        <v>3</v>
      </c>
      <c r="AE2160" t="n">
        <v>6</v>
      </c>
      <c r="AF2160" t="n">
        <v>1</v>
      </c>
      <c r="AG2160" t="n">
        <v>3</v>
      </c>
      <c r="AH2160" t="n">
        <v>0</v>
      </c>
      <c r="AI2160" t="n">
        <v>1</v>
      </c>
      <c r="AJ2160" t="n">
        <v>1</v>
      </c>
      <c r="AK2160" t="n">
        <v>2</v>
      </c>
      <c r="AL2160" t="n">
        <v>1</v>
      </c>
      <c r="AM2160" t="n">
        <v>1</v>
      </c>
      <c r="AN2160" t="n">
        <v>0</v>
      </c>
      <c r="AO2160" t="n">
        <v>0</v>
      </c>
      <c r="AP2160" t="inlineStr">
        <is>
          <t>No</t>
        </is>
      </c>
      <c r="AQ2160" t="inlineStr">
        <is>
          <t>No</t>
        </is>
      </c>
      <c r="AS2160">
        <f>HYPERLINK("https://creighton-primo.hosted.exlibrisgroup.com/primo-explore/search?tab=default_tab&amp;search_scope=EVERYTHING&amp;vid=01CRU&amp;lang=en_US&amp;offset=0&amp;query=any,contains,991005138419702656","Catalog Record")</f>
        <v/>
      </c>
      <c r="AT2160">
        <f>HYPERLINK("http://www.worldcat.org/oclc/42398028","WorldCat Record")</f>
        <v/>
      </c>
      <c r="AU2160" t="inlineStr">
        <is>
          <t>1048162:eng</t>
        </is>
      </c>
      <c r="AV2160" t="inlineStr">
        <is>
          <t>42398028</t>
        </is>
      </c>
      <c r="AW2160" t="inlineStr">
        <is>
          <t>991005138419702656</t>
        </is>
      </c>
      <c r="AX2160" t="inlineStr">
        <is>
          <t>991005138419702656</t>
        </is>
      </c>
      <c r="AY2160" t="inlineStr">
        <is>
          <t>2268541810002656</t>
        </is>
      </c>
      <c r="AZ2160" t="inlineStr">
        <is>
          <t>BOOK</t>
        </is>
      </c>
      <c r="BB2160" t="inlineStr">
        <is>
          <t>9781560231295</t>
        </is>
      </c>
      <c r="BC2160" t="inlineStr">
        <is>
          <t>32285005364137</t>
        </is>
      </c>
      <c r="BD2160" t="inlineStr">
        <is>
          <t>893889733</t>
        </is>
      </c>
    </row>
    <row r="2161">
      <c r="A2161" t="inlineStr">
        <is>
          <t>No</t>
        </is>
      </c>
      <c r="B2161" t="inlineStr">
        <is>
          <t>HQ76.2.U5 R625 1998</t>
        </is>
      </c>
      <c r="C2161" t="inlineStr">
        <is>
          <t>0                      HQ 0076200U  5                  R  625         1998</t>
        </is>
      </c>
      <c r="D2161" t="inlineStr">
        <is>
          <t>Dry bones breathe : gay men creating post-AIDS identities and cultures / Eric Rofes.</t>
        </is>
      </c>
      <c r="F2161" t="inlineStr">
        <is>
          <t>No</t>
        </is>
      </c>
      <c r="G2161" t="inlineStr">
        <is>
          <t>1</t>
        </is>
      </c>
      <c r="H2161" t="inlineStr">
        <is>
          <t>No</t>
        </is>
      </c>
      <c r="I2161" t="inlineStr">
        <is>
          <t>No</t>
        </is>
      </c>
      <c r="J2161" t="inlineStr">
        <is>
          <t>0</t>
        </is>
      </c>
      <c r="K2161" t="inlineStr">
        <is>
          <t>Rofes, Eric E., 1954-2006.</t>
        </is>
      </c>
      <c r="L2161" t="inlineStr">
        <is>
          <t>New York : Haworth Press, c1998.</t>
        </is>
      </c>
      <c r="M2161" t="inlineStr">
        <is>
          <t>1998</t>
        </is>
      </c>
      <c r="O2161" t="inlineStr">
        <is>
          <t>eng</t>
        </is>
      </c>
      <c r="P2161" t="inlineStr">
        <is>
          <t>nyu</t>
        </is>
      </c>
      <c r="Q2161" t="inlineStr">
        <is>
          <t>Haworth gay &amp; lesbian studies</t>
        </is>
      </c>
      <c r="R2161" t="inlineStr">
        <is>
          <t xml:space="preserve">HQ </t>
        </is>
      </c>
      <c r="S2161" t="n">
        <v>2</v>
      </c>
      <c r="T2161" t="n">
        <v>2</v>
      </c>
      <c r="U2161" t="inlineStr">
        <is>
          <t>2008-04-15</t>
        </is>
      </c>
      <c r="V2161" t="inlineStr">
        <is>
          <t>2008-04-15</t>
        </is>
      </c>
      <c r="W2161" t="inlineStr">
        <is>
          <t>1998-09-16</t>
        </is>
      </c>
      <c r="X2161" t="inlineStr">
        <is>
          <t>1998-09-16</t>
        </is>
      </c>
      <c r="Y2161" t="n">
        <v>207</v>
      </c>
      <c r="Z2161" t="n">
        <v>178</v>
      </c>
      <c r="AA2161" t="n">
        <v>231</v>
      </c>
      <c r="AB2161" t="n">
        <v>3</v>
      </c>
      <c r="AC2161" t="n">
        <v>3</v>
      </c>
      <c r="AD2161" t="n">
        <v>11</v>
      </c>
      <c r="AE2161" t="n">
        <v>11</v>
      </c>
      <c r="AF2161" t="n">
        <v>2</v>
      </c>
      <c r="AG2161" t="n">
        <v>2</v>
      </c>
      <c r="AH2161" t="n">
        <v>4</v>
      </c>
      <c r="AI2161" t="n">
        <v>4</v>
      </c>
      <c r="AJ2161" t="n">
        <v>7</v>
      </c>
      <c r="AK2161" t="n">
        <v>7</v>
      </c>
      <c r="AL2161" t="n">
        <v>2</v>
      </c>
      <c r="AM2161" t="n">
        <v>2</v>
      </c>
      <c r="AN2161" t="n">
        <v>0</v>
      </c>
      <c r="AO2161" t="n">
        <v>0</v>
      </c>
      <c r="AP2161" t="inlineStr">
        <is>
          <t>No</t>
        </is>
      </c>
      <c r="AQ2161" t="inlineStr">
        <is>
          <t>No</t>
        </is>
      </c>
      <c r="AS2161">
        <f>HYPERLINK("https://creighton-primo.hosted.exlibrisgroup.com/primo-explore/search?tab=default_tab&amp;search_scope=EVERYTHING&amp;vid=01CRU&amp;lang=en_US&amp;offset=0&amp;query=any,contains,991002903339702656","Catalog Record")</f>
        <v/>
      </c>
      <c r="AT2161">
        <f>HYPERLINK("http://www.worldcat.org/oclc/38288586","WorldCat Record")</f>
        <v/>
      </c>
      <c r="AU2161" t="inlineStr">
        <is>
          <t>321782217:eng</t>
        </is>
      </c>
      <c r="AV2161" t="inlineStr">
        <is>
          <t>38288586</t>
        </is>
      </c>
      <c r="AW2161" t="inlineStr">
        <is>
          <t>991002903339702656</t>
        </is>
      </c>
      <c r="AX2161" t="inlineStr">
        <is>
          <t>991002903339702656</t>
        </is>
      </c>
      <c r="AY2161" t="inlineStr">
        <is>
          <t>2258919790002656</t>
        </is>
      </c>
      <c r="AZ2161" t="inlineStr">
        <is>
          <t>BOOK</t>
        </is>
      </c>
      <c r="BB2161" t="inlineStr">
        <is>
          <t>9780789004703</t>
        </is>
      </c>
      <c r="BC2161" t="inlineStr">
        <is>
          <t>32285003468856</t>
        </is>
      </c>
      <c r="BD2161" t="inlineStr">
        <is>
          <t>893323510</t>
        </is>
      </c>
    </row>
    <row r="2162">
      <c r="A2162" t="inlineStr">
        <is>
          <t>No</t>
        </is>
      </c>
      <c r="B2162" t="inlineStr">
        <is>
          <t>HQ76.2.U5 S33 1996</t>
        </is>
      </c>
      <c r="C2162" t="inlineStr">
        <is>
          <t>0                      HQ 0076200U  5                  S  33          1996</t>
        </is>
      </c>
      <c r="D2162" t="inlineStr">
        <is>
          <t>Sex between men : an intimate history of the sex lives of gay men postwar to present / Douglas Sadownick.</t>
        </is>
      </c>
      <c r="F2162" t="inlineStr">
        <is>
          <t>No</t>
        </is>
      </c>
      <c r="G2162" t="inlineStr">
        <is>
          <t>1</t>
        </is>
      </c>
      <c r="H2162" t="inlineStr">
        <is>
          <t>No</t>
        </is>
      </c>
      <c r="I2162" t="inlineStr">
        <is>
          <t>No</t>
        </is>
      </c>
      <c r="J2162" t="inlineStr">
        <is>
          <t>0</t>
        </is>
      </c>
      <c r="K2162" t="inlineStr">
        <is>
          <t>Sadownick, Douglas.</t>
        </is>
      </c>
      <c r="L2162" t="inlineStr">
        <is>
          <t>[San Francisco, Calif.] : HaperSan Francisco, c1996.</t>
        </is>
      </c>
      <c r="M2162" t="inlineStr">
        <is>
          <t>1996</t>
        </is>
      </c>
      <c r="N2162" t="inlineStr">
        <is>
          <t>1st ed.</t>
        </is>
      </c>
      <c r="O2162" t="inlineStr">
        <is>
          <t>eng</t>
        </is>
      </c>
      <c r="P2162" t="inlineStr">
        <is>
          <t>cau</t>
        </is>
      </c>
      <c r="R2162" t="inlineStr">
        <is>
          <t xml:space="preserve">HQ </t>
        </is>
      </c>
      <c r="S2162" t="n">
        <v>6</v>
      </c>
      <c r="T2162" t="n">
        <v>6</v>
      </c>
      <c r="U2162" t="inlineStr">
        <is>
          <t>2009-12-10</t>
        </is>
      </c>
      <c r="V2162" t="inlineStr">
        <is>
          <t>2009-12-10</t>
        </is>
      </c>
      <c r="W2162" t="inlineStr">
        <is>
          <t>1997-04-28</t>
        </is>
      </c>
      <c r="X2162" t="inlineStr">
        <is>
          <t>1997-04-28</t>
        </is>
      </c>
      <c r="Y2162" t="n">
        <v>211</v>
      </c>
      <c r="Z2162" t="n">
        <v>182</v>
      </c>
      <c r="AA2162" t="n">
        <v>188</v>
      </c>
      <c r="AB2162" t="n">
        <v>3</v>
      </c>
      <c r="AC2162" t="n">
        <v>3</v>
      </c>
      <c r="AD2162" t="n">
        <v>7</v>
      </c>
      <c r="AE2162" t="n">
        <v>7</v>
      </c>
      <c r="AF2162" t="n">
        <v>1</v>
      </c>
      <c r="AG2162" t="n">
        <v>1</v>
      </c>
      <c r="AH2162" t="n">
        <v>2</v>
      </c>
      <c r="AI2162" t="n">
        <v>2</v>
      </c>
      <c r="AJ2162" t="n">
        <v>4</v>
      </c>
      <c r="AK2162" t="n">
        <v>4</v>
      </c>
      <c r="AL2162" t="n">
        <v>2</v>
      </c>
      <c r="AM2162" t="n">
        <v>2</v>
      </c>
      <c r="AN2162" t="n">
        <v>0</v>
      </c>
      <c r="AO2162" t="n">
        <v>0</v>
      </c>
      <c r="AP2162" t="inlineStr">
        <is>
          <t>No</t>
        </is>
      </c>
      <c r="AQ2162" t="inlineStr">
        <is>
          <t>No</t>
        </is>
      </c>
      <c r="AS2162">
        <f>HYPERLINK("https://creighton-primo.hosted.exlibrisgroup.com/primo-explore/search?tab=default_tab&amp;search_scope=EVERYTHING&amp;vid=01CRU&amp;lang=en_US&amp;offset=0&amp;query=any,contains,991002565009702656","Catalog Record")</f>
        <v/>
      </c>
      <c r="AT2162">
        <f>HYPERLINK("http://www.worldcat.org/oclc/33335768","WorldCat Record")</f>
        <v/>
      </c>
      <c r="AU2162" t="inlineStr">
        <is>
          <t>38112173:eng</t>
        </is>
      </c>
      <c r="AV2162" t="inlineStr">
        <is>
          <t>33335768</t>
        </is>
      </c>
      <c r="AW2162" t="inlineStr">
        <is>
          <t>991002565009702656</t>
        </is>
      </c>
      <c r="AX2162" t="inlineStr">
        <is>
          <t>991002565009702656</t>
        </is>
      </c>
      <c r="AY2162" t="inlineStr">
        <is>
          <t>2258848950002656</t>
        </is>
      </c>
      <c r="AZ2162" t="inlineStr">
        <is>
          <t>BOOK</t>
        </is>
      </c>
      <c r="BB2162" t="inlineStr">
        <is>
          <t>9780062512680</t>
        </is>
      </c>
      <c r="BC2162" t="inlineStr">
        <is>
          <t>32285005554158</t>
        </is>
      </c>
      <c r="BD2162" t="inlineStr">
        <is>
          <t>893262354</t>
        </is>
      </c>
    </row>
    <row r="2163">
      <c r="A2163" t="inlineStr">
        <is>
          <t>No</t>
        </is>
      </c>
      <c r="B2163" t="inlineStr">
        <is>
          <t>HQ76.2.U5 S37 1998</t>
        </is>
      </c>
      <c r="C2163" t="inlineStr">
        <is>
          <t>0                      HQ 0076200U  5                  S  37          1998</t>
        </is>
      </c>
      <c r="D2163" t="inlineStr">
        <is>
          <t>"--and then I became gay" : young men's stories / Ritch C. Savin-Williams.</t>
        </is>
      </c>
      <c r="F2163" t="inlineStr">
        <is>
          <t>No</t>
        </is>
      </c>
      <c r="G2163" t="inlineStr">
        <is>
          <t>1</t>
        </is>
      </c>
      <c r="H2163" t="inlineStr">
        <is>
          <t>No</t>
        </is>
      </c>
      <c r="I2163" t="inlineStr">
        <is>
          <t>No</t>
        </is>
      </c>
      <c r="J2163" t="inlineStr">
        <is>
          <t>0</t>
        </is>
      </c>
      <c r="K2163" t="inlineStr">
        <is>
          <t>Savin-Williams, Ritch C.</t>
        </is>
      </c>
      <c r="L2163" t="inlineStr">
        <is>
          <t>New York : Routledge, 1998.</t>
        </is>
      </c>
      <c r="M2163" t="inlineStr">
        <is>
          <t>1998</t>
        </is>
      </c>
      <c r="O2163" t="inlineStr">
        <is>
          <t>eng</t>
        </is>
      </c>
      <c r="P2163" t="inlineStr">
        <is>
          <t>nyu</t>
        </is>
      </c>
      <c r="R2163" t="inlineStr">
        <is>
          <t xml:space="preserve">HQ </t>
        </is>
      </c>
      <c r="S2163" t="n">
        <v>5</v>
      </c>
      <c r="T2163" t="n">
        <v>5</v>
      </c>
      <c r="U2163" t="inlineStr">
        <is>
          <t>2007-07-10</t>
        </is>
      </c>
      <c r="V2163" t="inlineStr">
        <is>
          <t>2007-07-10</t>
        </is>
      </c>
      <c r="W2163" t="inlineStr">
        <is>
          <t>2000-01-04</t>
        </is>
      </c>
      <c r="X2163" t="inlineStr">
        <is>
          <t>2000-01-04</t>
        </is>
      </c>
      <c r="Y2163" t="n">
        <v>384</v>
      </c>
      <c r="Z2163" t="n">
        <v>320</v>
      </c>
      <c r="AA2163" t="n">
        <v>348</v>
      </c>
      <c r="AB2163" t="n">
        <v>3</v>
      </c>
      <c r="AC2163" t="n">
        <v>3</v>
      </c>
      <c r="AD2163" t="n">
        <v>13</v>
      </c>
      <c r="AE2163" t="n">
        <v>13</v>
      </c>
      <c r="AF2163" t="n">
        <v>4</v>
      </c>
      <c r="AG2163" t="n">
        <v>4</v>
      </c>
      <c r="AH2163" t="n">
        <v>2</v>
      </c>
      <c r="AI2163" t="n">
        <v>2</v>
      </c>
      <c r="AJ2163" t="n">
        <v>8</v>
      </c>
      <c r="AK2163" t="n">
        <v>8</v>
      </c>
      <c r="AL2163" t="n">
        <v>2</v>
      </c>
      <c r="AM2163" t="n">
        <v>2</v>
      </c>
      <c r="AN2163" t="n">
        <v>0</v>
      </c>
      <c r="AO2163" t="n">
        <v>0</v>
      </c>
      <c r="AP2163" t="inlineStr">
        <is>
          <t>No</t>
        </is>
      </c>
      <c r="AQ2163" t="inlineStr">
        <is>
          <t>No</t>
        </is>
      </c>
      <c r="AS2163">
        <f>HYPERLINK("https://creighton-primo.hosted.exlibrisgroup.com/primo-explore/search?tab=default_tab&amp;search_scope=EVERYTHING&amp;vid=01CRU&amp;lang=en_US&amp;offset=0&amp;query=any,contains,991005426309702656","Catalog Record")</f>
        <v/>
      </c>
      <c r="AT2163">
        <f>HYPERLINK("http://www.worldcat.org/oclc/36877391","WorldCat Record")</f>
        <v/>
      </c>
      <c r="AU2163" t="inlineStr">
        <is>
          <t>543256:eng</t>
        </is>
      </c>
      <c r="AV2163" t="inlineStr">
        <is>
          <t>36877391</t>
        </is>
      </c>
      <c r="AW2163" t="inlineStr">
        <is>
          <t>991005426309702656</t>
        </is>
      </c>
      <c r="AX2163" t="inlineStr">
        <is>
          <t>991005426309702656</t>
        </is>
      </c>
      <c r="AY2163" t="inlineStr">
        <is>
          <t>2256816860002656</t>
        </is>
      </c>
      <c r="AZ2163" t="inlineStr">
        <is>
          <t>BOOK</t>
        </is>
      </c>
      <c r="BB2163" t="inlineStr">
        <is>
          <t>9780415916769</t>
        </is>
      </c>
      <c r="BC2163" t="inlineStr">
        <is>
          <t>32285003636502</t>
        </is>
      </c>
      <c r="BD2163" t="inlineStr">
        <is>
          <t>893701590</t>
        </is>
      </c>
    </row>
    <row r="2164">
      <c r="A2164" t="inlineStr">
        <is>
          <t>No</t>
        </is>
      </c>
      <c r="B2164" t="inlineStr">
        <is>
          <t>HQ76.2.U5 T35 1996</t>
        </is>
      </c>
      <c r="C2164" t="inlineStr">
        <is>
          <t>0                      HQ 0076200U  5                  T  35          1996</t>
        </is>
      </c>
      <c r="D2164" t="inlineStr">
        <is>
          <t>Taking liberties : gay men's essays on politics, culture, and sex / edited by Michael Bronski.</t>
        </is>
      </c>
      <c r="F2164" t="inlineStr">
        <is>
          <t>No</t>
        </is>
      </c>
      <c r="G2164" t="inlineStr">
        <is>
          <t>1</t>
        </is>
      </c>
      <c r="H2164" t="inlineStr">
        <is>
          <t>No</t>
        </is>
      </c>
      <c r="I2164" t="inlineStr">
        <is>
          <t>No</t>
        </is>
      </c>
      <c r="J2164" t="inlineStr">
        <is>
          <t>0</t>
        </is>
      </c>
      <c r="L2164" t="inlineStr">
        <is>
          <t>New York : Masquerade Books, 1996.</t>
        </is>
      </c>
      <c r="M2164" t="inlineStr">
        <is>
          <t>1996</t>
        </is>
      </c>
      <c r="N2164" t="inlineStr">
        <is>
          <t>1st Richard Kasak book ed.</t>
        </is>
      </c>
      <c r="O2164" t="inlineStr">
        <is>
          <t>eng</t>
        </is>
      </c>
      <c r="P2164" t="inlineStr">
        <is>
          <t>nyu</t>
        </is>
      </c>
      <c r="R2164" t="inlineStr">
        <is>
          <t xml:space="preserve">HQ </t>
        </is>
      </c>
      <c r="S2164" t="n">
        <v>2</v>
      </c>
      <c r="T2164" t="n">
        <v>2</v>
      </c>
      <c r="U2164" t="inlineStr">
        <is>
          <t>1998-03-16</t>
        </is>
      </c>
      <c r="V2164" t="inlineStr">
        <is>
          <t>1998-03-16</t>
        </is>
      </c>
      <c r="W2164" t="inlineStr">
        <is>
          <t>1997-03-20</t>
        </is>
      </c>
      <c r="X2164" t="inlineStr">
        <is>
          <t>1997-03-20</t>
        </is>
      </c>
      <c r="Y2164" t="n">
        <v>148</v>
      </c>
      <c r="Z2164" t="n">
        <v>134</v>
      </c>
      <c r="AA2164" t="n">
        <v>139</v>
      </c>
      <c r="AB2164" t="n">
        <v>1</v>
      </c>
      <c r="AC2164" t="n">
        <v>1</v>
      </c>
      <c r="AD2164" t="n">
        <v>3</v>
      </c>
      <c r="AE2164" t="n">
        <v>3</v>
      </c>
      <c r="AF2164" t="n">
        <v>0</v>
      </c>
      <c r="AG2164" t="n">
        <v>0</v>
      </c>
      <c r="AH2164" t="n">
        <v>1</v>
      </c>
      <c r="AI2164" t="n">
        <v>1</v>
      </c>
      <c r="AJ2164" t="n">
        <v>3</v>
      </c>
      <c r="AK2164" t="n">
        <v>3</v>
      </c>
      <c r="AL2164" t="n">
        <v>0</v>
      </c>
      <c r="AM2164" t="n">
        <v>0</v>
      </c>
      <c r="AN2164" t="n">
        <v>0</v>
      </c>
      <c r="AO2164" t="n">
        <v>0</v>
      </c>
      <c r="AP2164" t="inlineStr">
        <is>
          <t>No</t>
        </is>
      </c>
      <c r="AQ2164" t="inlineStr">
        <is>
          <t>No</t>
        </is>
      </c>
      <c r="AS2164">
        <f>HYPERLINK("https://creighton-primo.hosted.exlibrisgroup.com/primo-explore/search?tab=default_tab&amp;search_scope=EVERYTHING&amp;vid=01CRU&amp;lang=en_US&amp;offset=0&amp;query=any,contains,991002674039702656","Catalog Record")</f>
        <v/>
      </c>
      <c r="AT2164">
        <f>HYPERLINK("http://www.worldcat.org/oclc/34966258","WorldCat Record")</f>
        <v/>
      </c>
      <c r="AU2164" t="inlineStr">
        <is>
          <t>2763572821:eng</t>
        </is>
      </c>
      <c r="AV2164" t="inlineStr">
        <is>
          <t>34966258</t>
        </is>
      </c>
      <c r="AW2164" t="inlineStr">
        <is>
          <t>991002674039702656</t>
        </is>
      </c>
      <c r="AX2164" t="inlineStr">
        <is>
          <t>991002674039702656</t>
        </is>
      </c>
      <c r="AY2164" t="inlineStr">
        <is>
          <t>2258247530002656</t>
        </is>
      </c>
      <c r="AZ2164" t="inlineStr">
        <is>
          <t>BOOK</t>
        </is>
      </c>
      <c r="BB2164" t="inlineStr">
        <is>
          <t>9781563334566</t>
        </is>
      </c>
      <c r="BC2164" t="inlineStr">
        <is>
          <t>32285002444874</t>
        </is>
      </c>
      <c r="BD2164" t="inlineStr">
        <is>
          <t>893780078</t>
        </is>
      </c>
    </row>
    <row r="2165">
      <c r="A2165" t="inlineStr">
        <is>
          <t>No</t>
        </is>
      </c>
      <c r="B2165" t="inlineStr">
        <is>
          <t>HQ76.2.U52 B654 2001</t>
        </is>
      </c>
      <c r="C2165" t="inlineStr">
        <is>
          <t>0                      HQ 0076200U  52                 B  654         2001</t>
        </is>
      </c>
      <c r="D2165" t="inlineStr">
        <is>
          <t>The boys of Boise : furor, vice &amp; folly in an American city / John Gerassi ; with a foreword by Peter Boag ; and a new preface by the author.</t>
        </is>
      </c>
      <c r="F2165" t="inlineStr">
        <is>
          <t>No</t>
        </is>
      </c>
      <c r="G2165" t="inlineStr">
        <is>
          <t>1</t>
        </is>
      </c>
      <c r="H2165" t="inlineStr">
        <is>
          <t>No</t>
        </is>
      </c>
      <c r="I2165" t="inlineStr">
        <is>
          <t>No</t>
        </is>
      </c>
      <c r="J2165" t="inlineStr">
        <is>
          <t>0</t>
        </is>
      </c>
      <c r="K2165" t="inlineStr">
        <is>
          <t>Gerassi, John.</t>
        </is>
      </c>
      <c r="L2165" t="inlineStr">
        <is>
          <t>Seattle, Wash. : University of Washington, 2001.</t>
        </is>
      </c>
      <c r="M2165" t="inlineStr">
        <is>
          <t>2001</t>
        </is>
      </c>
      <c r="O2165" t="inlineStr">
        <is>
          <t>eng</t>
        </is>
      </c>
      <c r="P2165" t="inlineStr">
        <is>
          <t>wau</t>
        </is>
      </c>
      <c r="Q2165" t="inlineStr">
        <is>
          <t>Columbia Northwest classics</t>
        </is>
      </c>
      <c r="R2165" t="inlineStr">
        <is>
          <t xml:space="preserve">HQ </t>
        </is>
      </c>
      <c r="S2165" t="n">
        <v>1</v>
      </c>
      <c r="T2165" t="n">
        <v>1</v>
      </c>
      <c r="U2165" t="inlineStr">
        <is>
          <t>2010-10-07</t>
        </is>
      </c>
      <c r="V2165" t="inlineStr">
        <is>
          <t>2010-10-07</t>
        </is>
      </c>
      <c r="W2165" t="inlineStr">
        <is>
          <t>2010-10-07</t>
        </is>
      </c>
      <c r="X2165" t="inlineStr">
        <is>
          <t>2010-10-07</t>
        </is>
      </c>
      <c r="Y2165" t="n">
        <v>103</v>
      </c>
      <c r="Z2165" t="n">
        <v>98</v>
      </c>
      <c r="AA2165" t="n">
        <v>399</v>
      </c>
      <c r="AB2165" t="n">
        <v>1</v>
      </c>
      <c r="AC2165" t="n">
        <v>3</v>
      </c>
      <c r="AD2165" t="n">
        <v>1</v>
      </c>
      <c r="AE2165" t="n">
        <v>11</v>
      </c>
      <c r="AF2165" t="n">
        <v>0</v>
      </c>
      <c r="AG2165" t="n">
        <v>5</v>
      </c>
      <c r="AH2165" t="n">
        <v>0</v>
      </c>
      <c r="AI2165" t="n">
        <v>2</v>
      </c>
      <c r="AJ2165" t="n">
        <v>1</v>
      </c>
      <c r="AK2165" t="n">
        <v>3</v>
      </c>
      <c r="AL2165" t="n">
        <v>0</v>
      </c>
      <c r="AM2165" t="n">
        <v>2</v>
      </c>
      <c r="AN2165" t="n">
        <v>0</v>
      </c>
      <c r="AO2165" t="n">
        <v>0</v>
      </c>
      <c r="AP2165" t="inlineStr">
        <is>
          <t>No</t>
        </is>
      </c>
      <c r="AQ2165" t="inlineStr">
        <is>
          <t>No</t>
        </is>
      </c>
      <c r="AS2165">
        <f>HYPERLINK("https://creighton-primo.hosted.exlibrisgroup.com/primo-explore/search?tab=default_tab&amp;search_scope=EVERYTHING&amp;vid=01CRU&amp;lang=en_US&amp;offset=0&amp;query=any,contains,991000162269702656","Catalog Record")</f>
        <v/>
      </c>
      <c r="AT2165">
        <f>HYPERLINK("http://www.worldcat.org/oclc/47521391","WorldCat Record")</f>
        <v/>
      </c>
      <c r="AU2165" t="inlineStr">
        <is>
          <t>1354569:eng</t>
        </is>
      </c>
      <c r="AV2165" t="inlineStr">
        <is>
          <t>47521391</t>
        </is>
      </c>
      <c r="AW2165" t="inlineStr">
        <is>
          <t>991000162269702656</t>
        </is>
      </c>
      <c r="AX2165" t="inlineStr">
        <is>
          <t>991000162269702656</t>
        </is>
      </c>
      <c r="AY2165" t="inlineStr">
        <is>
          <t>2264225090002656</t>
        </is>
      </c>
      <c r="AZ2165" t="inlineStr">
        <is>
          <t>BOOK</t>
        </is>
      </c>
      <c r="BB2165" t="inlineStr">
        <is>
          <t>9780295981673</t>
        </is>
      </c>
      <c r="BC2165" t="inlineStr">
        <is>
          <t>32285005599294</t>
        </is>
      </c>
      <c r="BD2165" t="inlineStr">
        <is>
          <t>893333259</t>
        </is>
      </c>
    </row>
    <row r="2166">
      <c r="A2166" t="inlineStr">
        <is>
          <t>No</t>
        </is>
      </c>
      <c r="B2166" t="inlineStr">
        <is>
          <t>HQ76.2.U52 N53 1994</t>
        </is>
      </c>
      <c r="C2166" t="inlineStr">
        <is>
          <t>0                      HQ 0076200U  52                 N  53          1994</t>
        </is>
      </c>
      <c r="D2166" t="inlineStr">
        <is>
          <t>Gay New York : gender, urban culture, and the making of the gay male world, 1890-1940 / George Chauncey.</t>
        </is>
      </c>
      <c r="F2166" t="inlineStr">
        <is>
          <t>No</t>
        </is>
      </c>
      <c r="G2166" t="inlineStr">
        <is>
          <t>1</t>
        </is>
      </c>
      <c r="H2166" t="inlineStr">
        <is>
          <t>No</t>
        </is>
      </c>
      <c r="I2166" t="inlineStr">
        <is>
          <t>No</t>
        </is>
      </c>
      <c r="J2166" t="inlineStr">
        <is>
          <t>0</t>
        </is>
      </c>
      <c r="K2166" t="inlineStr">
        <is>
          <t>Chauncey, George.</t>
        </is>
      </c>
      <c r="L2166" t="inlineStr">
        <is>
          <t>New York : BasicBooks, c1994.</t>
        </is>
      </c>
      <c r="M2166" t="inlineStr">
        <is>
          <t>1994</t>
        </is>
      </c>
      <c r="O2166" t="inlineStr">
        <is>
          <t>eng</t>
        </is>
      </c>
      <c r="P2166" t="inlineStr">
        <is>
          <t>nyu</t>
        </is>
      </c>
      <c r="R2166" t="inlineStr">
        <is>
          <t xml:space="preserve">HQ </t>
        </is>
      </c>
      <c r="S2166" t="n">
        <v>9</v>
      </c>
      <c r="T2166" t="n">
        <v>9</v>
      </c>
      <c r="U2166" t="inlineStr">
        <is>
          <t>2009-04-15</t>
        </is>
      </c>
      <c r="V2166" t="inlineStr">
        <is>
          <t>2009-04-15</t>
        </is>
      </c>
      <c r="W2166" t="inlineStr">
        <is>
          <t>1995-03-01</t>
        </is>
      </c>
      <c r="X2166" t="inlineStr">
        <is>
          <t>1995-03-01</t>
        </is>
      </c>
      <c r="Y2166" t="n">
        <v>1124</v>
      </c>
      <c r="Z2166" t="n">
        <v>975</v>
      </c>
      <c r="AA2166" t="n">
        <v>1134</v>
      </c>
      <c r="AB2166" t="n">
        <v>6</v>
      </c>
      <c r="AC2166" t="n">
        <v>7</v>
      </c>
      <c r="AD2166" t="n">
        <v>39</v>
      </c>
      <c r="AE2166" t="n">
        <v>47</v>
      </c>
      <c r="AF2166" t="n">
        <v>20</v>
      </c>
      <c r="AG2166" t="n">
        <v>23</v>
      </c>
      <c r="AH2166" t="n">
        <v>7</v>
      </c>
      <c r="AI2166" t="n">
        <v>9</v>
      </c>
      <c r="AJ2166" t="n">
        <v>17</v>
      </c>
      <c r="AK2166" t="n">
        <v>21</v>
      </c>
      <c r="AL2166" t="n">
        <v>4</v>
      </c>
      <c r="AM2166" t="n">
        <v>5</v>
      </c>
      <c r="AN2166" t="n">
        <v>0</v>
      </c>
      <c r="AO2166" t="n">
        <v>0</v>
      </c>
      <c r="AP2166" t="inlineStr">
        <is>
          <t>No</t>
        </is>
      </c>
      <c r="AQ2166" t="inlineStr">
        <is>
          <t>Yes</t>
        </is>
      </c>
      <c r="AR2166">
        <f>HYPERLINK("http://catalog.hathitrust.org/Record/002882970","HathiTrust Record")</f>
        <v/>
      </c>
      <c r="AS2166">
        <f>HYPERLINK("https://creighton-primo.hosted.exlibrisgroup.com/primo-explore/search?tab=default_tab&amp;search_scope=EVERYTHING&amp;vid=01CRU&amp;lang=en_US&amp;offset=0&amp;query=any,contains,991002303709702656","Catalog Record")</f>
        <v/>
      </c>
      <c r="AT2166">
        <f>HYPERLINK("http://www.worldcat.org/oclc/29877871","WorldCat Record")</f>
        <v/>
      </c>
      <c r="AU2166" t="inlineStr">
        <is>
          <t>230671249:eng</t>
        </is>
      </c>
      <c r="AV2166" t="inlineStr">
        <is>
          <t>29877871</t>
        </is>
      </c>
      <c r="AW2166" t="inlineStr">
        <is>
          <t>991002303709702656</t>
        </is>
      </c>
      <c r="AX2166" t="inlineStr">
        <is>
          <t>991002303709702656</t>
        </is>
      </c>
      <c r="AY2166" t="inlineStr">
        <is>
          <t>2257888400002656</t>
        </is>
      </c>
      <c r="AZ2166" t="inlineStr">
        <is>
          <t>BOOK</t>
        </is>
      </c>
      <c r="BB2166" t="inlineStr">
        <is>
          <t>9780465026333</t>
        </is>
      </c>
      <c r="BC2166" t="inlineStr">
        <is>
          <t>32285002000809</t>
        </is>
      </c>
      <c r="BD2166" t="inlineStr">
        <is>
          <t>893322773</t>
        </is>
      </c>
    </row>
    <row r="2167">
      <c r="A2167" t="inlineStr">
        <is>
          <t>No</t>
        </is>
      </c>
      <c r="B2167" t="inlineStr">
        <is>
          <t>HQ76.25 .A57 1996</t>
        </is>
      </c>
      <c r="C2167" t="inlineStr">
        <is>
          <t>0                      HQ 0076250A  57          1996</t>
        </is>
      </c>
      <c r="D2167" t="inlineStr">
        <is>
          <t>Anti-gay / edited by Mark Simpson.</t>
        </is>
      </c>
      <c r="F2167" t="inlineStr">
        <is>
          <t>No</t>
        </is>
      </c>
      <c r="G2167" t="inlineStr">
        <is>
          <t>1</t>
        </is>
      </c>
      <c r="H2167" t="inlineStr">
        <is>
          <t>No</t>
        </is>
      </c>
      <c r="I2167" t="inlineStr">
        <is>
          <t>No</t>
        </is>
      </c>
      <c r="J2167" t="inlineStr">
        <is>
          <t>0</t>
        </is>
      </c>
      <c r="L2167" t="inlineStr">
        <is>
          <t>London ; New York : Freedom Editions, 1996.</t>
        </is>
      </c>
      <c r="M2167" t="inlineStr">
        <is>
          <t>1996</t>
        </is>
      </c>
      <c r="O2167" t="inlineStr">
        <is>
          <t>eng</t>
        </is>
      </c>
      <c r="P2167" t="inlineStr">
        <is>
          <t>enk</t>
        </is>
      </c>
      <c r="R2167" t="inlineStr">
        <is>
          <t xml:space="preserve">HQ </t>
        </is>
      </c>
      <c r="S2167" t="n">
        <v>11</v>
      </c>
      <c r="T2167" t="n">
        <v>11</v>
      </c>
      <c r="U2167" t="inlineStr">
        <is>
          <t>2010-04-14</t>
        </is>
      </c>
      <c r="V2167" t="inlineStr">
        <is>
          <t>2010-04-14</t>
        </is>
      </c>
      <c r="W2167" t="inlineStr">
        <is>
          <t>1997-07-10</t>
        </is>
      </c>
      <c r="X2167" t="inlineStr">
        <is>
          <t>1997-07-10</t>
        </is>
      </c>
      <c r="Y2167" t="n">
        <v>168</v>
      </c>
      <c r="Z2167" t="n">
        <v>106</v>
      </c>
      <c r="AA2167" t="n">
        <v>121</v>
      </c>
      <c r="AB2167" t="n">
        <v>1</v>
      </c>
      <c r="AC2167" t="n">
        <v>1</v>
      </c>
      <c r="AD2167" t="n">
        <v>2</v>
      </c>
      <c r="AE2167" t="n">
        <v>2</v>
      </c>
      <c r="AF2167" t="n">
        <v>0</v>
      </c>
      <c r="AG2167" t="n">
        <v>0</v>
      </c>
      <c r="AH2167" t="n">
        <v>1</v>
      </c>
      <c r="AI2167" t="n">
        <v>1</v>
      </c>
      <c r="AJ2167" t="n">
        <v>1</v>
      </c>
      <c r="AK2167" t="n">
        <v>1</v>
      </c>
      <c r="AL2167" t="n">
        <v>0</v>
      </c>
      <c r="AM2167" t="n">
        <v>0</v>
      </c>
      <c r="AN2167" t="n">
        <v>0</v>
      </c>
      <c r="AO2167" t="n">
        <v>0</v>
      </c>
      <c r="AP2167" t="inlineStr">
        <is>
          <t>No</t>
        </is>
      </c>
      <c r="AQ2167" t="inlineStr">
        <is>
          <t>Yes</t>
        </is>
      </c>
      <c r="AR2167">
        <f>HYPERLINK("http://catalog.hathitrust.org/Record/003120947","HathiTrust Record")</f>
        <v/>
      </c>
      <c r="AS2167">
        <f>HYPERLINK("https://creighton-primo.hosted.exlibrisgroup.com/primo-explore/search?tab=default_tab&amp;search_scope=EVERYTHING&amp;vid=01CRU&amp;lang=en_US&amp;offset=0&amp;query=any,contains,991002731639702656","Catalog Record")</f>
        <v/>
      </c>
      <c r="AT2167">
        <f>HYPERLINK("http://www.worldcat.org/oclc/35830412","WorldCat Record")</f>
        <v/>
      </c>
      <c r="AU2167" t="inlineStr">
        <is>
          <t>56118804:eng</t>
        </is>
      </c>
      <c r="AV2167" t="inlineStr">
        <is>
          <t>35830412</t>
        </is>
      </c>
      <c r="AW2167" t="inlineStr">
        <is>
          <t>991002731639702656</t>
        </is>
      </c>
      <c r="AX2167" t="inlineStr">
        <is>
          <t>991002731639702656</t>
        </is>
      </c>
      <c r="AY2167" t="inlineStr">
        <is>
          <t>2266535170002656</t>
        </is>
      </c>
      <c r="AZ2167" t="inlineStr">
        <is>
          <t>BOOK</t>
        </is>
      </c>
      <c r="BB2167" t="inlineStr">
        <is>
          <t>9780304331444</t>
        </is>
      </c>
      <c r="BC2167" t="inlineStr">
        <is>
          <t>32285002881562</t>
        </is>
      </c>
      <c r="BD2167" t="inlineStr">
        <is>
          <t>893691933</t>
        </is>
      </c>
    </row>
    <row r="2168">
      <c r="A2168" t="inlineStr">
        <is>
          <t>No</t>
        </is>
      </c>
      <c r="B2168" t="inlineStr">
        <is>
          <t>HQ76.25 .B33 2001</t>
        </is>
      </c>
      <c r="C2168" t="inlineStr">
        <is>
          <t>0                      HQ 0076250B  33          2001</t>
        </is>
      </c>
      <c r="D2168" t="inlineStr">
        <is>
          <t>Money, myths, and change : the economic lives of lesbians and gay men / M.V. Lee Badgett.</t>
        </is>
      </c>
      <c r="F2168" t="inlineStr">
        <is>
          <t>No</t>
        </is>
      </c>
      <c r="G2168" t="inlineStr">
        <is>
          <t>1</t>
        </is>
      </c>
      <c r="H2168" t="inlineStr">
        <is>
          <t>No</t>
        </is>
      </c>
      <c r="I2168" t="inlineStr">
        <is>
          <t>No</t>
        </is>
      </c>
      <c r="J2168" t="inlineStr">
        <is>
          <t>0</t>
        </is>
      </c>
      <c r="K2168" t="inlineStr">
        <is>
          <t>Badgett, M. V. Lee (Mary Virginia Lee)</t>
        </is>
      </c>
      <c r="L2168" t="inlineStr">
        <is>
          <t>Chicago : University of Chicago Press, c2001.</t>
        </is>
      </c>
      <c r="M2168" t="inlineStr">
        <is>
          <t>2001</t>
        </is>
      </c>
      <c r="O2168" t="inlineStr">
        <is>
          <t>eng</t>
        </is>
      </c>
      <c r="P2168" t="inlineStr">
        <is>
          <t>ilu</t>
        </is>
      </c>
      <c r="Q2168" t="inlineStr">
        <is>
          <t>Worlds of desire</t>
        </is>
      </c>
      <c r="R2168" t="inlineStr">
        <is>
          <t xml:space="preserve">HQ </t>
        </is>
      </c>
      <c r="S2168" t="n">
        <v>1</v>
      </c>
      <c r="T2168" t="n">
        <v>1</v>
      </c>
      <c r="U2168" t="inlineStr">
        <is>
          <t>2010-10-07</t>
        </is>
      </c>
      <c r="V2168" t="inlineStr">
        <is>
          <t>2010-10-07</t>
        </is>
      </c>
      <c r="W2168" t="inlineStr">
        <is>
          <t>2001-09-12</t>
        </is>
      </c>
      <c r="X2168" t="inlineStr">
        <is>
          <t>2001-09-12</t>
        </is>
      </c>
      <c r="Y2168" t="n">
        <v>487</v>
      </c>
      <c r="Z2168" t="n">
        <v>430</v>
      </c>
      <c r="AA2168" t="n">
        <v>440</v>
      </c>
      <c r="AB2168" t="n">
        <v>3</v>
      </c>
      <c r="AC2168" t="n">
        <v>3</v>
      </c>
      <c r="AD2168" t="n">
        <v>30</v>
      </c>
      <c r="AE2168" t="n">
        <v>30</v>
      </c>
      <c r="AF2168" t="n">
        <v>14</v>
      </c>
      <c r="AG2168" t="n">
        <v>14</v>
      </c>
      <c r="AH2168" t="n">
        <v>7</v>
      </c>
      <c r="AI2168" t="n">
        <v>7</v>
      </c>
      <c r="AJ2168" t="n">
        <v>12</v>
      </c>
      <c r="AK2168" t="n">
        <v>12</v>
      </c>
      <c r="AL2168" t="n">
        <v>2</v>
      </c>
      <c r="AM2168" t="n">
        <v>2</v>
      </c>
      <c r="AN2168" t="n">
        <v>2</v>
      </c>
      <c r="AO2168" t="n">
        <v>2</v>
      </c>
      <c r="AP2168" t="inlineStr">
        <is>
          <t>No</t>
        </is>
      </c>
      <c r="AQ2168" t="inlineStr">
        <is>
          <t>No</t>
        </is>
      </c>
      <c r="AS2168">
        <f>HYPERLINK("https://creighton-primo.hosted.exlibrisgroup.com/primo-explore/search?tab=default_tab&amp;search_scope=EVERYTHING&amp;vid=01CRU&amp;lang=en_US&amp;offset=0&amp;query=any,contains,991003605149702656","Catalog Record")</f>
        <v/>
      </c>
      <c r="AT2168">
        <f>HYPERLINK("http://www.worldcat.org/oclc/44914142","WorldCat Record")</f>
        <v/>
      </c>
      <c r="AU2168" t="inlineStr">
        <is>
          <t>309119418:eng</t>
        </is>
      </c>
      <c r="AV2168" t="inlineStr">
        <is>
          <t>44914142</t>
        </is>
      </c>
      <c r="AW2168" t="inlineStr">
        <is>
          <t>991003605149702656</t>
        </is>
      </c>
      <c r="AX2168" t="inlineStr">
        <is>
          <t>991003605149702656</t>
        </is>
      </c>
      <c r="AY2168" t="inlineStr">
        <is>
          <t>2268531810002656</t>
        </is>
      </c>
      <c r="AZ2168" t="inlineStr">
        <is>
          <t>BOOK</t>
        </is>
      </c>
      <c r="BB2168" t="inlineStr">
        <is>
          <t>9780226034003</t>
        </is>
      </c>
      <c r="BC2168" t="inlineStr">
        <is>
          <t>32285004390851</t>
        </is>
      </c>
      <c r="BD2168" t="inlineStr">
        <is>
          <t>893348893</t>
        </is>
      </c>
    </row>
    <row r="2169">
      <c r="A2169" t="inlineStr">
        <is>
          <t>No</t>
        </is>
      </c>
      <c r="B2169" t="inlineStr">
        <is>
          <t>HQ76.25 .B425 1994</t>
        </is>
      </c>
      <c r="C2169" t="inlineStr">
        <is>
          <t>0                      HQ 0076250B  425         1994</t>
        </is>
      </c>
      <c r="D2169" t="inlineStr">
        <is>
          <t>Becoming visible : a reader in gay &amp; lesbian history for high school &amp; college students / Kevin Jennings, editor.</t>
        </is>
      </c>
      <c r="F2169" t="inlineStr">
        <is>
          <t>No</t>
        </is>
      </c>
      <c r="G2169" t="inlineStr">
        <is>
          <t>1</t>
        </is>
      </c>
      <c r="H2169" t="inlineStr">
        <is>
          <t>No</t>
        </is>
      </c>
      <c r="I2169" t="inlineStr">
        <is>
          <t>No</t>
        </is>
      </c>
      <c r="J2169" t="inlineStr">
        <is>
          <t>0</t>
        </is>
      </c>
      <c r="L2169" t="inlineStr">
        <is>
          <t>Boston : Alyson Publications, 1994.</t>
        </is>
      </c>
      <c r="M2169" t="inlineStr">
        <is>
          <t>1994</t>
        </is>
      </c>
      <c r="N2169" t="inlineStr">
        <is>
          <t>1st ed.</t>
        </is>
      </c>
      <c r="O2169" t="inlineStr">
        <is>
          <t>eng</t>
        </is>
      </c>
      <c r="P2169" t="inlineStr">
        <is>
          <t>mau</t>
        </is>
      </c>
      <c r="R2169" t="inlineStr">
        <is>
          <t xml:space="preserve">HQ </t>
        </is>
      </c>
      <c r="S2169" t="n">
        <v>8</v>
      </c>
      <c r="T2169" t="n">
        <v>8</v>
      </c>
      <c r="U2169" t="inlineStr">
        <is>
          <t>2009-11-05</t>
        </is>
      </c>
      <c r="V2169" t="inlineStr">
        <is>
          <t>2009-11-05</t>
        </is>
      </c>
      <c r="W2169" t="inlineStr">
        <is>
          <t>1996-10-30</t>
        </is>
      </c>
      <c r="X2169" t="inlineStr">
        <is>
          <t>1996-10-30</t>
        </is>
      </c>
      <c r="Y2169" t="n">
        <v>400</v>
      </c>
      <c r="Z2169" t="n">
        <v>364</v>
      </c>
      <c r="AA2169" t="n">
        <v>368</v>
      </c>
      <c r="AB2169" t="n">
        <v>3</v>
      </c>
      <c r="AC2169" t="n">
        <v>3</v>
      </c>
      <c r="AD2169" t="n">
        <v>10</v>
      </c>
      <c r="AE2169" t="n">
        <v>10</v>
      </c>
      <c r="AF2169" t="n">
        <v>4</v>
      </c>
      <c r="AG2169" t="n">
        <v>4</v>
      </c>
      <c r="AH2169" t="n">
        <v>1</v>
      </c>
      <c r="AI2169" t="n">
        <v>1</v>
      </c>
      <c r="AJ2169" t="n">
        <v>5</v>
      </c>
      <c r="AK2169" t="n">
        <v>5</v>
      </c>
      <c r="AL2169" t="n">
        <v>2</v>
      </c>
      <c r="AM2169" t="n">
        <v>2</v>
      </c>
      <c r="AN2169" t="n">
        <v>0</v>
      </c>
      <c r="AO2169" t="n">
        <v>0</v>
      </c>
      <c r="AP2169" t="inlineStr">
        <is>
          <t>No</t>
        </is>
      </c>
      <c r="AQ2169" t="inlineStr">
        <is>
          <t>No</t>
        </is>
      </c>
      <c r="AS2169">
        <f>HYPERLINK("https://creighton-primo.hosted.exlibrisgroup.com/primo-explore/search?tab=default_tab&amp;search_scope=EVERYTHING&amp;vid=01CRU&amp;lang=en_US&amp;offset=0&amp;query=any,contains,991002314699702656","Catalog Record")</f>
        <v/>
      </c>
      <c r="AT2169">
        <f>HYPERLINK("http://www.worldcat.org/oclc/30035316","WorldCat Record")</f>
        <v/>
      </c>
      <c r="AU2169" t="inlineStr">
        <is>
          <t>145219084:eng</t>
        </is>
      </c>
      <c r="AV2169" t="inlineStr">
        <is>
          <t>30035316</t>
        </is>
      </c>
      <c r="AW2169" t="inlineStr">
        <is>
          <t>991002314699702656</t>
        </is>
      </c>
      <c r="AX2169" t="inlineStr">
        <is>
          <t>991002314699702656</t>
        </is>
      </c>
      <c r="AY2169" t="inlineStr">
        <is>
          <t>2271518680002656</t>
        </is>
      </c>
      <c r="AZ2169" t="inlineStr">
        <is>
          <t>BOOK</t>
        </is>
      </c>
      <c r="BB2169" t="inlineStr">
        <is>
          <t>9781555832544</t>
        </is>
      </c>
      <c r="BC2169" t="inlineStr">
        <is>
          <t>32285002379963</t>
        </is>
      </c>
      <c r="BD2169" t="inlineStr">
        <is>
          <t>893609710</t>
        </is>
      </c>
    </row>
    <row r="2170">
      <c r="A2170" t="inlineStr">
        <is>
          <t>No</t>
        </is>
      </c>
      <c r="B2170" t="inlineStr">
        <is>
          <t>HQ76.25 .B495 1995</t>
        </is>
      </c>
      <c r="C2170" t="inlineStr">
        <is>
          <t>0                      HQ 0076250B  495         1995</t>
        </is>
      </c>
      <c r="D2170" t="inlineStr">
        <is>
          <t>Beyond the lavender lexicon : authenticity, imagination, and appropriation in lesbian and gay languages / edited by William L. Leap.</t>
        </is>
      </c>
      <c r="F2170" t="inlineStr">
        <is>
          <t>No</t>
        </is>
      </c>
      <c r="G2170" t="inlineStr">
        <is>
          <t>1</t>
        </is>
      </c>
      <c r="H2170" t="inlineStr">
        <is>
          <t>No</t>
        </is>
      </c>
      <c r="I2170" t="inlineStr">
        <is>
          <t>No</t>
        </is>
      </c>
      <c r="J2170" t="inlineStr">
        <is>
          <t>0</t>
        </is>
      </c>
      <c r="L2170" t="inlineStr">
        <is>
          <t>[Amsterdam?] : Gordon and Breach, c1995.</t>
        </is>
      </c>
      <c r="M2170" t="inlineStr">
        <is>
          <t>1995</t>
        </is>
      </c>
      <c r="O2170" t="inlineStr">
        <is>
          <t>eng</t>
        </is>
      </c>
      <c r="P2170" t="inlineStr">
        <is>
          <t xml:space="preserve">ne </t>
        </is>
      </c>
      <c r="R2170" t="inlineStr">
        <is>
          <t xml:space="preserve">HQ </t>
        </is>
      </c>
      <c r="S2170" t="n">
        <v>5</v>
      </c>
      <c r="T2170" t="n">
        <v>5</v>
      </c>
      <c r="U2170" t="inlineStr">
        <is>
          <t>2010-03-30</t>
        </is>
      </c>
      <c r="V2170" t="inlineStr">
        <is>
          <t>2010-03-30</t>
        </is>
      </c>
      <c r="W2170" t="inlineStr">
        <is>
          <t>1996-12-16</t>
        </is>
      </c>
      <c r="X2170" t="inlineStr">
        <is>
          <t>1996-12-16</t>
        </is>
      </c>
      <c r="Y2170" t="n">
        <v>177</v>
      </c>
      <c r="Z2170" t="n">
        <v>141</v>
      </c>
      <c r="AA2170" t="n">
        <v>144</v>
      </c>
      <c r="AB2170" t="n">
        <v>3</v>
      </c>
      <c r="AC2170" t="n">
        <v>3</v>
      </c>
      <c r="AD2170" t="n">
        <v>5</v>
      </c>
      <c r="AE2170" t="n">
        <v>5</v>
      </c>
      <c r="AF2170" t="n">
        <v>0</v>
      </c>
      <c r="AG2170" t="n">
        <v>0</v>
      </c>
      <c r="AH2170" t="n">
        <v>2</v>
      </c>
      <c r="AI2170" t="n">
        <v>2</v>
      </c>
      <c r="AJ2170" t="n">
        <v>2</v>
      </c>
      <c r="AK2170" t="n">
        <v>2</v>
      </c>
      <c r="AL2170" t="n">
        <v>2</v>
      </c>
      <c r="AM2170" t="n">
        <v>2</v>
      </c>
      <c r="AN2170" t="n">
        <v>0</v>
      </c>
      <c r="AO2170" t="n">
        <v>0</v>
      </c>
      <c r="AP2170" t="inlineStr">
        <is>
          <t>No</t>
        </is>
      </c>
      <c r="AQ2170" t="inlineStr">
        <is>
          <t>No</t>
        </is>
      </c>
      <c r="AS2170">
        <f>HYPERLINK("https://creighton-primo.hosted.exlibrisgroup.com/primo-explore/search?tab=default_tab&amp;search_scope=EVERYTHING&amp;vid=01CRU&amp;lang=en_US&amp;offset=0&amp;query=any,contains,991002611719702656","Catalog Record")</f>
        <v/>
      </c>
      <c r="AT2170">
        <f>HYPERLINK("http://www.worldcat.org/oclc/34240228","WorldCat Record")</f>
        <v/>
      </c>
      <c r="AU2170" t="inlineStr">
        <is>
          <t>3142015:eng</t>
        </is>
      </c>
      <c r="AV2170" t="inlineStr">
        <is>
          <t>34240228</t>
        </is>
      </c>
      <c r="AW2170" t="inlineStr">
        <is>
          <t>991002611719702656</t>
        </is>
      </c>
      <c r="AX2170" t="inlineStr">
        <is>
          <t>991002611719702656</t>
        </is>
      </c>
      <c r="AY2170" t="inlineStr">
        <is>
          <t>2270259610002656</t>
        </is>
      </c>
      <c r="AZ2170" t="inlineStr">
        <is>
          <t>BOOK</t>
        </is>
      </c>
      <c r="BB2170" t="inlineStr">
        <is>
          <t>9782884491808</t>
        </is>
      </c>
      <c r="BC2170" t="inlineStr">
        <is>
          <t>32285002393410</t>
        </is>
      </c>
      <c r="BD2170" t="inlineStr">
        <is>
          <t>893317034</t>
        </is>
      </c>
    </row>
    <row r="2171">
      <c r="A2171" t="inlineStr">
        <is>
          <t>No</t>
        </is>
      </c>
      <c r="B2171" t="inlineStr">
        <is>
          <t>HQ76.25 .B84</t>
        </is>
      </c>
      <c r="C2171" t="inlineStr">
        <is>
          <t>0                      HQ 0076250B  84</t>
        </is>
      </c>
      <c r="D2171" t="inlineStr">
        <is>
          <t>Homosexuality, a history / by Vern L. Bullough.</t>
        </is>
      </c>
      <c r="F2171" t="inlineStr">
        <is>
          <t>No</t>
        </is>
      </c>
      <c r="G2171" t="inlineStr">
        <is>
          <t>1</t>
        </is>
      </c>
      <c r="H2171" t="inlineStr">
        <is>
          <t>No</t>
        </is>
      </c>
      <c r="I2171" t="inlineStr">
        <is>
          <t>No</t>
        </is>
      </c>
      <c r="J2171" t="inlineStr">
        <is>
          <t>0</t>
        </is>
      </c>
      <c r="K2171" t="inlineStr">
        <is>
          <t>Bullough, Vern L.</t>
        </is>
      </c>
      <c r="L2171" t="inlineStr">
        <is>
          <t>New York : New American Library, c1979.</t>
        </is>
      </c>
      <c r="M2171" t="inlineStr">
        <is>
          <t>1979</t>
        </is>
      </c>
      <c r="O2171" t="inlineStr">
        <is>
          <t>eng</t>
        </is>
      </c>
      <c r="P2171" t="inlineStr">
        <is>
          <t>nyu</t>
        </is>
      </c>
      <c r="R2171" t="inlineStr">
        <is>
          <t xml:space="preserve">HQ </t>
        </is>
      </c>
      <c r="S2171" t="n">
        <v>33</v>
      </c>
      <c r="T2171" t="n">
        <v>33</v>
      </c>
      <c r="U2171" t="inlineStr">
        <is>
          <t>2005-12-12</t>
        </is>
      </c>
      <c r="V2171" t="inlineStr">
        <is>
          <t>2005-12-12</t>
        </is>
      </c>
      <c r="W2171" t="inlineStr">
        <is>
          <t>1995-05-01</t>
        </is>
      </c>
      <c r="X2171" t="inlineStr">
        <is>
          <t>1995-05-01</t>
        </is>
      </c>
      <c r="Y2171" t="n">
        <v>578</v>
      </c>
      <c r="Z2171" t="n">
        <v>524</v>
      </c>
      <c r="AA2171" t="n">
        <v>607</v>
      </c>
      <c r="AB2171" t="n">
        <v>5</v>
      </c>
      <c r="AC2171" t="n">
        <v>6</v>
      </c>
      <c r="AD2171" t="n">
        <v>24</v>
      </c>
      <c r="AE2171" t="n">
        <v>28</v>
      </c>
      <c r="AF2171" t="n">
        <v>12</v>
      </c>
      <c r="AG2171" t="n">
        <v>15</v>
      </c>
      <c r="AH2171" t="n">
        <v>7</v>
      </c>
      <c r="AI2171" t="n">
        <v>7</v>
      </c>
      <c r="AJ2171" t="n">
        <v>9</v>
      </c>
      <c r="AK2171" t="n">
        <v>9</v>
      </c>
      <c r="AL2171" t="n">
        <v>3</v>
      </c>
      <c r="AM2171" t="n">
        <v>4</v>
      </c>
      <c r="AN2171" t="n">
        <v>0</v>
      </c>
      <c r="AO2171" t="n">
        <v>0</v>
      </c>
      <c r="AP2171" t="inlineStr">
        <is>
          <t>No</t>
        </is>
      </c>
      <c r="AQ2171" t="inlineStr">
        <is>
          <t>Yes</t>
        </is>
      </c>
      <c r="AR2171">
        <f>HYPERLINK("http://catalog.hathitrust.org/Record/003960503","HathiTrust Record")</f>
        <v/>
      </c>
      <c r="AS2171">
        <f>HYPERLINK("https://creighton-primo.hosted.exlibrisgroup.com/primo-explore/search?tab=default_tab&amp;search_scope=EVERYTHING&amp;vid=01CRU&amp;lang=en_US&amp;offset=0&amp;query=any,contains,991005265929702656","Catalog Record")</f>
        <v/>
      </c>
      <c r="AT2171">
        <f>HYPERLINK("http://www.worldcat.org/oclc/5990947","WorldCat Record")</f>
        <v/>
      </c>
      <c r="AU2171" t="inlineStr">
        <is>
          <t>3858193454:eng</t>
        </is>
      </c>
      <c r="AV2171" t="inlineStr">
        <is>
          <t>5990947</t>
        </is>
      </c>
      <c r="AW2171" t="inlineStr">
        <is>
          <t>991005265929702656</t>
        </is>
      </c>
      <c r="AX2171" t="inlineStr">
        <is>
          <t>991005265929702656</t>
        </is>
      </c>
      <c r="AY2171" t="inlineStr">
        <is>
          <t>2260783130002656</t>
        </is>
      </c>
      <c r="AZ2171" t="inlineStr">
        <is>
          <t>BOOK</t>
        </is>
      </c>
      <c r="BB2171" t="inlineStr">
        <is>
          <t>9780452005167</t>
        </is>
      </c>
      <c r="BC2171" t="inlineStr">
        <is>
          <t>32285002020781</t>
        </is>
      </c>
      <c r="BD2171" t="inlineStr">
        <is>
          <t>893607102</t>
        </is>
      </c>
    </row>
    <row r="2172">
      <c r="A2172" t="inlineStr">
        <is>
          <t>No</t>
        </is>
      </c>
      <c r="B2172" t="inlineStr">
        <is>
          <t>HQ76.25 .D68 1990</t>
        </is>
      </c>
      <c r="C2172" t="inlineStr">
        <is>
          <t>0                      HQ 0076250D  68          1990</t>
        </is>
      </c>
      <c r="D2172" t="inlineStr">
        <is>
          <t>Myths and mysteries of same-sex love / Christine Downing.</t>
        </is>
      </c>
      <c r="F2172" t="inlineStr">
        <is>
          <t>No</t>
        </is>
      </c>
      <c r="G2172" t="inlineStr">
        <is>
          <t>1</t>
        </is>
      </c>
      <c r="H2172" t="inlineStr">
        <is>
          <t>Yes</t>
        </is>
      </c>
      <c r="I2172" t="inlineStr">
        <is>
          <t>No</t>
        </is>
      </c>
      <c r="J2172" t="inlineStr">
        <is>
          <t>0</t>
        </is>
      </c>
      <c r="K2172" t="inlineStr">
        <is>
          <t>Downing, Christine, 1931-</t>
        </is>
      </c>
      <c r="L2172" t="inlineStr">
        <is>
          <t>New York : Continuum, 1990, c1989.</t>
        </is>
      </c>
      <c r="M2172" t="inlineStr">
        <is>
          <t>1990</t>
        </is>
      </c>
      <c r="O2172" t="inlineStr">
        <is>
          <t>eng</t>
        </is>
      </c>
      <c r="P2172" t="inlineStr">
        <is>
          <t>nyu</t>
        </is>
      </c>
      <c r="R2172" t="inlineStr">
        <is>
          <t xml:space="preserve">HQ </t>
        </is>
      </c>
      <c r="S2172" t="n">
        <v>27</v>
      </c>
      <c r="T2172" t="n">
        <v>27</v>
      </c>
      <c r="U2172" t="inlineStr">
        <is>
          <t>1998-10-20</t>
        </is>
      </c>
      <c r="V2172" t="inlineStr">
        <is>
          <t>2009-10-21</t>
        </is>
      </c>
      <c r="W2172" t="inlineStr">
        <is>
          <t>1991-12-30</t>
        </is>
      </c>
      <c r="X2172" t="inlineStr">
        <is>
          <t>1995-07-31</t>
        </is>
      </c>
      <c r="Y2172" t="n">
        <v>435</v>
      </c>
      <c r="Z2172" t="n">
        <v>379</v>
      </c>
      <c r="AA2172" t="n">
        <v>444</v>
      </c>
      <c r="AB2172" t="n">
        <v>4</v>
      </c>
      <c r="AC2172" t="n">
        <v>4</v>
      </c>
      <c r="AD2172" t="n">
        <v>16</v>
      </c>
      <c r="AE2172" t="n">
        <v>17</v>
      </c>
      <c r="AF2172" t="n">
        <v>8</v>
      </c>
      <c r="AG2172" t="n">
        <v>9</v>
      </c>
      <c r="AH2172" t="n">
        <v>3</v>
      </c>
      <c r="AI2172" t="n">
        <v>3</v>
      </c>
      <c r="AJ2172" t="n">
        <v>9</v>
      </c>
      <c r="AK2172" t="n">
        <v>9</v>
      </c>
      <c r="AL2172" t="n">
        <v>2</v>
      </c>
      <c r="AM2172" t="n">
        <v>2</v>
      </c>
      <c r="AN2172" t="n">
        <v>0</v>
      </c>
      <c r="AO2172" t="n">
        <v>0</v>
      </c>
      <c r="AP2172" t="inlineStr">
        <is>
          <t>No</t>
        </is>
      </c>
      <c r="AQ2172" t="inlineStr">
        <is>
          <t>Yes</t>
        </is>
      </c>
      <c r="AR2172">
        <f>HYPERLINK("http://catalog.hathitrust.org/Record/001538102","HathiTrust Record")</f>
        <v/>
      </c>
      <c r="AS2172">
        <f>HYPERLINK("https://creighton-primo.hosted.exlibrisgroup.com/primo-explore/search?tab=default_tab&amp;search_scope=EVERYTHING&amp;vid=01CRU&amp;lang=en_US&amp;offset=0&amp;query=any,contains,991001641309702656","Catalog Record")</f>
        <v/>
      </c>
      <c r="AT2172">
        <f>HYPERLINK("http://www.worldcat.org/oclc/19553548","WorldCat Record")</f>
        <v/>
      </c>
      <c r="AU2172" t="inlineStr">
        <is>
          <t>21143656:eng</t>
        </is>
      </c>
      <c r="AV2172" t="inlineStr">
        <is>
          <t>19553548</t>
        </is>
      </c>
      <c r="AW2172" t="inlineStr">
        <is>
          <t>991001641309702656</t>
        </is>
      </c>
      <c r="AX2172" t="inlineStr">
        <is>
          <t>991001641309702656</t>
        </is>
      </c>
      <c r="AY2172" t="inlineStr">
        <is>
          <t>2272252190002656</t>
        </is>
      </c>
      <c r="AZ2172" t="inlineStr">
        <is>
          <t>BOOK</t>
        </is>
      </c>
      <c r="BB2172" t="inlineStr">
        <is>
          <t>9780826404459</t>
        </is>
      </c>
      <c r="BC2172" t="inlineStr">
        <is>
          <t>32285000861947</t>
        </is>
      </c>
      <c r="BD2172" t="inlineStr">
        <is>
          <t>893615251</t>
        </is>
      </c>
    </row>
    <row r="2173">
      <c r="A2173" t="inlineStr">
        <is>
          <t>No</t>
        </is>
      </c>
      <c r="B2173" t="inlineStr">
        <is>
          <t>HQ76.25 .F7 2000</t>
        </is>
      </c>
      <c r="C2173" t="inlineStr">
        <is>
          <t>0                      HQ 0076250F  7           2000</t>
        </is>
      </c>
      <c r="D2173" t="inlineStr">
        <is>
          <t>Homophobia : a history / Byrne Fone.</t>
        </is>
      </c>
      <c r="F2173" t="inlineStr">
        <is>
          <t>No</t>
        </is>
      </c>
      <c r="G2173" t="inlineStr">
        <is>
          <t>1</t>
        </is>
      </c>
      <c r="H2173" t="inlineStr">
        <is>
          <t>No</t>
        </is>
      </c>
      <c r="I2173" t="inlineStr">
        <is>
          <t>No</t>
        </is>
      </c>
      <c r="J2173" t="inlineStr">
        <is>
          <t>0</t>
        </is>
      </c>
      <c r="K2173" t="inlineStr">
        <is>
          <t>Fone, Byrne, 1936-</t>
        </is>
      </c>
      <c r="L2173" t="inlineStr">
        <is>
          <t>New York : Metropolitan Books, 2000.</t>
        </is>
      </c>
      <c r="M2173" t="inlineStr">
        <is>
          <t>2000</t>
        </is>
      </c>
      <c r="N2173" t="inlineStr">
        <is>
          <t>1st ed.</t>
        </is>
      </c>
      <c r="O2173" t="inlineStr">
        <is>
          <t>eng</t>
        </is>
      </c>
      <c r="P2173" t="inlineStr">
        <is>
          <t>nyu</t>
        </is>
      </c>
      <c r="R2173" t="inlineStr">
        <is>
          <t xml:space="preserve">HQ </t>
        </is>
      </c>
      <c r="S2173" t="n">
        <v>8</v>
      </c>
      <c r="T2173" t="n">
        <v>8</v>
      </c>
      <c r="U2173" t="inlineStr">
        <is>
          <t>2005-11-15</t>
        </is>
      </c>
      <c r="V2173" t="inlineStr">
        <is>
          <t>2005-11-15</t>
        </is>
      </c>
      <c r="W2173" t="inlineStr">
        <is>
          <t>2000-12-05</t>
        </is>
      </c>
      <c r="X2173" t="inlineStr">
        <is>
          <t>2000-12-05</t>
        </is>
      </c>
      <c r="Y2173" t="n">
        <v>1077</v>
      </c>
      <c r="Z2173" t="n">
        <v>989</v>
      </c>
      <c r="AA2173" t="n">
        <v>1133</v>
      </c>
      <c r="AB2173" t="n">
        <v>12</v>
      </c>
      <c r="AC2173" t="n">
        <v>12</v>
      </c>
      <c r="AD2173" t="n">
        <v>37</v>
      </c>
      <c r="AE2173" t="n">
        <v>42</v>
      </c>
      <c r="AF2173" t="n">
        <v>11</v>
      </c>
      <c r="AG2173" t="n">
        <v>14</v>
      </c>
      <c r="AH2173" t="n">
        <v>8</v>
      </c>
      <c r="AI2173" t="n">
        <v>9</v>
      </c>
      <c r="AJ2173" t="n">
        <v>17</v>
      </c>
      <c r="AK2173" t="n">
        <v>18</v>
      </c>
      <c r="AL2173" t="n">
        <v>10</v>
      </c>
      <c r="AM2173" t="n">
        <v>10</v>
      </c>
      <c r="AN2173" t="n">
        <v>0</v>
      </c>
      <c r="AO2173" t="n">
        <v>0</v>
      </c>
      <c r="AP2173" t="inlineStr">
        <is>
          <t>No</t>
        </is>
      </c>
      <c r="AQ2173" t="inlineStr">
        <is>
          <t>No</t>
        </is>
      </c>
      <c r="AS2173">
        <f>HYPERLINK("https://creighton-primo.hosted.exlibrisgroup.com/primo-explore/search?tab=default_tab&amp;search_scope=EVERYTHING&amp;vid=01CRU&amp;lang=en_US&amp;offset=0&amp;query=any,contains,991003329539702656","Catalog Record")</f>
        <v/>
      </c>
      <c r="AT2173">
        <f>HYPERLINK("http://www.worldcat.org/oclc/43207179","WorldCat Record")</f>
        <v/>
      </c>
      <c r="AU2173" t="inlineStr">
        <is>
          <t>27628644:eng</t>
        </is>
      </c>
      <c r="AV2173" t="inlineStr">
        <is>
          <t>43207179</t>
        </is>
      </c>
      <c r="AW2173" t="inlineStr">
        <is>
          <t>991003329539702656</t>
        </is>
      </c>
      <c r="AX2173" t="inlineStr">
        <is>
          <t>991003329539702656</t>
        </is>
      </c>
      <c r="AY2173" t="inlineStr">
        <is>
          <t>2267338020002656</t>
        </is>
      </c>
      <c r="AZ2173" t="inlineStr">
        <is>
          <t>BOOK</t>
        </is>
      </c>
      <c r="BB2173" t="inlineStr">
        <is>
          <t>9780805045598</t>
        </is>
      </c>
      <c r="BC2173" t="inlineStr">
        <is>
          <t>32285004269725</t>
        </is>
      </c>
      <c r="BD2173" t="inlineStr">
        <is>
          <t>893410180</t>
        </is>
      </c>
    </row>
    <row r="2174">
      <c r="A2174" t="inlineStr">
        <is>
          <t>No</t>
        </is>
      </c>
      <c r="B2174" t="inlineStr">
        <is>
          <t>HQ76.25 .G38 1989b</t>
        </is>
      </c>
      <c r="C2174" t="inlineStr">
        <is>
          <t>0                      HQ 0076250G  38          1989b</t>
        </is>
      </c>
      <c r="D2174" t="inlineStr">
        <is>
          <t>Gay and lesbian youth / Gilbert Herdt, editor.</t>
        </is>
      </c>
      <c r="F2174" t="inlineStr">
        <is>
          <t>No</t>
        </is>
      </c>
      <c r="G2174" t="inlineStr">
        <is>
          <t>1</t>
        </is>
      </c>
      <c r="H2174" t="inlineStr">
        <is>
          <t>No</t>
        </is>
      </c>
      <c r="I2174" t="inlineStr">
        <is>
          <t>No</t>
        </is>
      </c>
      <c r="J2174" t="inlineStr">
        <is>
          <t>0</t>
        </is>
      </c>
      <c r="L2174" t="inlineStr">
        <is>
          <t>New York : Haworth Press, 1989.</t>
        </is>
      </c>
      <c r="M2174" t="inlineStr">
        <is>
          <t>1989</t>
        </is>
      </c>
      <c r="O2174" t="inlineStr">
        <is>
          <t>eng</t>
        </is>
      </c>
      <c r="P2174" t="inlineStr">
        <is>
          <t>nyu</t>
        </is>
      </c>
      <c r="Q2174" t="inlineStr">
        <is>
          <t>The Research on homosexuality series</t>
        </is>
      </c>
      <c r="R2174" t="inlineStr">
        <is>
          <t xml:space="preserve">HQ </t>
        </is>
      </c>
      <c r="S2174" t="n">
        <v>20</v>
      </c>
      <c r="T2174" t="n">
        <v>20</v>
      </c>
      <c r="U2174" t="inlineStr">
        <is>
          <t>1996-02-14</t>
        </is>
      </c>
      <c r="V2174" t="inlineStr">
        <is>
          <t>1996-02-14</t>
        </is>
      </c>
      <c r="W2174" t="inlineStr">
        <is>
          <t>1992-08-31</t>
        </is>
      </c>
      <c r="X2174" t="inlineStr">
        <is>
          <t>1992-08-31</t>
        </is>
      </c>
      <c r="Y2174" t="n">
        <v>167</v>
      </c>
      <c r="Z2174" t="n">
        <v>137</v>
      </c>
      <c r="AA2174" t="n">
        <v>291</v>
      </c>
      <c r="AB2174" t="n">
        <v>2</v>
      </c>
      <c r="AC2174" t="n">
        <v>4</v>
      </c>
      <c r="AD2174" t="n">
        <v>6</v>
      </c>
      <c r="AE2174" t="n">
        <v>11</v>
      </c>
      <c r="AF2174" t="n">
        <v>3</v>
      </c>
      <c r="AG2174" t="n">
        <v>5</v>
      </c>
      <c r="AH2174" t="n">
        <v>2</v>
      </c>
      <c r="AI2174" t="n">
        <v>2</v>
      </c>
      <c r="AJ2174" t="n">
        <v>2</v>
      </c>
      <c r="AK2174" t="n">
        <v>4</v>
      </c>
      <c r="AL2174" t="n">
        <v>1</v>
      </c>
      <c r="AM2174" t="n">
        <v>3</v>
      </c>
      <c r="AN2174" t="n">
        <v>0</v>
      </c>
      <c r="AO2174" t="n">
        <v>0</v>
      </c>
      <c r="AP2174" t="inlineStr">
        <is>
          <t>No</t>
        </is>
      </c>
      <c r="AQ2174" t="inlineStr">
        <is>
          <t>Yes</t>
        </is>
      </c>
      <c r="AR2174">
        <f>HYPERLINK("http://catalog.hathitrust.org/Record/001956389","HathiTrust Record")</f>
        <v/>
      </c>
      <c r="AS2174">
        <f>HYPERLINK("https://creighton-primo.hosted.exlibrisgroup.com/primo-explore/search?tab=default_tab&amp;search_scope=EVERYTHING&amp;vid=01CRU&amp;lang=en_US&amp;offset=0&amp;query=any,contains,991001427649702656","Catalog Record")</f>
        <v/>
      </c>
      <c r="AT2174">
        <f>HYPERLINK("http://www.worldcat.org/oclc/19064087","WorldCat Record")</f>
        <v/>
      </c>
      <c r="AU2174" t="inlineStr">
        <is>
          <t>55167998:eng</t>
        </is>
      </c>
      <c r="AV2174" t="inlineStr">
        <is>
          <t>19064087</t>
        </is>
      </c>
      <c r="AW2174" t="inlineStr">
        <is>
          <t>991001427649702656</t>
        </is>
      </c>
      <c r="AX2174" t="inlineStr">
        <is>
          <t>991001427649702656</t>
        </is>
      </c>
      <c r="AY2174" t="inlineStr">
        <is>
          <t>2260914870002656</t>
        </is>
      </c>
      <c r="AZ2174" t="inlineStr">
        <is>
          <t>BOOK</t>
        </is>
      </c>
      <c r="BB2174" t="inlineStr">
        <is>
          <t>9780866568173</t>
        </is>
      </c>
      <c r="BC2174" t="inlineStr">
        <is>
          <t>32285001199735</t>
        </is>
      </c>
      <c r="BD2174" t="inlineStr">
        <is>
          <t>893778798</t>
        </is>
      </c>
    </row>
    <row r="2175">
      <c r="A2175" t="inlineStr">
        <is>
          <t>No</t>
        </is>
      </c>
      <c r="B2175" t="inlineStr">
        <is>
          <t>HQ76.25 .G74 1990</t>
        </is>
      </c>
      <c r="C2175" t="inlineStr">
        <is>
          <t>0                      HQ 0076250G  74          1990</t>
        </is>
      </c>
      <c r="D2175" t="inlineStr">
        <is>
          <t>The construction of homosexuality / David F. Greenberg.</t>
        </is>
      </c>
      <c r="F2175" t="inlineStr">
        <is>
          <t>No</t>
        </is>
      </c>
      <c r="G2175" t="inlineStr">
        <is>
          <t>1</t>
        </is>
      </c>
      <c r="H2175" t="inlineStr">
        <is>
          <t>No</t>
        </is>
      </c>
      <c r="I2175" t="inlineStr">
        <is>
          <t>No</t>
        </is>
      </c>
      <c r="J2175" t="inlineStr">
        <is>
          <t>0</t>
        </is>
      </c>
      <c r="K2175" t="inlineStr">
        <is>
          <t>Greenberg, David F.</t>
        </is>
      </c>
      <c r="L2175" t="inlineStr">
        <is>
          <t>Chicago : University of Chicago Press, 1990, c1988.</t>
        </is>
      </c>
      <c r="M2175" t="inlineStr">
        <is>
          <t>1990</t>
        </is>
      </c>
      <c r="N2175" t="inlineStr">
        <is>
          <t>Paperback ed.</t>
        </is>
      </c>
      <c r="O2175" t="inlineStr">
        <is>
          <t>eng</t>
        </is>
      </c>
      <c r="P2175" t="inlineStr">
        <is>
          <t>ilu</t>
        </is>
      </c>
      <c r="R2175" t="inlineStr">
        <is>
          <t xml:space="preserve">HQ </t>
        </is>
      </c>
      <c r="S2175" t="n">
        <v>14</v>
      </c>
      <c r="T2175" t="n">
        <v>14</v>
      </c>
      <c r="U2175" t="inlineStr">
        <is>
          <t>2005-10-24</t>
        </is>
      </c>
      <c r="V2175" t="inlineStr">
        <is>
          <t>2005-10-24</t>
        </is>
      </c>
      <c r="W2175" t="inlineStr">
        <is>
          <t>1996-12-17</t>
        </is>
      </c>
      <c r="X2175" t="inlineStr">
        <is>
          <t>1996-12-17</t>
        </is>
      </c>
      <c r="Y2175" t="n">
        <v>106</v>
      </c>
      <c r="Z2175" t="n">
        <v>90</v>
      </c>
      <c r="AA2175" t="n">
        <v>1085</v>
      </c>
      <c r="AB2175" t="n">
        <v>1</v>
      </c>
      <c r="AC2175" t="n">
        <v>7</v>
      </c>
      <c r="AD2175" t="n">
        <v>5</v>
      </c>
      <c r="AE2175" t="n">
        <v>43</v>
      </c>
      <c r="AF2175" t="n">
        <v>3</v>
      </c>
      <c r="AG2175" t="n">
        <v>16</v>
      </c>
      <c r="AH2175" t="n">
        <v>1</v>
      </c>
      <c r="AI2175" t="n">
        <v>10</v>
      </c>
      <c r="AJ2175" t="n">
        <v>2</v>
      </c>
      <c r="AK2175" t="n">
        <v>20</v>
      </c>
      <c r="AL2175" t="n">
        <v>0</v>
      </c>
      <c r="AM2175" t="n">
        <v>6</v>
      </c>
      <c r="AN2175" t="n">
        <v>0</v>
      </c>
      <c r="AO2175" t="n">
        <v>2</v>
      </c>
      <c r="AP2175" t="inlineStr">
        <is>
          <t>No</t>
        </is>
      </c>
      <c r="AQ2175" t="inlineStr">
        <is>
          <t>No</t>
        </is>
      </c>
      <c r="AS2175">
        <f>HYPERLINK("https://creighton-primo.hosted.exlibrisgroup.com/primo-explore/search?tab=default_tab&amp;search_scope=EVERYTHING&amp;vid=01CRU&amp;lang=en_US&amp;offset=0&amp;query=any,contains,991002269259702656","Catalog Record")</f>
        <v/>
      </c>
      <c r="AT2175">
        <f>HYPERLINK("http://www.worldcat.org/oclc/29434712","WorldCat Record")</f>
        <v/>
      </c>
      <c r="AU2175" t="inlineStr">
        <is>
          <t>16951462:eng</t>
        </is>
      </c>
      <c r="AV2175" t="inlineStr">
        <is>
          <t>29434712</t>
        </is>
      </c>
      <c r="AW2175" t="inlineStr">
        <is>
          <t>991002269259702656</t>
        </is>
      </c>
      <c r="AX2175" t="inlineStr">
        <is>
          <t>991002269259702656</t>
        </is>
      </c>
      <c r="AY2175" t="inlineStr">
        <is>
          <t>2259802650002656</t>
        </is>
      </c>
      <c r="AZ2175" t="inlineStr">
        <is>
          <t>BOOK</t>
        </is>
      </c>
      <c r="BB2175" t="inlineStr">
        <is>
          <t>9780226306285</t>
        </is>
      </c>
      <c r="BC2175" t="inlineStr">
        <is>
          <t>32285002394434</t>
        </is>
      </c>
      <c r="BD2175" t="inlineStr">
        <is>
          <t>893439970</t>
        </is>
      </c>
    </row>
    <row r="2176">
      <c r="A2176" t="inlineStr">
        <is>
          <t>No</t>
        </is>
      </c>
      <c r="B2176" t="inlineStr">
        <is>
          <t>HQ76.25 .H34 1994</t>
        </is>
      </c>
      <c r="C2176" t="inlineStr">
        <is>
          <t>0                      HQ 0076250H  34          1994</t>
        </is>
      </c>
      <c r="D2176" t="inlineStr">
        <is>
          <t>The science of desire : the search for the gay gene and the biology of behavior / Dean Hamer and Peter Copeland.</t>
        </is>
      </c>
      <c r="F2176" t="inlineStr">
        <is>
          <t>No</t>
        </is>
      </c>
      <c r="G2176" t="inlineStr">
        <is>
          <t>1</t>
        </is>
      </c>
      <c r="H2176" t="inlineStr">
        <is>
          <t>No</t>
        </is>
      </c>
      <c r="I2176" t="inlineStr">
        <is>
          <t>No</t>
        </is>
      </c>
      <c r="J2176" t="inlineStr">
        <is>
          <t>0</t>
        </is>
      </c>
      <c r="K2176" t="inlineStr">
        <is>
          <t>Hamer, Dean H.</t>
        </is>
      </c>
      <c r="L2176" t="inlineStr">
        <is>
          <t>New York : Simon &amp; Schuster, c1994.</t>
        </is>
      </c>
      <c r="M2176" t="inlineStr">
        <is>
          <t>1994</t>
        </is>
      </c>
      <c r="O2176" t="inlineStr">
        <is>
          <t>eng</t>
        </is>
      </c>
      <c r="P2176" t="inlineStr">
        <is>
          <t>nyu</t>
        </is>
      </c>
      <c r="R2176" t="inlineStr">
        <is>
          <t xml:space="preserve">HQ </t>
        </is>
      </c>
      <c r="S2176" t="n">
        <v>35</v>
      </c>
      <c r="T2176" t="n">
        <v>35</v>
      </c>
      <c r="U2176" t="inlineStr">
        <is>
          <t>2007-05-22</t>
        </is>
      </c>
      <c r="V2176" t="inlineStr">
        <is>
          <t>2007-05-22</t>
        </is>
      </c>
      <c r="W2176" t="inlineStr">
        <is>
          <t>1995-03-21</t>
        </is>
      </c>
      <c r="X2176" t="inlineStr">
        <is>
          <t>1995-03-21</t>
        </is>
      </c>
      <c r="Y2176" t="n">
        <v>1151</v>
      </c>
      <c r="Z2176" t="n">
        <v>1030</v>
      </c>
      <c r="AA2176" t="n">
        <v>1072</v>
      </c>
      <c r="AB2176" t="n">
        <v>8</v>
      </c>
      <c r="AC2176" t="n">
        <v>8</v>
      </c>
      <c r="AD2176" t="n">
        <v>35</v>
      </c>
      <c r="AE2176" t="n">
        <v>36</v>
      </c>
      <c r="AF2176" t="n">
        <v>14</v>
      </c>
      <c r="AG2176" t="n">
        <v>15</v>
      </c>
      <c r="AH2176" t="n">
        <v>5</v>
      </c>
      <c r="AI2176" t="n">
        <v>5</v>
      </c>
      <c r="AJ2176" t="n">
        <v>15</v>
      </c>
      <c r="AK2176" t="n">
        <v>15</v>
      </c>
      <c r="AL2176" t="n">
        <v>6</v>
      </c>
      <c r="AM2176" t="n">
        <v>6</v>
      </c>
      <c r="AN2176" t="n">
        <v>1</v>
      </c>
      <c r="AO2176" t="n">
        <v>1</v>
      </c>
      <c r="AP2176" t="inlineStr">
        <is>
          <t>No</t>
        </is>
      </c>
      <c r="AQ2176" t="inlineStr">
        <is>
          <t>Yes</t>
        </is>
      </c>
      <c r="AR2176">
        <f>HYPERLINK("http://catalog.hathitrust.org/Record/002889852","HathiTrust Record")</f>
        <v/>
      </c>
      <c r="AS2176">
        <f>HYPERLINK("https://creighton-primo.hosted.exlibrisgroup.com/primo-explore/search?tab=default_tab&amp;search_scope=EVERYTHING&amp;vid=01CRU&amp;lang=en_US&amp;offset=0&amp;query=any,contains,991002364239702656","Catalog Record")</f>
        <v/>
      </c>
      <c r="AT2176">
        <f>HYPERLINK("http://www.worldcat.org/oclc/30737839","WorldCat Record")</f>
        <v/>
      </c>
      <c r="AU2176" t="inlineStr">
        <is>
          <t>836897085:eng</t>
        </is>
      </c>
      <c r="AV2176" t="inlineStr">
        <is>
          <t>30737839</t>
        </is>
      </c>
      <c r="AW2176" t="inlineStr">
        <is>
          <t>991002364239702656</t>
        </is>
      </c>
      <c r="AX2176" t="inlineStr">
        <is>
          <t>991002364239702656</t>
        </is>
      </c>
      <c r="AY2176" t="inlineStr">
        <is>
          <t>2266611060002656</t>
        </is>
      </c>
      <c r="AZ2176" t="inlineStr">
        <is>
          <t>BOOK</t>
        </is>
      </c>
      <c r="BB2176" t="inlineStr">
        <is>
          <t>9780671887247</t>
        </is>
      </c>
      <c r="BC2176" t="inlineStr">
        <is>
          <t>32285002003365</t>
        </is>
      </c>
      <c r="BD2176" t="inlineStr">
        <is>
          <t>893622200</t>
        </is>
      </c>
    </row>
    <row r="2177">
      <c r="A2177" t="inlineStr">
        <is>
          <t>No</t>
        </is>
      </c>
      <c r="B2177" t="inlineStr">
        <is>
          <t>HQ76.25 .H44 2000</t>
        </is>
      </c>
      <c r="C2177" t="inlineStr">
        <is>
          <t>0                      HQ 0076250H  44          2000</t>
        </is>
      </c>
      <c r="D2177" t="inlineStr">
        <is>
          <t>Something to tell you : the road families travel when a child is gay / Gilbert Herdt and Bruce Koff.</t>
        </is>
      </c>
      <c r="F2177" t="inlineStr">
        <is>
          <t>No</t>
        </is>
      </c>
      <c r="G2177" t="inlineStr">
        <is>
          <t>1</t>
        </is>
      </c>
      <c r="H2177" t="inlineStr">
        <is>
          <t>No</t>
        </is>
      </c>
      <c r="I2177" t="inlineStr">
        <is>
          <t>No</t>
        </is>
      </c>
      <c r="J2177" t="inlineStr">
        <is>
          <t>0</t>
        </is>
      </c>
      <c r="K2177" t="inlineStr">
        <is>
          <t>Herdt, Gilbert H., 1949-</t>
        </is>
      </c>
      <c r="L2177" t="inlineStr">
        <is>
          <t>New York : Columbia University Press, c2000.</t>
        </is>
      </c>
      <c r="M2177" t="inlineStr">
        <is>
          <t>2000</t>
        </is>
      </c>
      <c r="O2177" t="inlineStr">
        <is>
          <t>eng</t>
        </is>
      </c>
      <c r="P2177" t="inlineStr">
        <is>
          <t>nyu</t>
        </is>
      </c>
      <c r="Q2177" t="inlineStr">
        <is>
          <t>Between men--between women</t>
        </is>
      </c>
      <c r="R2177" t="inlineStr">
        <is>
          <t xml:space="preserve">HQ </t>
        </is>
      </c>
      <c r="S2177" t="n">
        <v>2</v>
      </c>
      <c r="T2177" t="n">
        <v>2</v>
      </c>
      <c r="U2177" t="inlineStr">
        <is>
          <t>2000-12-05</t>
        </is>
      </c>
      <c r="V2177" t="inlineStr">
        <is>
          <t>2000-12-05</t>
        </is>
      </c>
      <c r="W2177" t="inlineStr">
        <is>
          <t>2000-12-05</t>
        </is>
      </c>
      <c r="X2177" t="inlineStr">
        <is>
          <t>2000-12-05</t>
        </is>
      </c>
      <c r="Y2177" t="n">
        <v>505</v>
      </c>
      <c r="Z2177" t="n">
        <v>447</v>
      </c>
      <c r="AA2177" t="n">
        <v>1171</v>
      </c>
      <c r="AB2177" t="n">
        <v>4</v>
      </c>
      <c r="AC2177" t="n">
        <v>27</v>
      </c>
      <c r="AD2177" t="n">
        <v>15</v>
      </c>
      <c r="AE2177" t="n">
        <v>31</v>
      </c>
      <c r="AF2177" t="n">
        <v>3</v>
      </c>
      <c r="AG2177" t="n">
        <v>9</v>
      </c>
      <c r="AH2177" t="n">
        <v>4</v>
      </c>
      <c r="AI2177" t="n">
        <v>4</v>
      </c>
      <c r="AJ2177" t="n">
        <v>10</v>
      </c>
      <c r="AK2177" t="n">
        <v>14</v>
      </c>
      <c r="AL2177" t="n">
        <v>2</v>
      </c>
      <c r="AM2177" t="n">
        <v>11</v>
      </c>
      <c r="AN2177" t="n">
        <v>1</v>
      </c>
      <c r="AO2177" t="n">
        <v>1</v>
      </c>
      <c r="AP2177" t="inlineStr">
        <is>
          <t>No</t>
        </is>
      </c>
      <c r="AQ2177" t="inlineStr">
        <is>
          <t>No</t>
        </is>
      </c>
      <c r="AS2177">
        <f>HYPERLINK("https://creighton-primo.hosted.exlibrisgroup.com/primo-explore/search?tab=default_tab&amp;search_scope=EVERYTHING&amp;vid=01CRU&amp;lang=en_US&amp;offset=0&amp;query=any,contains,991003329049702656","Catalog Record")</f>
        <v/>
      </c>
      <c r="AT2177">
        <f>HYPERLINK("http://www.worldcat.org/oclc/41628285","WorldCat Record")</f>
        <v/>
      </c>
      <c r="AU2177" t="inlineStr">
        <is>
          <t>800133515:eng</t>
        </is>
      </c>
      <c r="AV2177" t="inlineStr">
        <is>
          <t>41628285</t>
        </is>
      </c>
      <c r="AW2177" t="inlineStr">
        <is>
          <t>991003329049702656</t>
        </is>
      </c>
      <c r="AX2177" t="inlineStr">
        <is>
          <t>991003329049702656</t>
        </is>
      </c>
      <c r="AY2177" t="inlineStr">
        <is>
          <t>2271381520002656</t>
        </is>
      </c>
      <c r="AZ2177" t="inlineStr">
        <is>
          <t>BOOK</t>
        </is>
      </c>
      <c r="BB2177" t="inlineStr">
        <is>
          <t>9780231104388</t>
        </is>
      </c>
      <c r="BC2177" t="inlineStr">
        <is>
          <t>32285004269923</t>
        </is>
      </c>
      <c r="BD2177" t="inlineStr">
        <is>
          <t>893721902</t>
        </is>
      </c>
    </row>
    <row r="2178">
      <c r="A2178" t="inlineStr">
        <is>
          <t>No</t>
        </is>
      </c>
      <c r="B2178" t="inlineStr">
        <is>
          <t>HQ76.25 .H46 1995</t>
        </is>
      </c>
      <c r="C2178" t="inlineStr">
        <is>
          <t>0                      HQ 0076250H  46          1995</t>
        </is>
      </c>
      <c r="D2178" t="inlineStr">
        <is>
          <t>Psychiatry, psychology, and homosexuality / Ellen Herman ; Martin Duberman, general editor.</t>
        </is>
      </c>
      <c r="F2178" t="inlineStr">
        <is>
          <t>No</t>
        </is>
      </c>
      <c r="G2178" t="inlineStr">
        <is>
          <t>1</t>
        </is>
      </c>
      <c r="H2178" t="inlineStr">
        <is>
          <t>No</t>
        </is>
      </c>
      <c r="I2178" t="inlineStr">
        <is>
          <t>No</t>
        </is>
      </c>
      <c r="J2178" t="inlineStr">
        <is>
          <t>0</t>
        </is>
      </c>
      <c r="K2178" t="inlineStr">
        <is>
          <t>Herman, Ellen, 1957-</t>
        </is>
      </c>
      <c r="L2178" t="inlineStr">
        <is>
          <t>New York : Chelsea House Publishers, c1995.</t>
        </is>
      </c>
      <c r="M2178" t="inlineStr">
        <is>
          <t>1995</t>
        </is>
      </c>
      <c r="O2178" t="inlineStr">
        <is>
          <t>eng</t>
        </is>
      </c>
      <c r="P2178" t="inlineStr">
        <is>
          <t>nyu</t>
        </is>
      </c>
      <c r="Q2178" t="inlineStr">
        <is>
          <t>Issues in lesbian and gay life</t>
        </is>
      </c>
      <c r="R2178" t="inlineStr">
        <is>
          <t xml:space="preserve">HQ </t>
        </is>
      </c>
      <c r="S2178" t="n">
        <v>28</v>
      </c>
      <c r="T2178" t="n">
        <v>28</v>
      </c>
      <c r="U2178" t="inlineStr">
        <is>
          <t>2010-04-14</t>
        </is>
      </c>
      <c r="V2178" t="inlineStr">
        <is>
          <t>2010-04-14</t>
        </is>
      </c>
      <c r="W2178" t="inlineStr">
        <is>
          <t>1996-11-20</t>
        </is>
      </c>
      <c r="X2178" t="inlineStr">
        <is>
          <t>1996-11-20</t>
        </is>
      </c>
      <c r="Y2178" t="n">
        <v>199</v>
      </c>
      <c r="Z2178" t="n">
        <v>185</v>
      </c>
      <c r="AA2178" t="n">
        <v>202</v>
      </c>
      <c r="AB2178" t="n">
        <v>2</v>
      </c>
      <c r="AC2178" t="n">
        <v>2</v>
      </c>
      <c r="AD2178" t="n">
        <v>1</v>
      </c>
      <c r="AE2178" t="n">
        <v>3</v>
      </c>
      <c r="AF2178" t="n">
        <v>0</v>
      </c>
      <c r="AG2178" t="n">
        <v>1</v>
      </c>
      <c r="AH2178" t="n">
        <v>0</v>
      </c>
      <c r="AI2178" t="n">
        <v>1</v>
      </c>
      <c r="AJ2178" t="n">
        <v>0</v>
      </c>
      <c r="AK2178" t="n">
        <v>0</v>
      </c>
      <c r="AL2178" t="n">
        <v>1</v>
      </c>
      <c r="AM2178" t="n">
        <v>1</v>
      </c>
      <c r="AN2178" t="n">
        <v>0</v>
      </c>
      <c r="AO2178" t="n">
        <v>0</v>
      </c>
      <c r="AP2178" t="inlineStr">
        <is>
          <t>No</t>
        </is>
      </c>
      <c r="AQ2178" t="inlineStr">
        <is>
          <t>Yes</t>
        </is>
      </c>
      <c r="AR2178">
        <f>HYPERLINK("http://catalog.hathitrust.org/Record/003101861","HathiTrust Record")</f>
        <v/>
      </c>
      <c r="AS2178">
        <f>HYPERLINK("https://creighton-primo.hosted.exlibrisgroup.com/primo-explore/search?tab=default_tab&amp;search_scope=EVERYTHING&amp;vid=01CRU&amp;lang=en_US&amp;offset=0&amp;query=any,contains,991002434949702656","Catalog Record")</f>
        <v/>
      </c>
      <c r="AT2178">
        <f>HYPERLINK("http://www.worldcat.org/oclc/31740432","WorldCat Record")</f>
        <v/>
      </c>
      <c r="AU2178" t="inlineStr">
        <is>
          <t>34436971:eng</t>
        </is>
      </c>
      <c r="AV2178" t="inlineStr">
        <is>
          <t>31740432</t>
        </is>
      </c>
      <c r="AW2178" t="inlineStr">
        <is>
          <t>991002434949702656</t>
        </is>
      </c>
      <c r="AX2178" t="inlineStr">
        <is>
          <t>991002434949702656</t>
        </is>
      </c>
      <c r="AY2178" t="inlineStr">
        <is>
          <t>2271671940002656</t>
        </is>
      </c>
      <c r="AZ2178" t="inlineStr">
        <is>
          <t>BOOK</t>
        </is>
      </c>
      <c r="BB2178" t="inlineStr">
        <is>
          <t>9780791026281</t>
        </is>
      </c>
      <c r="BC2178" t="inlineStr">
        <is>
          <t>32285002374592</t>
        </is>
      </c>
      <c r="BD2178" t="inlineStr">
        <is>
          <t>893239032</t>
        </is>
      </c>
    </row>
    <row r="2179">
      <c r="A2179" t="inlineStr">
        <is>
          <t>No</t>
        </is>
      </c>
      <c r="B2179" t="inlineStr">
        <is>
          <t>HQ76.25 .H527 1990</t>
        </is>
      </c>
      <c r="C2179" t="inlineStr">
        <is>
          <t>0                      HQ 0076250H  527         1990</t>
        </is>
      </c>
      <c r="D2179" t="inlineStr">
        <is>
          <t>Hidden from history : reclaiming the gay and lesbian past / edited by Martin Duberman, Martha Vicinus, and George Chauncey, Jr.</t>
        </is>
      </c>
      <c r="F2179" t="inlineStr">
        <is>
          <t>No</t>
        </is>
      </c>
      <c r="G2179" t="inlineStr">
        <is>
          <t>1</t>
        </is>
      </c>
      <c r="H2179" t="inlineStr">
        <is>
          <t>No</t>
        </is>
      </c>
      <c r="I2179" t="inlineStr">
        <is>
          <t>No</t>
        </is>
      </c>
      <c r="J2179" t="inlineStr">
        <is>
          <t>0</t>
        </is>
      </c>
      <c r="L2179" t="inlineStr">
        <is>
          <t>New York, N.Y. : Penguin Group, 1990, c1989.</t>
        </is>
      </c>
      <c r="M2179" t="inlineStr">
        <is>
          <t>1990</t>
        </is>
      </c>
      <c r="O2179" t="inlineStr">
        <is>
          <t>eng</t>
        </is>
      </c>
      <c r="P2179" t="inlineStr">
        <is>
          <t>nyu</t>
        </is>
      </c>
      <c r="R2179" t="inlineStr">
        <is>
          <t xml:space="preserve">HQ </t>
        </is>
      </c>
      <c r="S2179" t="n">
        <v>18</v>
      </c>
      <c r="T2179" t="n">
        <v>18</v>
      </c>
      <c r="U2179" t="inlineStr">
        <is>
          <t>2008-12-03</t>
        </is>
      </c>
      <c r="V2179" t="inlineStr">
        <is>
          <t>2008-12-03</t>
        </is>
      </c>
      <c r="W2179" t="inlineStr">
        <is>
          <t>1996-06-20</t>
        </is>
      </c>
      <c r="X2179" t="inlineStr">
        <is>
          <t>1996-06-20</t>
        </is>
      </c>
      <c r="Y2179" t="n">
        <v>214</v>
      </c>
      <c r="Z2179" t="n">
        <v>170</v>
      </c>
      <c r="AA2179" t="n">
        <v>1072</v>
      </c>
      <c r="AB2179" t="n">
        <v>2</v>
      </c>
      <c r="AC2179" t="n">
        <v>9</v>
      </c>
      <c r="AD2179" t="n">
        <v>6</v>
      </c>
      <c r="AE2179" t="n">
        <v>40</v>
      </c>
      <c r="AF2179" t="n">
        <v>1</v>
      </c>
      <c r="AG2179" t="n">
        <v>18</v>
      </c>
      <c r="AH2179" t="n">
        <v>1</v>
      </c>
      <c r="AI2179" t="n">
        <v>7</v>
      </c>
      <c r="AJ2179" t="n">
        <v>3</v>
      </c>
      <c r="AK2179" t="n">
        <v>18</v>
      </c>
      <c r="AL2179" t="n">
        <v>1</v>
      </c>
      <c r="AM2179" t="n">
        <v>8</v>
      </c>
      <c r="AN2179" t="n">
        <v>0</v>
      </c>
      <c r="AO2179" t="n">
        <v>0</v>
      </c>
      <c r="AP2179" t="inlineStr">
        <is>
          <t>No</t>
        </is>
      </c>
      <c r="AQ2179" t="inlineStr">
        <is>
          <t>Yes</t>
        </is>
      </c>
      <c r="AR2179">
        <f>HYPERLINK("http://catalog.hathitrust.org/Record/009921689","HathiTrust Record")</f>
        <v/>
      </c>
      <c r="AS2179">
        <f>HYPERLINK("https://creighton-primo.hosted.exlibrisgroup.com/primo-explore/search?tab=default_tab&amp;search_scope=EVERYTHING&amp;vid=01CRU&amp;lang=en_US&amp;offset=0&amp;query=any,contains,991001822379702656","Catalog Record")</f>
        <v/>
      </c>
      <c r="AT2179">
        <f>HYPERLINK("http://www.worldcat.org/oclc/22902924","WorldCat Record")</f>
        <v/>
      </c>
      <c r="AU2179" t="inlineStr">
        <is>
          <t>3768888623:eng</t>
        </is>
      </c>
      <c r="AV2179" t="inlineStr">
        <is>
          <t>22902924</t>
        </is>
      </c>
      <c r="AW2179" t="inlineStr">
        <is>
          <t>991001822379702656</t>
        </is>
      </c>
      <c r="AX2179" t="inlineStr">
        <is>
          <t>991001822379702656</t>
        </is>
      </c>
      <c r="AY2179" t="inlineStr">
        <is>
          <t>2268279070002656</t>
        </is>
      </c>
      <c r="AZ2179" t="inlineStr">
        <is>
          <t>BOOK</t>
        </is>
      </c>
      <c r="BB2179" t="inlineStr">
        <is>
          <t>9780452010673</t>
        </is>
      </c>
      <c r="BC2179" t="inlineStr">
        <is>
          <t>32285002170974</t>
        </is>
      </c>
      <c r="BD2179" t="inlineStr">
        <is>
          <t>893261955</t>
        </is>
      </c>
    </row>
    <row r="2180">
      <c r="A2180" t="inlineStr">
        <is>
          <t>No</t>
        </is>
      </c>
      <c r="B2180" t="inlineStr">
        <is>
          <t>HQ76.25 .H5813 2000</t>
        </is>
      </c>
      <c r="C2180" t="inlineStr">
        <is>
          <t>0                      HQ 0076250H  5813        2000</t>
        </is>
      </c>
      <c r="D2180" t="inlineStr">
        <is>
          <t>The homosexuality of men and women / Magnus Hirschfeld ; translated by Michael A. Lombardi-Nash ; introduction by Vern L. Bullough.</t>
        </is>
      </c>
      <c r="F2180" t="inlineStr">
        <is>
          <t>No</t>
        </is>
      </c>
      <c r="G2180" t="inlineStr">
        <is>
          <t>1</t>
        </is>
      </c>
      <c r="H2180" t="inlineStr">
        <is>
          <t>No</t>
        </is>
      </c>
      <c r="I2180" t="inlineStr">
        <is>
          <t>No</t>
        </is>
      </c>
      <c r="J2180" t="inlineStr">
        <is>
          <t>0</t>
        </is>
      </c>
      <c r="K2180" t="inlineStr">
        <is>
          <t>Hirschfeld, Magnus, 1868-1935.</t>
        </is>
      </c>
      <c r="L2180" t="inlineStr">
        <is>
          <t>Amherst, NY : Prometheus Books, c2000.</t>
        </is>
      </c>
      <c r="M2180" t="inlineStr">
        <is>
          <t>2000</t>
        </is>
      </c>
      <c r="O2180" t="inlineStr">
        <is>
          <t>eng</t>
        </is>
      </c>
      <c r="P2180" t="inlineStr">
        <is>
          <t>nyu</t>
        </is>
      </c>
      <c r="R2180" t="inlineStr">
        <is>
          <t xml:space="preserve">HQ </t>
        </is>
      </c>
      <c r="S2180" t="n">
        <v>4</v>
      </c>
      <c r="T2180" t="n">
        <v>4</v>
      </c>
      <c r="U2180" t="inlineStr">
        <is>
          <t>2006-06-01</t>
        </is>
      </c>
      <c r="V2180" t="inlineStr">
        <is>
          <t>2006-06-01</t>
        </is>
      </c>
      <c r="W2180" t="inlineStr">
        <is>
          <t>2001-03-26</t>
        </is>
      </c>
      <c r="X2180" t="inlineStr">
        <is>
          <t>2001-03-26</t>
        </is>
      </c>
      <c r="Y2180" t="n">
        <v>339</v>
      </c>
      <c r="Z2180" t="n">
        <v>296</v>
      </c>
      <c r="AA2180" t="n">
        <v>298</v>
      </c>
      <c r="AB2180" t="n">
        <v>3</v>
      </c>
      <c r="AC2180" t="n">
        <v>3</v>
      </c>
      <c r="AD2180" t="n">
        <v>19</v>
      </c>
      <c r="AE2180" t="n">
        <v>19</v>
      </c>
      <c r="AF2180" t="n">
        <v>8</v>
      </c>
      <c r="AG2180" t="n">
        <v>8</v>
      </c>
      <c r="AH2180" t="n">
        <v>3</v>
      </c>
      <c r="AI2180" t="n">
        <v>3</v>
      </c>
      <c r="AJ2180" t="n">
        <v>10</v>
      </c>
      <c r="AK2180" t="n">
        <v>10</v>
      </c>
      <c r="AL2180" t="n">
        <v>2</v>
      </c>
      <c r="AM2180" t="n">
        <v>2</v>
      </c>
      <c r="AN2180" t="n">
        <v>0</v>
      </c>
      <c r="AO2180" t="n">
        <v>0</v>
      </c>
      <c r="AP2180" t="inlineStr">
        <is>
          <t>No</t>
        </is>
      </c>
      <c r="AQ2180" t="inlineStr">
        <is>
          <t>Yes</t>
        </is>
      </c>
      <c r="AR2180">
        <f>HYPERLINK("http://catalog.hathitrust.org/Record/004030016","HathiTrust Record")</f>
        <v/>
      </c>
      <c r="AS2180">
        <f>HYPERLINK("https://creighton-primo.hosted.exlibrisgroup.com/primo-explore/search?tab=default_tab&amp;search_scope=EVERYTHING&amp;vid=01CRU&amp;lang=en_US&amp;offset=0&amp;query=any,contains,991003498519702656","Catalog Record")</f>
        <v/>
      </c>
      <c r="AT2180">
        <f>HYPERLINK("http://www.worldcat.org/oclc/41090824","WorldCat Record")</f>
        <v/>
      </c>
      <c r="AU2180" t="inlineStr">
        <is>
          <t>4095720700:eng</t>
        </is>
      </c>
      <c r="AV2180" t="inlineStr">
        <is>
          <t>41090824</t>
        </is>
      </c>
      <c r="AW2180" t="inlineStr">
        <is>
          <t>991003498519702656</t>
        </is>
      </c>
      <c r="AX2180" t="inlineStr">
        <is>
          <t>991003498519702656</t>
        </is>
      </c>
      <c r="AY2180" t="inlineStr">
        <is>
          <t>2265818810002656</t>
        </is>
      </c>
      <c r="AZ2180" t="inlineStr">
        <is>
          <t>BOOK</t>
        </is>
      </c>
      <c r="BB2180" t="inlineStr">
        <is>
          <t>9781573927055</t>
        </is>
      </c>
      <c r="BC2180" t="inlineStr">
        <is>
          <t>32285004307046</t>
        </is>
      </c>
      <c r="BD2180" t="inlineStr">
        <is>
          <t>893342621</t>
        </is>
      </c>
    </row>
    <row r="2181">
      <c r="A2181" t="inlineStr">
        <is>
          <t>No</t>
        </is>
      </c>
      <c r="B2181" t="inlineStr">
        <is>
          <t>HQ76.25 .H673 1980</t>
        </is>
      </c>
      <c r="C2181" t="inlineStr">
        <is>
          <t>0                      HQ 0076250H  673         1980</t>
        </is>
      </c>
      <c r="D2181" t="inlineStr">
        <is>
          <t>Homosexual behavior : a modern reappraisal / edited by Judd Marmor.</t>
        </is>
      </c>
      <c r="F2181" t="inlineStr">
        <is>
          <t>No</t>
        </is>
      </c>
      <c r="G2181" t="inlineStr">
        <is>
          <t>1</t>
        </is>
      </c>
      <c r="H2181" t="inlineStr">
        <is>
          <t>Yes</t>
        </is>
      </c>
      <c r="I2181" t="inlineStr">
        <is>
          <t>No</t>
        </is>
      </c>
      <c r="J2181" t="inlineStr">
        <is>
          <t>0</t>
        </is>
      </c>
      <c r="L2181" t="inlineStr">
        <is>
          <t>New York : Basic Books, c1980.</t>
        </is>
      </c>
      <c r="M2181" t="inlineStr">
        <is>
          <t>1980</t>
        </is>
      </c>
      <c r="O2181" t="inlineStr">
        <is>
          <t>eng</t>
        </is>
      </c>
      <c r="P2181" t="inlineStr">
        <is>
          <t>nyu</t>
        </is>
      </c>
      <c r="R2181" t="inlineStr">
        <is>
          <t xml:space="preserve">HQ </t>
        </is>
      </c>
      <c r="S2181" t="n">
        <v>36</v>
      </c>
      <c r="T2181" t="n">
        <v>36</v>
      </c>
      <c r="U2181" t="inlineStr">
        <is>
          <t>2005-12-12</t>
        </is>
      </c>
      <c r="V2181" t="inlineStr">
        <is>
          <t>2005-12-12</t>
        </is>
      </c>
      <c r="W2181" t="inlineStr">
        <is>
          <t>1990-02-13</t>
        </is>
      </c>
      <c r="X2181" t="inlineStr">
        <is>
          <t>1990-02-13</t>
        </is>
      </c>
      <c r="Y2181" t="n">
        <v>848</v>
      </c>
      <c r="Z2181" t="n">
        <v>747</v>
      </c>
      <c r="AA2181" t="n">
        <v>757</v>
      </c>
      <c r="AB2181" t="n">
        <v>5</v>
      </c>
      <c r="AC2181" t="n">
        <v>5</v>
      </c>
      <c r="AD2181" t="n">
        <v>29</v>
      </c>
      <c r="AE2181" t="n">
        <v>29</v>
      </c>
      <c r="AF2181" t="n">
        <v>15</v>
      </c>
      <c r="AG2181" t="n">
        <v>15</v>
      </c>
      <c r="AH2181" t="n">
        <v>6</v>
      </c>
      <c r="AI2181" t="n">
        <v>6</v>
      </c>
      <c r="AJ2181" t="n">
        <v>11</v>
      </c>
      <c r="AK2181" t="n">
        <v>11</v>
      </c>
      <c r="AL2181" t="n">
        <v>3</v>
      </c>
      <c r="AM2181" t="n">
        <v>3</v>
      </c>
      <c r="AN2181" t="n">
        <v>0</v>
      </c>
      <c r="AO2181" t="n">
        <v>0</v>
      </c>
      <c r="AP2181" t="inlineStr">
        <is>
          <t>No</t>
        </is>
      </c>
      <c r="AQ2181" t="inlineStr">
        <is>
          <t>Yes</t>
        </is>
      </c>
      <c r="AR2181">
        <f>HYPERLINK("http://catalog.hathitrust.org/Record/000695174","HathiTrust Record")</f>
        <v/>
      </c>
      <c r="AS2181">
        <f>HYPERLINK("https://creighton-primo.hosted.exlibrisgroup.com/primo-explore/search?tab=default_tab&amp;search_scope=EVERYTHING&amp;vid=01CRU&amp;lang=en_US&amp;offset=0&amp;query=any,contains,991004903279702656","Catalog Record")</f>
        <v/>
      </c>
      <c r="AT2181">
        <f>HYPERLINK("http://www.worldcat.org/oclc/5942492","WorldCat Record")</f>
        <v/>
      </c>
      <c r="AU2181" t="inlineStr">
        <is>
          <t>917109508:eng</t>
        </is>
      </c>
      <c r="AV2181" t="inlineStr">
        <is>
          <t>5942492</t>
        </is>
      </c>
      <c r="AW2181" t="inlineStr">
        <is>
          <t>991004903279702656</t>
        </is>
      </c>
      <c r="AX2181" t="inlineStr">
        <is>
          <t>991004903279702656</t>
        </is>
      </c>
      <c r="AY2181" t="inlineStr">
        <is>
          <t>2270569370002656</t>
        </is>
      </c>
      <c r="AZ2181" t="inlineStr">
        <is>
          <t>BOOK</t>
        </is>
      </c>
      <c r="BB2181" t="inlineStr">
        <is>
          <t>9780465030453</t>
        </is>
      </c>
      <c r="BC2181" t="inlineStr">
        <is>
          <t>32285000050160</t>
        </is>
      </c>
      <c r="BD2181" t="inlineStr">
        <is>
          <t>893795377</t>
        </is>
      </c>
    </row>
    <row r="2182">
      <c r="A2182" t="inlineStr">
        <is>
          <t>No</t>
        </is>
      </c>
      <c r="B2182" t="inlineStr">
        <is>
          <t>HQ76.25 .H84 2003</t>
        </is>
      </c>
      <c r="C2182" t="inlineStr">
        <is>
          <t>0                      HQ 0076250H  84          2003</t>
        </is>
      </c>
      <c r="D2182" t="inlineStr">
        <is>
          <t>GLBTQ : the survival guide for queer &amp; questioning teens / Kelly Huegel.</t>
        </is>
      </c>
      <c r="F2182" t="inlineStr">
        <is>
          <t>No</t>
        </is>
      </c>
      <c r="G2182" t="inlineStr">
        <is>
          <t>1</t>
        </is>
      </c>
      <c r="H2182" t="inlineStr">
        <is>
          <t>No</t>
        </is>
      </c>
      <c r="I2182" t="inlineStr">
        <is>
          <t>No</t>
        </is>
      </c>
      <c r="J2182" t="inlineStr">
        <is>
          <t>0</t>
        </is>
      </c>
      <c r="K2182" t="inlineStr">
        <is>
          <t>Madrone, Kelly, 1974-</t>
        </is>
      </c>
      <c r="L2182" t="inlineStr">
        <is>
          <t>Minneapolis, MN : Free Spirit Pub., c2003.</t>
        </is>
      </c>
      <c r="M2182" t="inlineStr">
        <is>
          <t>2003</t>
        </is>
      </c>
      <c r="O2182" t="inlineStr">
        <is>
          <t>eng</t>
        </is>
      </c>
      <c r="P2182" t="inlineStr">
        <is>
          <t>mnu</t>
        </is>
      </c>
      <c r="R2182" t="inlineStr">
        <is>
          <t xml:space="preserve">HQ </t>
        </is>
      </c>
      <c r="S2182" t="n">
        <v>1</v>
      </c>
      <c r="T2182" t="n">
        <v>1</v>
      </c>
      <c r="U2182" t="inlineStr">
        <is>
          <t>2010-09-21</t>
        </is>
      </c>
      <c r="V2182" t="inlineStr">
        <is>
          <t>2010-09-21</t>
        </is>
      </c>
      <c r="W2182" t="inlineStr">
        <is>
          <t>2010-09-21</t>
        </is>
      </c>
      <c r="X2182" t="inlineStr">
        <is>
          <t>2010-09-21</t>
        </is>
      </c>
      <c r="Y2182" t="n">
        <v>612</v>
      </c>
      <c r="Z2182" t="n">
        <v>551</v>
      </c>
      <c r="AA2182" t="n">
        <v>557</v>
      </c>
      <c r="AB2182" t="n">
        <v>4</v>
      </c>
      <c r="AC2182" t="n">
        <v>4</v>
      </c>
      <c r="AD2182" t="n">
        <v>3</v>
      </c>
      <c r="AE2182" t="n">
        <v>3</v>
      </c>
      <c r="AF2182" t="n">
        <v>1</v>
      </c>
      <c r="AG2182" t="n">
        <v>1</v>
      </c>
      <c r="AH2182" t="n">
        <v>0</v>
      </c>
      <c r="AI2182" t="n">
        <v>0</v>
      </c>
      <c r="AJ2182" t="n">
        <v>1</v>
      </c>
      <c r="AK2182" t="n">
        <v>1</v>
      </c>
      <c r="AL2182" t="n">
        <v>1</v>
      </c>
      <c r="AM2182" t="n">
        <v>1</v>
      </c>
      <c r="AN2182" t="n">
        <v>0</v>
      </c>
      <c r="AO2182" t="n">
        <v>0</v>
      </c>
      <c r="AP2182" t="inlineStr">
        <is>
          <t>No</t>
        </is>
      </c>
      <c r="AQ2182" t="inlineStr">
        <is>
          <t>No</t>
        </is>
      </c>
      <c r="AS2182">
        <f>HYPERLINK("https://creighton-primo.hosted.exlibrisgroup.com/primo-explore/search?tab=default_tab&amp;search_scope=EVERYTHING&amp;vid=01CRU&amp;lang=en_US&amp;offset=0&amp;query=any,contains,991000095439702656","Catalog Record")</f>
        <v/>
      </c>
      <c r="AT2182">
        <f>HYPERLINK("http://www.worldcat.org/oclc/51505523","WorldCat Record")</f>
        <v/>
      </c>
      <c r="AU2182" t="inlineStr">
        <is>
          <t>3902103480:eng</t>
        </is>
      </c>
      <c r="AV2182" t="inlineStr">
        <is>
          <t>51505523</t>
        </is>
      </c>
      <c r="AW2182" t="inlineStr">
        <is>
          <t>991000095439702656</t>
        </is>
      </c>
      <c r="AX2182" t="inlineStr">
        <is>
          <t>991000095439702656</t>
        </is>
      </c>
      <c r="AY2182" t="inlineStr">
        <is>
          <t>2261371270002656</t>
        </is>
      </c>
      <c r="AZ2182" t="inlineStr">
        <is>
          <t>BOOK</t>
        </is>
      </c>
      <c r="BB2182" t="inlineStr">
        <is>
          <t>9781442005006</t>
        </is>
      </c>
      <c r="BC2182" t="inlineStr">
        <is>
          <t>32285005595623</t>
        </is>
      </c>
      <c r="BD2182" t="inlineStr">
        <is>
          <t>893249080</t>
        </is>
      </c>
    </row>
    <row r="2183">
      <c r="A2183" t="inlineStr">
        <is>
          <t>No</t>
        </is>
      </c>
      <c r="B2183" t="inlineStr">
        <is>
          <t>HQ76.25 .J37 2003</t>
        </is>
      </c>
      <c r="C2183" t="inlineStr">
        <is>
          <t>0                      HQ 0076250J  37          2003</t>
        </is>
      </c>
      <c r="D2183" t="inlineStr">
        <is>
          <t>Always my child : a parent's guide to understanding your gay, lesbian, bisexual, transgendered, or questioning son or daughter / Kevin Jennings with Pat Shapiro.</t>
        </is>
      </c>
      <c r="F2183" t="inlineStr">
        <is>
          <t>No</t>
        </is>
      </c>
      <c r="G2183" t="inlineStr">
        <is>
          <t>1</t>
        </is>
      </c>
      <c r="H2183" t="inlineStr">
        <is>
          <t>No</t>
        </is>
      </c>
      <c r="I2183" t="inlineStr">
        <is>
          <t>No</t>
        </is>
      </c>
      <c r="J2183" t="inlineStr">
        <is>
          <t>0</t>
        </is>
      </c>
      <c r="K2183" t="inlineStr">
        <is>
          <t>Jennings, Kevin, 1963-</t>
        </is>
      </c>
      <c r="L2183" t="inlineStr">
        <is>
          <t>New York : Simon &amp; Schuster, c2003</t>
        </is>
      </c>
      <c r="M2183" t="inlineStr">
        <is>
          <t>2003</t>
        </is>
      </c>
      <c r="O2183" t="inlineStr">
        <is>
          <t>eng</t>
        </is>
      </c>
      <c r="P2183" t="inlineStr">
        <is>
          <t>nyu</t>
        </is>
      </c>
      <c r="R2183" t="inlineStr">
        <is>
          <t xml:space="preserve">HQ </t>
        </is>
      </c>
      <c r="S2183" t="n">
        <v>4</v>
      </c>
      <c r="T2183" t="n">
        <v>4</v>
      </c>
      <c r="U2183" t="inlineStr">
        <is>
          <t>2006-07-11</t>
        </is>
      </c>
      <c r="V2183" t="inlineStr">
        <is>
          <t>2006-07-11</t>
        </is>
      </c>
      <c r="W2183" t="inlineStr">
        <is>
          <t>2004-05-11</t>
        </is>
      </c>
      <c r="X2183" t="inlineStr">
        <is>
          <t>2004-05-11</t>
        </is>
      </c>
      <c r="Y2183" t="n">
        <v>563</v>
      </c>
      <c r="Z2183" t="n">
        <v>532</v>
      </c>
      <c r="AA2183" t="n">
        <v>545</v>
      </c>
      <c r="AB2183" t="n">
        <v>1</v>
      </c>
      <c r="AC2183" t="n">
        <v>1</v>
      </c>
      <c r="AD2183" t="n">
        <v>1</v>
      </c>
      <c r="AE2183" t="n">
        <v>1</v>
      </c>
      <c r="AF2183" t="n">
        <v>0</v>
      </c>
      <c r="AG2183" t="n">
        <v>0</v>
      </c>
      <c r="AH2183" t="n">
        <v>0</v>
      </c>
      <c r="AI2183" t="n">
        <v>0</v>
      </c>
      <c r="AJ2183" t="n">
        <v>1</v>
      </c>
      <c r="AK2183" t="n">
        <v>1</v>
      </c>
      <c r="AL2183" t="n">
        <v>0</v>
      </c>
      <c r="AM2183" t="n">
        <v>0</v>
      </c>
      <c r="AN2183" t="n">
        <v>0</v>
      </c>
      <c r="AO2183" t="n">
        <v>0</v>
      </c>
      <c r="AP2183" t="inlineStr">
        <is>
          <t>No</t>
        </is>
      </c>
      <c r="AQ2183" t="inlineStr">
        <is>
          <t>Yes</t>
        </is>
      </c>
      <c r="AR2183">
        <f>HYPERLINK("http://catalog.hathitrust.org/Record/005213999","HathiTrust Record")</f>
        <v/>
      </c>
      <c r="AS2183">
        <f>HYPERLINK("https://creighton-primo.hosted.exlibrisgroup.com/primo-explore/search?tab=default_tab&amp;search_scope=EVERYTHING&amp;vid=01CRU&amp;lang=en_US&amp;offset=0&amp;query=any,contains,991004283339702656","Catalog Record")</f>
        <v/>
      </c>
      <c r="AT2183">
        <f>HYPERLINK("http://www.worldcat.org/oclc/50091771","WorldCat Record")</f>
        <v/>
      </c>
      <c r="AU2183" t="inlineStr">
        <is>
          <t>1997473:eng</t>
        </is>
      </c>
      <c r="AV2183" t="inlineStr">
        <is>
          <t>50091771</t>
        </is>
      </c>
      <c r="AW2183" t="inlineStr">
        <is>
          <t>991004283339702656</t>
        </is>
      </c>
      <c r="AX2183" t="inlineStr">
        <is>
          <t>991004283339702656</t>
        </is>
      </c>
      <c r="AY2183" t="inlineStr">
        <is>
          <t>2263341890002656</t>
        </is>
      </c>
      <c r="AZ2183" t="inlineStr">
        <is>
          <t>BOOK</t>
        </is>
      </c>
      <c r="BB2183" t="inlineStr">
        <is>
          <t>9780743226493</t>
        </is>
      </c>
      <c r="BC2183" t="inlineStr">
        <is>
          <t>32285004904644</t>
        </is>
      </c>
      <c r="BD2183" t="inlineStr">
        <is>
          <t>893612168</t>
        </is>
      </c>
    </row>
    <row r="2184">
      <c r="A2184" t="inlineStr">
        <is>
          <t>No</t>
        </is>
      </c>
      <c r="B2184" t="inlineStr">
        <is>
          <t>HQ76.25 .L38 1994</t>
        </is>
      </c>
      <c r="C2184" t="inlineStr">
        <is>
          <t>0                      HQ 0076250L  38          1994</t>
        </is>
      </c>
      <c r="D2184" t="inlineStr">
        <is>
          <t>Lavender culture / edited and with new introductions by Karla Jay and Allen Young ; foreword by Cindy Patton.</t>
        </is>
      </c>
      <c r="F2184" t="inlineStr">
        <is>
          <t>No</t>
        </is>
      </c>
      <c r="G2184" t="inlineStr">
        <is>
          <t>1</t>
        </is>
      </c>
      <c r="H2184" t="inlineStr">
        <is>
          <t>No</t>
        </is>
      </c>
      <c r="I2184" t="inlineStr">
        <is>
          <t>No</t>
        </is>
      </c>
      <c r="J2184" t="inlineStr">
        <is>
          <t>0</t>
        </is>
      </c>
      <c r="L2184" t="inlineStr">
        <is>
          <t>New York : New York University Press, c1994.</t>
        </is>
      </c>
      <c r="M2184" t="inlineStr">
        <is>
          <t>1994</t>
        </is>
      </c>
      <c r="O2184" t="inlineStr">
        <is>
          <t>eng</t>
        </is>
      </c>
      <c r="P2184" t="inlineStr">
        <is>
          <t>nyu</t>
        </is>
      </c>
      <c r="R2184" t="inlineStr">
        <is>
          <t xml:space="preserve">HQ </t>
        </is>
      </c>
      <c r="S2184" t="n">
        <v>4</v>
      </c>
      <c r="T2184" t="n">
        <v>4</v>
      </c>
      <c r="U2184" t="inlineStr">
        <is>
          <t>1996-08-09</t>
        </is>
      </c>
      <c r="V2184" t="inlineStr">
        <is>
          <t>1996-08-09</t>
        </is>
      </c>
      <c r="W2184" t="inlineStr">
        <is>
          <t>1996-07-30</t>
        </is>
      </c>
      <c r="X2184" t="inlineStr">
        <is>
          <t>1996-07-30</t>
        </is>
      </c>
      <c r="Y2184" t="n">
        <v>212</v>
      </c>
      <c r="Z2184" t="n">
        <v>178</v>
      </c>
      <c r="AA2184" t="n">
        <v>240</v>
      </c>
      <c r="AB2184" t="n">
        <v>1</v>
      </c>
      <c r="AC2184" t="n">
        <v>1</v>
      </c>
      <c r="AD2184" t="n">
        <v>5</v>
      </c>
      <c r="AE2184" t="n">
        <v>5</v>
      </c>
      <c r="AF2184" t="n">
        <v>1</v>
      </c>
      <c r="AG2184" t="n">
        <v>1</v>
      </c>
      <c r="AH2184" t="n">
        <v>2</v>
      </c>
      <c r="AI2184" t="n">
        <v>2</v>
      </c>
      <c r="AJ2184" t="n">
        <v>3</v>
      </c>
      <c r="AK2184" t="n">
        <v>3</v>
      </c>
      <c r="AL2184" t="n">
        <v>0</v>
      </c>
      <c r="AM2184" t="n">
        <v>0</v>
      </c>
      <c r="AN2184" t="n">
        <v>0</v>
      </c>
      <c r="AO2184" t="n">
        <v>0</v>
      </c>
      <c r="AP2184" t="inlineStr">
        <is>
          <t>No</t>
        </is>
      </c>
      <c r="AQ2184" t="inlineStr">
        <is>
          <t>No</t>
        </is>
      </c>
      <c r="AS2184">
        <f>HYPERLINK("https://creighton-primo.hosted.exlibrisgroup.com/primo-explore/search?tab=default_tab&amp;search_scope=EVERYTHING&amp;vid=01CRU&amp;lang=en_US&amp;offset=0&amp;query=any,contains,991002357219702656","Catalog Record")</f>
        <v/>
      </c>
      <c r="AT2184">
        <f>HYPERLINK("http://www.worldcat.org/oclc/30667647","WorldCat Record")</f>
        <v/>
      </c>
      <c r="AU2184" t="inlineStr">
        <is>
          <t>367551360:eng</t>
        </is>
      </c>
      <c r="AV2184" t="inlineStr">
        <is>
          <t>30667647</t>
        </is>
      </c>
      <c r="AW2184" t="inlineStr">
        <is>
          <t>991002357219702656</t>
        </is>
      </c>
      <c r="AX2184" t="inlineStr">
        <is>
          <t>991002357219702656</t>
        </is>
      </c>
      <c r="AY2184" t="inlineStr">
        <is>
          <t>2268131570002656</t>
        </is>
      </c>
      <c r="AZ2184" t="inlineStr">
        <is>
          <t>BOOK</t>
        </is>
      </c>
      <c r="BB2184" t="inlineStr">
        <is>
          <t>9780814742167</t>
        </is>
      </c>
      <c r="BC2184" t="inlineStr">
        <is>
          <t>32285002208881</t>
        </is>
      </c>
      <c r="BD2184" t="inlineStr">
        <is>
          <t>893251119</t>
        </is>
      </c>
    </row>
    <row r="2185">
      <c r="A2185" t="inlineStr">
        <is>
          <t>No</t>
        </is>
      </c>
      <c r="B2185" t="inlineStr">
        <is>
          <t>HQ76.25 .L48 1993</t>
        </is>
      </c>
      <c r="C2185" t="inlineStr">
        <is>
          <t>0                      HQ 0076250L  48          1993</t>
        </is>
      </c>
      <c r="D2185" t="inlineStr">
        <is>
          <t>The Lesbian and gay studies reader / edited by Henry Abelove, Michèle Aina Barale, David M. Halperin.</t>
        </is>
      </c>
      <c r="F2185" t="inlineStr">
        <is>
          <t>No</t>
        </is>
      </c>
      <c r="G2185" t="inlineStr">
        <is>
          <t>1</t>
        </is>
      </c>
      <c r="H2185" t="inlineStr">
        <is>
          <t>No</t>
        </is>
      </c>
      <c r="I2185" t="inlineStr">
        <is>
          <t>No</t>
        </is>
      </c>
      <c r="J2185" t="inlineStr">
        <is>
          <t>0</t>
        </is>
      </c>
      <c r="L2185" t="inlineStr">
        <is>
          <t>New York : Routledge, 1993.</t>
        </is>
      </c>
      <c r="M2185" t="inlineStr">
        <is>
          <t>1993</t>
        </is>
      </c>
      <c r="O2185" t="inlineStr">
        <is>
          <t>eng</t>
        </is>
      </c>
      <c r="P2185" t="inlineStr">
        <is>
          <t>nyu</t>
        </is>
      </c>
      <c r="R2185" t="inlineStr">
        <is>
          <t xml:space="preserve">HQ </t>
        </is>
      </c>
      <c r="S2185" t="n">
        <v>10</v>
      </c>
      <c r="T2185" t="n">
        <v>10</v>
      </c>
      <c r="U2185" t="inlineStr">
        <is>
          <t>2004-03-13</t>
        </is>
      </c>
      <c r="V2185" t="inlineStr">
        <is>
          <t>2004-03-13</t>
        </is>
      </c>
      <c r="W2185" t="inlineStr">
        <is>
          <t>1996-06-20</t>
        </is>
      </c>
      <c r="X2185" t="inlineStr">
        <is>
          <t>1996-06-20</t>
        </is>
      </c>
      <c r="Y2185" t="n">
        <v>1028</v>
      </c>
      <c r="Z2185" t="n">
        <v>753</v>
      </c>
      <c r="AA2185" t="n">
        <v>775</v>
      </c>
      <c r="AB2185" t="n">
        <v>6</v>
      </c>
      <c r="AC2185" t="n">
        <v>6</v>
      </c>
      <c r="AD2185" t="n">
        <v>34</v>
      </c>
      <c r="AE2185" t="n">
        <v>35</v>
      </c>
      <c r="AF2185" t="n">
        <v>14</v>
      </c>
      <c r="AG2185" t="n">
        <v>14</v>
      </c>
      <c r="AH2185" t="n">
        <v>7</v>
      </c>
      <c r="AI2185" t="n">
        <v>8</v>
      </c>
      <c r="AJ2185" t="n">
        <v>15</v>
      </c>
      <c r="AK2185" t="n">
        <v>15</v>
      </c>
      <c r="AL2185" t="n">
        <v>5</v>
      </c>
      <c r="AM2185" t="n">
        <v>5</v>
      </c>
      <c r="AN2185" t="n">
        <v>0</v>
      </c>
      <c r="AO2185" t="n">
        <v>0</v>
      </c>
      <c r="AP2185" t="inlineStr">
        <is>
          <t>No</t>
        </is>
      </c>
      <c r="AQ2185" t="inlineStr">
        <is>
          <t>Yes</t>
        </is>
      </c>
      <c r="AR2185">
        <f>HYPERLINK("http://catalog.hathitrust.org/Record/002640954","HathiTrust Record")</f>
        <v/>
      </c>
      <c r="AS2185">
        <f>HYPERLINK("https://creighton-primo.hosted.exlibrisgroup.com/primo-explore/search?tab=default_tab&amp;search_scope=EVERYTHING&amp;vid=01CRU&amp;lang=en_US&amp;offset=0&amp;query=any,contains,991002138719702656","Catalog Record")</f>
        <v/>
      </c>
      <c r="AT2185">
        <f>HYPERLINK("http://www.worldcat.org/oclc/27430224","WorldCat Record")</f>
        <v/>
      </c>
      <c r="AU2185" t="inlineStr">
        <is>
          <t>349976208:eng</t>
        </is>
      </c>
      <c r="AV2185" t="inlineStr">
        <is>
          <t>27430224</t>
        </is>
      </c>
      <c r="AW2185" t="inlineStr">
        <is>
          <t>991002138719702656</t>
        </is>
      </c>
      <c r="AX2185" t="inlineStr">
        <is>
          <t>991002138719702656</t>
        </is>
      </c>
      <c r="AY2185" t="inlineStr">
        <is>
          <t>2266157310002656</t>
        </is>
      </c>
      <c r="AZ2185" t="inlineStr">
        <is>
          <t>BOOK</t>
        </is>
      </c>
      <c r="BB2185" t="inlineStr">
        <is>
          <t>9780415905183</t>
        </is>
      </c>
      <c r="BC2185" t="inlineStr">
        <is>
          <t>32285002171014</t>
        </is>
      </c>
      <c r="BD2185" t="inlineStr">
        <is>
          <t>893590959</t>
        </is>
      </c>
    </row>
    <row r="2186">
      <c r="A2186" t="inlineStr">
        <is>
          <t>No</t>
        </is>
      </c>
      <c r="B2186" t="inlineStr">
        <is>
          <t>HQ76.25 .L49 1995</t>
        </is>
      </c>
      <c r="C2186" t="inlineStr">
        <is>
          <t>0                      HQ 0076250L  49          1995</t>
        </is>
      </c>
      <c r="D2186" t="inlineStr">
        <is>
          <t>Lesbian, gay, and bisexual identities over the lifespan : psychological perspectives / edited by Anthony R. D'Augelli, Charlotte J. Patterson.</t>
        </is>
      </c>
      <c r="F2186" t="inlineStr">
        <is>
          <t>No</t>
        </is>
      </c>
      <c r="G2186" t="inlineStr">
        <is>
          <t>1</t>
        </is>
      </c>
      <c r="H2186" t="inlineStr">
        <is>
          <t>No</t>
        </is>
      </c>
      <c r="I2186" t="inlineStr">
        <is>
          <t>No</t>
        </is>
      </c>
      <c r="J2186" t="inlineStr">
        <is>
          <t>0</t>
        </is>
      </c>
      <c r="L2186" t="inlineStr">
        <is>
          <t>New York : Oxford University Press, 1995.</t>
        </is>
      </c>
      <c r="M2186" t="inlineStr">
        <is>
          <t>1995</t>
        </is>
      </c>
      <c r="O2186" t="inlineStr">
        <is>
          <t>eng</t>
        </is>
      </c>
      <c r="P2186" t="inlineStr">
        <is>
          <t>nyu</t>
        </is>
      </c>
      <c r="R2186" t="inlineStr">
        <is>
          <t xml:space="preserve">HQ </t>
        </is>
      </c>
      <c r="S2186" t="n">
        <v>15</v>
      </c>
      <c r="T2186" t="n">
        <v>15</v>
      </c>
      <c r="U2186" t="inlineStr">
        <is>
          <t>2007-02-13</t>
        </is>
      </c>
      <c r="V2186" t="inlineStr">
        <is>
          <t>2007-02-13</t>
        </is>
      </c>
      <c r="W2186" t="inlineStr">
        <is>
          <t>1996-08-05</t>
        </is>
      </c>
      <c r="X2186" t="inlineStr">
        <is>
          <t>1996-08-05</t>
        </is>
      </c>
      <c r="Y2186" t="n">
        <v>551</v>
      </c>
      <c r="Z2186" t="n">
        <v>455</v>
      </c>
      <c r="AA2186" t="n">
        <v>817</v>
      </c>
      <c r="AB2186" t="n">
        <v>3</v>
      </c>
      <c r="AC2186" t="n">
        <v>7</v>
      </c>
      <c r="AD2186" t="n">
        <v>23</v>
      </c>
      <c r="AE2186" t="n">
        <v>39</v>
      </c>
      <c r="AF2186" t="n">
        <v>8</v>
      </c>
      <c r="AG2186" t="n">
        <v>14</v>
      </c>
      <c r="AH2186" t="n">
        <v>5</v>
      </c>
      <c r="AI2186" t="n">
        <v>10</v>
      </c>
      <c r="AJ2186" t="n">
        <v>15</v>
      </c>
      <c r="AK2186" t="n">
        <v>18</v>
      </c>
      <c r="AL2186" t="n">
        <v>2</v>
      </c>
      <c r="AM2186" t="n">
        <v>6</v>
      </c>
      <c r="AN2186" t="n">
        <v>0</v>
      </c>
      <c r="AO2186" t="n">
        <v>1</v>
      </c>
      <c r="AP2186" t="inlineStr">
        <is>
          <t>No</t>
        </is>
      </c>
      <c r="AQ2186" t="inlineStr">
        <is>
          <t>No</t>
        </is>
      </c>
      <c r="AS2186">
        <f>HYPERLINK("https://creighton-primo.hosted.exlibrisgroup.com/primo-explore/search?tab=default_tab&amp;search_scope=EVERYTHING&amp;vid=01CRU&amp;lang=en_US&amp;offset=0&amp;query=any,contains,991002321129702656","Catalog Record")</f>
        <v/>
      </c>
      <c r="AT2186">
        <f>HYPERLINK("http://www.worldcat.org/oclc/30109989","WorldCat Record")</f>
        <v/>
      </c>
      <c r="AU2186" t="inlineStr">
        <is>
          <t>1075477724:eng</t>
        </is>
      </c>
      <c r="AV2186" t="inlineStr">
        <is>
          <t>30109989</t>
        </is>
      </c>
      <c r="AW2186" t="inlineStr">
        <is>
          <t>991002321129702656</t>
        </is>
      </c>
      <c r="AX2186" t="inlineStr">
        <is>
          <t>991002321129702656</t>
        </is>
      </c>
      <c r="AY2186" t="inlineStr">
        <is>
          <t>2263682930002656</t>
        </is>
      </c>
      <c r="AZ2186" t="inlineStr">
        <is>
          <t>BOOK</t>
        </is>
      </c>
      <c r="BB2186" t="inlineStr">
        <is>
          <t>9780195082319</t>
        </is>
      </c>
      <c r="BC2186" t="inlineStr">
        <is>
          <t>32285002270360</t>
        </is>
      </c>
      <c r="BD2186" t="inlineStr">
        <is>
          <t>893316681</t>
        </is>
      </c>
    </row>
    <row r="2187">
      <c r="A2187" t="inlineStr">
        <is>
          <t>No</t>
        </is>
      </c>
      <c r="B2187" t="inlineStr">
        <is>
          <t>HQ76.25 .M37</t>
        </is>
      </c>
      <c r="C2187" t="inlineStr">
        <is>
          <t>0                      HQ 0076250M  37</t>
        </is>
      </c>
      <c r="D2187" t="inlineStr">
        <is>
          <t>Homosexuality in perspective / William H. Masters, Virginia E. Johnson.</t>
        </is>
      </c>
      <c r="F2187" t="inlineStr">
        <is>
          <t>No</t>
        </is>
      </c>
      <c r="G2187" t="inlineStr">
        <is>
          <t>1</t>
        </is>
      </c>
      <c r="H2187" t="inlineStr">
        <is>
          <t>Yes</t>
        </is>
      </c>
      <c r="I2187" t="inlineStr">
        <is>
          <t>No</t>
        </is>
      </c>
      <c r="J2187" t="inlineStr">
        <is>
          <t>0</t>
        </is>
      </c>
      <c r="K2187" t="inlineStr">
        <is>
          <t>Masters, William H.</t>
        </is>
      </c>
      <c r="L2187" t="inlineStr">
        <is>
          <t>Boston : Little, Brown, c1979.</t>
        </is>
      </c>
      <c r="M2187" t="inlineStr">
        <is>
          <t>1979</t>
        </is>
      </c>
      <c r="N2187" t="inlineStr">
        <is>
          <t>1st ed.</t>
        </is>
      </c>
      <c r="O2187" t="inlineStr">
        <is>
          <t>eng</t>
        </is>
      </c>
      <c r="P2187" t="inlineStr">
        <is>
          <t>mau</t>
        </is>
      </c>
      <c r="R2187" t="inlineStr">
        <is>
          <t xml:space="preserve">HQ </t>
        </is>
      </c>
      <c r="S2187" t="n">
        <v>5</v>
      </c>
      <c r="T2187" t="n">
        <v>5</v>
      </c>
      <c r="U2187" t="inlineStr">
        <is>
          <t>1993-07-28</t>
        </is>
      </c>
      <c r="V2187" t="inlineStr">
        <is>
          <t>1993-07-28</t>
        </is>
      </c>
      <c r="W2187" t="inlineStr">
        <is>
          <t>1992-03-09</t>
        </is>
      </c>
      <c r="X2187" t="inlineStr">
        <is>
          <t>1992-03-09</t>
        </is>
      </c>
      <c r="Y2187" t="n">
        <v>1156</v>
      </c>
      <c r="Z2187" t="n">
        <v>982</v>
      </c>
      <c r="AA2187" t="n">
        <v>1004</v>
      </c>
      <c r="AB2187" t="n">
        <v>7</v>
      </c>
      <c r="AC2187" t="n">
        <v>7</v>
      </c>
      <c r="AD2187" t="n">
        <v>25</v>
      </c>
      <c r="AE2187" t="n">
        <v>25</v>
      </c>
      <c r="AF2187" t="n">
        <v>10</v>
      </c>
      <c r="AG2187" t="n">
        <v>10</v>
      </c>
      <c r="AH2187" t="n">
        <v>7</v>
      </c>
      <c r="AI2187" t="n">
        <v>7</v>
      </c>
      <c r="AJ2187" t="n">
        <v>11</v>
      </c>
      <c r="AK2187" t="n">
        <v>11</v>
      </c>
      <c r="AL2187" t="n">
        <v>4</v>
      </c>
      <c r="AM2187" t="n">
        <v>4</v>
      </c>
      <c r="AN2187" t="n">
        <v>0</v>
      </c>
      <c r="AO2187" t="n">
        <v>0</v>
      </c>
      <c r="AP2187" t="inlineStr">
        <is>
          <t>No</t>
        </is>
      </c>
      <c r="AQ2187" t="inlineStr">
        <is>
          <t>Yes</t>
        </is>
      </c>
      <c r="AR2187">
        <f>HYPERLINK("http://catalog.hathitrust.org/Record/000301638","HathiTrust Record")</f>
        <v/>
      </c>
      <c r="AS2187">
        <f>HYPERLINK("https://creighton-primo.hosted.exlibrisgroup.com/primo-explore/search?tab=default_tab&amp;search_scope=EVERYTHING&amp;vid=01CRU&amp;lang=en_US&amp;offset=0&amp;query=any,contains,991004759429702656","Catalog Record")</f>
        <v/>
      </c>
      <c r="AT2187">
        <f>HYPERLINK("http://www.worldcat.org/oclc/4985347","WorldCat Record")</f>
        <v/>
      </c>
      <c r="AU2187" t="inlineStr">
        <is>
          <t>448396:eng</t>
        </is>
      </c>
      <c r="AV2187" t="inlineStr">
        <is>
          <t>4985347</t>
        </is>
      </c>
      <c r="AW2187" t="inlineStr">
        <is>
          <t>991004759429702656</t>
        </is>
      </c>
      <c r="AX2187" t="inlineStr">
        <is>
          <t>991004759429702656</t>
        </is>
      </c>
      <c r="AY2187" t="inlineStr">
        <is>
          <t>2266802420002656</t>
        </is>
      </c>
      <c r="AZ2187" t="inlineStr">
        <is>
          <t>BOOK</t>
        </is>
      </c>
      <c r="BB2187" t="inlineStr">
        <is>
          <t>9780316549844</t>
        </is>
      </c>
      <c r="BC2187" t="inlineStr">
        <is>
          <t>32285000994250</t>
        </is>
      </c>
      <c r="BD2187" t="inlineStr">
        <is>
          <t>893235898</t>
        </is>
      </c>
    </row>
    <row r="2188">
      <c r="A2188" t="inlineStr">
        <is>
          <t>No</t>
        </is>
      </c>
      <c r="B2188" t="inlineStr">
        <is>
          <t>HQ76.25 .M44 2006</t>
        </is>
      </c>
      <c r="C2188" t="inlineStr">
        <is>
          <t>0                      HQ 0076250M  44          2006</t>
        </is>
      </c>
      <c r="D2188" t="inlineStr">
        <is>
          <t>Contacts desired : gay and lesbian communications and community, 1940s-1970s / Martin Meeker.</t>
        </is>
      </c>
      <c r="F2188" t="inlineStr">
        <is>
          <t>No</t>
        </is>
      </c>
      <c r="G2188" t="inlineStr">
        <is>
          <t>1</t>
        </is>
      </c>
      <c r="H2188" t="inlineStr">
        <is>
          <t>No</t>
        </is>
      </c>
      <c r="I2188" t="inlineStr">
        <is>
          <t>No</t>
        </is>
      </c>
      <c r="J2188" t="inlineStr">
        <is>
          <t>0</t>
        </is>
      </c>
      <c r="K2188" t="inlineStr">
        <is>
          <t>Meeker, Martin.</t>
        </is>
      </c>
      <c r="L2188" t="inlineStr">
        <is>
          <t>Chicago : University of Chicago Press, 2006.</t>
        </is>
      </c>
      <c r="M2188" t="inlineStr">
        <is>
          <t>2006</t>
        </is>
      </c>
      <c r="O2188" t="inlineStr">
        <is>
          <t>eng</t>
        </is>
      </c>
      <c r="P2188" t="inlineStr">
        <is>
          <t>ilu</t>
        </is>
      </c>
      <c r="R2188" t="inlineStr">
        <is>
          <t xml:space="preserve">HQ </t>
        </is>
      </c>
      <c r="S2188" t="n">
        <v>1</v>
      </c>
      <c r="T2188" t="n">
        <v>1</v>
      </c>
      <c r="U2188" t="inlineStr">
        <is>
          <t>2010-11-08</t>
        </is>
      </c>
      <c r="V2188" t="inlineStr">
        <is>
          <t>2010-11-08</t>
        </is>
      </c>
      <c r="W2188" t="inlineStr">
        <is>
          <t>2007-05-07</t>
        </is>
      </c>
      <c r="X2188" t="inlineStr">
        <is>
          <t>2007-05-07</t>
        </is>
      </c>
      <c r="Y2188" t="n">
        <v>376</v>
      </c>
      <c r="Z2188" t="n">
        <v>319</v>
      </c>
      <c r="AA2188" t="n">
        <v>319</v>
      </c>
      <c r="AB2188" t="n">
        <v>3</v>
      </c>
      <c r="AC2188" t="n">
        <v>3</v>
      </c>
      <c r="AD2188" t="n">
        <v>15</v>
      </c>
      <c r="AE2188" t="n">
        <v>15</v>
      </c>
      <c r="AF2188" t="n">
        <v>4</v>
      </c>
      <c r="AG2188" t="n">
        <v>4</v>
      </c>
      <c r="AH2188" t="n">
        <v>4</v>
      </c>
      <c r="AI2188" t="n">
        <v>4</v>
      </c>
      <c r="AJ2188" t="n">
        <v>8</v>
      </c>
      <c r="AK2188" t="n">
        <v>8</v>
      </c>
      <c r="AL2188" t="n">
        <v>2</v>
      </c>
      <c r="AM2188" t="n">
        <v>2</v>
      </c>
      <c r="AN2188" t="n">
        <v>0</v>
      </c>
      <c r="AO2188" t="n">
        <v>0</v>
      </c>
      <c r="AP2188" t="inlineStr">
        <is>
          <t>No</t>
        </is>
      </c>
      <c r="AQ2188" t="inlineStr">
        <is>
          <t>No</t>
        </is>
      </c>
      <c r="AS2188">
        <f>HYPERLINK("https://creighton-primo.hosted.exlibrisgroup.com/primo-explore/search?tab=default_tab&amp;search_scope=EVERYTHING&amp;vid=01CRU&amp;lang=en_US&amp;offset=0&amp;query=any,contains,991005075929702656","Catalog Record")</f>
        <v/>
      </c>
      <c r="AT2188">
        <f>HYPERLINK("http://www.worldcat.org/oclc/61229645","WorldCat Record")</f>
        <v/>
      </c>
      <c r="AU2188" t="inlineStr">
        <is>
          <t>863018461:eng</t>
        </is>
      </c>
      <c r="AV2188" t="inlineStr">
        <is>
          <t>61229645</t>
        </is>
      </c>
      <c r="AW2188" t="inlineStr">
        <is>
          <t>991005075929702656</t>
        </is>
      </c>
      <c r="AX2188" t="inlineStr">
        <is>
          <t>991005075929702656</t>
        </is>
      </c>
      <c r="AY2188" t="inlineStr">
        <is>
          <t>2256463490002656</t>
        </is>
      </c>
      <c r="AZ2188" t="inlineStr">
        <is>
          <t>BOOK</t>
        </is>
      </c>
      <c r="BB2188" t="inlineStr">
        <is>
          <t>9780226517346</t>
        </is>
      </c>
      <c r="BC2188" t="inlineStr">
        <is>
          <t>32285005311104</t>
        </is>
      </c>
      <c r="BD2188" t="inlineStr">
        <is>
          <t>893619407</t>
        </is>
      </c>
    </row>
    <row r="2189">
      <c r="A2189" t="inlineStr">
        <is>
          <t>No</t>
        </is>
      </c>
      <c r="B2189" t="inlineStr">
        <is>
          <t>HQ76.25 .M64 2000</t>
        </is>
      </c>
      <c r="C2189" t="inlineStr">
        <is>
          <t>0                      HQ 0076250M  64          2000</t>
        </is>
      </c>
      <c r="D2189" t="inlineStr">
        <is>
          <t>Homosexual rites of passage : a road to visibility and validation / Marie Mohler.</t>
        </is>
      </c>
      <c r="F2189" t="inlineStr">
        <is>
          <t>No</t>
        </is>
      </c>
      <c r="G2189" t="inlineStr">
        <is>
          <t>1</t>
        </is>
      </c>
      <c r="H2189" t="inlineStr">
        <is>
          <t>No</t>
        </is>
      </c>
      <c r="I2189" t="inlineStr">
        <is>
          <t>No</t>
        </is>
      </c>
      <c r="J2189" t="inlineStr">
        <is>
          <t>0</t>
        </is>
      </c>
      <c r="K2189" t="inlineStr">
        <is>
          <t>Mohler, Marie.</t>
        </is>
      </c>
      <c r="L2189" t="inlineStr">
        <is>
          <t>New York : Harrington Park Press, 2000.</t>
        </is>
      </c>
      <c r="M2189" t="inlineStr">
        <is>
          <t>2000</t>
        </is>
      </c>
      <c r="O2189" t="inlineStr">
        <is>
          <t>eng</t>
        </is>
      </c>
      <c r="P2189" t="inlineStr">
        <is>
          <t>nyu</t>
        </is>
      </c>
      <c r="R2189" t="inlineStr">
        <is>
          <t xml:space="preserve">HQ </t>
        </is>
      </c>
      <c r="S2189" t="n">
        <v>6</v>
      </c>
      <c r="T2189" t="n">
        <v>6</v>
      </c>
      <c r="U2189" t="inlineStr">
        <is>
          <t>2010-10-15</t>
        </is>
      </c>
      <c r="V2189" t="inlineStr">
        <is>
          <t>2010-10-15</t>
        </is>
      </c>
      <c r="W2189" t="inlineStr">
        <is>
          <t>1999-12-20</t>
        </is>
      </c>
      <c r="X2189" t="inlineStr">
        <is>
          <t>1999-12-20</t>
        </is>
      </c>
      <c r="Y2189" t="n">
        <v>168</v>
      </c>
      <c r="Z2189" t="n">
        <v>144</v>
      </c>
      <c r="AA2189" t="n">
        <v>170</v>
      </c>
      <c r="AB2189" t="n">
        <v>2</v>
      </c>
      <c r="AC2189" t="n">
        <v>2</v>
      </c>
      <c r="AD2189" t="n">
        <v>6</v>
      </c>
      <c r="AE2189" t="n">
        <v>6</v>
      </c>
      <c r="AF2189" t="n">
        <v>0</v>
      </c>
      <c r="AG2189" t="n">
        <v>0</v>
      </c>
      <c r="AH2189" t="n">
        <v>2</v>
      </c>
      <c r="AI2189" t="n">
        <v>2</v>
      </c>
      <c r="AJ2189" t="n">
        <v>4</v>
      </c>
      <c r="AK2189" t="n">
        <v>4</v>
      </c>
      <c r="AL2189" t="n">
        <v>1</v>
      </c>
      <c r="AM2189" t="n">
        <v>1</v>
      </c>
      <c r="AN2189" t="n">
        <v>0</v>
      </c>
      <c r="AO2189" t="n">
        <v>0</v>
      </c>
      <c r="AP2189" t="inlineStr">
        <is>
          <t>No</t>
        </is>
      </c>
      <c r="AQ2189" t="inlineStr">
        <is>
          <t>No</t>
        </is>
      </c>
      <c r="AS2189">
        <f>HYPERLINK("https://creighton-primo.hosted.exlibrisgroup.com/primo-explore/search?tab=default_tab&amp;search_scope=EVERYTHING&amp;vid=01CRU&amp;lang=en_US&amp;offset=0&amp;query=any,contains,991003024669702656","Catalog Record")</f>
        <v/>
      </c>
      <c r="AT2189">
        <f>HYPERLINK("http://www.worldcat.org/oclc/41299263","WorldCat Record")</f>
        <v/>
      </c>
      <c r="AU2189" t="inlineStr">
        <is>
          <t>20554644:eng</t>
        </is>
      </c>
      <c r="AV2189" t="inlineStr">
        <is>
          <t>41299263</t>
        </is>
      </c>
      <c r="AW2189" t="inlineStr">
        <is>
          <t>991003024669702656</t>
        </is>
      </c>
      <c r="AX2189" t="inlineStr">
        <is>
          <t>991003024669702656</t>
        </is>
      </c>
      <c r="AY2189" t="inlineStr">
        <is>
          <t>2271040980002656</t>
        </is>
      </c>
      <c r="AZ2189" t="inlineStr">
        <is>
          <t>BOOK</t>
        </is>
      </c>
      <c r="BB2189" t="inlineStr">
        <is>
          <t>9781560239772</t>
        </is>
      </c>
      <c r="BC2189" t="inlineStr">
        <is>
          <t>32285003634952</t>
        </is>
      </c>
      <c r="BD2189" t="inlineStr">
        <is>
          <t>893227595</t>
        </is>
      </c>
    </row>
    <row r="2190">
      <c r="A2190" t="inlineStr">
        <is>
          <t>No</t>
        </is>
      </c>
      <c r="B2190" t="inlineStr">
        <is>
          <t>HQ76.25 .M87 1997</t>
        </is>
      </c>
      <c r="C2190" t="inlineStr">
        <is>
          <t>0                      HQ 0076250M  87          1997</t>
        </is>
      </c>
      <c r="D2190" t="inlineStr">
        <is>
          <t>Gay science : the ethics of sexual orientation research / Timothy F. Murphy.</t>
        </is>
      </c>
      <c r="F2190" t="inlineStr">
        <is>
          <t>No</t>
        </is>
      </c>
      <c r="G2190" t="inlineStr">
        <is>
          <t>1</t>
        </is>
      </c>
      <c r="H2190" t="inlineStr">
        <is>
          <t>No</t>
        </is>
      </c>
      <c r="I2190" t="inlineStr">
        <is>
          <t>No</t>
        </is>
      </c>
      <c r="J2190" t="inlineStr">
        <is>
          <t>0</t>
        </is>
      </c>
      <c r="K2190" t="inlineStr">
        <is>
          <t>Murphy, Timothy F., 1955-</t>
        </is>
      </c>
      <c r="L2190" t="inlineStr">
        <is>
          <t>New York : Columbia University Press, c1997.</t>
        </is>
      </c>
      <c r="M2190" t="inlineStr">
        <is>
          <t>1997</t>
        </is>
      </c>
      <c r="O2190" t="inlineStr">
        <is>
          <t>eng</t>
        </is>
      </c>
      <c r="P2190" t="inlineStr">
        <is>
          <t>nyu</t>
        </is>
      </c>
      <c r="Q2190" t="inlineStr">
        <is>
          <t>Between men--between women</t>
        </is>
      </c>
      <c r="R2190" t="inlineStr">
        <is>
          <t xml:space="preserve">HQ </t>
        </is>
      </c>
      <c r="S2190" t="n">
        <v>10</v>
      </c>
      <c r="T2190" t="n">
        <v>10</v>
      </c>
      <c r="U2190" t="inlineStr">
        <is>
          <t>2006-11-07</t>
        </is>
      </c>
      <c r="V2190" t="inlineStr">
        <is>
          <t>2006-11-07</t>
        </is>
      </c>
      <c r="W2190" t="inlineStr">
        <is>
          <t>1999-12-15</t>
        </is>
      </c>
      <c r="X2190" t="inlineStr">
        <is>
          <t>1999-12-15</t>
        </is>
      </c>
      <c r="Y2190" t="n">
        <v>594</v>
      </c>
      <c r="Z2190" t="n">
        <v>518</v>
      </c>
      <c r="AA2190" t="n">
        <v>1148</v>
      </c>
      <c r="AB2190" t="n">
        <v>5</v>
      </c>
      <c r="AC2190" t="n">
        <v>8</v>
      </c>
      <c r="AD2190" t="n">
        <v>30</v>
      </c>
      <c r="AE2190" t="n">
        <v>36</v>
      </c>
      <c r="AF2190" t="n">
        <v>13</v>
      </c>
      <c r="AG2190" t="n">
        <v>16</v>
      </c>
      <c r="AH2190" t="n">
        <v>7</v>
      </c>
      <c r="AI2190" t="n">
        <v>7</v>
      </c>
      <c r="AJ2190" t="n">
        <v>15</v>
      </c>
      <c r="AK2190" t="n">
        <v>15</v>
      </c>
      <c r="AL2190" t="n">
        <v>4</v>
      </c>
      <c r="AM2190" t="n">
        <v>7</v>
      </c>
      <c r="AN2190" t="n">
        <v>1</v>
      </c>
      <c r="AO2190" t="n">
        <v>1</v>
      </c>
      <c r="AP2190" t="inlineStr">
        <is>
          <t>No</t>
        </is>
      </c>
      <c r="AQ2190" t="inlineStr">
        <is>
          <t>No</t>
        </is>
      </c>
      <c r="AS2190">
        <f>HYPERLINK("https://creighton-primo.hosted.exlibrisgroup.com/primo-explore/search?tab=default_tab&amp;search_scope=EVERYTHING&amp;vid=01CRU&amp;lang=en_US&amp;offset=0&amp;query=any,contains,991002801229702656","Catalog Record")</f>
        <v/>
      </c>
      <c r="AT2190">
        <f>HYPERLINK("http://www.worldcat.org/oclc/36798927","WorldCat Record")</f>
        <v/>
      </c>
      <c r="AU2190" t="inlineStr">
        <is>
          <t>602367:eng</t>
        </is>
      </c>
      <c r="AV2190" t="inlineStr">
        <is>
          <t>36798927</t>
        </is>
      </c>
      <c r="AW2190" t="inlineStr">
        <is>
          <t>991002801229702656</t>
        </is>
      </c>
      <c r="AX2190" t="inlineStr">
        <is>
          <t>991002801229702656</t>
        </is>
      </c>
      <c r="AY2190" t="inlineStr">
        <is>
          <t>2256825770002656</t>
        </is>
      </c>
      <c r="AZ2190" t="inlineStr">
        <is>
          <t>BOOK</t>
        </is>
      </c>
      <c r="BB2190" t="inlineStr">
        <is>
          <t>9780231108485</t>
        </is>
      </c>
      <c r="BC2190" t="inlineStr">
        <is>
          <t>32285003633178</t>
        </is>
      </c>
      <c r="BD2190" t="inlineStr">
        <is>
          <t>893233436</t>
        </is>
      </c>
    </row>
    <row r="2191">
      <c r="A2191" t="inlineStr">
        <is>
          <t>No</t>
        </is>
      </c>
      <c r="B2191" t="inlineStr">
        <is>
          <t>HQ76.25 .M89 2000</t>
        </is>
      </c>
      <c r="C2191" t="inlineStr">
        <is>
          <t>0                      HQ 0076250M  89          2000</t>
        </is>
      </c>
      <c r="D2191" t="inlineStr">
        <is>
          <t>Homosexualities / Stephen O. Murray.</t>
        </is>
      </c>
      <c r="F2191" t="inlineStr">
        <is>
          <t>No</t>
        </is>
      </c>
      <c r="G2191" t="inlineStr">
        <is>
          <t>1</t>
        </is>
      </c>
      <c r="H2191" t="inlineStr">
        <is>
          <t>No</t>
        </is>
      </c>
      <c r="I2191" t="inlineStr">
        <is>
          <t>No</t>
        </is>
      </c>
      <c r="J2191" t="inlineStr">
        <is>
          <t>0</t>
        </is>
      </c>
      <c r="K2191" t="inlineStr">
        <is>
          <t>Murray, Stephen O.</t>
        </is>
      </c>
      <c r="L2191" t="inlineStr">
        <is>
          <t>Chicago : University of Chicago Press, 2000.</t>
        </is>
      </c>
      <c r="M2191" t="inlineStr">
        <is>
          <t>2000</t>
        </is>
      </c>
      <c r="O2191" t="inlineStr">
        <is>
          <t>eng</t>
        </is>
      </c>
      <c r="P2191" t="inlineStr">
        <is>
          <t>ilu</t>
        </is>
      </c>
      <c r="Q2191" t="inlineStr">
        <is>
          <t>Worlds of desire</t>
        </is>
      </c>
      <c r="R2191" t="inlineStr">
        <is>
          <t xml:space="preserve">HQ </t>
        </is>
      </c>
      <c r="S2191" t="n">
        <v>2</v>
      </c>
      <c r="T2191" t="n">
        <v>2</v>
      </c>
      <c r="U2191" t="inlineStr">
        <is>
          <t>2001-05-15</t>
        </is>
      </c>
      <c r="V2191" t="inlineStr">
        <is>
          <t>2001-05-15</t>
        </is>
      </c>
      <c r="W2191" t="inlineStr">
        <is>
          <t>2001-05-14</t>
        </is>
      </c>
      <c r="X2191" t="inlineStr">
        <is>
          <t>2001-05-14</t>
        </is>
      </c>
      <c r="Y2191" t="n">
        <v>786</v>
      </c>
      <c r="Z2191" t="n">
        <v>682</v>
      </c>
      <c r="AA2191" t="n">
        <v>686</v>
      </c>
      <c r="AB2191" t="n">
        <v>5</v>
      </c>
      <c r="AC2191" t="n">
        <v>5</v>
      </c>
      <c r="AD2191" t="n">
        <v>30</v>
      </c>
      <c r="AE2191" t="n">
        <v>30</v>
      </c>
      <c r="AF2191" t="n">
        <v>15</v>
      </c>
      <c r="AG2191" t="n">
        <v>15</v>
      </c>
      <c r="AH2191" t="n">
        <v>5</v>
      </c>
      <c r="AI2191" t="n">
        <v>5</v>
      </c>
      <c r="AJ2191" t="n">
        <v>13</v>
      </c>
      <c r="AK2191" t="n">
        <v>13</v>
      </c>
      <c r="AL2191" t="n">
        <v>4</v>
      </c>
      <c r="AM2191" t="n">
        <v>4</v>
      </c>
      <c r="AN2191" t="n">
        <v>0</v>
      </c>
      <c r="AO2191" t="n">
        <v>0</v>
      </c>
      <c r="AP2191" t="inlineStr">
        <is>
          <t>No</t>
        </is>
      </c>
      <c r="AQ2191" t="inlineStr">
        <is>
          <t>No</t>
        </is>
      </c>
      <c r="AS2191">
        <f>HYPERLINK("https://creighton-primo.hosted.exlibrisgroup.com/primo-explore/search?tab=default_tab&amp;search_scope=EVERYTHING&amp;vid=01CRU&amp;lang=en_US&amp;offset=0&amp;query=any,contains,991003499379702656","Catalog Record")</f>
        <v/>
      </c>
      <c r="AT2191">
        <f>HYPERLINK("http://www.worldcat.org/oclc/43095830","WorldCat Record")</f>
        <v/>
      </c>
      <c r="AU2191" t="inlineStr">
        <is>
          <t>2552674:eng</t>
        </is>
      </c>
      <c r="AV2191" t="inlineStr">
        <is>
          <t>43095830</t>
        </is>
      </c>
      <c r="AW2191" t="inlineStr">
        <is>
          <t>991003499379702656</t>
        </is>
      </c>
      <c r="AX2191" t="inlineStr">
        <is>
          <t>991003499379702656</t>
        </is>
      </c>
      <c r="AY2191" t="inlineStr">
        <is>
          <t>2269404740002656</t>
        </is>
      </c>
      <c r="AZ2191" t="inlineStr">
        <is>
          <t>BOOK</t>
        </is>
      </c>
      <c r="BB2191" t="inlineStr">
        <is>
          <t>9780226551944</t>
        </is>
      </c>
      <c r="BC2191" t="inlineStr">
        <is>
          <t>32285004317235</t>
        </is>
      </c>
      <c r="BD2191" t="inlineStr">
        <is>
          <t>893246417</t>
        </is>
      </c>
    </row>
    <row r="2192">
      <c r="A2192" t="inlineStr">
        <is>
          <t>No</t>
        </is>
      </c>
      <c r="B2192" t="inlineStr">
        <is>
          <t>HQ76.25 .N3 2004</t>
        </is>
      </c>
      <c r="C2192" t="inlineStr">
        <is>
          <t>0                      HQ 0076250N  3           2004</t>
        </is>
      </c>
      <c r="D2192" t="inlineStr">
        <is>
          <t>Born to be gay : a history of homosexuality / William Naphy.</t>
        </is>
      </c>
      <c r="F2192" t="inlineStr">
        <is>
          <t>No</t>
        </is>
      </c>
      <c r="G2192" t="inlineStr">
        <is>
          <t>1</t>
        </is>
      </c>
      <c r="H2192" t="inlineStr">
        <is>
          <t>No</t>
        </is>
      </c>
      <c r="I2192" t="inlineStr">
        <is>
          <t>No</t>
        </is>
      </c>
      <c r="J2192" t="inlineStr">
        <is>
          <t>0</t>
        </is>
      </c>
      <c r="K2192" t="inlineStr">
        <is>
          <t>Naphy, William G., 1960-</t>
        </is>
      </c>
      <c r="L2192" t="inlineStr">
        <is>
          <t>Stroud : Tempus, 2004.</t>
        </is>
      </c>
      <c r="M2192" t="inlineStr">
        <is>
          <t>2004</t>
        </is>
      </c>
      <c r="O2192" t="inlineStr">
        <is>
          <t>eng</t>
        </is>
      </c>
      <c r="P2192" t="inlineStr">
        <is>
          <t>enk</t>
        </is>
      </c>
      <c r="R2192" t="inlineStr">
        <is>
          <t xml:space="preserve">HQ </t>
        </is>
      </c>
      <c r="S2192" t="n">
        <v>12</v>
      </c>
      <c r="T2192" t="n">
        <v>12</v>
      </c>
      <c r="U2192" t="inlineStr">
        <is>
          <t>2009-11-05</t>
        </is>
      </c>
      <c r="V2192" t="inlineStr">
        <is>
          <t>2009-11-05</t>
        </is>
      </c>
      <c r="W2192" t="inlineStr">
        <is>
          <t>2006-02-09</t>
        </is>
      </c>
      <c r="X2192" t="inlineStr">
        <is>
          <t>2006-02-09</t>
        </is>
      </c>
      <c r="Y2192" t="n">
        <v>338</v>
      </c>
      <c r="Z2192" t="n">
        <v>253</v>
      </c>
      <c r="AA2192" t="n">
        <v>280</v>
      </c>
      <c r="AB2192" t="n">
        <v>2</v>
      </c>
      <c r="AC2192" t="n">
        <v>2</v>
      </c>
      <c r="AD2192" t="n">
        <v>7</v>
      </c>
      <c r="AE2192" t="n">
        <v>8</v>
      </c>
      <c r="AF2192" t="n">
        <v>4</v>
      </c>
      <c r="AG2192" t="n">
        <v>4</v>
      </c>
      <c r="AH2192" t="n">
        <v>2</v>
      </c>
      <c r="AI2192" t="n">
        <v>3</v>
      </c>
      <c r="AJ2192" t="n">
        <v>3</v>
      </c>
      <c r="AK2192" t="n">
        <v>3</v>
      </c>
      <c r="AL2192" t="n">
        <v>1</v>
      </c>
      <c r="AM2192" t="n">
        <v>1</v>
      </c>
      <c r="AN2192" t="n">
        <v>0</v>
      </c>
      <c r="AO2192" t="n">
        <v>0</v>
      </c>
      <c r="AP2192" t="inlineStr">
        <is>
          <t>No</t>
        </is>
      </c>
      <c r="AQ2192" t="inlineStr">
        <is>
          <t>Yes</t>
        </is>
      </c>
      <c r="AR2192">
        <f>HYPERLINK("http://catalog.hathitrust.org/Record/004916688","HathiTrust Record")</f>
        <v/>
      </c>
      <c r="AS2192">
        <f>HYPERLINK("https://creighton-primo.hosted.exlibrisgroup.com/primo-explore/search?tab=default_tab&amp;search_scope=EVERYTHING&amp;vid=01CRU&amp;lang=en_US&amp;offset=0&amp;query=any,contains,991004736669702656","Catalog Record")</f>
        <v/>
      </c>
      <c r="AT2192">
        <f>HYPERLINK("http://www.worldcat.org/oclc/56653309","WorldCat Record")</f>
        <v/>
      </c>
      <c r="AU2192" t="inlineStr">
        <is>
          <t>199186716:eng</t>
        </is>
      </c>
      <c r="AV2192" t="inlineStr">
        <is>
          <t>56653309</t>
        </is>
      </c>
      <c r="AW2192" t="inlineStr">
        <is>
          <t>991004736669702656</t>
        </is>
      </c>
      <c r="AX2192" t="inlineStr">
        <is>
          <t>991004736669702656</t>
        </is>
      </c>
      <c r="AY2192" t="inlineStr">
        <is>
          <t>2254733270002656</t>
        </is>
      </c>
      <c r="AZ2192" t="inlineStr">
        <is>
          <t>BOOK</t>
        </is>
      </c>
      <c r="BB2192" t="inlineStr">
        <is>
          <t>9780752429175</t>
        </is>
      </c>
      <c r="BC2192" t="inlineStr">
        <is>
          <t>32285005159446</t>
        </is>
      </c>
      <c r="BD2192" t="inlineStr">
        <is>
          <t>893882872</t>
        </is>
      </c>
    </row>
    <row r="2193">
      <c r="A2193" t="inlineStr">
        <is>
          <t>No</t>
        </is>
      </c>
      <c r="B2193" t="inlineStr">
        <is>
          <t>HQ76.25 .P65 1994</t>
        </is>
      </c>
      <c r="C2193" t="inlineStr">
        <is>
          <t>0                      HQ 0076250P  65          1994</t>
        </is>
      </c>
      <c r="D2193" t="inlineStr">
        <is>
          <t>The Politics and poetics of camp / edited by Moe Meyer.</t>
        </is>
      </c>
      <c r="F2193" t="inlineStr">
        <is>
          <t>No</t>
        </is>
      </c>
      <c r="G2193" t="inlineStr">
        <is>
          <t>1</t>
        </is>
      </c>
      <c r="H2193" t="inlineStr">
        <is>
          <t>No</t>
        </is>
      </c>
      <c r="I2193" t="inlineStr">
        <is>
          <t>No</t>
        </is>
      </c>
      <c r="J2193" t="inlineStr">
        <is>
          <t>0</t>
        </is>
      </c>
      <c r="L2193" t="inlineStr">
        <is>
          <t>London ; New York : Routledge, 1994.</t>
        </is>
      </c>
      <c r="M2193" t="inlineStr">
        <is>
          <t>1994</t>
        </is>
      </c>
      <c r="O2193" t="inlineStr">
        <is>
          <t>eng</t>
        </is>
      </c>
      <c r="P2193" t="inlineStr">
        <is>
          <t>enk</t>
        </is>
      </c>
      <c r="R2193" t="inlineStr">
        <is>
          <t xml:space="preserve">HQ </t>
        </is>
      </c>
      <c r="S2193" t="n">
        <v>11</v>
      </c>
      <c r="T2193" t="n">
        <v>11</v>
      </c>
      <c r="U2193" t="inlineStr">
        <is>
          <t>2007-09-10</t>
        </is>
      </c>
      <c r="V2193" t="inlineStr">
        <is>
          <t>2007-09-10</t>
        </is>
      </c>
      <c r="W2193" t="inlineStr">
        <is>
          <t>2003-04-09</t>
        </is>
      </c>
      <c r="X2193" t="inlineStr">
        <is>
          <t>2003-04-09</t>
        </is>
      </c>
      <c r="Y2193" t="n">
        <v>376</v>
      </c>
      <c r="Z2193" t="n">
        <v>219</v>
      </c>
      <c r="AA2193" t="n">
        <v>249</v>
      </c>
      <c r="AB2193" t="n">
        <v>3</v>
      </c>
      <c r="AC2193" t="n">
        <v>3</v>
      </c>
      <c r="AD2193" t="n">
        <v>13</v>
      </c>
      <c r="AE2193" t="n">
        <v>13</v>
      </c>
      <c r="AF2193" t="n">
        <v>6</v>
      </c>
      <c r="AG2193" t="n">
        <v>6</v>
      </c>
      <c r="AH2193" t="n">
        <v>4</v>
      </c>
      <c r="AI2193" t="n">
        <v>4</v>
      </c>
      <c r="AJ2193" t="n">
        <v>4</v>
      </c>
      <c r="AK2193" t="n">
        <v>4</v>
      </c>
      <c r="AL2193" t="n">
        <v>2</v>
      </c>
      <c r="AM2193" t="n">
        <v>2</v>
      </c>
      <c r="AN2193" t="n">
        <v>0</v>
      </c>
      <c r="AO2193" t="n">
        <v>0</v>
      </c>
      <c r="AP2193" t="inlineStr">
        <is>
          <t>No</t>
        </is>
      </c>
      <c r="AQ2193" t="inlineStr">
        <is>
          <t>No</t>
        </is>
      </c>
      <c r="AS2193">
        <f>HYPERLINK("https://creighton-primo.hosted.exlibrisgroup.com/primo-explore/search?tab=default_tab&amp;search_scope=EVERYTHING&amp;vid=01CRU&amp;lang=en_US&amp;offset=0&amp;query=any,contains,991004017749702656","Catalog Record")</f>
        <v/>
      </c>
      <c r="AT2193">
        <f>HYPERLINK("http://www.worldcat.org/oclc/27811238","WorldCat Record")</f>
        <v/>
      </c>
      <c r="AU2193" t="inlineStr">
        <is>
          <t>1060418788:eng</t>
        </is>
      </c>
      <c r="AV2193" t="inlineStr">
        <is>
          <t>27811238</t>
        </is>
      </c>
      <c r="AW2193" t="inlineStr">
        <is>
          <t>991004017749702656</t>
        </is>
      </c>
      <c r="AX2193" t="inlineStr">
        <is>
          <t>991004017749702656</t>
        </is>
      </c>
      <c r="AY2193" t="inlineStr">
        <is>
          <t>2258610350002656</t>
        </is>
      </c>
      <c r="AZ2193" t="inlineStr">
        <is>
          <t>BOOK</t>
        </is>
      </c>
      <c r="BB2193" t="inlineStr">
        <is>
          <t>9780415082471</t>
        </is>
      </c>
      <c r="BC2193" t="inlineStr">
        <is>
          <t>32285004740931</t>
        </is>
      </c>
      <c r="BD2193" t="inlineStr">
        <is>
          <t>893318697</t>
        </is>
      </c>
    </row>
    <row r="2194">
      <c r="A2194" t="inlineStr">
        <is>
          <t>No</t>
        </is>
      </c>
      <c r="B2194" t="inlineStr">
        <is>
          <t>HQ76.25 .P685 1996</t>
        </is>
      </c>
      <c r="C2194" t="inlineStr">
        <is>
          <t>0                      HQ 0076250P  685         1996</t>
        </is>
      </c>
      <c r="D2194" t="inlineStr">
        <is>
          <t>A family and friend's guide to sexual orientation : [bridging the divide between gay and straight] / Bob Powers, Alan Ellis.</t>
        </is>
      </c>
      <c r="F2194" t="inlineStr">
        <is>
          <t>No</t>
        </is>
      </c>
      <c r="G2194" t="inlineStr">
        <is>
          <t>1</t>
        </is>
      </c>
      <c r="H2194" t="inlineStr">
        <is>
          <t>No</t>
        </is>
      </c>
      <c r="I2194" t="inlineStr">
        <is>
          <t>No</t>
        </is>
      </c>
      <c r="J2194" t="inlineStr">
        <is>
          <t>0</t>
        </is>
      </c>
      <c r="K2194" t="inlineStr">
        <is>
          <t>Powers, Bob, 1941-</t>
        </is>
      </c>
      <c r="L2194" t="inlineStr">
        <is>
          <t>New York : Routledge, 1996.</t>
        </is>
      </c>
      <c r="M2194" t="inlineStr">
        <is>
          <t>1996</t>
        </is>
      </c>
      <c r="O2194" t="inlineStr">
        <is>
          <t>eng</t>
        </is>
      </c>
      <c r="P2194" t="inlineStr">
        <is>
          <t>nyu</t>
        </is>
      </c>
      <c r="R2194" t="inlineStr">
        <is>
          <t xml:space="preserve">HQ </t>
        </is>
      </c>
      <c r="S2194" t="n">
        <v>3</v>
      </c>
      <c r="T2194" t="n">
        <v>3</v>
      </c>
      <c r="U2194" t="inlineStr">
        <is>
          <t>1998-11-05</t>
        </is>
      </c>
      <c r="V2194" t="inlineStr">
        <is>
          <t>1998-11-05</t>
        </is>
      </c>
      <c r="W2194" t="inlineStr">
        <is>
          <t>1996-08-01</t>
        </is>
      </c>
      <c r="X2194" t="inlineStr">
        <is>
          <t>1996-08-01</t>
        </is>
      </c>
      <c r="Y2194" t="n">
        <v>187</v>
      </c>
      <c r="Z2194" t="n">
        <v>156</v>
      </c>
      <c r="AA2194" t="n">
        <v>472</v>
      </c>
      <c r="AB2194" t="n">
        <v>1</v>
      </c>
      <c r="AC2194" t="n">
        <v>5</v>
      </c>
      <c r="AD2194" t="n">
        <v>6</v>
      </c>
      <c r="AE2194" t="n">
        <v>20</v>
      </c>
      <c r="AF2194" t="n">
        <v>1</v>
      </c>
      <c r="AG2194" t="n">
        <v>6</v>
      </c>
      <c r="AH2194" t="n">
        <v>2</v>
      </c>
      <c r="AI2194" t="n">
        <v>5</v>
      </c>
      <c r="AJ2194" t="n">
        <v>6</v>
      </c>
      <c r="AK2194" t="n">
        <v>10</v>
      </c>
      <c r="AL2194" t="n">
        <v>0</v>
      </c>
      <c r="AM2194" t="n">
        <v>4</v>
      </c>
      <c r="AN2194" t="n">
        <v>0</v>
      </c>
      <c r="AO2194" t="n">
        <v>0</v>
      </c>
      <c r="AP2194" t="inlineStr">
        <is>
          <t>No</t>
        </is>
      </c>
      <c r="AQ2194" t="inlineStr">
        <is>
          <t>No</t>
        </is>
      </c>
      <c r="AS2194">
        <f>HYPERLINK("https://creighton-primo.hosted.exlibrisgroup.com/primo-explore/search?tab=default_tab&amp;search_scope=EVERYTHING&amp;vid=01CRU&amp;lang=en_US&amp;offset=0&amp;query=any,contains,991002609859702656","Catalog Record")</f>
        <v/>
      </c>
      <c r="AT2194">
        <f>HYPERLINK("http://www.worldcat.org/oclc/34191511","WorldCat Record")</f>
        <v/>
      </c>
      <c r="AU2194" t="inlineStr">
        <is>
          <t>37332138:eng</t>
        </is>
      </c>
      <c r="AV2194" t="inlineStr">
        <is>
          <t>34191511</t>
        </is>
      </c>
      <c r="AW2194" t="inlineStr">
        <is>
          <t>991002609859702656</t>
        </is>
      </c>
      <c r="AX2194" t="inlineStr">
        <is>
          <t>991002609859702656</t>
        </is>
      </c>
      <c r="AY2194" t="inlineStr">
        <is>
          <t>2258984840002656</t>
        </is>
      </c>
      <c r="AZ2194" t="inlineStr">
        <is>
          <t>BOOK</t>
        </is>
      </c>
      <c r="BB2194" t="inlineStr">
        <is>
          <t>9780415912754</t>
        </is>
      </c>
      <c r="BC2194" t="inlineStr">
        <is>
          <t>32285002209012</t>
        </is>
      </c>
      <c r="BD2194" t="inlineStr">
        <is>
          <t>893786332</t>
        </is>
      </c>
    </row>
    <row r="2195">
      <c r="A2195" t="inlineStr">
        <is>
          <t>No</t>
        </is>
      </c>
      <c r="B2195" t="inlineStr">
        <is>
          <t>HQ76.25 .P85 2009</t>
        </is>
      </c>
      <c r="C2195" t="inlineStr">
        <is>
          <t>0                      HQ 0076250P  85          2009</t>
        </is>
      </c>
      <c r="D2195" t="inlineStr">
        <is>
          <t>Gay identity, new storytelling and the media / Christopher Pullen.</t>
        </is>
      </c>
      <c r="F2195" t="inlineStr">
        <is>
          <t>No</t>
        </is>
      </c>
      <c r="G2195" t="inlineStr">
        <is>
          <t>1</t>
        </is>
      </c>
      <c r="H2195" t="inlineStr">
        <is>
          <t>No</t>
        </is>
      </c>
      <c r="I2195" t="inlineStr">
        <is>
          <t>No</t>
        </is>
      </c>
      <c r="J2195" t="inlineStr">
        <is>
          <t>0</t>
        </is>
      </c>
      <c r="K2195" t="inlineStr">
        <is>
          <t>Pullen, Christopher, 1959-</t>
        </is>
      </c>
      <c r="L2195" t="inlineStr">
        <is>
          <t>Basingstoke : Palgrave Macmillan, c2009.</t>
        </is>
      </c>
      <c r="M2195" t="inlineStr">
        <is>
          <t>2009</t>
        </is>
      </c>
      <c r="O2195" t="inlineStr">
        <is>
          <t>eng</t>
        </is>
      </c>
      <c r="P2195" t="inlineStr">
        <is>
          <t>enk</t>
        </is>
      </c>
      <c r="R2195" t="inlineStr">
        <is>
          <t xml:space="preserve">HQ </t>
        </is>
      </c>
      <c r="S2195" t="n">
        <v>1</v>
      </c>
      <c r="T2195" t="n">
        <v>1</v>
      </c>
      <c r="U2195" t="inlineStr">
        <is>
          <t>2010-05-05</t>
        </is>
      </c>
      <c r="V2195" t="inlineStr">
        <is>
          <t>2010-05-05</t>
        </is>
      </c>
      <c r="W2195" t="inlineStr">
        <is>
          <t>2010-05-05</t>
        </is>
      </c>
      <c r="X2195" t="inlineStr">
        <is>
          <t>2010-05-05</t>
        </is>
      </c>
      <c r="Y2195" t="n">
        <v>286</v>
      </c>
      <c r="Z2195" t="n">
        <v>224</v>
      </c>
      <c r="AA2195" t="n">
        <v>292</v>
      </c>
      <c r="AB2195" t="n">
        <v>2</v>
      </c>
      <c r="AC2195" t="n">
        <v>2</v>
      </c>
      <c r="AD2195" t="n">
        <v>13</v>
      </c>
      <c r="AE2195" t="n">
        <v>18</v>
      </c>
      <c r="AF2195" t="n">
        <v>5</v>
      </c>
      <c r="AG2195" t="n">
        <v>8</v>
      </c>
      <c r="AH2195" t="n">
        <v>2</v>
      </c>
      <c r="AI2195" t="n">
        <v>5</v>
      </c>
      <c r="AJ2195" t="n">
        <v>8</v>
      </c>
      <c r="AK2195" t="n">
        <v>10</v>
      </c>
      <c r="AL2195" t="n">
        <v>1</v>
      </c>
      <c r="AM2195" t="n">
        <v>1</v>
      </c>
      <c r="AN2195" t="n">
        <v>0</v>
      </c>
      <c r="AO2195" t="n">
        <v>0</v>
      </c>
      <c r="AP2195" t="inlineStr">
        <is>
          <t>No</t>
        </is>
      </c>
      <c r="AQ2195" t="inlineStr">
        <is>
          <t>No</t>
        </is>
      </c>
      <c r="AS2195">
        <f>HYPERLINK("https://creighton-primo.hosted.exlibrisgroup.com/primo-explore/search?tab=default_tab&amp;search_scope=EVERYTHING&amp;vid=01CRU&amp;lang=en_US&amp;offset=0&amp;query=any,contains,991005394119702656","Catalog Record")</f>
        <v/>
      </c>
      <c r="AT2195">
        <f>HYPERLINK("http://www.worldcat.org/oclc/294885535","WorldCat Record")</f>
        <v/>
      </c>
      <c r="AU2195" t="inlineStr">
        <is>
          <t>176179372:eng</t>
        </is>
      </c>
      <c r="AV2195" t="inlineStr">
        <is>
          <t>294885535</t>
        </is>
      </c>
      <c r="AW2195" t="inlineStr">
        <is>
          <t>991005394119702656</t>
        </is>
      </c>
      <c r="AX2195" t="inlineStr">
        <is>
          <t>991005394119702656</t>
        </is>
      </c>
      <c r="AY2195" t="inlineStr">
        <is>
          <t>2256421930002656</t>
        </is>
      </c>
      <c r="AZ2195" t="inlineStr">
        <is>
          <t>BOOK</t>
        </is>
      </c>
      <c r="BB2195" t="inlineStr">
        <is>
          <t>9780230553439</t>
        </is>
      </c>
      <c r="BC2195" t="inlineStr">
        <is>
          <t>32285005580468</t>
        </is>
      </c>
      <c r="BD2195" t="inlineStr">
        <is>
          <t>893871111</t>
        </is>
      </c>
    </row>
    <row r="2196">
      <c r="A2196" t="inlineStr">
        <is>
          <t>No</t>
        </is>
      </c>
      <c r="B2196" t="inlineStr">
        <is>
          <t>HQ76.25 .S38 1990</t>
        </is>
      </c>
      <c r="C2196" t="inlineStr">
        <is>
          <t>0                      HQ 0076250S  38          1990</t>
        </is>
      </c>
      <c r="D2196" t="inlineStr">
        <is>
          <t>Gay and lesbian youth : expressions of identity / Ritch C. Savin-Williams.</t>
        </is>
      </c>
      <c r="F2196" t="inlineStr">
        <is>
          <t>No</t>
        </is>
      </c>
      <c r="G2196" t="inlineStr">
        <is>
          <t>1</t>
        </is>
      </c>
      <c r="H2196" t="inlineStr">
        <is>
          <t>No</t>
        </is>
      </c>
      <c r="I2196" t="inlineStr">
        <is>
          <t>No</t>
        </is>
      </c>
      <c r="J2196" t="inlineStr">
        <is>
          <t>0</t>
        </is>
      </c>
      <c r="K2196" t="inlineStr">
        <is>
          <t>Savin-Williams, Ritch C.</t>
        </is>
      </c>
      <c r="L2196" t="inlineStr">
        <is>
          <t>New York : Hemisphere Pub. Corp., c1990.</t>
        </is>
      </c>
      <c r="M2196" t="inlineStr">
        <is>
          <t>1990</t>
        </is>
      </c>
      <c r="O2196" t="inlineStr">
        <is>
          <t>eng</t>
        </is>
      </c>
      <c r="P2196" t="inlineStr">
        <is>
          <t>nyu</t>
        </is>
      </c>
      <c r="Q2196" t="inlineStr">
        <is>
          <t>The Series in clinical and community psychology</t>
        </is>
      </c>
      <c r="R2196" t="inlineStr">
        <is>
          <t xml:space="preserve">HQ </t>
        </is>
      </c>
      <c r="S2196" t="n">
        <v>32</v>
      </c>
      <c r="T2196" t="n">
        <v>32</v>
      </c>
      <c r="U2196" t="inlineStr">
        <is>
          <t>2003-02-11</t>
        </is>
      </c>
      <c r="V2196" t="inlineStr">
        <is>
          <t>2003-02-11</t>
        </is>
      </c>
      <c r="W2196" t="inlineStr">
        <is>
          <t>1992-03-25</t>
        </is>
      </c>
      <c r="X2196" t="inlineStr">
        <is>
          <t>1992-03-25</t>
        </is>
      </c>
      <c r="Y2196" t="n">
        <v>365</v>
      </c>
      <c r="Z2196" t="n">
        <v>284</v>
      </c>
      <c r="AA2196" t="n">
        <v>289</v>
      </c>
      <c r="AB2196" t="n">
        <v>3</v>
      </c>
      <c r="AC2196" t="n">
        <v>3</v>
      </c>
      <c r="AD2196" t="n">
        <v>15</v>
      </c>
      <c r="AE2196" t="n">
        <v>15</v>
      </c>
      <c r="AF2196" t="n">
        <v>5</v>
      </c>
      <c r="AG2196" t="n">
        <v>5</v>
      </c>
      <c r="AH2196" t="n">
        <v>3</v>
      </c>
      <c r="AI2196" t="n">
        <v>3</v>
      </c>
      <c r="AJ2196" t="n">
        <v>8</v>
      </c>
      <c r="AK2196" t="n">
        <v>8</v>
      </c>
      <c r="AL2196" t="n">
        <v>2</v>
      </c>
      <c r="AM2196" t="n">
        <v>2</v>
      </c>
      <c r="AN2196" t="n">
        <v>0</v>
      </c>
      <c r="AO2196" t="n">
        <v>0</v>
      </c>
      <c r="AP2196" t="inlineStr">
        <is>
          <t>No</t>
        </is>
      </c>
      <c r="AQ2196" t="inlineStr">
        <is>
          <t>No</t>
        </is>
      </c>
      <c r="AS2196">
        <f>HYPERLINK("https://creighton-primo.hosted.exlibrisgroup.com/primo-explore/search?tab=default_tab&amp;search_scope=EVERYTHING&amp;vid=01CRU&amp;lang=en_US&amp;offset=0&amp;query=any,contains,991001604609702656","Catalog Record")</f>
        <v/>
      </c>
      <c r="AT2196">
        <f>HYPERLINK("http://www.worldcat.org/oclc/20690787","WorldCat Record")</f>
        <v/>
      </c>
      <c r="AU2196" t="inlineStr">
        <is>
          <t>836750481:eng</t>
        </is>
      </c>
      <c r="AV2196" t="inlineStr">
        <is>
          <t>20690787</t>
        </is>
      </c>
      <c r="AW2196" t="inlineStr">
        <is>
          <t>991001604609702656</t>
        </is>
      </c>
      <c r="AX2196" t="inlineStr">
        <is>
          <t>991001604609702656</t>
        </is>
      </c>
      <c r="AY2196" t="inlineStr">
        <is>
          <t>2257938440002656</t>
        </is>
      </c>
      <c r="AZ2196" t="inlineStr">
        <is>
          <t>BOOK</t>
        </is>
      </c>
      <c r="BB2196" t="inlineStr">
        <is>
          <t>9781560320371</t>
        </is>
      </c>
      <c r="BC2196" t="inlineStr">
        <is>
          <t>32285001006278</t>
        </is>
      </c>
      <c r="BD2196" t="inlineStr">
        <is>
          <t>893426696</t>
        </is>
      </c>
    </row>
    <row r="2197">
      <c r="A2197" t="inlineStr">
        <is>
          <t>No</t>
        </is>
      </c>
      <c r="B2197" t="inlineStr">
        <is>
          <t>HQ76.25 .W475 1998</t>
        </is>
      </c>
      <c r="C2197" t="inlineStr">
        <is>
          <t>0                      HQ 0076250W  475         1998</t>
        </is>
      </c>
      <c r="D2197" t="inlineStr">
        <is>
          <t>Long slow burn : sexuality and social science / Kath Weston.</t>
        </is>
      </c>
      <c r="F2197" t="inlineStr">
        <is>
          <t>No</t>
        </is>
      </c>
      <c r="G2197" t="inlineStr">
        <is>
          <t>1</t>
        </is>
      </c>
      <c r="H2197" t="inlineStr">
        <is>
          <t>No</t>
        </is>
      </c>
      <c r="I2197" t="inlineStr">
        <is>
          <t>No</t>
        </is>
      </c>
      <c r="J2197" t="inlineStr">
        <is>
          <t>0</t>
        </is>
      </c>
      <c r="K2197" t="inlineStr">
        <is>
          <t>Weston, Kath, 1958-</t>
        </is>
      </c>
      <c r="L2197" t="inlineStr">
        <is>
          <t>New York : Routledge, 1998.</t>
        </is>
      </c>
      <c r="M2197" t="inlineStr">
        <is>
          <t>1998</t>
        </is>
      </c>
      <c r="O2197" t="inlineStr">
        <is>
          <t>eng</t>
        </is>
      </c>
      <c r="P2197" t="inlineStr">
        <is>
          <t>nyu</t>
        </is>
      </c>
      <c r="R2197" t="inlineStr">
        <is>
          <t xml:space="preserve">HQ </t>
        </is>
      </c>
      <c r="S2197" t="n">
        <v>13</v>
      </c>
      <c r="T2197" t="n">
        <v>13</v>
      </c>
      <c r="U2197" t="inlineStr">
        <is>
          <t>2005-12-12</t>
        </is>
      </c>
      <c r="V2197" t="inlineStr">
        <is>
          <t>2005-12-12</t>
        </is>
      </c>
      <c r="W2197" t="inlineStr">
        <is>
          <t>1999-08-31</t>
        </is>
      </c>
      <c r="X2197" t="inlineStr">
        <is>
          <t>1999-08-31</t>
        </is>
      </c>
      <c r="Y2197" t="n">
        <v>469</v>
      </c>
      <c r="Z2197" t="n">
        <v>358</v>
      </c>
      <c r="AA2197" t="n">
        <v>375</v>
      </c>
      <c r="AB2197" t="n">
        <v>3</v>
      </c>
      <c r="AC2197" t="n">
        <v>3</v>
      </c>
      <c r="AD2197" t="n">
        <v>15</v>
      </c>
      <c r="AE2197" t="n">
        <v>15</v>
      </c>
      <c r="AF2197" t="n">
        <v>4</v>
      </c>
      <c r="AG2197" t="n">
        <v>4</v>
      </c>
      <c r="AH2197" t="n">
        <v>4</v>
      </c>
      <c r="AI2197" t="n">
        <v>4</v>
      </c>
      <c r="AJ2197" t="n">
        <v>9</v>
      </c>
      <c r="AK2197" t="n">
        <v>9</v>
      </c>
      <c r="AL2197" t="n">
        <v>2</v>
      </c>
      <c r="AM2197" t="n">
        <v>2</v>
      </c>
      <c r="AN2197" t="n">
        <v>0</v>
      </c>
      <c r="AO2197" t="n">
        <v>0</v>
      </c>
      <c r="AP2197" t="inlineStr">
        <is>
          <t>No</t>
        </is>
      </c>
      <c r="AQ2197" t="inlineStr">
        <is>
          <t>No</t>
        </is>
      </c>
      <c r="AS2197">
        <f>HYPERLINK("https://creighton-primo.hosted.exlibrisgroup.com/primo-explore/search?tab=default_tab&amp;search_scope=EVERYTHING&amp;vid=01CRU&amp;lang=en_US&amp;offset=0&amp;query=any,contains,991002887439702656","Catalog Record")</f>
        <v/>
      </c>
      <c r="AT2197">
        <f>HYPERLINK("http://www.worldcat.org/oclc/38048382","WorldCat Record")</f>
        <v/>
      </c>
      <c r="AU2197" t="inlineStr">
        <is>
          <t>837029818:eng</t>
        </is>
      </c>
      <c r="AV2197" t="inlineStr">
        <is>
          <t>38048382</t>
        </is>
      </c>
      <c r="AW2197" t="inlineStr">
        <is>
          <t>991002887439702656</t>
        </is>
      </c>
      <c r="AX2197" t="inlineStr">
        <is>
          <t>991002887439702656</t>
        </is>
      </c>
      <c r="AY2197" t="inlineStr">
        <is>
          <t>2257936530002656</t>
        </is>
      </c>
      <c r="AZ2197" t="inlineStr">
        <is>
          <t>BOOK</t>
        </is>
      </c>
      <c r="BB2197" t="inlineStr">
        <is>
          <t>9780415920438</t>
        </is>
      </c>
      <c r="BC2197" t="inlineStr">
        <is>
          <t>32285003585402</t>
        </is>
      </c>
      <c r="BD2197" t="inlineStr">
        <is>
          <t>893627350</t>
        </is>
      </c>
    </row>
    <row r="2198">
      <c r="A2198" t="inlineStr">
        <is>
          <t>No</t>
        </is>
      </c>
      <c r="B2198" t="inlineStr">
        <is>
          <t>HQ76.25 .W552 2008</t>
        </is>
      </c>
      <c r="C2198" t="inlineStr">
        <is>
          <t>0                      HQ 0076250W  552         2008</t>
        </is>
      </c>
      <c r="D2198" t="inlineStr">
        <is>
          <t>Legacies of love : a heritage of queer bonding / Winston Wilde.</t>
        </is>
      </c>
      <c r="F2198" t="inlineStr">
        <is>
          <t>No</t>
        </is>
      </c>
      <c r="G2198" t="inlineStr">
        <is>
          <t>1</t>
        </is>
      </c>
      <c r="H2198" t="inlineStr">
        <is>
          <t>No</t>
        </is>
      </c>
      <c r="I2198" t="inlineStr">
        <is>
          <t>No</t>
        </is>
      </c>
      <c r="J2198" t="inlineStr">
        <is>
          <t>0</t>
        </is>
      </c>
      <c r="K2198" t="inlineStr">
        <is>
          <t>Wilde, Winston.</t>
        </is>
      </c>
      <c r="L2198" t="inlineStr">
        <is>
          <t>New York : Haworth Press, c2008.</t>
        </is>
      </c>
      <c r="M2198" t="inlineStr">
        <is>
          <t>2008</t>
        </is>
      </c>
      <c r="O2198" t="inlineStr">
        <is>
          <t>eng</t>
        </is>
      </c>
      <c r="P2198" t="inlineStr">
        <is>
          <t>nyu</t>
        </is>
      </c>
      <c r="R2198" t="inlineStr">
        <is>
          <t xml:space="preserve">HQ </t>
        </is>
      </c>
      <c r="S2198" t="n">
        <v>1</v>
      </c>
      <c r="T2198" t="n">
        <v>1</v>
      </c>
      <c r="U2198" t="inlineStr">
        <is>
          <t>2009-05-28</t>
        </is>
      </c>
      <c r="V2198" t="inlineStr">
        <is>
          <t>2009-05-28</t>
        </is>
      </c>
      <c r="W2198" t="inlineStr">
        <is>
          <t>2009-05-28</t>
        </is>
      </c>
      <c r="X2198" t="inlineStr">
        <is>
          <t>2009-05-28</t>
        </is>
      </c>
      <c r="Y2198" t="n">
        <v>123</v>
      </c>
      <c r="Z2198" t="n">
        <v>109</v>
      </c>
      <c r="AA2198" t="n">
        <v>117</v>
      </c>
      <c r="AB2198" t="n">
        <v>2</v>
      </c>
      <c r="AC2198" t="n">
        <v>2</v>
      </c>
      <c r="AD2198" t="n">
        <v>3</v>
      </c>
      <c r="AE2198" t="n">
        <v>3</v>
      </c>
      <c r="AF2198" t="n">
        <v>0</v>
      </c>
      <c r="AG2198" t="n">
        <v>0</v>
      </c>
      <c r="AH2198" t="n">
        <v>0</v>
      </c>
      <c r="AI2198" t="n">
        <v>0</v>
      </c>
      <c r="AJ2198" t="n">
        <v>2</v>
      </c>
      <c r="AK2198" t="n">
        <v>2</v>
      </c>
      <c r="AL2198" t="n">
        <v>1</v>
      </c>
      <c r="AM2198" t="n">
        <v>1</v>
      </c>
      <c r="AN2198" t="n">
        <v>0</v>
      </c>
      <c r="AO2198" t="n">
        <v>0</v>
      </c>
      <c r="AP2198" t="inlineStr">
        <is>
          <t>No</t>
        </is>
      </c>
      <c r="AQ2198" t="inlineStr">
        <is>
          <t>No</t>
        </is>
      </c>
      <c r="AS2198">
        <f>HYPERLINK("https://creighton-primo.hosted.exlibrisgroup.com/primo-explore/search?tab=default_tab&amp;search_scope=EVERYTHING&amp;vid=01CRU&amp;lang=en_US&amp;offset=0&amp;query=any,contains,991005313439702656","Catalog Record")</f>
        <v/>
      </c>
      <c r="AT2198">
        <f>HYPERLINK("http://www.worldcat.org/oclc/104870659","WorldCat Record")</f>
        <v/>
      </c>
      <c r="AU2198" t="inlineStr">
        <is>
          <t>963314884:eng</t>
        </is>
      </c>
      <c r="AV2198" t="inlineStr">
        <is>
          <t>104870659</t>
        </is>
      </c>
      <c r="AW2198" t="inlineStr">
        <is>
          <t>991005313439702656</t>
        </is>
      </c>
      <c r="AX2198" t="inlineStr">
        <is>
          <t>991005313439702656</t>
        </is>
      </c>
      <c r="AY2198" t="inlineStr">
        <is>
          <t>2267355740002656</t>
        </is>
      </c>
      <c r="AZ2198" t="inlineStr">
        <is>
          <t>BOOK</t>
        </is>
      </c>
      <c r="BB2198" t="inlineStr">
        <is>
          <t>9781560236641</t>
        </is>
      </c>
      <c r="BC2198" t="inlineStr">
        <is>
          <t>32285005533434</t>
        </is>
      </c>
      <c r="BD2198" t="inlineStr">
        <is>
          <t>893533543</t>
        </is>
      </c>
    </row>
    <row r="2199">
      <c r="A2199" t="inlineStr">
        <is>
          <t>No</t>
        </is>
      </c>
      <c r="B2199" t="inlineStr">
        <is>
          <t>HQ76.25 .W553 2007</t>
        </is>
      </c>
      <c r="C2199" t="inlineStr">
        <is>
          <t>0                      HQ 0076250W  553         2007</t>
        </is>
      </c>
      <c r="D2199" t="inlineStr">
        <is>
          <t>Ambiguity and sexuality : a theory of sexual identity / William S. Wilkerson.</t>
        </is>
      </c>
      <c r="F2199" t="inlineStr">
        <is>
          <t>No</t>
        </is>
      </c>
      <c r="G2199" t="inlineStr">
        <is>
          <t>1</t>
        </is>
      </c>
      <c r="H2199" t="inlineStr">
        <is>
          <t>No</t>
        </is>
      </c>
      <c r="I2199" t="inlineStr">
        <is>
          <t>No</t>
        </is>
      </c>
      <c r="J2199" t="inlineStr">
        <is>
          <t>0</t>
        </is>
      </c>
      <c r="K2199" t="inlineStr">
        <is>
          <t>Wilkerson, William S., 1968-</t>
        </is>
      </c>
      <c r="L2199" t="inlineStr">
        <is>
          <t>New York : Palgrave Macmillan, 2007.</t>
        </is>
      </c>
      <c r="M2199" t="inlineStr">
        <is>
          <t>2007</t>
        </is>
      </c>
      <c r="O2199" t="inlineStr">
        <is>
          <t>eng</t>
        </is>
      </c>
      <c r="P2199" t="inlineStr">
        <is>
          <t>nyu</t>
        </is>
      </c>
      <c r="Q2199" t="inlineStr">
        <is>
          <t>Future of minority studies</t>
        </is>
      </c>
      <c r="R2199" t="inlineStr">
        <is>
          <t xml:space="preserve">HQ </t>
        </is>
      </c>
      <c r="S2199" t="n">
        <v>1</v>
      </c>
      <c r="T2199" t="n">
        <v>1</v>
      </c>
      <c r="U2199" t="inlineStr">
        <is>
          <t>2009-04-27</t>
        </is>
      </c>
      <c r="V2199" t="inlineStr">
        <is>
          <t>2009-04-27</t>
        </is>
      </c>
      <c r="W2199" t="inlineStr">
        <is>
          <t>2009-04-27</t>
        </is>
      </c>
      <c r="X2199" t="inlineStr">
        <is>
          <t>2009-04-27</t>
        </is>
      </c>
      <c r="Y2199" t="n">
        <v>428</v>
      </c>
      <c r="Z2199" t="n">
        <v>360</v>
      </c>
      <c r="AA2199" t="n">
        <v>404</v>
      </c>
      <c r="AB2199" t="n">
        <v>3</v>
      </c>
      <c r="AC2199" t="n">
        <v>3</v>
      </c>
      <c r="AD2199" t="n">
        <v>15</v>
      </c>
      <c r="AE2199" t="n">
        <v>18</v>
      </c>
      <c r="AF2199" t="n">
        <v>6</v>
      </c>
      <c r="AG2199" t="n">
        <v>9</v>
      </c>
      <c r="AH2199" t="n">
        <v>3</v>
      </c>
      <c r="AI2199" t="n">
        <v>4</v>
      </c>
      <c r="AJ2199" t="n">
        <v>7</v>
      </c>
      <c r="AK2199" t="n">
        <v>9</v>
      </c>
      <c r="AL2199" t="n">
        <v>2</v>
      </c>
      <c r="AM2199" t="n">
        <v>2</v>
      </c>
      <c r="AN2199" t="n">
        <v>0</v>
      </c>
      <c r="AO2199" t="n">
        <v>0</v>
      </c>
      <c r="AP2199" t="inlineStr">
        <is>
          <t>No</t>
        </is>
      </c>
      <c r="AQ2199" t="inlineStr">
        <is>
          <t>No</t>
        </is>
      </c>
      <c r="AS2199">
        <f>HYPERLINK("https://creighton-primo.hosted.exlibrisgroup.com/primo-explore/search?tab=default_tab&amp;search_scope=EVERYTHING&amp;vid=01CRU&amp;lang=en_US&amp;offset=0&amp;query=any,contains,991005309679702656","Catalog Record")</f>
        <v/>
      </c>
      <c r="AT2199">
        <f>HYPERLINK("http://www.worldcat.org/oclc/72355069","WorldCat Record")</f>
        <v/>
      </c>
      <c r="AU2199" t="inlineStr">
        <is>
          <t>795556534:eng</t>
        </is>
      </c>
      <c r="AV2199" t="inlineStr">
        <is>
          <t>72355069</t>
        </is>
      </c>
      <c r="AW2199" t="inlineStr">
        <is>
          <t>991005309679702656</t>
        </is>
      </c>
      <c r="AX2199" t="inlineStr">
        <is>
          <t>991005309679702656</t>
        </is>
      </c>
      <c r="AY2199" t="inlineStr">
        <is>
          <t>2272585880002656</t>
        </is>
      </c>
      <c r="AZ2199" t="inlineStr">
        <is>
          <t>BOOK</t>
        </is>
      </c>
      <c r="BB2199" t="inlineStr">
        <is>
          <t>9781403980113</t>
        </is>
      </c>
      <c r="BC2199" t="inlineStr">
        <is>
          <t>32285005518500</t>
        </is>
      </c>
      <c r="BD2199" t="inlineStr">
        <is>
          <t>893720162</t>
        </is>
      </c>
    </row>
    <row r="2200">
      <c r="A2200" t="inlineStr">
        <is>
          <t>No</t>
        </is>
      </c>
      <c r="B2200" t="inlineStr">
        <is>
          <t>HQ76.25.U5 G73 1984</t>
        </is>
      </c>
      <c r="C2200" t="inlineStr">
        <is>
          <t>0                      HQ 0076250U  5                  G  73          1984</t>
        </is>
      </c>
      <c r="D2200" t="inlineStr">
        <is>
          <t>Another mother tongue : gay words, gay worlds / Judy Grahn.</t>
        </is>
      </c>
      <c r="F2200" t="inlineStr">
        <is>
          <t>No</t>
        </is>
      </c>
      <c r="G2200" t="inlineStr">
        <is>
          <t>1</t>
        </is>
      </c>
      <c r="H2200" t="inlineStr">
        <is>
          <t>No</t>
        </is>
      </c>
      <c r="I2200" t="inlineStr">
        <is>
          <t>Yes</t>
        </is>
      </c>
      <c r="J2200" t="inlineStr">
        <is>
          <t>0</t>
        </is>
      </c>
      <c r="K2200" t="inlineStr">
        <is>
          <t>Grahn, Judy, 1940-</t>
        </is>
      </c>
      <c r="L2200" t="inlineStr">
        <is>
          <t>Boston : Beacon Press, c1984.</t>
        </is>
      </c>
      <c r="M2200" t="inlineStr">
        <is>
          <t>1984</t>
        </is>
      </c>
      <c r="O2200" t="inlineStr">
        <is>
          <t>eng</t>
        </is>
      </c>
      <c r="P2200" t="inlineStr">
        <is>
          <t>mau</t>
        </is>
      </c>
      <c r="R2200" t="inlineStr">
        <is>
          <t xml:space="preserve">HQ </t>
        </is>
      </c>
      <c r="S2200" t="n">
        <v>16</v>
      </c>
      <c r="T2200" t="n">
        <v>16</v>
      </c>
      <c r="U2200" t="inlineStr">
        <is>
          <t>1995-01-09</t>
        </is>
      </c>
      <c r="V2200" t="inlineStr">
        <is>
          <t>1995-01-09</t>
        </is>
      </c>
      <c r="W2200" t="inlineStr">
        <is>
          <t>1992-10-22</t>
        </is>
      </c>
      <c r="X2200" t="inlineStr">
        <is>
          <t>1992-10-22</t>
        </is>
      </c>
      <c r="Y2200" t="n">
        <v>506</v>
      </c>
      <c r="Z2200" t="n">
        <v>457</v>
      </c>
      <c r="AA2200" t="n">
        <v>660</v>
      </c>
      <c r="AB2200" t="n">
        <v>4</v>
      </c>
      <c r="AC2200" t="n">
        <v>7</v>
      </c>
      <c r="AD2200" t="n">
        <v>12</v>
      </c>
      <c r="AE2200" t="n">
        <v>24</v>
      </c>
      <c r="AF2200" t="n">
        <v>4</v>
      </c>
      <c r="AG2200" t="n">
        <v>8</v>
      </c>
      <c r="AH2200" t="n">
        <v>5</v>
      </c>
      <c r="AI2200" t="n">
        <v>7</v>
      </c>
      <c r="AJ2200" t="n">
        <v>5</v>
      </c>
      <c r="AK2200" t="n">
        <v>10</v>
      </c>
      <c r="AL2200" t="n">
        <v>2</v>
      </c>
      <c r="AM2200" t="n">
        <v>4</v>
      </c>
      <c r="AN2200" t="n">
        <v>0</v>
      </c>
      <c r="AO2200" t="n">
        <v>0</v>
      </c>
      <c r="AP2200" t="inlineStr">
        <is>
          <t>No</t>
        </is>
      </c>
      <c r="AQ2200" t="inlineStr">
        <is>
          <t>Yes</t>
        </is>
      </c>
      <c r="AR2200">
        <f>HYPERLINK("http://catalog.hathitrust.org/Record/000126145","HathiTrust Record")</f>
        <v/>
      </c>
      <c r="AS2200">
        <f>HYPERLINK("https://creighton-primo.hosted.exlibrisgroup.com/primo-explore/search?tab=default_tab&amp;search_scope=EVERYTHING&amp;vid=01CRU&amp;lang=en_US&amp;offset=0&amp;query=any,contains,991000383989702656","Catalog Record")</f>
        <v/>
      </c>
      <c r="AT2200">
        <f>HYPERLINK("http://www.worldcat.org/oclc/10506489","WorldCat Record")</f>
        <v/>
      </c>
      <c r="AU2200" t="inlineStr">
        <is>
          <t>2898142:eng</t>
        </is>
      </c>
      <c r="AV2200" t="inlineStr">
        <is>
          <t>10506489</t>
        </is>
      </c>
      <c r="AW2200" t="inlineStr">
        <is>
          <t>991000383989702656</t>
        </is>
      </c>
      <c r="AX2200" t="inlineStr">
        <is>
          <t>991000383989702656</t>
        </is>
      </c>
      <c r="AY2200" t="inlineStr">
        <is>
          <t>2255754340002656</t>
        </is>
      </c>
      <c r="AZ2200" t="inlineStr">
        <is>
          <t>BOOK</t>
        </is>
      </c>
      <c r="BB2200" t="inlineStr">
        <is>
          <t>9780807067161</t>
        </is>
      </c>
      <c r="BC2200" t="inlineStr">
        <is>
          <t>32285001358299</t>
        </is>
      </c>
      <c r="BD2200" t="inlineStr">
        <is>
          <t>893515222</t>
        </is>
      </c>
    </row>
    <row r="2201">
      <c r="A2201" t="inlineStr">
        <is>
          <t>No</t>
        </is>
      </c>
      <c r="B2201" t="inlineStr">
        <is>
          <t>HQ76.26 .C43 1995</t>
        </is>
      </c>
      <c r="C2201" t="inlineStr">
        <is>
          <t>0                      HQ 0076260C  43          1995</t>
        </is>
      </c>
      <c r="D2201" t="inlineStr">
        <is>
          <t>Passages of pride : lesbian and gay youth come of age / Kurt Chandler.</t>
        </is>
      </c>
      <c r="F2201" t="inlineStr">
        <is>
          <t>No</t>
        </is>
      </c>
      <c r="G2201" t="inlineStr">
        <is>
          <t>1</t>
        </is>
      </c>
      <c r="H2201" t="inlineStr">
        <is>
          <t>No</t>
        </is>
      </c>
      <c r="I2201" t="inlineStr">
        <is>
          <t>No</t>
        </is>
      </c>
      <c r="J2201" t="inlineStr">
        <is>
          <t>0</t>
        </is>
      </c>
      <c r="K2201" t="inlineStr">
        <is>
          <t>Chandler, Kurt.</t>
        </is>
      </c>
      <c r="L2201" t="inlineStr">
        <is>
          <t>New York : Times Books, c1995.</t>
        </is>
      </c>
      <c r="M2201" t="inlineStr">
        <is>
          <t>1995</t>
        </is>
      </c>
      <c r="N2201" t="inlineStr">
        <is>
          <t>1st ed.</t>
        </is>
      </c>
      <c r="O2201" t="inlineStr">
        <is>
          <t>eng</t>
        </is>
      </c>
      <c r="P2201" t="inlineStr">
        <is>
          <t>nyu</t>
        </is>
      </c>
      <c r="R2201" t="inlineStr">
        <is>
          <t xml:space="preserve">HQ </t>
        </is>
      </c>
      <c r="S2201" t="n">
        <v>6</v>
      </c>
      <c r="T2201" t="n">
        <v>6</v>
      </c>
      <c r="U2201" t="inlineStr">
        <is>
          <t>1996-08-09</t>
        </is>
      </c>
      <c r="V2201" t="inlineStr">
        <is>
          <t>1996-08-09</t>
        </is>
      </c>
      <c r="W2201" t="inlineStr">
        <is>
          <t>1995-10-23</t>
        </is>
      </c>
      <c r="X2201" t="inlineStr">
        <is>
          <t>1995-10-23</t>
        </is>
      </c>
      <c r="Y2201" t="n">
        <v>392</v>
      </c>
      <c r="Z2201" t="n">
        <v>366</v>
      </c>
      <c r="AA2201" t="n">
        <v>373</v>
      </c>
      <c r="AB2201" t="n">
        <v>2</v>
      </c>
      <c r="AC2201" t="n">
        <v>2</v>
      </c>
      <c r="AD2201" t="n">
        <v>8</v>
      </c>
      <c r="AE2201" t="n">
        <v>8</v>
      </c>
      <c r="AF2201" t="n">
        <v>1</v>
      </c>
      <c r="AG2201" t="n">
        <v>1</v>
      </c>
      <c r="AH2201" t="n">
        <v>3</v>
      </c>
      <c r="AI2201" t="n">
        <v>3</v>
      </c>
      <c r="AJ2201" t="n">
        <v>6</v>
      </c>
      <c r="AK2201" t="n">
        <v>6</v>
      </c>
      <c r="AL2201" t="n">
        <v>1</v>
      </c>
      <c r="AM2201" t="n">
        <v>1</v>
      </c>
      <c r="AN2201" t="n">
        <v>0</v>
      </c>
      <c r="AO2201" t="n">
        <v>0</v>
      </c>
      <c r="AP2201" t="inlineStr">
        <is>
          <t>No</t>
        </is>
      </c>
      <c r="AQ2201" t="inlineStr">
        <is>
          <t>Yes</t>
        </is>
      </c>
      <c r="AR2201">
        <f>HYPERLINK("http://catalog.hathitrust.org/Record/003007654","HathiTrust Record")</f>
        <v/>
      </c>
      <c r="AS2201">
        <f>HYPERLINK("https://creighton-primo.hosted.exlibrisgroup.com/primo-explore/search?tab=default_tab&amp;search_scope=EVERYTHING&amp;vid=01CRU&amp;lang=en_US&amp;offset=0&amp;query=any,contains,991002462929702656","Catalog Record")</f>
        <v/>
      </c>
      <c r="AT2201">
        <f>HYPERLINK("http://www.worldcat.org/oclc/32089895","WorldCat Record")</f>
        <v/>
      </c>
      <c r="AU2201" t="inlineStr">
        <is>
          <t>292912354:eng</t>
        </is>
      </c>
      <c r="AV2201" t="inlineStr">
        <is>
          <t>32089895</t>
        </is>
      </c>
      <c r="AW2201" t="inlineStr">
        <is>
          <t>991002462929702656</t>
        </is>
      </c>
      <c r="AX2201" t="inlineStr">
        <is>
          <t>991002462929702656</t>
        </is>
      </c>
      <c r="AY2201" t="inlineStr">
        <is>
          <t>2255255240002656</t>
        </is>
      </c>
      <c r="AZ2201" t="inlineStr">
        <is>
          <t>BOOK</t>
        </is>
      </c>
      <c r="BB2201" t="inlineStr">
        <is>
          <t>9780812923803</t>
        </is>
      </c>
      <c r="BC2201" t="inlineStr">
        <is>
          <t>32285002096997</t>
        </is>
      </c>
      <c r="BD2201" t="inlineStr">
        <is>
          <t>893530024</t>
        </is>
      </c>
    </row>
    <row r="2202">
      <c r="A2202" t="inlineStr">
        <is>
          <t>No</t>
        </is>
      </c>
      <c r="B2202" t="inlineStr">
        <is>
          <t>HQ76.3.A356 S68 2006</t>
        </is>
      </c>
      <c r="C2202" t="inlineStr">
        <is>
          <t>0                      HQ 0076300A  356                S  68          2006</t>
        </is>
      </c>
      <c r="D2202" t="inlineStr">
        <is>
          <t>Imperialism within the margins : queer representation and the politics of culture in southern Africa / William J. Spurlin.</t>
        </is>
      </c>
      <c r="F2202" t="inlineStr">
        <is>
          <t>No</t>
        </is>
      </c>
      <c r="G2202" t="inlineStr">
        <is>
          <t>1</t>
        </is>
      </c>
      <c r="H2202" t="inlineStr">
        <is>
          <t>No</t>
        </is>
      </c>
      <c r="I2202" t="inlineStr">
        <is>
          <t>No</t>
        </is>
      </c>
      <c r="J2202" t="inlineStr">
        <is>
          <t>0</t>
        </is>
      </c>
      <c r="K2202" t="inlineStr">
        <is>
          <t>Spurlin, William J., 1954-</t>
        </is>
      </c>
      <c r="L2202" t="inlineStr">
        <is>
          <t>New York : Palgrave Macmillan, 2006.</t>
        </is>
      </c>
      <c r="M2202" t="inlineStr">
        <is>
          <t>2006</t>
        </is>
      </c>
      <c r="N2202" t="inlineStr">
        <is>
          <t>1st ed.</t>
        </is>
      </c>
      <c r="O2202" t="inlineStr">
        <is>
          <t>eng</t>
        </is>
      </c>
      <c r="P2202" t="inlineStr">
        <is>
          <t>nyu</t>
        </is>
      </c>
      <c r="R2202" t="inlineStr">
        <is>
          <t xml:space="preserve">HQ </t>
        </is>
      </c>
      <c r="S2202" t="n">
        <v>2</v>
      </c>
      <c r="T2202" t="n">
        <v>2</v>
      </c>
      <c r="U2202" t="inlineStr">
        <is>
          <t>2006-11-13</t>
        </is>
      </c>
      <c r="V2202" t="inlineStr">
        <is>
          <t>2006-11-13</t>
        </is>
      </c>
      <c r="W2202" t="inlineStr">
        <is>
          <t>2006-11-13</t>
        </is>
      </c>
      <c r="X2202" t="inlineStr">
        <is>
          <t>2006-11-13</t>
        </is>
      </c>
      <c r="Y2202" t="n">
        <v>181</v>
      </c>
      <c r="Z2202" t="n">
        <v>139</v>
      </c>
      <c r="AA2202" t="n">
        <v>509</v>
      </c>
      <c r="AB2202" t="n">
        <v>2</v>
      </c>
      <c r="AC2202" t="n">
        <v>6</v>
      </c>
      <c r="AD2202" t="n">
        <v>6</v>
      </c>
      <c r="AE2202" t="n">
        <v>23</v>
      </c>
      <c r="AF2202" t="n">
        <v>2</v>
      </c>
      <c r="AG2202" t="n">
        <v>8</v>
      </c>
      <c r="AH2202" t="n">
        <v>1</v>
      </c>
      <c r="AI2202" t="n">
        <v>5</v>
      </c>
      <c r="AJ2202" t="n">
        <v>3</v>
      </c>
      <c r="AK2202" t="n">
        <v>8</v>
      </c>
      <c r="AL2202" t="n">
        <v>1</v>
      </c>
      <c r="AM2202" t="n">
        <v>5</v>
      </c>
      <c r="AN2202" t="n">
        <v>0</v>
      </c>
      <c r="AO2202" t="n">
        <v>1</v>
      </c>
      <c r="AP2202" t="inlineStr">
        <is>
          <t>No</t>
        </is>
      </c>
      <c r="AQ2202" t="inlineStr">
        <is>
          <t>No</t>
        </is>
      </c>
      <c r="AS2202">
        <f>HYPERLINK("https://creighton-primo.hosted.exlibrisgroup.com/primo-explore/search?tab=default_tab&amp;search_scope=EVERYTHING&amp;vid=01CRU&amp;lang=en_US&amp;offset=0&amp;query=any,contains,991004959089702656","Catalog Record")</f>
        <v/>
      </c>
      <c r="AT2202">
        <f>HYPERLINK("http://www.worldcat.org/oclc/62741568","WorldCat Record")</f>
        <v/>
      </c>
      <c r="AU2202" t="inlineStr">
        <is>
          <t>793982586:eng</t>
        </is>
      </c>
      <c r="AV2202" t="inlineStr">
        <is>
          <t>62741568</t>
        </is>
      </c>
      <c r="AW2202" t="inlineStr">
        <is>
          <t>991004959089702656</t>
        </is>
      </c>
      <c r="AX2202" t="inlineStr">
        <is>
          <t>991004959089702656</t>
        </is>
      </c>
      <c r="AY2202" t="inlineStr">
        <is>
          <t>2256707400002656</t>
        </is>
      </c>
      <c r="AZ2202" t="inlineStr">
        <is>
          <t>BOOK</t>
        </is>
      </c>
      <c r="BB2202" t="inlineStr">
        <is>
          <t>9781403974136</t>
        </is>
      </c>
      <c r="BC2202" t="inlineStr">
        <is>
          <t>32285005239024</t>
        </is>
      </c>
      <c r="BD2202" t="inlineStr">
        <is>
          <t>893501135</t>
        </is>
      </c>
    </row>
    <row r="2203">
      <c r="A2203" t="inlineStr">
        <is>
          <t>No</t>
        </is>
      </c>
      <c r="B2203" t="inlineStr">
        <is>
          <t>HQ76.3.A78 G39 1995</t>
        </is>
      </c>
      <c r="C2203" t="inlineStr">
        <is>
          <t>0                      HQ 0076300A  78                 G  39          1995</t>
        </is>
      </c>
      <c r="D2203" t="inlineStr">
        <is>
          <t>Gays and lesbians in Asia and the Pacific : social and human services / Gerard Sullivan, Laurence Wai-Teng Leong, editors.</t>
        </is>
      </c>
      <c r="F2203" t="inlineStr">
        <is>
          <t>No</t>
        </is>
      </c>
      <c r="G2203" t="inlineStr">
        <is>
          <t>1</t>
        </is>
      </c>
      <c r="H2203" t="inlineStr">
        <is>
          <t>No</t>
        </is>
      </c>
      <c r="I2203" t="inlineStr">
        <is>
          <t>No</t>
        </is>
      </c>
      <c r="J2203" t="inlineStr">
        <is>
          <t>0</t>
        </is>
      </c>
      <c r="L2203" t="inlineStr">
        <is>
          <t>New York : Haworth Press, c1995.</t>
        </is>
      </c>
      <c r="M2203" t="inlineStr">
        <is>
          <t>1995</t>
        </is>
      </c>
      <c r="O2203" t="inlineStr">
        <is>
          <t>eng</t>
        </is>
      </c>
      <c r="P2203" t="inlineStr">
        <is>
          <t>nyu</t>
        </is>
      </c>
      <c r="R2203" t="inlineStr">
        <is>
          <t xml:space="preserve">HQ </t>
        </is>
      </c>
      <c r="S2203" t="n">
        <v>14</v>
      </c>
      <c r="T2203" t="n">
        <v>14</v>
      </c>
      <c r="U2203" t="inlineStr">
        <is>
          <t>2004-04-03</t>
        </is>
      </c>
      <c r="V2203" t="inlineStr">
        <is>
          <t>2004-04-03</t>
        </is>
      </c>
      <c r="W2203" t="inlineStr">
        <is>
          <t>1996-11-13</t>
        </is>
      </c>
      <c r="X2203" t="inlineStr">
        <is>
          <t>1996-11-13</t>
        </is>
      </c>
      <c r="Y2203" t="n">
        <v>129</v>
      </c>
      <c r="Z2203" t="n">
        <v>106</v>
      </c>
      <c r="AA2203" t="n">
        <v>108</v>
      </c>
      <c r="AB2203" t="n">
        <v>1</v>
      </c>
      <c r="AC2203" t="n">
        <v>1</v>
      </c>
      <c r="AD2203" t="n">
        <v>4</v>
      </c>
      <c r="AE2203" t="n">
        <v>4</v>
      </c>
      <c r="AF2203" t="n">
        <v>1</v>
      </c>
      <c r="AG2203" t="n">
        <v>1</v>
      </c>
      <c r="AH2203" t="n">
        <v>0</v>
      </c>
      <c r="AI2203" t="n">
        <v>0</v>
      </c>
      <c r="AJ2203" t="n">
        <v>4</v>
      </c>
      <c r="AK2203" t="n">
        <v>4</v>
      </c>
      <c r="AL2203" t="n">
        <v>0</v>
      </c>
      <c r="AM2203" t="n">
        <v>0</v>
      </c>
      <c r="AN2203" t="n">
        <v>0</v>
      </c>
      <c r="AO2203" t="n">
        <v>0</v>
      </c>
      <c r="AP2203" t="inlineStr">
        <is>
          <t>No</t>
        </is>
      </c>
      <c r="AQ2203" t="inlineStr">
        <is>
          <t>No</t>
        </is>
      </c>
      <c r="AS2203">
        <f>HYPERLINK("https://creighton-primo.hosted.exlibrisgroup.com/primo-explore/search?tab=default_tab&amp;search_scope=EVERYTHING&amp;vid=01CRU&amp;lang=en_US&amp;offset=0&amp;query=any,contains,991002556709702656","Catalog Record")</f>
        <v/>
      </c>
      <c r="AT2203">
        <f>HYPERLINK("http://www.worldcat.org/oclc/33243474","WorldCat Record")</f>
        <v/>
      </c>
      <c r="AU2203" t="inlineStr">
        <is>
          <t>393138167:eng</t>
        </is>
      </c>
      <c r="AV2203" t="inlineStr">
        <is>
          <t>33243474</t>
        </is>
      </c>
      <c r="AW2203" t="inlineStr">
        <is>
          <t>991002556709702656</t>
        </is>
      </c>
      <c r="AX2203" t="inlineStr">
        <is>
          <t>991002556709702656</t>
        </is>
      </c>
      <c r="AY2203" t="inlineStr">
        <is>
          <t>2255285620002656</t>
        </is>
      </c>
      <c r="AZ2203" t="inlineStr">
        <is>
          <t>BOOK</t>
        </is>
      </c>
      <c r="BB2203" t="inlineStr">
        <is>
          <t>9781560230731</t>
        </is>
      </c>
      <c r="BC2203" t="inlineStr">
        <is>
          <t>32285002372356</t>
        </is>
      </c>
      <c r="BD2203" t="inlineStr">
        <is>
          <t>893609985</t>
        </is>
      </c>
    </row>
    <row r="2204">
      <c r="A2204" t="inlineStr">
        <is>
          <t>No</t>
        </is>
      </c>
      <c r="B2204" t="inlineStr">
        <is>
          <t>HQ76.3.A9 T4 1985</t>
        </is>
      </c>
      <c r="C2204" t="inlineStr">
        <is>
          <t>0                      HQ 0076300A  9                  T  4           1985</t>
        </is>
      </c>
      <c r="D2204" t="inlineStr">
        <is>
          <t>Flaws in the social fabric : homosexuals and society in Sydney / Denise Thompson.</t>
        </is>
      </c>
      <c r="F2204" t="inlineStr">
        <is>
          <t>No</t>
        </is>
      </c>
      <c r="G2204" t="inlineStr">
        <is>
          <t>1</t>
        </is>
      </c>
      <c r="H2204" t="inlineStr">
        <is>
          <t>No</t>
        </is>
      </c>
      <c r="I2204" t="inlineStr">
        <is>
          <t>No</t>
        </is>
      </c>
      <c r="J2204" t="inlineStr">
        <is>
          <t>0</t>
        </is>
      </c>
      <c r="K2204" t="inlineStr">
        <is>
          <t>Thompson, Denise, 1940-</t>
        </is>
      </c>
      <c r="L2204" t="inlineStr">
        <is>
          <t>Sydney ; London : Allen &amp; Unwin, 1985.</t>
        </is>
      </c>
      <c r="M2204" t="inlineStr">
        <is>
          <t>1985</t>
        </is>
      </c>
      <c r="O2204" t="inlineStr">
        <is>
          <t>eng</t>
        </is>
      </c>
      <c r="P2204" t="inlineStr">
        <is>
          <t>enk</t>
        </is>
      </c>
      <c r="R2204" t="inlineStr">
        <is>
          <t xml:space="preserve">HQ </t>
        </is>
      </c>
      <c r="S2204" t="n">
        <v>13</v>
      </c>
      <c r="T2204" t="n">
        <v>13</v>
      </c>
      <c r="U2204" t="inlineStr">
        <is>
          <t>1995-03-15</t>
        </is>
      </c>
      <c r="V2204" t="inlineStr">
        <is>
          <t>1995-03-15</t>
        </is>
      </c>
      <c r="W2204" t="inlineStr">
        <is>
          <t>1990-02-12</t>
        </is>
      </c>
      <c r="X2204" t="inlineStr">
        <is>
          <t>1990-02-12</t>
        </is>
      </c>
      <c r="Y2204" t="n">
        <v>214</v>
      </c>
      <c r="Z2204" t="n">
        <v>139</v>
      </c>
      <c r="AA2204" t="n">
        <v>144</v>
      </c>
      <c r="AB2204" t="n">
        <v>1</v>
      </c>
      <c r="AC2204" t="n">
        <v>1</v>
      </c>
      <c r="AD2204" t="n">
        <v>3</v>
      </c>
      <c r="AE2204" t="n">
        <v>3</v>
      </c>
      <c r="AF2204" t="n">
        <v>0</v>
      </c>
      <c r="AG2204" t="n">
        <v>0</v>
      </c>
      <c r="AH2204" t="n">
        <v>2</v>
      </c>
      <c r="AI2204" t="n">
        <v>2</v>
      </c>
      <c r="AJ2204" t="n">
        <v>2</v>
      </c>
      <c r="AK2204" t="n">
        <v>2</v>
      </c>
      <c r="AL2204" t="n">
        <v>0</v>
      </c>
      <c r="AM2204" t="n">
        <v>0</v>
      </c>
      <c r="AN2204" t="n">
        <v>0</v>
      </c>
      <c r="AO2204" t="n">
        <v>0</v>
      </c>
      <c r="AP2204" t="inlineStr">
        <is>
          <t>No</t>
        </is>
      </c>
      <c r="AQ2204" t="inlineStr">
        <is>
          <t>No</t>
        </is>
      </c>
      <c r="AS2204">
        <f>HYPERLINK("https://creighton-primo.hosted.exlibrisgroup.com/primo-explore/search?tab=default_tab&amp;search_scope=EVERYTHING&amp;vid=01CRU&amp;lang=en_US&amp;offset=0&amp;query=any,contains,991000696259702656","Catalog Record")</f>
        <v/>
      </c>
      <c r="AT2204">
        <f>HYPERLINK("http://www.worldcat.org/oclc/13010158","WorldCat Record")</f>
        <v/>
      </c>
      <c r="AU2204" t="inlineStr">
        <is>
          <t>4926658:eng</t>
        </is>
      </c>
      <c r="AV2204" t="inlineStr">
        <is>
          <t>13010158</t>
        </is>
      </c>
      <c r="AW2204" t="inlineStr">
        <is>
          <t>991000696259702656</t>
        </is>
      </c>
      <c r="AX2204" t="inlineStr">
        <is>
          <t>991000696259702656</t>
        </is>
      </c>
      <c r="AY2204" t="inlineStr">
        <is>
          <t>2255196690002656</t>
        </is>
      </c>
      <c r="AZ2204" t="inlineStr">
        <is>
          <t>BOOK</t>
        </is>
      </c>
      <c r="BB2204" t="inlineStr">
        <is>
          <t>9780868616841</t>
        </is>
      </c>
      <c r="BC2204" t="inlineStr">
        <is>
          <t>32285000045418</t>
        </is>
      </c>
      <c r="BD2204" t="inlineStr">
        <is>
          <t>893345893</t>
        </is>
      </c>
    </row>
    <row r="2205">
      <c r="A2205" t="inlineStr">
        <is>
          <t>No</t>
        </is>
      </c>
      <c r="B2205" t="inlineStr">
        <is>
          <t>HQ76.3.C2 K54 2010</t>
        </is>
      </c>
      <c r="C2205" t="inlineStr">
        <is>
          <t>0                      HQ 0076300C  2                  K  54          2010</t>
        </is>
      </c>
      <c r="D2205" t="inlineStr">
        <is>
          <t>The Canadian war on queers : national security as sexual regulation / Gary Kinsman and Patrizia Gentile.</t>
        </is>
      </c>
      <c r="F2205" t="inlineStr">
        <is>
          <t>No</t>
        </is>
      </c>
      <c r="G2205" t="inlineStr">
        <is>
          <t>1</t>
        </is>
      </c>
      <c r="H2205" t="inlineStr">
        <is>
          <t>No</t>
        </is>
      </c>
      <c r="I2205" t="inlineStr">
        <is>
          <t>No</t>
        </is>
      </c>
      <c r="J2205" t="inlineStr">
        <is>
          <t>0</t>
        </is>
      </c>
      <c r="K2205" t="inlineStr">
        <is>
          <t>Kinsman, Gary William.</t>
        </is>
      </c>
      <c r="L2205" t="inlineStr">
        <is>
          <t>Vancouver, BC : UBC Press, c2010.</t>
        </is>
      </c>
      <c r="M2205" t="inlineStr">
        <is>
          <t>2010</t>
        </is>
      </c>
      <c r="O2205" t="inlineStr">
        <is>
          <t>eng</t>
        </is>
      </c>
      <c r="P2205" t="inlineStr">
        <is>
          <t>bcc</t>
        </is>
      </c>
      <c r="Q2205" t="inlineStr">
        <is>
          <t>Sexuality studies series</t>
        </is>
      </c>
      <c r="R2205" t="inlineStr">
        <is>
          <t xml:space="preserve">HQ </t>
        </is>
      </c>
      <c r="S2205" t="n">
        <v>1</v>
      </c>
      <c r="T2205" t="n">
        <v>1</v>
      </c>
      <c r="U2205" t="inlineStr">
        <is>
          <t>2010-11-09</t>
        </is>
      </c>
      <c r="V2205" t="inlineStr">
        <is>
          <t>2010-11-09</t>
        </is>
      </c>
      <c r="W2205" t="inlineStr">
        <is>
          <t>2010-11-09</t>
        </is>
      </c>
      <c r="X2205" t="inlineStr">
        <is>
          <t>2010-11-09</t>
        </is>
      </c>
      <c r="Y2205" t="n">
        <v>248</v>
      </c>
      <c r="Z2205" t="n">
        <v>131</v>
      </c>
      <c r="AA2205" t="n">
        <v>156</v>
      </c>
      <c r="AB2205" t="n">
        <v>2</v>
      </c>
      <c r="AC2205" t="n">
        <v>2</v>
      </c>
      <c r="AD2205" t="n">
        <v>6</v>
      </c>
      <c r="AE2205" t="n">
        <v>7</v>
      </c>
      <c r="AF2205" t="n">
        <v>1</v>
      </c>
      <c r="AG2205" t="n">
        <v>2</v>
      </c>
      <c r="AH2205" t="n">
        <v>1</v>
      </c>
      <c r="AI2205" t="n">
        <v>2</v>
      </c>
      <c r="AJ2205" t="n">
        <v>4</v>
      </c>
      <c r="AK2205" t="n">
        <v>4</v>
      </c>
      <c r="AL2205" t="n">
        <v>1</v>
      </c>
      <c r="AM2205" t="n">
        <v>1</v>
      </c>
      <c r="AN2205" t="n">
        <v>0</v>
      </c>
      <c r="AO2205" t="n">
        <v>0</v>
      </c>
      <c r="AP2205" t="inlineStr">
        <is>
          <t>No</t>
        </is>
      </c>
      <c r="AQ2205" t="inlineStr">
        <is>
          <t>No</t>
        </is>
      </c>
      <c r="AS2205">
        <f>HYPERLINK("https://creighton-primo.hosted.exlibrisgroup.com/primo-explore/search?tab=default_tab&amp;search_scope=EVERYTHING&amp;vid=01CRU&amp;lang=en_US&amp;offset=0&amp;query=any,contains,991000213469702656","Catalog Record")</f>
        <v/>
      </c>
      <c r="AT2205">
        <f>HYPERLINK("http://www.worldcat.org/oclc/424086445","WorldCat Record")</f>
        <v/>
      </c>
      <c r="AU2205" t="inlineStr">
        <is>
          <t>389813180:eng</t>
        </is>
      </c>
      <c r="AV2205" t="inlineStr">
        <is>
          <t>424086445</t>
        </is>
      </c>
      <c r="AW2205" t="inlineStr">
        <is>
          <t>991000213469702656</t>
        </is>
      </c>
      <c r="AX2205" t="inlineStr">
        <is>
          <t>991000213469702656</t>
        </is>
      </c>
      <c r="AY2205" t="inlineStr">
        <is>
          <t>2258180800002656</t>
        </is>
      </c>
      <c r="AZ2205" t="inlineStr">
        <is>
          <t>BOOK</t>
        </is>
      </c>
      <c r="BB2205" t="inlineStr">
        <is>
          <t>9780774816274</t>
        </is>
      </c>
      <c r="BC2205" t="inlineStr">
        <is>
          <t>32285005605463</t>
        </is>
      </c>
      <c r="BD2205" t="inlineStr">
        <is>
          <t>893626247</t>
        </is>
      </c>
    </row>
    <row r="2206">
      <c r="A2206" t="inlineStr">
        <is>
          <t>No</t>
        </is>
      </c>
      <c r="B2206" t="inlineStr">
        <is>
          <t>HQ76.3.E8 H57 1992</t>
        </is>
      </c>
      <c r="C2206" t="inlineStr">
        <is>
          <t>0                      HQ 0076300E  8                  H  57          1992</t>
        </is>
      </c>
      <c r="D2206" t="inlineStr">
        <is>
          <t>History of homosexuality in Europe and America / edited with introductions by Wayne R. Dynes and Stephen Donaldson.</t>
        </is>
      </c>
      <c r="F2206" t="inlineStr">
        <is>
          <t>No</t>
        </is>
      </c>
      <c r="G2206" t="inlineStr">
        <is>
          <t>1</t>
        </is>
      </c>
      <c r="H2206" t="inlineStr">
        <is>
          <t>No</t>
        </is>
      </c>
      <c r="I2206" t="inlineStr">
        <is>
          <t>No</t>
        </is>
      </c>
      <c r="J2206" t="inlineStr">
        <is>
          <t>0</t>
        </is>
      </c>
      <c r="L2206" t="inlineStr">
        <is>
          <t>New York : Garland Pub., 1992.</t>
        </is>
      </c>
      <c r="M2206" t="inlineStr">
        <is>
          <t>1992</t>
        </is>
      </c>
      <c r="O2206" t="inlineStr">
        <is>
          <t>eng</t>
        </is>
      </c>
      <c r="P2206" t="inlineStr">
        <is>
          <t>nyu</t>
        </is>
      </c>
      <c r="Q2206" t="inlineStr">
        <is>
          <t>Studies in homosexuality ; v. 5</t>
        </is>
      </c>
      <c r="R2206" t="inlineStr">
        <is>
          <t xml:space="preserve">HQ </t>
        </is>
      </c>
      <c r="S2206" t="n">
        <v>7</v>
      </c>
      <c r="T2206" t="n">
        <v>7</v>
      </c>
      <c r="U2206" t="inlineStr">
        <is>
          <t>2009-11-23</t>
        </is>
      </c>
      <c r="V2206" t="inlineStr">
        <is>
          <t>2009-11-23</t>
        </is>
      </c>
      <c r="W2206" t="inlineStr">
        <is>
          <t>1998-05-04</t>
        </is>
      </c>
      <c r="X2206" t="inlineStr">
        <is>
          <t>1998-05-04</t>
        </is>
      </c>
      <c r="Y2206" t="n">
        <v>256</v>
      </c>
      <c r="Z2206" t="n">
        <v>214</v>
      </c>
      <c r="AA2206" t="n">
        <v>214</v>
      </c>
      <c r="AB2206" t="n">
        <v>2</v>
      </c>
      <c r="AC2206" t="n">
        <v>2</v>
      </c>
      <c r="AD2206" t="n">
        <v>11</v>
      </c>
      <c r="AE2206" t="n">
        <v>11</v>
      </c>
      <c r="AF2206" t="n">
        <v>4</v>
      </c>
      <c r="AG2206" t="n">
        <v>4</v>
      </c>
      <c r="AH2206" t="n">
        <v>3</v>
      </c>
      <c r="AI2206" t="n">
        <v>3</v>
      </c>
      <c r="AJ2206" t="n">
        <v>7</v>
      </c>
      <c r="AK2206" t="n">
        <v>7</v>
      </c>
      <c r="AL2206" t="n">
        <v>1</v>
      </c>
      <c r="AM2206" t="n">
        <v>1</v>
      </c>
      <c r="AN2206" t="n">
        <v>0</v>
      </c>
      <c r="AO2206" t="n">
        <v>0</v>
      </c>
      <c r="AP2206" t="inlineStr">
        <is>
          <t>No</t>
        </is>
      </c>
      <c r="AQ2206" t="inlineStr">
        <is>
          <t>No</t>
        </is>
      </c>
      <c r="AS2206">
        <f>HYPERLINK("https://creighton-primo.hosted.exlibrisgroup.com/primo-explore/search?tab=default_tab&amp;search_scope=EVERYTHING&amp;vid=01CRU&amp;lang=en_US&amp;offset=0&amp;query=any,contains,991002020379702656","Catalog Record")</f>
        <v/>
      </c>
      <c r="AT2206">
        <f>HYPERLINK("http://www.worldcat.org/oclc/25707010","WorldCat Record")</f>
        <v/>
      </c>
      <c r="AU2206" t="inlineStr">
        <is>
          <t>355867964:eng</t>
        </is>
      </c>
      <c r="AV2206" t="inlineStr">
        <is>
          <t>25707010</t>
        </is>
      </c>
      <c r="AW2206" t="inlineStr">
        <is>
          <t>991002020379702656</t>
        </is>
      </c>
      <c r="AX2206" t="inlineStr">
        <is>
          <t>991002020379702656</t>
        </is>
      </c>
      <c r="AY2206" t="inlineStr">
        <is>
          <t>2260817690002656</t>
        </is>
      </c>
      <c r="AZ2206" t="inlineStr">
        <is>
          <t>BOOK</t>
        </is>
      </c>
      <c r="BB2206" t="inlineStr">
        <is>
          <t>9780815305507</t>
        </is>
      </c>
      <c r="BC2206" t="inlineStr">
        <is>
          <t>32285003405262</t>
        </is>
      </c>
      <c r="BD2206" t="inlineStr">
        <is>
          <t>893697258</t>
        </is>
      </c>
    </row>
    <row r="2207">
      <c r="A2207" t="inlineStr">
        <is>
          <t>No</t>
        </is>
      </c>
      <c r="B2207" t="inlineStr">
        <is>
          <t>HQ76.3.G4 S875 1989</t>
        </is>
      </c>
      <c r="C2207" t="inlineStr">
        <is>
          <t>0                      HQ 0076300G  4                  S  875         1989</t>
        </is>
      </c>
      <c r="D2207" t="inlineStr">
        <is>
          <t>Homosexuelle in Deutschland : eine politische Geschichte / Hans-Georg Stümke.</t>
        </is>
      </c>
      <c r="F2207" t="inlineStr">
        <is>
          <t>No</t>
        </is>
      </c>
      <c r="G2207" t="inlineStr">
        <is>
          <t>1</t>
        </is>
      </c>
      <c r="H2207" t="inlineStr">
        <is>
          <t>No</t>
        </is>
      </c>
      <c r="I2207" t="inlineStr">
        <is>
          <t>No</t>
        </is>
      </c>
      <c r="J2207" t="inlineStr">
        <is>
          <t>0</t>
        </is>
      </c>
      <c r="K2207" t="inlineStr">
        <is>
          <t>Stümke, Hans-Georg, 1941-2002.</t>
        </is>
      </c>
      <c r="L2207" t="inlineStr">
        <is>
          <t>München : C.H. Beck, c1989.</t>
        </is>
      </c>
      <c r="M2207" t="inlineStr">
        <is>
          <t>1989</t>
        </is>
      </c>
      <c r="N2207" t="inlineStr">
        <is>
          <t>Originalausg.</t>
        </is>
      </c>
      <c r="O2207" t="inlineStr">
        <is>
          <t>ger</t>
        </is>
      </c>
      <c r="P2207" t="inlineStr">
        <is>
          <t xml:space="preserve">gw </t>
        </is>
      </c>
      <c r="Q2207" t="inlineStr">
        <is>
          <t>Beck'sche Reihe ; 375</t>
        </is>
      </c>
      <c r="R2207" t="inlineStr">
        <is>
          <t xml:space="preserve">HQ </t>
        </is>
      </c>
      <c r="S2207" t="n">
        <v>1</v>
      </c>
      <c r="T2207" t="n">
        <v>1</v>
      </c>
      <c r="U2207" t="inlineStr">
        <is>
          <t>2002-05-08</t>
        </is>
      </c>
      <c r="V2207" t="inlineStr">
        <is>
          <t>2002-05-08</t>
        </is>
      </c>
      <c r="W2207" t="inlineStr">
        <is>
          <t>2002-04-29</t>
        </is>
      </c>
      <c r="X2207" t="inlineStr">
        <is>
          <t>2002-04-29</t>
        </is>
      </c>
      <c r="Y2207" t="n">
        <v>99</v>
      </c>
      <c r="Z2207" t="n">
        <v>37</v>
      </c>
      <c r="AA2207" t="n">
        <v>38</v>
      </c>
      <c r="AB2207" t="n">
        <v>1</v>
      </c>
      <c r="AC2207" t="n">
        <v>1</v>
      </c>
      <c r="AD2207" t="n">
        <v>0</v>
      </c>
      <c r="AE2207" t="n">
        <v>0</v>
      </c>
      <c r="AF2207" t="n">
        <v>0</v>
      </c>
      <c r="AG2207" t="n">
        <v>0</v>
      </c>
      <c r="AH2207" t="n">
        <v>0</v>
      </c>
      <c r="AI2207" t="n">
        <v>0</v>
      </c>
      <c r="AJ2207" t="n">
        <v>0</v>
      </c>
      <c r="AK2207" t="n">
        <v>0</v>
      </c>
      <c r="AL2207" t="n">
        <v>0</v>
      </c>
      <c r="AM2207" t="n">
        <v>0</v>
      </c>
      <c r="AN2207" t="n">
        <v>0</v>
      </c>
      <c r="AO2207" t="n">
        <v>0</v>
      </c>
      <c r="AP2207" t="inlineStr">
        <is>
          <t>No</t>
        </is>
      </c>
      <c r="AQ2207" t="inlineStr">
        <is>
          <t>No</t>
        </is>
      </c>
      <c r="AS2207">
        <f>HYPERLINK("https://creighton-primo.hosted.exlibrisgroup.com/primo-explore/search?tab=default_tab&amp;search_scope=EVERYTHING&amp;vid=01CRU&amp;lang=en_US&amp;offset=0&amp;query=any,contains,991003770459702656","Catalog Record")</f>
        <v/>
      </c>
      <c r="AT2207">
        <f>HYPERLINK("http://www.worldcat.org/oclc/19772603","WorldCat Record")</f>
        <v/>
      </c>
      <c r="AU2207" t="inlineStr">
        <is>
          <t>889784625:ger</t>
        </is>
      </c>
      <c r="AV2207" t="inlineStr">
        <is>
          <t>19772603</t>
        </is>
      </c>
      <c r="AW2207" t="inlineStr">
        <is>
          <t>991003770459702656</t>
        </is>
      </c>
      <c r="AX2207" t="inlineStr">
        <is>
          <t>991003770459702656</t>
        </is>
      </c>
      <c r="AY2207" t="inlineStr">
        <is>
          <t>2272592980002656</t>
        </is>
      </c>
      <c r="AZ2207" t="inlineStr">
        <is>
          <t>BOOK</t>
        </is>
      </c>
      <c r="BB2207" t="inlineStr">
        <is>
          <t>9783406331305</t>
        </is>
      </c>
      <c r="BC2207" t="inlineStr">
        <is>
          <t>32285004483805</t>
        </is>
      </c>
      <c r="BD2207" t="inlineStr">
        <is>
          <t>893775168</t>
        </is>
      </c>
    </row>
    <row r="2208">
      <c r="A2208" t="inlineStr">
        <is>
          <t>No</t>
        </is>
      </c>
      <c r="B2208" t="inlineStr">
        <is>
          <t>HQ76.3.G7 B3 1988</t>
        </is>
      </c>
      <c r="C2208" t="inlineStr">
        <is>
          <t>0                      HQ 0076300G  7                  B  3           1988</t>
        </is>
      </c>
      <c r="D2208" t="inlineStr">
        <is>
          <t>We speak for ourselves : the experiences of gay men and lesbians / Jack Babuscio.</t>
        </is>
      </c>
      <c r="F2208" t="inlineStr">
        <is>
          <t>No</t>
        </is>
      </c>
      <c r="G2208" t="inlineStr">
        <is>
          <t>1</t>
        </is>
      </c>
      <c r="H2208" t="inlineStr">
        <is>
          <t>No</t>
        </is>
      </c>
      <c r="I2208" t="inlineStr">
        <is>
          <t>No</t>
        </is>
      </c>
      <c r="J2208" t="inlineStr">
        <is>
          <t>0</t>
        </is>
      </c>
      <c r="K2208" t="inlineStr">
        <is>
          <t>Babuscio, Jack.</t>
        </is>
      </c>
      <c r="L2208" t="inlineStr">
        <is>
          <t>London : SPCK, 1988.</t>
        </is>
      </c>
      <c r="M2208" t="inlineStr">
        <is>
          <t>1988</t>
        </is>
      </c>
      <c r="N2208" t="inlineStr">
        <is>
          <t>Rev. ed.</t>
        </is>
      </c>
      <c r="O2208" t="inlineStr">
        <is>
          <t>eng</t>
        </is>
      </c>
      <c r="P2208" t="inlineStr">
        <is>
          <t>enk</t>
        </is>
      </c>
      <c r="R2208" t="inlineStr">
        <is>
          <t xml:space="preserve">HQ </t>
        </is>
      </c>
      <c r="S2208" t="n">
        <v>12</v>
      </c>
      <c r="T2208" t="n">
        <v>12</v>
      </c>
      <c r="U2208" t="inlineStr">
        <is>
          <t>1995-03-26</t>
        </is>
      </c>
      <c r="V2208" t="inlineStr">
        <is>
          <t>1995-03-26</t>
        </is>
      </c>
      <c r="W2208" t="inlineStr">
        <is>
          <t>1990-02-01</t>
        </is>
      </c>
      <c r="X2208" t="inlineStr">
        <is>
          <t>1990-02-01</t>
        </is>
      </c>
      <c r="Y2208" t="n">
        <v>105</v>
      </c>
      <c r="Z2208" t="n">
        <v>58</v>
      </c>
      <c r="AA2208" t="n">
        <v>66</v>
      </c>
      <c r="AB2208" t="n">
        <v>3</v>
      </c>
      <c r="AC2208" t="n">
        <v>3</v>
      </c>
      <c r="AD2208" t="n">
        <v>2</v>
      </c>
      <c r="AE2208" t="n">
        <v>2</v>
      </c>
      <c r="AF2208" t="n">
        <v>0</v>
      </c>
      <c r="AG2208" t="n">
        <v>0</v>
      </c>
      <c r="AH2208" t="n">
        <v>0</v>
      </c>
      <c r="AI2208" t="n">
        <v>0</v>
      </c>
      <c r="AJ2208" t="n">
        <v>0</v>
      </c>
      <c r="AK2208" t="n">
        <v>0</v>
      </c>
      <c r="AL2208" t="n">
        <v>2</v>
      </c>
      <c r="AM2208" t="n">
        <v>2</v>
      </c>
      <c r="AN2208" t="n">
        <v>0</v>
      </c>
      <c r="AO2208" t="n">
        <v>0</v>
      </c>
      <c r="AP2208" t="inlineStr">
        <is>
          <t>No</t>
        </is>
      </c>
      <c r="AQ2208" t="inlineStr">
        <is>
          <t>Yes</t>
        </is>
      </c>
      <c r="AR2208">
        <f>HYPERLINK("http://catalog.hathitrust.org/Record/001074885","HathiTrust Record")</f>
        <v/>
      </c>
      <c r="AS2208">
        <f>HYPERLINK("https://creighton-primo.hosted.exlibrisgroup.com/primo-explore/search?tab=default_tab&amp;search_scope=EVERYTHING&amp;vid=01CRU&amp;lang=en_US&amp;offset=0&amp;query=any,contains,991001217519702656","Catalog Record")</f>
        <v/>
      </c>
      <c r="AT2208">
        <f>HYPERLINK("http://www.worldcat.org/oclc/17439680","WorldCat Record")</f>
        <v/>
      </c>
      <c r="AU2208" t="inlineStr">
        <is>
          <t>796602798:eng</t>
        </is>
      </c>
      <c r="AV2208" t="inlineStr">
        <is>
          <t>17439680</t>
        </is>
      </c>
      <c r="AW2208" t="inlineStr">
        <is>
          <t>991001217519702656</t>
        </is>
      </c>
      <c r="AX2208" t="inlineStr">
        <is>
          <t>991001217519702656</t>
        </is>
      </c>
      <c r="AY2208" t="inlineStr">
        <is>
          <t>2265802560002656</t>
        </is>
      </c>
      <c r="AZ2208" t="inlineStr">
        <is>
          <t>BOOK</t>
        </is>
      </c>
      <c r="BB2208" t="inlineStr">
        <is>
          <t>9780281043491</t>
        </is>
      </c>
      <c r="BC2208" t="inlineStr">
        <is>
          <t>32285000031764</t>
        </is>
      </c>
      <c r="BD2208" t="inlineStr">
        <is>
          <t>893709095</t>
        </is>
      </c>
    </row>
    <row r="2209">
      <c r="A2209" t="inlineStr">
        <is>
          <t>No</t>
        </is>
      </c>
      <c r="B2209" t="inlineStr">
        <is>
          <t>HQ76.3.G7 H37 1974</t>
        </is>
      </c>
      <c r="C2209" t="inlineStr">
        <is>
          <t>0                      HQ 0076300G  7                  H  37          1974</t>
        </is>
      </c>
      <c r="D2209" t="inlineStr">
        <is>
          <t>The Dilly boys / Mervyn Harris.</t>
        </is>
      </c>
      <c r="F2209" t="inlineStr">
        <is>
          <t>No</t>
        </is>
      </c>
      <c r="G2209" t="inlineStr">
        <is>
          <t>1</t>
        </is>
      </c>
      <c r="H2209" t="inlineStr">
        <is>
          <t>No</t>
        </is>
      </c>
      <c r="I2209" t="inlineStr">
        <is>
          <t>No</t>
        </is>
      </c>
      <c r="J2209" t="inlineStr">
        <is>
          <t>0</t>
        </is>
      </c>
      <c r="K2209" t="inlineStr">
        <is>
          <t>Harris, Mervyn.</t>
        </is>
      </c>
      <c r="L2209" t="inlineStr">
        <is>
          <t>Rockville, Md. : New Perspectives, 1974, c1973.</t>
        </is>
      </c>
      <c r="M2209" t="inlineStr">
        <is>
          <t>1974</t>
        </is>
      </c>
      <c r="O2209" t="inlineStr">
        <is>
          <t>eng</t>
        </is>
      </c>
      <c r="P2209" t="inlineStr">
        <is>
          <t xml:space="preserve">xx </t>
        </is>
      </c>
      <c r="R2209" t="inlineStr">
        <is>
          <t xml:space="preserve">HQ </t>
        </is>
      </c>
      <c r="S2209" t="n">
        <v>8</v>
      </c>
      <c r="T2209" t="n">
        <v>8</v>
      </c>
      <c r="U2209" t="inlineStr">
        <is>
          <t>1996-05-30</t>
        </is>
      </c>
      <c r="V2209" t="inlineStr">
        <is>
          <t>1996-05-30</t>
        </is>
      </c>
      <c r="W2209" t="inlineStr">
        <is>
          <t>1992-07-14</t>
        </is>
      </c>
      <c r="X2209" t="inlineStr">
        <is>
          <t>1992-07-14</t>
        </is>
      </c>
      <c r="Y2209" t="n">
        <v>53</v>
      </c>
      <c r="Z2209" t="n">
        <v>50</v>
      </c>
      <c r="AA2209" t="n">
        <v>157</v>
      </c>
      <c r="AB2209" t="n">
        <v>1</v>
      </c>
      <c r="AC2209" t="n">
        <v>2</v>
      </c>
      <c r="AD2209" t="n">
        <v>1</v>
      </c>
      <c r="AE2209" t="n">
        <v>6</v>
      </c>
      <c r="AF2209" t="n">
        <v>1</v>
      </c>
      <c r="AG2209" t="n">
        <v>2</v>
      </c>
      <c r="AH2209" t="n">
        <v>0</v>
      </c>
      <c r="AI2209" t="n">
        <v>2</v>
      </c>
      <c r="AJ2209" t="n">
        <v>0</v>
      </c>
      <c r="AK2209" t="n">
        <v>2</v>
      </c>
      <c r="AL2209" t="n">
        <v>0</v>
      </c>
      <c r="AM2209" t="n">
        <v>1</v>
      </c>
      <c r="AN2209" t="n">
        <v>0</v>
      </c>
      <c r="AO2209" t="n">
        <v>0</v>
      </c>
      <c r="AP2209" t="inlineStr">
        <is>
          <t>No</t>
        </is>
      </c>
      <c r="AQ2209" t="inlineStr">
        <is>
          <t>No</t>
        </is>
      </c>
      <c r="AS2209">
        <f>HYPERLINK("https://creighton-primo.hosted.exlibrisgroup.com/primo-explore/search?tab=default_tab&amp;search_scope=EVERYTHING&amp;vid=01CRU&amp;lang=en_US&amp;offset=0&amp;query=any,contains,991003853449702656","Catalog Record")</f>
        <v/>
      </c>
      <c r="AT2209">
        <f>HYPERLINK("http://www.worldcat.org/oclc/1650029","WorldCat Record")</f>
        <v/>
      </c>
      <c r="AU2209" t="inlineStr">
        <is>
          <t>2031139:eng</t>
        </is>
      </c>
      <c r="AV2209" t="inlineStr">
        <is>
          <t>1650029</t>
        </is>
      </c>
      <c r="AW2209" t="inlineStr">
        <is>
          <t>991003853449702656</t>
        </is>
      </c>
      <c r="AX2209" t="inlineStr">
        <is>
          <t>991003853449702656</t>
        </is>
      </c>
      <c r="AY2209" t="inlineStr">
        <is>
          <t>2271007060002656</t>
        </is>
      </c>
      <c r="AZ2209" t="inlineStr">
        <is>
          <t>BOOK</t>
        </is>
      </c>
      <c r="BB2209" t="inlineStr">
        <is>
          <t>9780879533052</t>
        </is>
      </c>
      <c r="BC2209" t="inlineStr">
        <is>
          <t>32285001159739</t>
        </is>
      </c>
      <c r="BD2209" t="inlineStr">
        <is>
          <t>893711872</t>
        </is>
      </c>
    </row>
    <row r="2210">
      <c r="A2210" t="inlineStr">
        <is>
          <t>No</t>
        </is>
      </c>
      <c r="B2210" t="inlineStr">
        <is>
          <t>HQ76.3.I8 F57 1996</t>
        </is>
      </c>
      <c r="C2210" t="inlineStr">
        <is>
          <t>0                      HQ 0076300I  8                  F  57          1996</t>
        </is>
      </c>
      <c r="D2210" t="inlineStr">
        <is>
          <t>Forbidden friendships : homosexuality and male culture in Renaissance Florence / Michael Rocke.</t>
        </is>
      </c>
      <c r="F2210" t="inlineStr">
        <is>
          <t>No</t>
        </is>
      </c>
      <c r="G2210" t="inlineStr">
        <is>
          <t>1</t>
        </is>
      </c>
      <c r="H2210" t="inlineStr">
        <is>
          <t>No</t>
        </is>
      </c>
      <c r="I2210" t="inlineStr">
        <is>
          <t>No</t>
        </is>
      </c>
      <c r="J2210" t="inlineStr">
        <is>
          <t>0</t>
        </is>
      </c>
      <c r="K2210" t="inlineStr">
        <is>
          <t>Rocke, Michael.</t>
        </is>
      </c>
      <c r="L2210" t="inlineStr">
        <is>
          <t>New York : Oxford University Press, 1996.</t>
        </is>
      </c>
      <c r="M2210" t="inlineStr">
        <is>
          <t>1996</t>
        </is>
      </c>
      <c r="O2210" t="inlineStr">
        <is>
          <t>eng</t>
        </is>
      </c>
      <c r="P2210" t="inlineStr">
        <is>
          <t>nyu</t>
        </is>
      </c>
      <c r="Q2210" t="inlineStr">
        <is>
          <t>Studies in the history of sexuality</t>
        </is>
      </c>
      <c r="R2210" t="inlineStr">
        <is>
          <t xml:space="preserve">HQ </t>
        </is>
      </c>
      <c r="S2210" t="n">
        <v>6</v>
      </c>
      <c r="T2210" t="n">
        <v>6</v>
      </c>
      <c r="U2210" t="inlineStr">
        <is>
          <t>2008-10-06</t>
        </is>
      </c>
      <c r="V2210" t="inlineStr">
        <is>
          <t>2008-10-06</t>
        </is>
      </c>
      <c r="W2210" t="inlineStr">
        <is>
          <t>1996-11-19</t>
        </is>
      </c>
      <c r="X2210" t="inlineStr">
        <is>
          <t>1996-11-19</t>
        </is>
      </c>
      <c r="Y2210" t="n">
        <v>416</v>
      </c>
      <c r="Z2210" t="n">
        <v>371</v>
      </c>
      <c r="AA2210" t="n">
        <v>1286</v>
      </c>
      <c r="AB2210" t="n">
        <v>2</v>
      </c>
      <c r="AC2210" t="n">
        <v>15</v>
      </c>
      <c r="AD2210" t="n">
        <v>19</v>
      </c>
      <c r="AE2210" t="n">
        <v>51</v>
      </c>
      <c r="AF2210" t="n">
        <v>6</v>
      </c>
      <c r="AG2210" t="n">
        <v>17</v>
      </c>
      <c r="AH2210" t="n">
        <v>7</v>
      </c>
      <c r="AI2210" t="n">
        <v>11</v>
      </c>
      <c r="AJ2210" t="n">
        <v>10</v>
      </c>
      <c r="AK2210" t="n">
        <v>18</v>
      </c>
      <c r="AL2210" t="n">
        <v>1</v>
      </c>
      <c r="AM2210" t="n">
        <v>13</v>
      </c>
      <c r="AN2210" t="n">
        <v>0</v>
      </c>
      <c r="AO2210" t="n">
        <v>2</v>
      </c>
      <c r="AP2210" t="inlineStr">
        <is>
          <t>No</t>
        </is>
      </c>
      <c r="AQ2210" t="inlineStr">
        <is>
          <t>Yes</t>
        </is>
      </c>
      <c r="AR2210">
        <f>HYPERLINK("http://catalog.hathitrust.org/Record/003103765","HathiTrust Record")</f>
        <v/>
      </c>
      <c r="AS2210">
        <f>HYPERLINK("https://creighton-primo.hosted.exlibrisgroup.com/primo-explore/search?tab=default_tab&amp;search_scope=EVERYTHING&amp;vid=01CRU&amp;lang=en_US&amp;offset=0&amp;query=any,contains,991002530929702656","Catalog Record")</f>
        <v/>
      </c>
      <c r="AT2210">
        <f>HYPERLINK("http://www.worldcat.org/oclc/32893164","WorldCat Record")</f>
        <v/>
      </c>
      <c r="AU2210" t="inlineStr">
        <is>
          <t>33638893:eng</t>
        </is>
      </c>
      <c r="AV2210" t="inlineStr">
        <is>
          <t>32893164</t>
        </is>
      </c>
      <c r="AW2210" t="inlineStr">
        <is>
          <t>991002530929702656</t>
        </is>
      </c>
      <c r="AX2210" t="inlineStr">
        <is>
          <t>991002530929702656</t>
        </is>
      </c>
      <c r="AY2210" t="inlineStr">
        <is>
          <t>2257715830002656</t>
        </is>
      </c>
      <c r="AZ2210" t="inlineStr">
        <is>
          <t>BOOK</t>
        </is>
      </c>
      <c r="BB2210" t="inlineStr">
        <is>
          <t>9780195069754</t>
        </is>
      </c>
      <c r="BC2210" t="inlineStr">
        <is>
          <t>32285002374055</t>
        </is>
      </c>
      <c r="BD2210" t="inlineStr">
        <is>
          <t>893898888</t>
        </is>
      </c>
    </row>
    <row r="2211">
      <c r="A2211" t="inlineStr">
        <is>
          <t>No</t>
        </is>
      </c>
      <c r="B2211" t="inlineStr">
        <is>
          <t>HQ76.3.L29 C66 2001</t>
        </is>
      </c>
      <c r="C2211" t="inlineStr">
        <is>
          <t>0                      HQ 0076300L  29                 C  66          2001</t>
        </is>
      </c>
      <c r="D2211" t="inlineStr">
        <is>
          <t>Conversaciones : relatos de padres y madres de hijas lesbianas e hijos gay / recopilación y redacción de Mariana Romo-Carmona.</t>
        </is>
      </c>
      <c r="F2211" t="inlineStr">
        <is>
          <t>No</t>
        </is>
      </c>
      <c r="G2211" t="inlineStr">
        <is>
          <t>1</t>
        </is>
      </c>
      <c r="H2211" t="inlineStr">
        <is>
          <t>No</t>
        </is>
      </c>
      <c r="I2211" t="inlineStr">
        <is>
          <t>No</t>
        </is>
      </c>
      <c r="J2211" t="inlineStr">
        <is>
          <t>0</t>
        </is>
      </c>
      <c r="L2211" t="inlineStr">
        <is>
          <t>San Francisco : Cleis Press, c2001.</t>
        </is>
      </c>
      <c r="M2211" t="inlineStr">
        <is>
          <t>2001</t>
        </is>
      </c>
      <c r="N2211" t="inlineStr">
        <is>
          <t>1st ed.</t>
        </is>
      </c>
      <c r="O2211" t="inlineStr">
        <is>
          <t>spa</t>
        </is>
      </c>
      <c r="P2211" t="inlineStr">
        <is>
          <t>cau</t>
        </is>
      </c>
      <c r="R2211" t="inlineStr">
        <is>
          <t xml:space="preserve">HQ </t>
        </is>
      </c>
      <c r="S2211" t="n">
        <v>1</v>
      </c>
      <c r="T2211" t="n">
        <v>1</v>
      </c>
      <c r="U2211" t="inlineStr">
        <is>
          <t>2001-10-03</t>
        </is>
      </c>
      <c r="V2211" t="inlineStr">
        <is>
          <t>2001-10-03</t>
        </is>
      </c>
      <c r="W2211" t="inlineStr">
        <is>
          <t>2001-10-01</t>
        </is>
      </c>
      <c r="X2211" t="inlineStr">
        <is>
          <t>2001-10-01</t>
        </is>
      </c>
      <c r="Y2211" t="n">
        <v>185</v>
      </c>
      <c r="Z2211" t="n">
        <v>183</v>
      </c>
      <c r="AA2211" t="n">
        <v>214</v>
      </c>
      <c r="AB2211" t="n">
        <v>2</v>
      </c>
      <c r="AC2211" t="n">
        <v>2</v>
      </c>
      <c r="AD2211" t="n">
        <v>2</v>
      </c>
      <c r="AE2211" t="n">
        <v>3</v>
      </c>
      <c r="AF2211" t="n">
        <v>1</v>
      </c>
      <c r="AG2211" t="n">
        <v>2</v>
      </c>
      <c r="AH2211" t="n">
        <v>0</v>
      </c>
      <c r="AI2211" t="n">
        <v>1</v>
      </c>
      <c r="AJ2211" t="n">
        <v>1</v>
      </c>
      <c r="AK2211" t="n">
        <v>1</v>
      </c>
      <c r="AL2211" t="n">
        <v>1</v>
      </c>
      <c r="AM2211" t="n">
        <v>1</v>
      </c>
      <c r="AN2211" t="n">
        <v>0</v>
      </c>
      <c r="AO2211" t="n">
        <v>0</v>
      </c>
      <c r="AP2211" t="inlineStr">
        <is>
          <t>No</t>
        </is>
      </c>
      <c r="AQ2211" t="inlineStr">
        <is>
          <t>No</t>
        </is>
      </c>
      <c r="AS2211">
        <f>HYPERLINK("https://creighton-primo.hosted.exlibrisgroup.com/primo-explore/search?tab=default_tab&amp;search_scope=EVERYTHING&amp;vid=01CRU&amp;lang=en_US&amp;offset=0&amp;query=any,contains,991003605309702656","Catalog Record")</f>
        <v/>
      </c>
      <c r="AT2211">
        <f>HYPERLINK("http://www.worldcat.org/oclc/47208566","WorldCat Record")</f>
        <v/>
      </c>
      <c r="AU2211" t="inlineStr">
        <is>
          <t>36051682:spa</t>
        </is>
      </c>
      <c r="AV2211" t="inlineStr">
        <is>
          <t>47208566</t>
        </is>
      </c>
      <c r="AW2211" t="inlineStr">
        <is>
          <t>991003605309702656</t>
        </is>
      </c>
      <c r="AX2211" t="inlineStr">
        <is>
          <t>991003605309702656</t>
        </is>
      </c>
      <c r="AY2211" t="inlineStr">
        <is>
          <t>2271184650002656</t>
        </is>
      </c>
      <c r="AZ2211" t="inlineStr">
        <is>
          <t>BOOK</t>
        </is>
      </c>
      <c r="BB2211" t="inlineStr">
        <is>
          <t>9781573441261</t>
        </is>
      </c>
      <c r="BC2211" t="inlineStr">
        <is>
          <t>32285004394150</t>
        </is>
      </c>
      <c r="BD2211" t="inlineStr">
        <is>
          <t>893240392</t>
        </is>
      </c>
    </row>
    <row r="2212">
      <c r="A2212" t="inlineStr">
        <is>
          <t>No</t>
        </is>
      </c>
      <c r="B2212" t="inlineStr">
        <is>
          <t>HQ76.3.L29 Q57 2000</t>
        </is>
      </c>
      <c r="C2212" t="inlineStr">
        <is>
          <t>0                      HQ 0076300L  29                 Q  57          2000</t>
        </is>
      </c>
      <c r="D2212" t="inlineStr">
        <is>
          <t>Tropics of desire : interventions from queer Latino America / Josʼe Quiroga.</t>
        </is>
      </c>
      <c r="F2212" t="inlineStr">
        <is>
          <t>No</t>
        </is>
      </c>
      <c r="G2212" t="inlineStr">
        <is>
          <t>1</t>
        </is>
      </c>
      <c r="H2212" t="inlineStr">
        <is>
          <t>No</t>
        </is>
      </c>
      <c r="I2212" t="inlineStr">
        <is>
          <t>No</t>
        </is>
      </c>
      <c r="J2212" t="inlineStr">
        <is>
          <t>0</t>
        </is>
      </c>
      <c r="K2212" t="inlineStr">
        <is>
          <t>Quiroga, Jose, 1959-</t>
        </is>
      </c>
      <c r="L2212" t="inlineStr">
        <is>
          <t>New York : New York University Press, c2000.</t>
        </is>
      </c>
      <c r="M2212" t="inlineStr">
        <is>
          <t>2000</t>
        </is>
      </c>
      <c r="O2212" t="inlineStr">
        <is>
          <t>eng</t>
        </is>
      </c>
      <c r="P2212" t="inlineStr">
        <is>
          <t>nyu</t>
        </is>
      </c>
      <c r="Q2212" t="inlineStr">
        <is>
          <t>Sexual cultures</t>
        </is>
      </c>
      <c r="R2212" t="inlineStr">
        <is>
          <t xml:space="preserve">HQ </t>
        </is>
      </c>
      <c r="S2212" t="n">
        <v>2</v>
      </c>
      <c r="T2212" t="n">
        <v>2</v>
      </c>
      <c r="U2212" t="inlineStr">
        <is>
          <t>2003-06-16</t>
        </is>
      </c>
      <c r="V2212" t="inlineStr">
        <is>
          <t>2003-06-16</t>
        </is>
      </c>
      <c r="W2212" t="inlineStr">
        <is>
          <t>2000-12-13</t>
        </is>
      </c>
      <c r="X2212" t="inlineStr">
        <is>
          <t>2000-12-13</t>
        </is>
      </c>
      <c r="Y2212" t="n">
        <v>336</v>
      </c>
      <c r="Z2212" t="n">
        <v>277</v>
      </c>
      <c r="AA2212" t="n">
        <v>374</v>
      </c>
      <c r="AB2212" t="n">
        <v>2</v>
      </c>
      <c r="AC2212" t="n">
        <v>3</v>
      </c>
      <c r="AD2212" t="n">
        <v>13</v>
      </c>
      <c r="AE2212" t="n">
        <v>15</v>
      </c>
      <c r="AF2212" t="n">
        <v>3</v>
      </c>
      <c r="AG2212" t="n">
        <v>4</v>
      </c>
      <c r="AH2212" t="n">
        <v>4</v>
      </c>
      <c r="AI2212" t="n">
        <v>4</v>
      </c>
      <c r="AJ2212" t="n">
        <v>8</v>
      </c>
      <c r="AK2212" t="n">
        <v>8</v>
      </c>
      <c r="AL2212" t="n">
        <v>1</v>
      </c>
      <c r="AM2212" t="n">
        <v>2</v>
      </c>
      <c r="AN2212" t="n">
        <v>0</v>
      </c>
      <c r="AO2212" t="n">
        <v>0</v>
      </c>
      <c r="AP2212" t="inlineStr">
        <is>
          <t>No</t>
        </is>
      </c>
      <c r="AQ2212" t="inlineStr">
        <is>
          <t>No</t>
        </is>
      </c>
      <c r="AS2212">
        <f>HYPERLINK("https://creighton-primo.hosted.exlibrisgroup.com/primo-explore/search?tab=default_tab&amp;search_scope=EVERYTHING&amp;vid=01CRU&amp;lang=en_US&amp;offset=0&amp;query=any,contains,991003329489702656","Catalog Record")</f>
        <v/>
      </c>
      <c r="AT2212">
        <f>HYPERLINK("http://www.worldcat.org/oclc/44446512","WorldCat Record")</f>
        <v/>
      </c>
      <c r="AU2212" t="inlineStr">
        <is>
          <t>800596995:eng</t>
        </is>
      </c>
      <c r="AV2212" t="inlineStr">
        <is>
          <t>44446512</t>
        </is>
      </c>
      <c r="AW2212" t="inlineStr">
        <is>
          <t>991003329489702656</t>
        </is>
      </c>
      <c r="AX2212" t="inlineStr">
        <is>
          <t>991003329489702656</t>
        </is>
      </c>
      <c r="AY2212" t="inlineStr">
        <is>
          <t>2271883900002656</t>
        </is>
      </c>
      <c r="AZ2212" t="inlineStr">
        <is>
          <t>BOOK</t>
        </is>
      </c>
      <c r="BB2212" t="inlineStr">
        <is>
          <t>9780814769522</t>
        </is>
      </c>
      <c r="BC2212" t="inlineStr">
        <is>
          <t>32285004276514</t>
        </is>
      </c>
      <c r="BD2212" t="inlineStr">
        <is>
          <t>893617234</t>
        </is>
      </c>
    </row>
    <row r="2213">
      <c r="A2213" t="inlineStr">
        <is>
          <t>No</t>
        </is>
      </c>
      <c r="B2213" t="inlineStr">
        <is>
          <t>HQ76.3.M628 W45 2006</t>
        </is>
      </c>
      <c r="C2213" t="inlineStr">
        <is>
          <t>0                      HQ 0076300M  628                W  45          2006</t>
        </is>
      </c>
      <c r="D2213" t="inlineStr">
        <is>
          <t>Unspeakable love : gay and lesbian life in the Middle East / Brian Whitaker.</t>
        </is>
      </c>
      <c r="F2213" t="inlineStr">
        <is>
          <t>No</t>
        </is>
      </c>
      <c r="G2213" t="inlineStr">
        <is>
          <t>1</t>
        </is>
      </c>
      <c r="H2213" t="inlineStr">
        <is>
          <t>No</t>
        </is>
      </c>
      <c r="I2213" t="inlineStr">
        <is>
          <t>No</t>
        </is>
      </c>
      <c r="J2213" t="inlineStr">
        <is>
          <t>0</t>
        </is>
      </c>
      <c r="K2213" t="inlineStr">
        <is>
          <t>Whitaker, Brian, 1947-</t>
        </is>
      </c>
      <c r="L2213" t="inlineStr">
        <is>
          <t>Berkeley, Calif. : University of California Press, c2006.</t>
        </is>
      </c>
      <c r="M2213" t="inlineStr">
        <is>
          <t>2006</t>
        </is>
      </c>
      <c r="O2213" t="inlineStr">
        <is>
          <t>eng</t>
        </is>
      </c>
      <c r="P2213" t="inlineStr">
        <is>
          <t>cau</t>
        </is>
      </c>
      <c r="R2213" t="inlineStr">
        <is>
          <t xml:space="preserve">HQ </t>
        </is>
      </c>
      <c r="S2213" t="n">
        <v>4</v>
      </c>
      <c r="T2213" t="n">
        <v>4</v>
      </c>
      <c r="U2213" t="inlineStr">
        <is>
          <t>2007-09-05</t>
        </is>
      </c>
      <c r="V2213" t="inlineStr">
        <is>
          <t>2007-09-05</t>
        </is>
      </c>
      <c r="W2213" t="inlineStr">
        <is>
          <t>2007-04-18</t>
        </is>
      </c>
      <c r="X2213" t="inlineStr">
        <is>
          <t>2007-04-18</t>
        </is>
      </c>
      <c r="Y2213" t="n">
        <v>526</v>
      </c>
      <c r="Z2213" t="n">
        <v>422</v>
      </c>
      <c r="AA2213" t="n">
        <v>468</v>
      </c>
      <c r="AB2213" t="n">
        <v>2</v>
      </c>
      <c r="AC2213" t="n">
        <v>3</v>
      </c>
      <c r="AD2213" t="n">
        <v>18</v>
      </c>
      <c r="AE2213" t="n">
        <v>20</v>
      </c>
      <c r="AF2213" t="n">
        <v>7</v>
      </c>
      <c r="AG2213" t="n">
        <v>8</v>
      </c>
      <c r="AH2213" t="n">
        <v>4</v>
      </c>
      <c r="AI2213" t="n">
        <v>5</v>
      </c>
      <c r="AJ2213" t="n">
        <v>10</v>
      </c>
      <c r="AK2213" t="n">
        <v>10</v>
      </c>
      <c r="AL2213" t="n">
        <v>1</v>
      </c>
      <c r="AM2213" t="n">
        <v>2</v>
      </c>
      <c r="AN2213" t="n">
        <v>0</v>
      </c>
      <c r="AO2213" t="n">
        <v>0</v>
      </c>
      <c r="AP2213" t="inlineStr">
        <is>
          <t>No</t>
        </is>
      </c>
      <c r="AQ2213" t="inlineStr">
        <is>
          <t>Yes</t>
        </is>
      </c>
      <c r="AR2213">
        <f>HYPERLINK("http://catalog.hathitrust.org/Record/005251066","HathiTrust Record")</f>
        <v/>
      </c>
      <c r="AS2213">
        <f>HYPERLINK("https://creighton-primo.hosted.exlibrisgroup.com/primo-explore/search?tab=default_tab&amp;search_scope=EVERYTHING&amp;vid=01CRU&amp;lang=en_US&amp;offset=0&amp;query=any,contains,991005066049702656","Catalog Record")</f>
        <v/>
      </c>
      <c r="AT2213">
        <f>HYPERLINK("http://www.worldcat.org/oclc/65207128","WorldCat Record")</f>
        <v/>
      </c>
      <c r="AU2213" t="inlineStr">
        <is>
          <t>865169699:eng</t>
        </is>
      </c>
      <c r="AV2213" t="inlineStr">
        <is>
          <t>65207128</t>
        </is>
      </c>
      <c r="AW2213" t="inlineStr">
        <is>
          <t>991005066049702656</t>
        </is>
      </c>
      <c r="AX2213" t="inlineStr">
        <is>
          <t>991005066049702656</t>
        </is>
      </c>
      <c r="AY2213" t="inlineStr">
        <is>
          <t>2261081820002656</t>
        </is>
      </c>
      <c r="AZ2213" t="inlineStr">
        <is>
          <t>BOOK</t>
        </is>
      </c>
      <c r="BB2213" t="inlineStr">
        <is>
          <t>9780520250178</t>
        </is>
      </c>
      <c r="BC2213" t="inlineStr">
        <is>
          <t>32285005287890</t>
        </is>
      </c>
      <c r="BD2213" t="inlineStr">
        <is>
          <t>893350638</t>
        </is>
      </c>
    </row>
    <row r="2214">
      <c r="A2214" t="inlineStr">
        <is>
          <t>No</t>
        </is>
      </c>
      <c r="B2214" t="inlineStr">
        <is>
          <t>HQ76.3.N67 B75 1995</t>
        </is>
      </c>
      <c r="C2214" t="inlineStr">
        <is>
          <t>0                      HQ 0076300N  67                 B  75          1995</t>
        </is>
      </c>
      <c r="D2214" t="inlineStr">
        <is>
          <t>Being different : lambda youths speak out / by Larry Dane Brimner.</t>
        </is>
      </c>
      <c r="F2214" t="inlineStr">
        <is>
          <t>No</t>
        </is>
      </c>
      <c r="G2214" t="inlineStr">
        <is>
          <t>1</t>
        </is>
      </c>
      <c r="H2214" t="inlineStr">
        <is>
          <t>No</t>
        </is>
      </c>
      <c r="I2214" t="inlineStr">
        <is>
          <t>No</t>
        </is>
      </c>
      <c r="J2214" t="inlineStr">
        <is>
          <t>0</t>
        </is>
      </c>
      <c r="K2214" t="inlineStr">
        <is>
          <t>Brimner, Larry Dane.</t>
        </is>
      </c>
      <c r="L2214" t="inlineStr">
        <is>
          <t>New York : F. Watts, c1995.</t>
        </is>
      </c>
      <c r="M2214" t="inlineStr">
        <is>
          <t>1995</t>
        </is>
      </c>
      <c r="O2214" t="inlineStr">
        <is>
          <t>eng</t>
        </is>
      </c>
      <c r="P2214" t="inlineStr">
        <is>
          <t>nyu</t>
        </is>
      </c>
      <c r="Q2214" t="inlineStr">
        <is>
          <t>The lesbian and gay experience</t>
        </is>
      </c>
      <c r="R2214" t="inlineStr">
        <is>
          <t xml:space="preserve">HQ </t>
        </is>
      </c>
      <c r="S2214" t="n">
        <v>8</v>
      </c>
      <c r="T2214" t="n">
        <v>8</v>
      </c>
      <c r="U2214" t="inlineStr">
        <is>
          <t>1998-01-28</t>
        </is>
      </c>
      <c r="V2214" t="inlineStr">
        <is>
          <t>1998-01-28</t>
        </is>
      </c>
      <c r="W2214" t="inlineStr">
        <is>
          <t>1996-03-15</t>
        </is>
      </c>
      <c r="X2214" t="inlineStr">
        <is>
          <t>1996-03-15</t>
        </is>
      </c>
      <c r="Y2214" t="n">
        <v>175</v>
      </c>
      <c r="Z2214" t="n">
        <v>166</v>
      </c>
      <c r="AA2214" t="n">
        <v>171</v>
      </c>
      <c r="AB2214" t="n">
        <v>4</v>
      </c>
      <c r="AC2214" t="n">
        <v>4</v>
      </c>
      <c r="AD2214" t="n">
        <v>3</v>
      </c>
      <c r="AE2214" t="n">
        <v>3</v>
      </c>
      <c r="AF2214" t="n">
        <v>0</v>
      </c>
      <c r="AG2214" t="n">
        <v>0</v>
      </c>
      <c r="AH2214" t="n">
        <v>1</v>
      </c>
      <c r="AI2214" t="n">
        <v>1</v>
      </c>
      <c r="AJ2214" t="n">
        <v>0</v>
      </c>
      <c r="AK2214" t="n">
        <v>0</v>
      </c>
      <c r="AL2214" t="n">
        <v>2</v>
      </c>
      <c r="AM2214" t="n">
        <v>2</v>
      </c>
      <c r="AN2214" t="n">
        <v>0</v>
      </c>
      <c r="AO2214" t="n">
        <v>0</v>
      </c>
      <c r="AP2214" t="inlineStr">
        <is>
          <t>No</t>
        </is>
      </c>
      <c r="AQ2214" t="inlineStr">
        <is>
          <t>No</t>
        </is>
      </c>
      <c r="AS2214">
        <f>HYPERLINK("https://creighton-primo.hosted.exlibrisgroup.com/primo-explore/search?tab=default_tab&amp;search_scope=EVERYTHING&amp;vid=01CRU&amp;lang=en_US&amp;offset=0&amp;query=any,contains,991002472069702656","Catalog Record")</f>
        <v/>
      </c>
      <c r="AT2214">
        <f>HYPERLINK("http://www.worldcat.org/oclc/32199575","WorldCat Record")</f>
        <v/>
      </c>
      <c r="AU2214" t="inlineStr">
        <is>
          <t>4818638885:eng</t>
        </is>
      </c>
      <c r="AV2214" t="inlineStr">
        <is>
          <t>32199575</t>
        </is>
      </c>
      <c r="AW2214" t="inlineStr">
        <is>
          <t>991002472069702656</t>
        </is>
      </c>
      <c r="AX2214" t="inlineStr">
        <is>
          <t>991002472069702656</t>
        </is>
      </c>
      <c r="AY2214" t="inlineStr">
        <is>
          <t>2268058990002656</t>
        </is>
      </c>
      <c r="AZ2214" t="inlineStr">
        <is>
          <t>BOOK</t>
        </is>
      </c>
      <c r="BB2214" t="inlineStr">
        <is>
          <t>9780531112229</t>
        </is>
      </c>
      <c r="BC2214" t="inlineStr">
        <is>
          <t>32285002143344</t>
        </is>
      </c>
      <c r="BD2214" t="inlineStr">
        <is>
          <t>893316846</t>
        </is>
      </c>
    </row>
    <row r="2215">
      <c r="A2215" t="inlineStr">
        <is>
          <t>No</t>
        </is>
      </c>
      <c r="B2215" t="inlineStr">
        <is>
          <t>HQ76.3.N67 M87 1996</t>
        </is>
      </c>
      <c r="C2215" t="inlineStr">
        <is>
          <t>0                      HQ 0076300N  67                 M  87          1996</t>
        </is>
      </c>
      <c r="D2215" t="inlineStr">
        <is>
          <t>American gay / Stephen O. Murray.</t>
        </is>
      </c>
      <c r="F2215" t="inlineStr">
        <is>
          <t>No</t>
        </is>
      </c>
      <c r="G2215" t="inlineStr">
        <is>
          <t>1</t>
        </is>
      </c>
      <c r="H2215" t="inlineStr">
        <is>
          <t>No</t>
        </is>
      </c>
      <c r="I2215" t="inlineStr">
        <is>
          <t>No</t>
        </is>
      </c>
      <c r="J2215" t="inlineStr">
        <is>
          <t>0</t>
        </is>
      </c>
      <c r="K2215" t="inlineStr">
        <is>
          <t>Murray, Stephen O.</t>
        </is>
      </c>
      <c r="L2215" t="inlineStr">
        <is>
          <t>Chicago : University of Chicago Press, 1996.</t>
        </is>
      </c>
      <c r="M2215" t="inlineStr">
        <is>
          <t>1996</t>
        </is>
      </c>
      <c r="O2215" t="inlineStr">
        <is>
          <t>eng</t>
        </is>
      </c>
      <c r="P2215" t="inlineStr">
        <is>
          <t>ilu</t>
        </is>
      </c>
      <c r="Q2215" t="inlineStr">
        <is>
          <t>Worlds of desire</t>
        </is>
      </c>
      <c r="R2215" t="inlineStr">
        <is>
          <t xml:space="preserve">HQ </t>
        </is>
      </c>
      <c r="S2215" t="n">
        <v>23</v>
      </c>
      <c r="T2215" t="n">
        <v>23</v>
      </c>
      <c r="U2215" t="inlineStr">
        <is>
          <t>2009-12-07</t>
        </is>
      </c>
      <c r="V2215" t="inlineStr">
        <is>
          <t>2009-12-07</t>
        </is>
      </c>
      <c r="W2215" t="inlineStr">
        <is>
          <t>1997-01-27</t>
        </is>
      </c>
      <c r="X2215" t="inlineStr">
        <is>
          <t>1997-01-27</t>
        </is>
      </c>
      <c r="Y2215" t="n">
        <v>706</v>
      </c>
      <c r="Z2215" t="n">
        <v>629</v>
      </c>
      <c r="AA2215" t="n">
        <v>633</v>
      </c>
      <c r="AB2215" t="n">
        <v>5</v>
      </c>
      <c r="AC2215" t="n">
        <v>5</v>
      </c>
      <c r="AD2215" t="n">
        <v>29</v>
      </c>
      <c r="AE2215" t="n">
        <v>29</v>
      </c>
      <c r="AF2215" t="n">
        <v>13</v>
      </c>
      <c r="AG2215" t="n">
        <v>13</v>
      </c>
      <c r="AH2215" t="n">
        <v>5</v>
      </c>
      <c r="AI2215" t="n">
        <v>5</v>
      </c>
      <c r="AJ2215" t="n">
        <v>14</v>
      </c>
      <c r="AK2215" t="n">
        <v>14</v>
      </c>
      <c r="AL2215" t="n">
        <v>4</v>
      </c>
      <c r="AM2215" t="n">
        <v>4</v>
      </c>
      <c r="AN2215" t="n">
        <v>1</v>
      </c>
      <c r="AO2215" t="n">
        <v>1</v>
      </c>
      <c r="AP2215" t="inlineStr">
        <is>
          <t>No</t>
        </is>
      </c>
      <c r="AQ2215" t="inlineStr">
        <is>
          <t>No</t>
        </is>
      </c>
      <c r="AS2215">
        <f>HYPERLINK("https://creighton-primo.hosted.exlibrisgroup.com/primo-explore/search?tab=default_tab&amp;search_scope=EVERYTHING&amp;vid=01CRU&amp;lang=en_US&amp;offset=0&amp;query=any,contains,991002584069702656","Catalog Record")</f>
        <v/>
      </c>
      <c r="AT2215">
        <f>HYPERLINK("http://www.worldcat.org/oclc/33864585","WorldCat Record")</f>
        <v/>
      </c>
      <c r="AU2215" t="inlineStr">
        <is>
          <t>38881719:eng</t>
        </is>
      </c>
      <c r="AV2215" t="inlineStr">
        <is>
          <t>33864585</t>
        </is>
      </c>
      <c r="AW2215" t="inlineStr">
        <is>
          <t>991002584069702656</t>
        </is>
      </c>
      <c r="AX2215" t="inlineStr">
        <is>
          <t>991002584069702656</t>
        </is>
      </c>
      <c r="AY2215" t="inlineStr">
        <is>
          <t>2265815640002656</t>
        </is>
      </c>
      <c r="AZ2215" t="inlineStr">
        <is>
          <t>BOOK</t>
        </is>
      </c>
      <c r="BB2215" t="inlineStr">
        <is>
          <t>9780226551913</t>
        </is>
      </c>
      <c r="BC2215" t="inlineStr">
        <is>
          <t>32285005554125</t>
        </is>
      </c>
      <c r="BD2215" t="inlineStr">
        <is>
          <t>893317003</t>
        </is>
      </c>
    </row>
    <row r="2216">
      <c r="A2216" t="inlineStr">
        <is>
          <t>No</t>
        </is>
      </c>
      <c r="B2216" t="inlineStr">
        <is>
          <t>HQ76.3.U5 B32 1985</t>
        </is>
      </c>
      <c r="C2216" t="inlineStr">
        <is>
          <t>0                      HQ 0076300U  5                  B  32          1985</t>
        </is>
      </c>
      <c r="D2216" t="inlineStr">
        <is>
          <t>Are you still my mother? : are you still my family? / Gloria Guss Back.</t>
        </is>
      </c>
      <c r="F2216" t="inlineStr">
        <is>
          <t>No</t>
        </is>
      </c>
      <c r="G2216" t="inlineStr">
        <is>
          <t>1</t>
        </is>
      </c>
      <c r="H2216" t="inlineStr">
        <is>
          <t>No</t>
        </is>
      </c>
      <c r="I2216" t="inlineStr">
        <is>
          <t>No</t>
        </is>
      </c>
      <c r="J2216" t="inlineStr">
        <is>
          <t>0</t>
        </is>
      </c>
      <c r="K2216" t="inlineStr">
        <is>
          <t>Back, Gloria Guss.</t>
        </is>
      </c>
      <c r="L2216" t="inlineStr">
        <is>
          <t>New York, NY : Warner Books, c1985.</t>
        </is>
      </c>
      <c r="M2216" t="inlineStr">
        <is>
          <t>1985</t>
        </is>
      </c>
      <c r="O2216" t="inlineStr">
        <is>
          <t>eng</t>
        </is>
      </c>
      <c r="P2216" t="inlineStr">
        <is>
          <t>nyu</t>
        </is>
      </c>
      <c r="R2216" t="inlineStr">
        <is>
          <t xml:space="preserve">HQ </t>
        </is>
      </c>
      <c r="S2216" t="n">
        <v>7</v>
      </c>
      <c r="T2216" t="n">
        <v>7</v>
      </c>
      <c r="U2216" t="inlineStr">
        <is>
          <t>1995-02-22</t>
        </is>
      </c>
      <c r="V2216" t="inlineStr">
        <is>
          <t>1995-02-22</t>
        </is>
      </c>
      <c r="W2216" t="inlineStr">
        <is>
          <t>1990-02-12</t>
        </is>
      </c>
      <c r="X2216" t="inlineStr">
        <is>
          <t>1990-02-12</t>
        </is>
      </c>
      <c r="Y2216" t="n">
        <v>220</v>
      </c>
      <c r="Z2216" t="n">
        <v>207</v>
      </c>
      <c r="AA2216" t="n">
        <v>212</v>
      </c>
      <c r="AB2216" t="n">
        <v>2</v>
      </c>
      <c r="AC2216" t="n">
        <v>2</v>
      </c>
      <c r="AD2216" t="n">
        <v>4</v>
      </c>
      <c r="AE2216" t="n">
        <v>4</v>
      </c>
      <c r="AF2216" t="n">
        <v>0</v>
      </c>
      <c r="AG2216" t="n">
        <v>0</v>
      </c>
      <c r="AH2216" t="n">
        <v>2</v>
      </c>
      <c r="AI2216" t="n">
        <v>2</v>
      </c>
      <c r="AJ2216" t="n">
        <v>2</v>
      </c>
      <c r="AK2216" t="n">
        <v>2</v>
      </c>
      <c r="AL2216" t="n">
        <v>1</v>
      </c>
      <c r="AM2216" t="n">
        <v>1</v>
      </c>
      <c r="AN2216" t="n">
        <v>0</v>
      </c>
      <c r="AO2216" t="n">
        <v>0</v>
      </c>
      <c r="AP2216" t="inlineStr">
        <is>
          <t>No</t>
        </is>
      </c>
      <c r="AQ2216" t="inlineStr">
        <is>
          <t>No</t>
        </is>
      </c>
      <c r="AS2216">
        <f>HYPERLINK("https://creighton-primo.hosted.exlibrisgroup.com/primo-explore/search?tab=default_tab&amp;search_scope=EVERYTHING&amp;vid=01CRU&amp;lang=en_US&amp;offset=0&amp;query=any,contains,991000614069702656","Catalog Record")</f>
        <v/>
      </c>
      <c r="AT2216">
        <f>HYPERLINK("http://www.worldcat.org/oclc/11918440","WorldCat Record")</f>
        <v/>
      </c>
      <c r="AU2216" t="inlineStr">
        <is>
          <t>4812384194:eng</t>
        </is>
      </c>
      <c r="AV2216" t="inlineStr">
        <is>
          <t>11918440</t>
        </is>
      </c>
      <c r="AW2216" t="inlineStr">
        <is>
          <t>991000614069702656</t>
        </is>
      </c>
      <c r="AX2216" t="inlineStr">
        <is>
          <t>991000614069702656</t>
        </is>
      </c>
      <c r="AY2216" t="inlineStr">
        <is>
          <t>2259570720002656</t>
        </is>
      </c>
      <c r="AZ2216" t="inlineStr">
        <is>
          <t>BOOK</t>
        </is>
      </c>
      <c r="BB2216" t="inlineStr">
        <is>
          <t>9780446381956</t>
        </is>
      </c>
      <c r="BC2216" t="inlineStr">
        <is>
          <t>32285000045426</t>
        </is>
      </c>
      <c r="BD2216" t="inlineStr">
        <is>
          <t>893595715</t>
        </is>
      </c>
    </row>
    <row r="2217">
      <c r="A2217" t="inlineStr">
        <is>
          <t>No</t>
        </is>
      </c>
      <c r="B2217" t="inlineStr">
        <is>
          <t>HQ76.3.U5 B39 1993</t>
        </is>
      </c>
      <c r="C2217" t="inlineStr">
        <is>
          <t>0                      HQ 0076300U  5                  B  39          1993</t>
        </is>
      </c>
      <c r="D2217" t="inlineStr">
        <is>
          <t>A place at the table : the gay individual in American society / Bruce Bawer.</t>
        </is>
      </c>
      <c r="F2217" t="inlineStr">
        <is>
          <t>No</t>
        </is>
      </c>
      <c r="G2217" t="inlineStr">
        <is>
          <t>1</t>
        </is>
      </c>
      <c r="H2217" t="inlineStr">
        <is>
          <t>No</t>
        </is>
      </c>
      <c r="I2217" t="inlineStr">
        <is>
          <t>No</t>
        </is>
      </c>
      <c r="J2217" t="inlineStr">
        <is>
          <t>0</t>
        </is>
      </c>
      <c r="K2217" t="inlineStr">
        <is>
          <t>Bawer, Bruce, 1956-</t>
        </is>
      </c>
      <c r="L2217" t="inlineStr">
        <is>
          <t>New York : Poseidon Press, 1993.</t>
        </is>
      </c>
      <c r="M2217" t="inlineStr">
        <is>
          <t>1993</t>
        </is>
      </c>
      <c r="O2217" t="inlineStr">
        <is>
          <t>eng</t>
        </is>
      </c>
      <c r="P2217" t="inlineStr">
        <is>
          <t>nyu</t>
        </is>
      </c>
      <c r="R2217" t="inlineStr">
        <is>
          <t xml:space="preserve">HQ </t>
        </is>
      </c>
      <c r="S2217" t="n">
        <v>18</v>
      </c>
      <c r="T2217" t="n">
        <v>18</v>
      </c>
      <c r="U2217" t="inlineStr">
        <is>
          <t>2007-11-15</t>
        </is>
      </c>
      <c r="V2217" t="inlineStr">
        <is>
          <t>2007-11-15</t>
        </is>
      </c>
      <c r="W2217" t="inlineStr">
        <is>
          <t>1993-11-15</t>
        </is>
      </c>
      <c r="X2217" t="inlineStr">
        <is>
          <t>1993-11-15</t>
        </is>
      </c>
      <c r="Y2217" t="n">
        <v>1029</v>
      </c>
      <c r="Z2217" t="n">
        <v>961</v>
      </c>
      <c r="AA2217" t="n">
        <v>1123</v>
      </c>
      <c r="AB2217" t="n">
        <v>5</v>
      </c>
      <c r="AC2217" t="n">
        <v>7</v>
      </c>
      <c r="AD2217" t="n">
        <v>21</v>
      </c>
      <c r="AE2217" t="n">
        <v>31</v>
      </c>
      <c r="AF2217" t="n">
        <v>6</v>
      </c>
      <c r="AG2217" t="n">
        <v>11</v>
      </c>
      <c r="AH2217" t="n">
        <v>7</v>
      </c>
      <c r="AI2217" t="n">
        <v>8</v>
      </c>
      <c r="AJ2217" t="n">
        <v>10</v>
      </c>
      <c r="AK2217" t="n">
        <v>15</v>
      </c>
      <c r="AL2217" t="n">
        <v>3</v>
      </c>
      <c r="AM2217" t="n">
        <v>5</v>
      </c>
      <c r="AN2217" t="n">
        <v>0</v>
      </c>
      <c r="AO2217" t="n">
        <v>0</v>
      </c>
      <c r="AP2217" t="inlineStr">
        <is>
          <t>No</t>
        </is>
      </c>
      <c r="AQ2217" t="inlineStr">
        <is>
          <t>Yes</t>
        </is>
      </c>
      <c r="AR2217">
        <f>HYPERLINK("http://catalog.hathitrust.org/Record/002784296","HathiTrust Record")</f>
        <v/>
      </c>
      <c r="AS2217">
        <f>HYPERLINK("https://creighton-primo.hosted.exlibrisgroup.com/primo-explore/search?tab=default_tab&amp;search_scope=EVERYTHING&amp;vid=01CRU&amp;lang=en_US&amp;offset=0&amp;query=any,contains,991002213089702656","Catalog Record")</f>
        <v/>
      </c>
      <c r="AT2217">
        <f>HYPERLINK("http://www.worldcat.org/oclc/28495825","WorldCat Record")</f>
        <v/>
      </c>
      <c r="AU2217" t="inlineStr">
        <is>
          <t>345983:eng</t>
        </is>
      </c>
      <c r="AV2217" t="inlineStr">
        <is>
          <t>28495825</t>
        </is>
      </c>
      <c r="AW2217" t="inlineStr">
        <is>
          <t>991002213089702656</t>
        </is>
      </c>
      <c r="AX2217" t="inlineStr">
        <is>
          <t>991002213089702656</t>
        </is>
      </c>
      <c r="AY2217" t="inlineStr">
        <is>
          <t>2265809730002656</t>
        </is>
      </c>
      <c r="AZ2217" t="inlineStr">
        <is>
          <t>BOOK</t>
        </is>
      </c>
      <c r="BB2217" t="inlineStr">
        <is>
          <t>9780671795337</t>
        </is>
      </c>
      <c r="BC2217" t="inlineStr">
        <is>
          <t>32285001812048</t>
        </is>
      </c>
      <c r="BD2217" t="inlineStr">
        <is>
          <t>893523326</t>
        </is>
      </c>
    </row>
    <row r="2218">
      <c r="A2218" t="inlineStr">
        <is>
          <t>No</t>
        </is>
      </c>
      <c r="B2218" t="inlineStr">
        <is>
          <t>HQ76.3.U5 B46 1994</t>
        </is>
      </c>
      <c r="C2218" t="inlineStr">
        <is>
          <t>0                      HQ 0076300U  5                  B  46          1994</t>
        </is>
      </c>
      <c r="D2218" t="inlineStr">
        <is>
          <t>Reinventing the family : the emerging story of lesbian and gay parents / Laura Benkov.</t>
        </is>
      </c>
      <c r="F2218" t="inlineStr">
        <is>
          <t>No</t>
        </is>
      </c>
      <c r="G2218" t="inlineStr">
        <is>
          <t>1</t>
        </is>
      </c>
      <c r="H2218" t="inlineStr">
        <is>
          <t>No</t>
        </is>
      </c>
      <c r="I2218" t="inlineStr">
        <is>
          <t>No</t>
        </is>
      </c>
      <c r="J2218" t="inlineStr">
        <is>
          <t>0</t>
        </is>
      </c>
      <c r="K2218" t="inlineStr">
        <is>
          <t>Benkov, Laura.</t>
        </is>
      </c>
      <c r="L2218" t="inlineStr">
        <is>
          <t>New York : Crown Publishers, c1994.</t>
        </is>
      </c>
      <c r="M2218" t="inlineStr">
        <is>
          <t>1994</t>
        </is>
      </c>
      <c r="N2218" t="inlineStr">
        <is>
          <t>1st ed.</t>
        </is>
      </c>
      <c r="O2218" t="inlineStr">
        <is>
          <t>eng</t>
        </is>
      </c>
      <c r="P2218" t="inlineStr">
        <is>
          <t>nyu</t>
        </is>
      </c>
      <c r="R2218" t="inlineStr">
        <is>
          <t xml:space="preserve">HQ </t>
        </is>
      </c>
      <c r="S2218" t="n">
        <v>17</v>
      </c>
      <c r="T2218" t="n">
        <v>17</v>
      </c>
      <c r="U2218" t="inlineStr">
        <is>
          <t>2004-03-31</t>
        </is>
      </c>
      <c r="V2218" t="inlineStr">
        <is>
          <t>2004-03-31</t>
        </is>
      </c>
      <c r="W2218" t="inlineStr">
        <is>
          <t>1994-12-05</t>
        </is>
      </c>
      <c r="X2218" t="inlineStr">
        <is>
          <t>1994-12-05</t>
        </is>
      </c>
      <c r="Y2218" t="n">
        <v>803</v>
      </c>
      <c r="Z2218" t="n">
        <v>727</v>
      </c>
      <c r="AA2218" t="n">
        <v>776</v>
      </c>
      <c r="AB2218" t="n">
        <v>6</v>
      </c>
      <c r="AC2218" t="n">
        <v>6</v>
      </c>
      <c r="AD2218" t="n">
        <v>30</v>
      </c>
      <c r="AE2218" t="n">
        <v>31</v>
      </c>
      <c r="AF2218" t="n">
        <v>10</v>
      </c>
      <c r="AG2218" t="n">
        <v>10</v>
      </c>
      <c r="AH2218" t="n">
        <v>9</v>
      </c>
      <c r="AI2218" t="n">
        <v>9</v>
      </c>
      <c r="AJ2218" t="n">
        <v>14</v>
      </c>
      <c r="AK2218" t="n">
        <v>15</v>
      </c>
      <c r="AL2218" t="n">
        <v>5</v>
      </c>
      <c r="AM2218" t="n">
        <v>5</v>
      </c>
      <c r="AN2218" t="n">
        <v>0</v>
      </c>
      <c r="AO2218" t="n">
        <v>0</v>
      </c>
      <c r="AP2218" t="inlineStr">
        <is>
          <t>No</t>
        </is>
      </c>
      <c r="AQ2218" t="inlineStr">
        <is>
          <t>Yes</t>
        </is>
      </c>
      <c r="AR2218">
        <f>HYPERLINK("http://catalog.hathitrust.org/Record/002889687","HathiTrust Record")</f>
        <v/>
      </c>
      <c r="AS2218">
        <f>HYPERLINK("https://creighton-primo.hosted.exlibrisgroup.com/primo-explore/search?tab=default_tab&amp;search_scope=EVERYTHING&amp;vid=01CRU&amp;lang=en_US&amp;offset=0&amp;query=any,contains,991002315569702656","Catalog Record")</f>
        <v/>
      </c>
      <c r="AT2218">
        <f>HYPERLINK("http://www.worldcat.org/oclc/30036853","WorldCat Record")</f>
        <v/>
      </c>
      <c r="AU2218" t="inlineStr">
        <is>
          <t>32311557:eng</t>
        </is>
      </c>
      <c r="AV2218" t="inlineStr">
        <is>
          <t>30036853</t>
        </is>
      </c>
      <c r="AW2218" t="inlineStr">
        <is>
          <t>991002315569702656</t>
        </is>
      </c>
      <c r="AX2218" t="inlineStr">
        <is>
          <t>991002315569702656</t>
        </is>
      </c>
      <c r="AY2218" t="inlineStr">
        <is>
          <t>2270982710002656</t>
        </is>
      </c>
      <c r="AZ2218" t="inlineStr">
        <is>
          <t>BOOK</t>
        </is>
      </c>
      <c r="BB2218" t="inlineStr">
        <is>
          <t>9780517587430</t>
        </is>
      </c>
      <c r="BC2218" t="inlineStr">
        <is>
          <t>32285001975183</t>
        </is>
      </c>
      <c r="BD2218" t="inlineStr">
        <is>
          <t>893873361</t>
        </is>
      </c>
    </row>
    <row r="2219">
      <c r="A2219" t="inlineStr">
        <is>
          <t>No</t>
        </is>
      </c>
      <c r="B2219" t="inlineStr">
        <is>
          <t>HQ76.3.U5 B465 2001</t>
        </is>
      </c>
      <c r="C2219" t="inlineStr">
        <is>
          <t>0                      HQ 0076300U  5                  B  465         2001</t>
        </is>
      </c>
      <c r="D2219" t="inlineStr">
        <is>
          <t>Sissyphobia : gay men and effeminate behavior / Tim Bergling ; illustrations by Joe Phillips.</t>
        </is>
      </c>
      <c r="F2219" t="inlineStr">
        <is>
          <t>No</t>
        </is>
      </c>
      <c r="G2219" t="inlineStr">
        <is>
          <t>1</t>
        </is>
      </c>
      <c r="H2219" t="inlineStr">
        <is>
          <t>No</t>
        </is>
      </c>
      <c r="I2219" t="inlineStr">
        <is>
          <t>No</t>
        </is>
      </c>
      <c r="J2219" t="inlineStr">
        <is>
          <t>0</t>
        </is>
      </c>
      <c r="K2219" t="inlineStr">
        <is>
          <t>Bergling, Tim.</t>
        </is>
      </c>
      <c r="L2219" t="inlineStr">
        <is>
          <t>New York : Southern Tier Editions, 2001.</t>
        </is>
      </c>
      <c r="M2219" t="inlineStr">
        <is>
          <t>2001</t>
        </is>
      </c>
      <c r="O2219" t="inlineStr">
        <is>
          <t>eng</t>
        </is>
      </c>
      <c r="P2219" t="inlineStr">
        <is>
          <t>nyu</t>
        </is>
      </c>
      <c r="R2219" t="inlineStr">
        <is>
          <t xml:space="preserve">HQ </t>
        </is>
      </c>
      <c r="S2219" t="n">
        <v>5</v>
      </c>
      <c r="T2219" t="n">
        <v>5</v>
      </c>
      <c r="U2219" t="inlineStr">
        <is>
          <t>2008-10-07</t>
        </is>
      </c>
      <c r="V2219" t="inlineStr">
        <is>
          <t>2008-10-07</t>
        </is>
      </c>
      <c r="W2219" t="inlineStr">
        <is>
          <t>2001-09-13</t>
        </is>
      </c>
      <c r="X2219" t="inlineStr">
        <is>
          <t>2001-09-13</t>
        </is>
      </c>
      <c r="Y2219" t="n">
        <v>221</v>
      </c>
      <c r="Z2219" t="n">
        <v>189</v>
      </c>
      <c r="AA2219" t="n">
        <v>196</v>
      </c>
      <c r="AB2219" t="n">
        <v>3</v>
      </c>
      <c r="AC2219" t="n">
        <v>3</v>
      </c>
      <c r="AD2219" t="n">
        <v>7</v>
      </c>
      <c r="AE2219" t="n">
        <v>7</v>
      </c>
      <c r="AF2219" t="n">
        <v>1</v>
      </c>
      <c r="AG2219" t="n">
        <v>1</v>
      </c>
      <c r="AH2219" t="n">
        <v>3</v>
      </c>
      <c r="AI2219" t="n">
        <v>3</v>
      </c>
      <c r="AJ2219" t="n">
        <v>3</v>
      </c>
      <c r="AK2219" t="n">
        <v>3</v>
      </c>
      <c r="AL2219" t="n">
        <v>2</v>
      </c>
      <c r="AM2219" t="n">
        <v>2</v>
      </c>
      <c r="AN2219" t="n">
        <v>0</v>
      </c>
      <c r="AO2219" t="n">
        <v>0</v>
      </c>
      <c r="AP2219" t="inlineStr">
        <is>
          <t>No</t>
        </is>
      </c>
      <c r="AQ2219" t="inlineStr">
        <is>
          <t>Yes</t>
        </is>
      </c>
      <c r="AR2219">
        <f>HYPERLINK("http://catalog.hathitrust.org/Record/102017981","HathiTrust Record")</f>
        <v/>
      </c>
      <c r="AS2219">
        <f>HYPERLINK("https://creighton-primo.hosted.exlibrisgroup.com/primo-explore/search?tab=default_tab&amp;search_scope=EVERYTHING&amp;vid=01CRU&amp;lang=en_US&amp;offset=0&amp;query=any,contains,991003605219702656","Catalog Record")</f>
        <v/>
      </c>
      <c r="AT2219">
        <f>HYPERLINK("http://www.worldcat.org/oclc/44885293","WorldCat Record")</f>
        <v/>
      </c>
      <c r="AU2219" t="inlineStr">
        <is>
          <t>36600392:eng</t>
        </is>
      </c>
      <c r="AV2219" t="inlineStr">
        <is>
          <t>44885293</t>
        </is>
      </c>
      <c r="AW2219" t="inlineStr">
        <is>
          <t>991003605219702656</t>
        </is>
      </c>
      <c r="AX2219" t="inlineStr">
        <is>
          <t>991003605219702656</t>
        </is>
      </c>
      <c r="AY2219" t="inlineStr">
        <is>
          <t>2261782620002656</t>
        </is>
      </c>
      <c r="AZ2219" t="inlineStr">
        <is>
          <t>BOOK</t>
        </is>
      </c>
      <c r="BB2219" t="inlineStr">
        <is>
          <t>9781560239895</t>
        </is>
      </c>
      <c r="BC2219" t="inlineStr">
        <is>
          <t>32285004391123</t>
        </is>
      </c>
      <c r="BD2219" t="inlineStr">
        <is>
          <t>893324241</t>
        </is>
      </c>
    </row>
    <row r="2220">
      <c r="A2220" t="inlineStr">
        <is>
          <t>No</t>
        </is>
      </c>
      <c r="B2220" t="inlineStr">
        <is>
          <t>HQ76.3.U5 B48 1996</t>
        </is>
      </c>
      <c r="C2220" t="inlineStr">
        <is>
          <t>0                      HQ 0076300U  5                  B  48          1996</t>
        </is>
      </c>
      <c r="D2220" t="inlineStr">
        <is>
          <t>Setting them straight : you can do something about bigotry and homophobia in your life / Betty Berzon.</t>
        </is>
      </c>
      <c r="F2220" t="inlineStr">
        <is>
          <t>No</t>
        </is>
      </c>
      <c r="G2220" t="inlineStr">
        <is>
          <t>1</t>
        </is>
      </c>
      <c r="H2220" t="inlineStr">
        <is>
          <t>No</t>
        </is>
      </c>
      <c r="I2220" t="inlineStr">
        <is>
          <t>No</t>
        </is>
      </c>
      <c r="J2220" t="inlineStr">
        <is>
          <t>0</t>
        </is>
      </c>
      <c r="K2220" t="inlineStr">
        <is>
          <t>Berzon, Betty.</t>
        </is>
      </c>
      <c r="L2220" t="inlineStr">
        <is>
          <t>New York : Plume, 1996.</t>
        </is>
      </c>
      <c r="M2220" t="inlineStr">
        <is>
          <t>1996</t>
        </is>
      </c>
      <c r="O2220" t="inlineStr">
        <is>
          <t>eng</t>
        </is>
      </c>
      <c r="P2220" t="inlineStr">
        <is>
          <t>nyu</t>
        </is>
      </c>
      <c r="R2220" t="inlineStr">
        <is>
          <t xml:space="preserve">HQ </t>
        </is>
      </c>
      <c r="S2220" t="n">
        <v>12</v>
      </c>
      <c r="T2220" t="n">
        <v>12</v>
      </c>
      <c r="U2220" t="inlineStr">
        <is>
          <t>2001-05-03</t>
        </is>
      </c>
      <c r="V2220" t="inlineStr">
        <is>
          <t>2001-05-03</t>
        </is>
      </c>
      <c r="W2220" t="inlineStr">
        <is>
          <t>1996-08-09</t>
        </is>
      </c>
      <c r="X2220" t="inlineStr">
        <is>
          <t>1996-08-09</t>
        </is>
      </c>
      <c r="Y2220" t="n">
        <v>220</v>
      </c>
      <c r="Z2220" t="n">
        <v>205</v>
      </c>
      <c r="AA2220" t="n">
        <v>226</v>
      </c>
      <c r="AB2220" t="n">
        <v>2</v>
      </c>
      <c r="AC2220" t="n">
        <v>3</v>
      </c>
      <c r="AD2220" t="n">
        <v>4</v>
      </c>
      <c r="AE2220" t="n">
        <v>7</v>
      </c>
      <c r="AF2220" t="n">
        <v>0</v>
      </c>
      <c r="AG2220" t="n">
        <v>1</v>
      </c>
      <c r="AH2220" t="n">
        <v>0</v>
      </c>
      <c r="AI2220" t="n">
        <v>1</v>
      </c>
      <c r="AJ2220" t="n">
        <v>3</v>
      </c>
      <c r="AK2220" t="n">
        <v>3</v>
      </c>
      <c r="AL2220" t="n">
        <v>1</v>
      </c>
      <c r="AM2220" t="n">
        <v>2</v>
      </c>
      <c r="AN2220" t="n">
        <v>0</v>
      </c>
      <c r="AO2220" t="n">
        <v>0</v>
      </c>
      <c r="AP2220" t="inlineStr">
        <is>
          <t>No</t>
        </is>
      </c>
      <c r="AQ2220" t="inlineStr">
        <is>
          <t>Yes</t>
        </is>
      </c>
      <c r="AR2220">
        <f>HYPERLINK("http://catalog.hathitrust.org/Record/003200046","HathiTrust Record")</f>
        <v/>
      </c>
      <c r="AS2220">
        <f>HYPERLINK("https://creighton-primo.hosted.exlibrisgroup.com/primo-explore/search?tab=default_tab&amp;search_scope=EVERYTHING&amp;vid=01CRU&amp;lang=en_US&amp;offset=0&amp;query=any,contains,991002602259702656","Catalog Record")</f>
        <v/>
      </c>
      <c r="AT2220">
        <f>HYPERLINK("http://www.worldcat.org/oclc/34080186","WorldCat Record")</f>
        <v/>
      </c>
      <c r="AU2220" t="inlineStr">
        <is>
          <t>459594270:eng</t>
        </is>
      </c>
      <c r="AV2220" t="inlineStr">
        <is>
          <t>34080186</t>
        </is>
      </c>
      <c r="AW2220" t="inlineStr">
        <is>
          <t>991002602259702656</t>
        </is>
      </c>
      <c r="AX2220" t="inlineStr">
        <is>
          <t>991002602259702656</t>
        </is>
      </c>
      <c r="AY2220" t="inlineStr">
        <is>
          <t>2262883720002656</t>
        </is>
      </c>
      <c r="AZ2220" t="inlineStr">
        <is>
          <t>BOOK</t>
        </is>
      </c>
      <c r="BB2220" t="inlineStr">
        <is>
          <t>9780452274211</t>
        </is>
      </c>
      <c r="BC2220" t="inlineStr">
        <is>
          <t>32285002273216</t>
        </is>
      </c>
      <c r="BD2220" t="inlineStr">
        <is>
          <t>893510960</t>
        </is>
      </c>
    </row>
    <row r="2221">
      <c r="A2221" t="inlineStr">
        <is>
          <t>No</t>
        </is>
      </c>
      <c r="B2221" t="inlineStr">
        <is>
          <t>HQ76.3.U5 B56 1994</t>
        </is>
      </c>
      <c r="C2221" t="inlineStr">
        <is>
          <t>0                      HQ 0076300U  5                  B  56          1994</t>
        </is>
      </c>
      <c r="D2221" t="inlineStr">
        <is>
          <t>Gay and lesbian politics : sexuality and the emergence of a new ethic / Mark Blasius.</t>
        </is>
      </c>
      <c r="F2221" t="inlineStr">
        <is>
          <t>No</t>
        </is>
      </c>
      <c r="G2221" t="inlineStr">
        <is>
          <t>1</t>
        </is>
      </c>
      <c r="H2221" t="inlineStr">
        <is>
          <t>No</t>
        </is>
      </c>
      <c r="I2221" t="inlineStr">
        <is>
          <t>No</t>
        </is>
      </c>
      <c r="J2221" t="inlineStr">
        <is>
          <t>0</t>
        </is>
      </c>
      <c r="K2221" t="inlineStr">
        <is>
          <t>Blasius, Mark.</t>
        </is>
      </c>
      <c r="L2221" t="inlineStr">
        <is>
          <t>Philadelphia : Temple University Press, 1994.</t>
        </is>
      </c>
      <c r="M2221" t="inlineStr">
        <is>
          <t>1994</t>
        </is>
      </c>
      <c r="O2221" t="inlineStr">
        <is>
          <t>eng</t>
        </is>
      </c>
      <c r="P2221" t="inlineStr">
        <is>
          <t>pau</t>
        </is>
      </c>
      <c r="R2221" t="inlineStr">
        <is>
          <t xml:space="preserve">HQ </t>
        </is>
      </c>
      <c r="S2221" t="n">
        <v>12</v>
      </c>
      <c r="T2221" t="n">
        <v>12</v>
      </c>
      <c r="U2221" t="inlineStr">
        <is>
          <t>2004-06-22</t>
        </is>
      </c>
      <c r="V2221" t="inlineStr">
        <is>
          <t>2004-06-22</t>
        </is>
      </c>
      <c r="W2221" t="inlineStr">
        <is>
          <t>1996-08-12</t>
        </is>
      </c>
      <c r="X2221" t="inlineStr">
        <is>
          <t>1996-08-12</t>
        </is>
      </c>
      <c r="Y2221" t="n">
        <v>382</v>
      </c>
      <c r="Z2221" t="n">
        <v>318</v>
      </c>
      <c r="AA2221" t="n">
        <v>318</v>
      </c>
      <c r="AB2221" t="n">
        <v>3</v>
      </c>
      <c r="AC2221" t="n">
        <v>3</v>
      </c>
      <c r="AD2221" t="n">
        <v>18</v>
      </c>
      <c r="AE2221" t="n">
        <v>18</v>
      </c>
      <c r="AF2221" t="n">
        <v>4</v>
      </c>
      <c r="AG2221" t="n">
        <v>4</v>
      </c>
      <c r="AH2221" t="n">
        <v>7</v>
      </c>
      <c r="AI2221" t="n">
        <v>7</v>
      </c>
      <c r="AJ2221" t="n">
        <v>8</v>
      </c>
      <c r="AK2221" t="n">
        <v>8</v>
      </c>
      <c r="AL2221" t="n">
        <v>2</v>
      </c>
      <c r="AM2221" t="n">
        <v>2</v>
      </c>
      <c r="AN2221" t="n">
        <v>1</v>
      </c>
      <c r="AO2221" t="n">
        <v>1</v>
      </c>
      <c r="AP2221" t="inlineStr">
        <is>
          <t>No</t>
        </is>
      </c>
      <c r="AQ2221" t="inlineStr">
        <is>
          <t>No</t>
        </is>
      </c>
      <c r="AS2221">
        <f>HYPERLINK("https://creighton-primo.hosted.exlibrisgroup.com/primo-explore/search?tab=default_tab&amp;search_scope=EVERYTHING&amp;vid=01CRU&amp;lang=en_US&amp;offset=0&amp;query=any,contains,991002278759702656","Catalog Record")</f>
        <v/>
      </c>
      <c r="AT2221">
        <f>HYPERLINK("http://www.worldcat.org/oclc/29550082","WorldCat Record")</f>
        <v/>
      </c>
      <c r="AU2221" t="inlineStr">
        <is>
          <t>31122690:eng</t>
        </is>
      </c>
      <c r="AV2221" t="inlineStr">
        <is>
          <t>29550082</t>
        </is>
      </c>
      <c r="AW2221" t="inlineStr">
        <is>
          <t>991002278759702656</t>
        </is>
      </c>
      <c r="AX2221" t="inlineStr">
        <is>
          <t>991002278759702656</t>
        </is>
      </c>
      <c r="AY2221" t="inlineStr">
        <is>
          <t>2256268990002656</t>
        </is>
      </c>
      <c r="AZ2221" t="inlineStr">
        <is>
          <t>BOOK</t>
        </is>
      </c>
      <c r="BB2221" t="inlineStr">
        <is>
          <t>9781566391733</t>
        </is>
      </c>
      <c r="BC2221" t="inlineStr">
        <is>
          <t>32285002273752</t>
        </is>
      </c>
      <c r="BD2221" t="inlineStr">
        <is>
          <t>893892367</t>
        </is>
      </c>
    </row>
    <row r="2222">
      <c r="A2222" t="inlineStr">
        <is>
          <t>No</t>
        </is>
      </c>
      <c r="B2222" t="inlineStr">
        <is>
          <t>HQ76.3.U5 B58 1989</t>
        </is>
      </c>
      <c r="C2222" t="inlineStr">
        <is>
          <t>0                      HQ 0076300U  5                  B  58          1989</t>
        </is>
      </c>
      <c r="D2222" t="inlineStr">
        <is>
          <t>Looking at gay and lesbian life / Warren J. Blumenfeld &amp; Diane Raymond.</t>
        </is>
      </c>
      <c r="F2222" t="inlineStr">
        <is>
          <t>No</t>
        </is>
      </c>
      <c r="G2222" t="inlineStr">
        <is>
          <t>1</t>
        </is>
      </c>
      <c r="H2222" t="inlineStr">
        <is>
          <t>No</t>
        </is>
      </c>
      <c r="I2222" t="inlineStr">
        <is>
          <t>No</t>
        </is>
      </c>
      <c r="J2222" t="inlineStr">
        <is>
          <t>0</t>
        </is>
      </c>
      <c r="K2222" t="inlineStr">
        <is>
          <t>Blumenfeld, Warren J., 1947-</t>
        </is>
      </c>
      <c r="L2222" t="inlineStr">
        <is>
          <t>Boston, Mass. : Beacon Press, 1989, c1988.</t>
        </is>
      </c>
      <c r="M2222" t="inlineStr">
        <is>
          <t>1989</t>
        </is>
      </c>
      <c r="O2222" t="inlineStr">
        <is>
          <t>eng</t>
        </is>
      </c>
      <c r="P2222" t="inlineStr">
        <is>
          <t>mau</t>
        </is>
      </c>
      <c r="R2222" t="inlineStr">
        <is>
          <t xml:space="preserve">HQ </t>
        </is>
      </c>
      <c r="S2222" t="n">
        <v>31</v>
      </c>
      <c r="T2222" t="n">
        <v>31</v>
      </c>
      <c r="U2222" t="inlineStr">
        <is>
          <t>1999-06-07</t>
        </is>
      </c>
      <c r="V2222" t="inlineStr">
        <is>
          <t>1999-06-07</t>
        </is>
      </c>
      <c r="W2222" t="inlineStr">
        <is>
          <t>1996-02-01</t>
        </is>
      </c>
      <c r="X2222" t="inlineStr">
        <is>
          <t>1996-02-01</t>
        </is>
      </c>
      <c r="Y2222" t="n">
        <v>238</v>
      </c>
      <c r="Z2222" t="n">
        <v>205</v>
      </c>
      <c r="AA2222" t="n">
        <v>644</v>
      </c>
      <c r="AB2222" t="n">
        <v>3</v>
      </c>
      <c r="AC2222" t="n">
        <v>4</v>
      </c>
      <c r="AD2222" t="n">
        <v>10</v>
      </c>
      <c r="AE2222" t="n">
        <v>24</v>
      </c>
      <c r="AF2222" t="n">
        <v>2</v>
      </c>
      <c r="AG2222" t="n">
        <v>8</v>
      </c>
      <c r="AH2222" t="n">
        <v>2</v>
      </c>
      <c r="AI2222" t="n">
        <v>6</v>
      </c>
      <c r="AJ2222" t="n">
        <v>4</v>
      </c>
      <c r="AK2222" t="n">
        <v>12</v>
      </c>
      <c r="AL2222" t="n">
        <v>2</v>
      </c>
      <c r="AM2222" t="n">
        <v>3</v>
      </c>
      <c r="AN2222" t="n">
        <v>1</v>
      </c>
      <c r="AO2222" t="n">
        <v>1</v>
      </c>
      <c r="AP2222" t="inlineStr">
        <is>
          <t>No</t>
        </is>
      </c>
      <c r="AQ2222" t="inlineStr">
        <is>
          <t>No</t>
        </is>
      </c>
      <c r="AS2222">
        <f>HYPERLINK("https://creighton-primo.hosted.exlibrisgroup.com/primo-explore/search?tab=default_tab&amp;search_scope=EVERYTHING&amp;vid=01CRU&amp;lang=en_US&amp;offset=0&amp;query=any,contains,991001468059702656","Catalog Record")</f>
        <v/>
      </c>
      <c r="AT2222">
        <f>HYPERLINK("http://www.worldcat.org/oclc/19515872","WorldCat Record")</f>
        <v/>
      </c>
      <c r="AU2222" t="inlineStr">
        <is>
          <t>16073194:eng</t>
        </is>
      </c>
      <c r="AV2222" t="inlineStr">
        <is>
          <t>19515872</t>
        </is>
      </c>
      <c r="AW2222" t="inlineStr">
        <is>
          <t>991001468059702656</t>
        </is>
      </c>
      <c r="AX2222" t="inlineStr">
        <is>
          <t>991001468059702656</t>
        </is>
      </c>
      <c r="AY2222" t="inlineStr">
        <is>
          <t>2261498840002656</t>
        </is>
      </c>
      <c r="AZ2222" t="inlineStr">
        <is>
          <t>BOOK</t>
        </is>
      </c>
      <c r="BB2222" t="inlineStr">
        <is>
          <t>9780807079072</t>
        </is>
      </c>
      <c r="BC2222" t="inlineStr">
        <is>
          <t>32285002120656</t>
        </is>
      </c>
      <c r="BD2222" t="inlineStr">
        <is>
          <t>893315798</t>
        </is>
      </c>
    </row>
    <row r="2223">
      <c r="A2223" t="inlineStr">
        <is>
          <t>No</t>
        </is>
      </c>
      <c r="B2223" t="inlineStr">
        <is>
          <t>HQ76.3.U5 B685 1996</t>
        </is>
      </c>
      <c r="C2223" t="inlineStr">
        <is>
          <t>0                      HQ 0076300U  5                  B  685         1996</t>
        </is>
      </c>
      <c r="D2223" t="inlineStr">
        <is>
          <t>One more river to cross : black and gay in America / Keith Boykin.</t>
        </is>
      </c>
      <c r="F2223" t="inlineStr">
        <is>
          <t>No</t>
        </is>
      </c>
      <c r="G2223" t="inlineStr">
        <is>
          <t>1</t>
        </is>
      </c>
      <c r="H2223" t="inlineStr">
        <is>
          <t>No</t>
        </is>
      </c>
      <c r="I2223" t="inlineStr">
        <is>
          <t>No</t>
        </is>
      </c>
      <c r="J2223" t="inlineStr">
        <is>
          <t>0</t>
        </is>
      </c>
      <c r="K2223" t="inlineStr">
        <is>
          <t>Boykin, Keith.</t>
        </is>
      </c>
      <c r="L2223" t="inlineStr">
        <is>
          <t>New York : Anchor Books/Doubleday, 1996.</t>
        </is>
      </c>
      <c r="M2223" t="inlineStr">
        <is>
          <t>1996</t>
        </is>
      </c>
      <c r="N2223" t="inlineStr">
        <is>
          <t>1st Anchor Books ed.</t>
        </is>
      </c>
      <c r="O2223" t="inlineStr">
        <is>
          <t>eng</t>
        </is>
      </c>
      <c r="P2223" t="inlineStr">
        <is>
          <t>nyu</t>
        </is>
      </c>
      <c r="R2223" t="inlineStr">
        <is>
          <t xml:space="preserve">HQ </t>
        </is>
      </c>
      <c r="S2223" t="n">
        <v>2</v>
      </c>
      <c r="T2223" t="n">
        <v>2</v>
      </c>
      <c r="U2223" t="inlineStr">
        <is>
          <t>2006-06-23</t>
        </is>
      </c>
      <c r="V2223" t="inlineStr">
        <is>
          <t>2006-06-23</t>
        </is>
      </c>
      <c r="W2223" t="inlineStr">
        <is>
          <t>1996-12-17</t>
        </is>
      </c>
      <c r="X2223" t="inlineStr">
        <is>
          <t>1996-12-17</t>
        </is>
      </c>
      <c r="Y2223" t="n">
        <v>545</v>
      </c>
      <c r="Z2223" t="n">
        <v>517</v>
      </c>
      <c r="AA2223" t="n">
        <v>630</v>
      </c>
      <c r="AB2223" t="n">
        <v>4</v>
      </c>
      <c r="AC2223" t="n">
        <v>5</v>
      </c>
      <c r="AD2223" t="n">
        <v>15</v>
      </c>
      <c r="AE2223" t="n">
        <v>19</v>
      </c>
      <c r="AF2223" t="n">
        <v>1</v>
      </c>
      <c r="AG2223" t="n">
        <v>4</v>
      </c>
      <c r="AH2223" t="n">
        <v>4</v>
      </c>
      <c r="AI2223" t="n">
        <v>4</v>
      </c>
      <c r="AJ2223" t="n">
        <v>10</v>
      </c>
      <c r="AK2223" t="n">
        <v>10</v>
      </c>
      <c r="AL2223" t="n">
        <v>3</v>
      </c>
      <c r="AM2223" t="n">
        <v>4</v>
      </c>
      <c r="AN2223" t="n">
        <v>0</v>
      </c>
      <c r="AO2223" t="n">
        <v>0</v>
      </c>
      <c r="AP2223" t="inlineStr">
        <is>
          <t>No</t>
        </is>
      </c>
      <c r="AQ2223" t="inlineStr">
        <is>
          <t>No</t>
        </is>
      </c>
      <c r="AS2223">
        <f>HYPERLINK("https://creighton-primo.hosted.exlibrisgroup.com/primo-explore/search?tab=default_tab&amp;search_scope=EVERYTHING&amp;vid=01CRU&amp;lang=en_US&amp;offset=0&amp;query=any,contains,991002639819702656","Catalog Record")</f>
        <v/>
      </c>
      <c r="AT2223">
        <f>HYPERLINK("http://www.worldcat.org/oclc/34558904","WorldCat Record")</f>
        <v/>
      </c>
      <c r="AU2223" t="inlineStr">
        <is>
          <t>535708:eng</t>
        </is>
      </c>
      <c r="AV2223" t="inlineStr">
        <is>
          <t>34558904</t>
        </is>
      </c>
      <c r="AW2223" t="inlineStr">
        <is>
          <t>991002639819702656</t>
        </is>
      </c>
      <c r="AX2223" t="inlineStr">
        <is>
          <t>991002639819702656</t>
        </is>
      </c>
      <c r="AY2223" t="inlineStr">
        <is>
          <t>2256431490002656</t>
        </is>
      </c>
      <c r="AZ2223" t="inlineStr">
        <is>
          <t>BOOK</t>
        </is>
      </c>
      <c r="BB2223" t="inlineStr">
        <is>
          <t>9780385479820</t>
        </is>
      </c>
      <c r="BC2223" t="inlineStr">
        <is>
          <t>32285002394582</t>
        </is>
      </c>
      <c r="BD2223" t="inlineStr">
        <is>
          <t>893409358</t>
        </is>
      </c>
    </row>
    <row r="2224">
      <c r="A2224" t="inlineStr">
        <is>
          <t>No</t>
        </is>
      </c>
      <c r="B2224" t="inlineStr">
        <is>
          <t>HQ76.3.U5 B7 1976</t>
        </is>
      </c>
      <c r="C2224" t="inlineStr">
        <is>
          <t>0                      HQ 0076300U  5                  B  7           1976</t>
        </is>
      </c>
      <c r="D2224" t="inlineStr">
        <is>
          <t>Familiar faces, hidden lives : the story of homosexual men in America today / Howard Brown.</t>
        </is>
      </c>
      <c r="F2224" t="inlineStr">
        <is>
          <t>No</t>
        </is>
      </c>
      <c r="G2224" t="inlineStr">
        <is>
          <t>1</t>
        </is>
      </c>
      <c r="H2224" t="inlineStr">
        <is>
          <t>No</t>
        </is>
      </c>
      <c r="I2224" t="inlineStr">
        <is>
          <t>No</t>
        </is>
      </c>
      <c r="J2224" t="inlineStr">
        <is>
          <t>0</t>
        </is>
      </c>
      <c r="K2224" t="inlineStr">
        <is>
          <t>Brown, Howard, 1924-1975.</t>
        </is>
      </c>
      <c r="L2224" t="inlineStr">
        <is>
          <t>New York : Harcourt Brace Jovanovich, c1976.</t>
        </is>
      </c>
      <c r="M2224" t="inlineStr">
        <is>
          <t>1976</t>
        </is>
      </c>
      <c r="N2224" t="inlineStr">
        <is>
          <t>1st ed.</t>
        </is>
      </c>
      <c r="O2224" t="inlineStr">
        <is>
          <t>eng</t>
        </is>
      </c>
      <c r="P2224" t="inlineStr">
        <is>
          <t>nyu</t>
        </is>
      </c>
      <c r="R2224" t="inlineStr">
        <is>
          <t xml:space="preserve">HQ </t>
        </is>
      </c>
      <c r="S2224" t="n">
        <v>11</v>
      </c>
      <c r="T2224" t="n">
        <v>11</v>
      </c>
      <c r="U2224" t="inlineStr">
        <is>
          <t>1995-10-07</t>
        </is>
      </c>
      <c r="V2224" t="inlineStr">
        <is>
          <t>1995-10-07</t>
        </is>
      </c>
      <c r="W2224" t="inlineStr">
        <is>
          <t>1992-12-23</t>
        </is>
      </c>
      <c r="X2224" t="inlineStr">
        <is>
          <t>1992-12-23</t>
        </is>
      </c>
      <c r="Y2224" t="n">
        <v>681</v>
      </c>
      <c r="Z2224" t="n">
        <v>601</v>
      </c>
      <c r="AA2224" t="n">
        <v>751</v>
      </c>
      <c r="AB2224" t="n">
        <v>7</v>
      </c>
      <c r="AC2224" t="n">
        <v>7</v>
      </c>
      <c r="AD2224" t="n">
        <v>21</v>
      </c>
      <c r="AE2224" t="n">
        <v>24</v>
      </c>
      <c r="AF2224" t="n">
        <v>6</v>
      </c>
      <c r="AG2224" t="n">
        <v>8</v>
      </c>
      <c r="AH2224" t="n">
        <v>4</v>
      </c>
      <c r="AI2224" t="n">
        <v>5</v>
      </c>
      <c r="AJ2224" t="n">
        <v>9</v>
      </c>
      <c r="AK2224" t="n">
        <v>10</v>
      </c>
      <c r="AL2224" t="n">
        <v>6</v>
      </c>
      <c r="AM2224" t="n">
        <v>6</v>
      </c>
      <c r="AN2224" t="n">
        <v>0</v>
      </c>
      <c r="AO2224" t="n">
        <v>0</v>
      </c>
      <c r="AP2224" t="inlineStr">
        <is>
          <t>No</t>
        </is>
      </c>
      <c r="AQ2224" t="inlineStr">
        <is>
          <t>Yes</t>
        </is>
      </c>
      <c r="AR2224">
        <f>HYPERLINK("http://catalog.hathitrust.org/Record/000741914","HathiTrust Record")</f>
        <v/>
      </c>
      <c r="AS2224">
        <f>HYPERLINK("https://creighton-primo.hosted.exlibrisgroup.com/primo-explore/search?tab=default_tab&amp;search_scope=EVERYTHING&amp;vid=01CRU&amp;lang=en_US&amp;offset=0&amp;query=any,contains,991004087169702656","Catalog Record")</f>
        <v/>
      </c>
      <c r="AT2224">
        <f>HYPERLINK("http://www.worldcat.org/oclc/2332379","WorldCat Record")</f>
        <v/>
      </c>
      <c r="AU2224" t="inlineStr">
        <is>
          <t>4841180:eng</t>
        </is>
      </c>
      <c r="AV2224" t="inlineStr">
        <is>
          <t>2332379</t>
        </is>
      </c>
      <c r="AW2224" t="inlineStr">
        <is>
          <t>991004087169702656</t>
        </is>
      </c>
      <c r="AX2224" t="inlineStr">
        <is>
          <t>991004087169702656</t>
        </is>
      </c>
      <c r="AY2224" t="inlineStr">
        <is>
          <t>2264072430002656</t>
        </is>
      </c>
      <c r="AZ2224" t="inlineStr">
        <is>
          <t>BOOK</t>
        </is>
      </c>
      <c r="BB2224" t="inlineStr">
        <is>
          <t>9780151301492</t>
        </is>
      </c>
      <c r="BC2224" t="inlineStr">
        <is>
          <t>32285001453009</t>
        </is>
      </c>
      <c r="BD2224" t="inlineStr">
        <is>
          <t>893882047</t>
        </is>
      </c>
    </row>
    <row r="2225">
      <c r="A2225" t="inlineStr">
        <is>
          <t>No</t>
        </is>
      </c>
      <c r="B2225" t="inlineStr">
        <is>
          <t>HQ76.3.U5 C354 2000</t>
        </is>
      </c>
      <c r="C2225" t="inlineStr">
        <is>
          <t>0                      HQ 0076300U  5                  C  354         2000</t>
        </is>
      </c>
      <c r="D2225" t="inlineStr">
        <is>
          <t>Public sex : the culture of radical sex / Pat Califia.</t>
        </is>
      </c>
      <c r="F2225" t="inlineStr">
        <is>
          <t>No</t>
        </is>
      </c>
      <c r="G2225" t="inlineStr">
        <is>
          <t>1</t>
        </is>
      </c>
      <c r="H2225" t="inlineStr">
        <is>
          <t>No</t>
        </is>
      </c>
      <c r="I2225" t="inlineStr">
        <is>
          <t>No</t>
        </is>
      </c>
      <c r="J2225" t="inlineStr">
        <is>
          <t>0</t>
        </is>
      </c>
      <c r="K2225" t="inlineStr">
        <is>
          <t>Califia, Patrick, 1954-</t>
        </is>
      </c>
      <c r="L2225" t="inlineStr">
        <is>
          <t>San Francisco, Calif. : Cleis Press ; [Berkeley, Calif.] : Distributed by Publishers Group West, c2000.</t>
        </is>
      </c>
      <c r="M2225" t="inlineStr">
        <is>
          <t>2000</t>
        </is>
      </c>
      <c r="N2225" t="inlineStr">
        <is>
          <t>2nd ed.</t>
        </is>
      </c>
      <c r="O2225" t="inlineStr">
        <is>
          <t>eng</t>
        </is>
      </c>
      <c r="P2225" t="inlineStr">
        <is>
          <t>cau</t>
        </is>
      </c>
      <c r="R2225" t="inlineStr">
        <is>
          <t xml:space="preserve">HQ </t>
        </is>
      </c>
      <c r="S2225" t="n">
        <v>3</v>
      </c>
      <c r="T2225" t="n">
        <v>3</v>
      </c>
      <c r="U2225" t="inlineStr">
        <is>
          <t>2007-04-09</t>
        </is>
      </c>
      <c r="V2225" t="inlineStr">
        <is>
          <t>2007-04-09</t>
        </is>
      </c>
      <c r="W2225" t="inlineStr">
        <is>
          <t>2007-04-09</t>
        </is>
      </c>
      <c r="X2225" t="inlineStr">
        <is>
          <t>2007-04-09</t>
        </is>
      </c>
      <c r="Y2225" t="n">
        <v>266</v>
      </c>
      <c r="Z2225" t="n">
        <v>217</v>
      </c>
      <c r="AA2225" t="n">
        <v>384</v>
      </c>
      <c r="AB2225" t="n">
        <v>2</v>
      </c>
      <c r="AC2225" t="n">
        <v>3</v>
      </c>
      <c r="AD2225" t="n">
        <v>7</v>
      </c>
      <c r="AE2225" t="n">
        <v>11</v>
      </c>
      <c r="AF2225" t="n">
        <v>3</v>
      </c>
      <c r="AG2225" t="n">
        <v>5</v>
      </c>
      <c r="AH2225" t="n">
        <v>1</v>
      </c>
      <c r="AI2225" t="n">
        <v>3</v>
      </c>
      <c r="AJ2225" t="n">
        <v>3</v>
      </c>
      <c r="AK2225" t="n">
        <v>4</v>
      </c>
      <c r="AL2225" t="n">
        <v>1</v>
      </c>
      <c r="AM2225" t="n">
        <v>2</v>
      </c>
      <c r="AN2225" t="n">
        <v>0</v>
      </c>
      <c r="AO2225" t="n">
        <v>0</v>
      </c>
      <c r="AP2225" t="inlineStr">
        <is>
          <t>No</t>
        </is>
      </c>
      <c r="AQ2225" t="inlineStr">
        <is>
          <t>No</t>
        </is>
      </c>
      <c r="AS2225">
        <f>HYPERLINK("https://creighton-primo.hosted.exlibrisgroup.com/primo-explore/search?tab=default_tab&amp;search_scope=EVERYTHING&amp;vid=01CRU&amp;lang=en_US&amp;offset=0&amp;query=any,contains,991005049299702656","Catalog Record")</f>
        <v/>
      </c>
      <c r="AT2225">
        <f>HYPERLINK("http://www.worldcat.org/oclc/44547868","WorldCat Record")</f>
        <v/>
      </c>
      <c r="AU2225" t="inlineStr">
        <is>
          <t>198602817:eng</t>
        </is>
      </c>
      <c r="AV2225" t="inlineStr">
        <is>
          <t>44547868</t>
        </is>
      </c>
      <c r="AW2225" t="inlineStr">
        <is>
          <t>991005049299702656</t>
        </is>
      </c>
      <c r="AX2225" t="inlineStr">
        <is>
          <t>991005049299702656</t>
        </is>
      </c>
      <c r="AY2225" t="inlineStr">
        <is>
          <t>2259738310002656</t>
        </is>
      </c>
      <c r="AZ2225" t="inlineStr">
        <is>
          <t>BOOK</t>
        </is>
      </c>
      <c r="BB2225" t="inlineStr">
        <is>
          <t>9781573440967</t>
        </is>
      </c>
      <c r="BC2225" t="inlineStr">
        <is>
          <t>32285005285506</t>
        </is>
      </c>
      <c r="BD2225" t="inlineStr">
        <is>
          <t>893501242</t>
        </is>
      </c>
    </row>
    <row r="2226">
      <c r="A2226" t="inlineStr">
        <is>
          <t>No</t>
        </is>
      </c>
      <c r="B2226" t="inlineStr">
        <is>
          <t>HQ76.3.U5 C66 1990</t>
        </is>
      </c>
      <c r="C2226" t="inlineStr">
        <is>
          <t>0                      HQ 0076300U  5                  C  66          1990</t>
        </is>
      </c>
      <c r="D2226" t="inlineStr">
        <is>
          <t>The final closet : the gay parents' guide for coming out to their children / Rip Corley.</t>
        </is>
      </c>
      <c r="F2226" t="inlineStr">
        <is>
          <t>No</t>
        </is>
      </c>
      <c r="G2226" t="inlineStr">
        <is>
          <t>1</t>
        </is>
      </c>
      <c r="H2226" t="inlineStr">
        <is>
          <t>No</t>
        </is>
      </c>
      <c r="I2226" t="inlineStr">
        <is>
          <t>No</t>
        </is>
      </c>
      <c r="J2226" t="inlineStr">
        <is>
          <t>0</t>
        </is>
      </c>
      <c r="K2226" t="inlineStr">
        <is>
          <t>Corley, Rip, 1946-</t>
        </is>
      </c>
      <c r="L2226" t="inlineStr">
        <is>
          <t>Miami : Editech Press, c1990.</t>
        </is>
      </c>
      <c r="M2226" t="inlineStr">
        <is>
          <t>1990</t>
        </is>
      </c>
      <c r="N2226" t="inlineStr">
        <is>
          <t>1st ed.</t>
        </is>
      </c>
      <c r="O2226" t="inlineStr">
        <is>
          <t>eng</t>
        </is>
      </c>
      <c r="P2226" t="inlineStr">
        <is>
          <t>flu</t>
        </is>
      </c>
      <c r="R2226" t="inlineStr">
        <is>
          <t xml:space="preserve">HQ </t>
        </is>
      </c>
      <c r="S2226" t="n">
        <v>4</v>
      </c>
      <c r="T2226" t="n">
        <v>4</v>
      </c>
      <c r="U2226" t="inlineStr">
        <is>
          <t>1997-04-05</t>
        </is>
      </c>
      <c r="V2226" t="inlineStr">
        <is>
          <t>1997-04-05</t>
        </is>
      </c>
      <c r="W2226" t="inlineStr">
        <is>
          <t>1997-02-07</t>
        </is>
      </c>
      <c r="X2226" t="inlineStr">
        <is>
          <t>1997-02-07</t>
        </is>
      </c>
      <c r="Y2226" t="n">
        <v>148</v>
      </c>
      <c r="Z2226" t="n">
        <v>141</v>
      </c>
      <c r="AA2226" t="n">
        <v>146</v>
      </c>
      <c r="AB2226" t="n">
        <v>1</v>
      </c>
      <c r="AC2226" t="n">
        <v>1</v>
      </c>
      <c r="AD2226" t="n">
        <v>1</v>
      </c>
      <c r="AE2226" t="n">
        <v>1</v>
      </c>
      <c r="AF2226" t="n">
        <v>1</v>
      </c>
      <c r="AG2226" t="n">
        <v>1</v>
      </c>
      <c r="AH2226" t="n">
        <v>0</v>
      </c>
      <c r="AI2226" t="n">
        <v>0</v>
      </c>
      <c r="AJ2226" t="n">
        <v>0</v>
      </c>
      <c r="AK2226" t="n">
        <v>0</v>
      </c>
      <c r="AL2226" t="n">
        <v>0</v>
      </c>
      <c r="AM2226" t="n">
        <v>0</v>
      </c>
      <c r="AN2226" t="n">
        <v>0</v>
      </c>
      <c r="AO2226" t="n">
        <v>0</v>
      </c>
      <c r="AP2226" t="inlineStr">
        <is>
          <t>No</t>
        </is>
      </c>
      <c r="AQ2226" t="inlineStr">
        <is>
          <t>No</t>
        </is>
      </c>
      <c r="AS2226">
        <f>HYPERLINK("https://creighton-primo.hosted.exlibrisgroup.com/primo-explore/search?tab=default_tab&amp;search_scope=EVERYTHING&amp;vid=01CRU&amp;lang=en_US&amp;offset=0&amp;query=any,contains,991001643589702656","Catalog Record")</f>
        <v/>
      </c>
      <c r="AT2226">
        <f>HYPERLINK("http://www.worldcat.org/oclc/21038901","WorldCat Record")</f>
        <v/>
      </c>
      <c r="AU2226" t="inlineStr">
        <is>
          <t>1024454956:eng</t>
        </is>
      </c>
      <c r="AV2226" t="inlineStr">
        <is>
          <t>21038901</t>
        </is>
      </c>
      <c r="AW2226" t="inlineStr">
        <is>
          <t>991001643589702656</t>
        </is>
      </c>
      <c r="AX2226" t="inlineStr">
        <is>
          <t>991001643589702656</t>
        </is>
      </c>
      <c r="AY2226" t="inlineStr">
        <is>
          <t>2256582240002656</t>
        </is>
      </c>
      <c r="AZ2226" t="inlineStr">
        <is>
          <t>BOOK</t>
        </is>
      </c>
      <c r="BB2226" t="inlineStr">
        <is>
          <t>9780945586081</t>
        </is>
      </c>
      <c r="BC2226" t="inlineStr">
        <is>
          <t>32285002430113</t>
        </is>
      </c>
      <c r="BD2226" t="inlineStr">
        <is>
          <t>893315907</t>
        </is>
      </c>
    </row>
    <row r="2227">
      <c r="A2227" t="inlineStr">
        <is>
          <t>No</t>
        </is>
      </c>
      <c r="B2227" t="inlineStr">
        <is>
          <t>HQ76.3.U5 D38 1997</t>
        </is>
      </c>
      <c r="C2227" t="inlineStr">
        <is>
          <t>0                      HQ 0076300U  5                  D  38          1997</t>
        </is>
      </c>
      <c r="D2227" t="inlineStr">
        <is>
          <t>A Catholic mother looks at the gay child / Jesse Davis.</t>
        </is>
      </c>
      <c r="F2227" t="inlineStr">
        <is>
          <t>No</t>
        </is>
      </c>
      <c r="G2227" t="inlineStr">
        <is>
          <t>1</t>
        </is>
      </c>
      <c r="H2227" t="inlineStr">
        <is>
          <t>No</t>
        </is>
      </c>
      <c r="I2227" t="inlineStr">
        <is>
          <t>No</t>
        </is>
      </c>
      <c r="J2227" t="inlineStr">
        <is>
          <t>0</t>
        </is>
      </c>
      <c r="K2227" t="inlineStr">
        <is>
          <t>Davis, Jesse.</t>
        </is>
      </c>
      <c r="L2227" t="inlineStr">
        <is>
          <t>Tempe, Ariz. : New Falcon, c1997.</t>
        </is>
      </c>
      <c r="M2227" t="inlineStr">
        <is>
          <t>1997</t>
        </is>
      </c>
      <c r="N2227" t="inlineStr">
        <is>
          <t>1st ed.</t>
        </is>
      </c>
      <c r="O2227" t="inlineStr">
        <is>
          <t>eng</t>
        </is>
      </c>
      <c r="P2227" t="inlineStr">
        <is>
          <t>aru</t>
        </is>
      </c>
      <c r="R2227" t="inlineStr">
        <is>
          <t xml:space="preserve">HQ </t>
        </is>
      </c>
      <c r="S2227" t="n">
        <v>11</v>
      </c>
      <c r="T2227" t="n">
        <v>11</v>
      </c>
      <c r="U2227" t="inlineStr">
        <is>
          <t>1999-11-14</t>
        </is>
      </c>
      <c r="V2227" t="inlineStr">
        <is>
          <t>1999-11-14</t>
        </is>
      </c>
      <c r="W2227" t="inlineStr">
        <is>
          <t>1997-10-17</t>
        </is>
      </c>
      <c r="X2227" t="inlineStr">
        <is>
          <t>1997-10-17</t>
        </is>
      </c>
      <c r="Y2227" t="n">
        <v>28</v>
      </c>
      <c r="Z2227" t="n">
        <v>26</v>
      </c>
      <c r="AA2227" t="n">
        <v>31</v>
      </c>
      <c r="AB2227" t="n">
        <v>2</v>
      </c>
      <c r="AC2227" t="n">
        <v>2</v>
      </c>
      <c r="AD2227" t="n">
        <v>2</v>
      </c>
      <c r="AE2227" t="n">
        <v>2</v>
      </c>
      <c r="AF2227" t="n">
        <v>0</v>
      </c>
      <c r="AG2227" t="n">
        <v>0</v>
      </c>
      <c r="AH2227" t="n">
        <v>0</v>
      </c>
      <c r="AI2227" t="n">
        <v>0</v>
      </c>
      <c r="AJ2227" t="n">
        <v>1</v>
      </c>
      <c r="AK2227" t="n">
        <v>1</v>
      </c>
      <c r="AL2227" t="n">
        <v>1</v>
      </c>
      <c r="AM2227" t="n">
        <v>1</v>
      </c>
      <c r="AN2227" t="n">
        <v>0</v>
      </c>
      <c r="AO2227" t="n">
        <v>0</v>
      </c>
      <c r="AP2227" t="inlineStr">
        <is>
          <t>No</t>
        </is>
      </c>
      <c r="AQ2227" t="inlineStr">
        <is>
          <t>No</t>
        </is>
      </c>
      <c r="AS2227">
        <f>HYPERLINK("https://creighton-primo.hosted.exlibrisgroup.com/primo-explore/search?tab=default_tab&amp;search_scope=EVERYTHING&amp;vid=01CRU&amp;lang=en_US&amp;offset=0&amp;query=any,contains,991002864099702656","Catalog Record")</f>
        <v/>
      </c>
      <c r="AT2227">
        <f>HYPERLINK("http://www.worldcat.org/oclc/37752130","WorldCat Record")</f>
        <v/>
      </c>
      <c r="AU2227" t="inlineStr">
        <is>
          <t>10118723038:eng</t>
        </is>
      </c>
      <c r="AV2227" t="inlineStr">
        <is>
          <t>37752130</t>
        </is>
      </c>
      <c r="AW2227" t="inlineStr">
        <is>
          <t>991002864099702656</t>
        </is>
      </c>
      <c r="AX2227" t="inlineStr">
        <is>
          <t>991002864099702656</t>
        </is>
      </c>
      <c r="AY2227" t="inlineStr">
        <is>
          <t>2271972260002656</t>
        </is>
      </c>
      <c r="AZ2227" t="inlineStr">
        <is>
          <t>BOOK</t>
        </is>
      </c>
      <c r="BB2227" t="inlineStr">
        <is>
          <t>9781561841264</t>
        </is>
      </c>
      <c r="BC2227" t="inlineStr">
        <is>
          <t>32285003265062</t>
        </is>
      </c>
      <c r="BD2227" t="inlineStr">
        <is>
          <t>893698366</t>
        </is>
      </c>
    </row>
    <row r="2228">
      <c r="A2228" t="inlineStr">
        <is>
          <t>No</t>
        </is>
      </c>
      <c r="B2228" t="inlineStr">
        <is>
          <t>HQ76.3.U5 D78 1998</t>
        </is>
      </c>
      <c r="C2228" t="inlineStr">
        <is>
          <t>0                      HQ 0076300U  5                  D  78          1998</t>
        </is>
      </c>
      <c r="D2228" t="inlineStr">
        <is>
          <t>Families of value : gay and lesbian parents and their children speak out / Jane Drucker.</t>
        </is>
      </c>
      <c r="F2228" t="inlineStr">
        <is>
          <t>No</t>
        </is>
      </c>
      <c r="G2228" t="inlineStr">
        <is>
          <t>1</t>
        </is>
      </c>
      <c r="H2228" t="inlineStr">
        <is>
          <t>No</t>
        </is>
      </c>
      <c r="I2228" t="inlineStr">
        <is>
          <t>No</t>
        </is>
      </c>
      <c r="J2228" t="inlineStr">
        <is>
          <t>0</t>
        </is>
      </c>
      <c r="K2228" t="inlineStr">
        <is>
          <t>Drucker, Jane.</t>
        </is>
      </c>
      <c r="L2228" t="inlineStr">
        <is>
          <t>New York : Insight Books, c1998.</t>
        </is>
      </c>
      <c r="M2228" t="inlineStr">
        <is>
          <t>1998</t>
        </is>
      </c>
      <c r="O2228" t="inlineStr">
        <is>
          <t>eng</t>
        </is>
      </c>
      <c r="P2228" t="inlineStr">
        <is>
          <t>nyu</t>
        </is>
      </c>
      <c r="R2228" t="inlineStr">
        <is>
          <t xml:space="preserve">HQ </t>
        </is>
      </c>
      <c r="S2228" t="n">
        <v>7</v>
      </c>
      <c r="T2228" t="n">
        <v>7</v>
      </c>
      <c r="U2228" t="inlineStr">
        <is>
          <t>2005-11-08</t>
        </is>
      </c>
      <c r="V2228" t="inlineStr">
        <is>
          <t>2005-11-08</t>
        </is>
      </c>
      <c r="W2228" t="inlineStr">
        <is>
          <t>1998-08-20</t>
        </is>
      </c>
      <c r="X2228" t="inlineStr">
        <is>
          <t>1998-08-20</t>
        </is>
      </c>
      <c r="Y2228" t="n">
        <v>220</v>
      </c>
      <c r="Z2228" t="n">
        <v>203</v>
      </c>
      <c r="AA2228" t="n">
        <v>210</v>
      </c>
      <c r="AB2228" t="n">
        <v>2</v>
      </c>
      <c r="AC2228" t="n">
        <v>2</v>
      </c>
      <c r="AD2228" t="n">
        <v>10</v>
      </c>
      <c r="AE2228" t="n">
        <v>10</v>
      </c>
      <c r="AF2228" t="n">
        <v>2</v>
      </c>
      <c r="AG2228" t="n">
        <v>2</v>
      </c>
      <c r="AH2228" t="n">
        <v>1</v>
      </c>
      <c r="AI2228" t="n">
        <v>1</v>
      </c>
      <c r="AJ2228" t="n">
        <v>7</v>
      </c>
      <c r="AK2228" t="n">
        <v>7</v>
      </c>
      <c r="AL2228" t="n">
        <v>1</v>
      </c>
      <c r="AM2228" t="n">
        <v>1</v>
      </c>
      <c r="AN2228" t="n">
        <v>1</v>
      </c>
      <c r="AO2228" t="n">
        <v>1</v>
      </c>
      <c r="AP2228" t="inlineStr">
        <is>
          <t>No</t>
        </is>
      </c>
      <c r="AQ2228" t="inlineStr">
        <is>
          <t>Yes</t>
        </is>
      </c>
      <c r="AR2228">
        <f>HYPERLINK("http://catalog.hathitrust.org/Record/007135685","HathiTrust Record")</f>
        <v/>
      </c>
      <c r="AS2228">
        <f>HYPERLINK("https://creighton-primo.hosted.exlibrisgroup.com/primo-explore/search?tab=default_tab&amp;search_scope=EVERYTHING&amp;vid=01CRU&amp;lang=en_US&amp;offset=0&amp;query=any,contains,991002908739702656","Catalog Record")</f>
        <v/>
      </c>
      <c r="AT2228">
        <f>HYPERLINK("http://www.worldcat.org/oclc/38438694","WorldCat Record")</f>
        <v/>
      </c>
      <c r="AU2228" t="inlineStr">
        <is>
          <t>375640286:eng</t>
        </is>
      </c>
      <c r="AV2228" t="inlineStr">
        <is>
          <t>38438694</t>
        </is>
      </c>
      <c r="AW2228" t="inlineStr">
        <is>
          <t>991002908739702656</t>
        </is>
      </c>
      <c r="AX2228" t="inlineStr">
        <is>
          <t>991002908739702656</t>
        </is>
      </c>
      <c r="AY2228" t="inlineStr">
        <is>
          <t>2267027000002656</t>
        </is>
      </c>
      <c r="AZ2228" t="inlineStr">
        <is>
          <t>BOOK</t>
        </is>
      </c>
      <c r="BB2228" t="inlineStr">
        <is>
          <t>9780306458637</t>
        </is>
      </c>
      <c r="BC2228" t="inlineStr">
        <is>
          <t>32285003460846</t>
        </is>
      </c>
      <c r="BD2228" t="inlineStr">
        <is>
          <t>893698419</t>
        </is>
      </c>
    </row>
    <row r="2229">
      <c r="A2229" t="inlineStr">
        <is>
          <t>No</t>
        </is>
      </c>
      <c r="B2229" t="inlineStr">
        <is>
          <t>HQ76.3.U5 F33 1979</t>
        </is>
      </c>
      <c r="C2229" t="inlineStr">
        <is>
          <t>0                      HQ 0076300U  5                  F  33          1979</t>
        </is>
      </c>
      <c r="D2229" t="inlineStr">
        <is>
          <t>Now that you know : what every parent should know about homosexuality / Betty Fairchild &amp; Nancy Hayward.</t>
        </is>
      </c>
      <c r="F2229" t="inlineStr">
        <is>
          <t>No</t>
        </is>
      </c>
      <c r="G2229" t="inlineStr">
        <is>
          <t>1</t>
        </is>
      </c>
      <c r="H2229" t="inlineStr">
        <is>
          <t>No</t>
        </is>
      </c>
      <c r="I2229" t="inlineStr">
        <is>
          <t>Yes</t>
        </is>
      </c>
      <c r="J2229" t="inlineStr">
        <is>
          <t>0</t>
        </is>
      </c>
      <c r="K2229" t="inlineStr">
        <is>
          <t>Fairchild, Betty.</t>
        </is>
      </c>
      <c r="L2229" t="inlineStr">
        <is>
          <t>New York : Harcourt Brace Jovanovich, c1979.</t>
        </is>
      </c>
      <c r="M2229" t="inlineStr">
        <is>
          <t>1981</t>
        </is>
      </c>
      <c r="N2229" t="inlineStr">
        <is>
          <t>1st Harvard/HBJ ed.</t>
        </is>
      </c>
      <c r="O2229" t="inlineStr">
        <is>
          <t>eng</t>
        </is>
      </c>
      <c r="P2229" t="inlineStr">
        <is>
          <t>nyu</t>
        </is>
      </c>
      <c r="R2229" t="inlineStr">
        <is>
          <t xml:space="preserve">HQ </t>
        </is>
      </c>
      <c r="S2229" t="n">
        <v>12</v>
      </c>
      <c r="T2229" t="n">
        <v>12</v>
      </c>
      <c r="U2229" t="inlineStr">
        <is>
          <t>1995-10-07</t>
        </is>
      </c>
      <c r="V2229" t="inlineStr">
        <is>
          <t>1995-10-07</t>
        </is>
      </c>
      <c r="W2229" t="inlineStr">
        <is>
          <t>1993-06-24</t>
        </is>
      </c>
      <c r="X2229" t="inlineStr">
        <is>
          <t>1993-06-24</t>
        </is>
      </c>
      <c r="Y2229" t="n">
        <v>33</v>
      </c>
      <c r="Z2229" t="n">
        <v>32</v>
      </c>
      <c r="AA2229" t="n">
        <v>650</v>
      </c>
      <c r="AB2229" t="n">
        <v>2</v>
      </c>
      <c r="AC2229" t="n">
        <v>6</v>
      </c>
      <c r="AD2229" t="n">
        <v>1</v>
      </c>
      <c r="AE2229" t="n">
        <v>12</v>
      </c>
      <c r="AF2229" t="n">
        <v>0</v>
      </c>
      <c r="AG2229" t="n">
        <v>2</v>
      </c>
      <c r="AH2229" t="n">
        <v>0</v>
      </c>
      <c r="AI2229" t="n">
        <v>2</v>
      </c>
      <c r="AJ2229" t="n">
        <v>0</v>
      </c>
      <c r="AK2229" t="n">
        <v>5</v>
      </c>
      <c r="AL2229" t="n">
        <v>1</v>
      </c>
      <c r="AM2229" t="n">
        <v>3</v>
      </c>
      <c r="AN2229" t="n">
        <v>0</v>
      </c>
      <c r="AO2229" t="n">
        <v>0</v>
      </c>
      <c r="AP2229" t="inlineStr">
        <is>
          <t>No</t>
        </is>
      </c>
      <c r="AQ2229" t="inlineStr">
        <is>
          <t>No</t>
        </is>
      </c>
      <c r="AS2229">
        <f>HYPERLINK("https://creighton-primo.hosted.exlibrisgroup.com/primo-explore/search?tab=default_tab&amp;search_scope=EVERYTHING&amp;vid=01CRU&amp;lang=en_US&amp;offset=0&amp;query=any,contains,991000050289702656","Catalog Record")</f>
        <v/>
      </c>
      <c r="AT2229">
        <f>HYPERLINK("http://www.worldcat.org/oclc/8072291","WorldCat Record")</f>
        <v/>
      </c>
      <c r="AU2229" t="inlineStr">
        <is>
          <t>5077358:eng</t>
        </is>
      </c>
      <c r="AV2229" t="inlineStr">
        <is>
          <t>8072291</t>
        </is>
      </c>
      <c r="AW2229" t="inlineStr">
        <is>
          <t>991000050289702656</t>
        </is>
      </c>
      <c r="AX2229" t="inlineStr">
        <is>
          <t>991000050289702656</t>
        </is>
      </c>
      <c r="AY2229" t="inlineStr">
        <is>
          <t>2268845390002656</t>
        </is>
      </c>
      <c r="AZ2229" t="inlineStr">
        <is>
          <t>BOOK</t>
        </is>
      </c>
      <c r="BB2229" t="inlineStr">
        <is>
          <t>9780156677028</t>
        </is>
      </c>
      <c r="BC2229" t="inlineStr">
        <is>
          <t>32285001731925</t>
        </is>
      </c>
      <c r="BD2229" t="inlineStr">
        <is>
          <t>893595216</t>
        </is>
      </c>
    </row>
    <row r="2230">
      <c r="A2230" t="inlineStr">
        <is>
          <t>No</t>
        </is>
      </c>
      <c r="B2230" t="inlineStr">
        <is>
          <t>HQ76.3.U5 F67 1992</t>
        </is>
      </c>
      <c r="C2230" t="inlineStr">
        <is>
          <t>0                      HQ 0076300U  5                  F  67          1992</t>
        </is>
      </c>
      <c r="D2230" t="inlineStr">
        <is>
          <t>Forms of desire : sexual orientation and the social constructionist controversy / edited by Edward Stein.</t>
        </is>
      </c>
      <c r="F2230" t="inlineStr">
        <is>
          <t>No</t>
        </is>
      </c>
      <c r="G2230" t="inlineStr">
        <is>
          <t>1</t>
        </is>
      </c>
      <c r="H2230" t="inlineStr">
        <is>
          <t>No</t>
        </is>
      </c>
      <c r="I2230" t="inlineStr">
        <is>
          <t>No</t>
        </is>
      </c>
      <c r="J2230" t="inlineStr">
        <is>
          <t>0</t>
        </is>
      </c>
      <c r="L2230" t="inlineStr">
        <is>
          <t>New York : Routledge, 1992.</t>
        </is>
      </c>
      <c r="M2230" t="inlineStr">
        <is>
          <t>1992</t>
        </is>
      </c>
      <c r="O2230" t="inlineStr">
        <is>
          <t>eng</t>
        </is>
      </c>
      <c r="P2230" t="inlineStr">
        <is>
          <t>nyu</t>
        </is>
      </c>
      <c r="R2230" t="inlineStr">
        <is>
          <t xml:space="preserve">HQ </t>
        </is>
      </c>
      <c r="S2230" t="n">
        <v>14</v>
      </c>
      <c r="T2230" t="n">
        <v>14</v>
      </c>
      <c r="U2230" t="inlineStr">
        <is>
          <t>1996-12-13</t>
        </is>
      </c>
      <c r="V2230" t="inlineStr">
        <is>
          <t>1996-12-13</t>
        </is>
      </c>
      <c r="W2230" t="inlineStr">
        <is>
          <t>1994-01-05</t>
        </is>
      </c>
      <c r="X2230" t="inlineStr">
        <is>
          <t>1994-01-05</t>
        </is>
      </c>
      <c r="Y2230" t="n">
        <v>337</v>
      </c>
      <c r="Z2230" t="n">
        <v>205</v>
      </c>
      <c r="AA2230" t="n">
        <v>411</v>
      </c>
      <c r="AB2230" t="n">
        <v>1</v>
      </c>
      <c r="AC2230" t="n">
        <v>2</v>
      </c>
      <c r="AD2230" t="n">
        <v>11</v>
      </c>
      <c r="AE2230" t="n">
        <v>19</v>
      </c>
      <c r="AF2230" t="n">
        <v>5</v>
      </c>
      <c r="AG2230" t="n">
        <v>7</v>
      </c>
      <c r="AH2230" t="n">
        <v>3</v>
      </c>
      <c r="AI2230" t="n">
        <v>6</v>
      </c>
      <c r="AJ2230" t="n">
        <v>5</v>
      </c>
      <c r="AK2230" t="n">
        <v>8</v>
      </c>
      <c r="AL2230" t="n">
        <v>0</v>
      </c>
      <c r="AM2230" t="n">
        <v>1</v>
      </c>
      <c r="AN2230" t="n">
        <v>0</v>
      </c>
      <c r="AO2230" t="n">
        <v>0</v>
      </c>
      <c r="AP2230" t="inlineStr">
        <is>
          <t>No</t>
        </is>
      </c>
      <c r="AQ2230" t="inlineStr">
        <is>
          <t>No</t>
        </is>
      </c>
      <c r="AS2230">
        <f>HYPERLINK("https://creighton-primo.hosted.exlibrisgroup.com/primo-explore/search?tab=default_tab&amp;search_scope=EVERYTHING&amp;vid=01CRU&amp;lang=en_US&amp;offset=0&amp;query=any,contains,991001945479702656","Catalog Record")</f>
        <v/>
      </c>
      <c r="AT2230">
        <f>HYPERLINK("http://www.worldcat.org/oclc/24589793","WorldCat Record")</f>
        <v/>
      </c>
      <c r="AU2230" t="inlineStr">
        <is>
          <t>143814455:eng</t>
        </is>
      </c>
      <c r="AV2230" t="inlineStr">
        <is>
          <t>24589793</t>
        </is>
      </c>
      <c r="AW2230" t="inlineStr">
        <is>
          <t>991001945479702656</t>
        </is>
      </c>
      <c r="AX2230" t="inlineStr">
        <is>
          <t>991001945479702656</t>
        </is>
      </c>
      <c r="AY2230" t="inlineStr">
        <is>
          <t>2255466470002656</t>
        </is>
      </c>
      <c r="AZ2230" t="inlineStr">
        <is>
          <t>BOOK</t>
        </is>
      </c>
      <c r="BB2230" t="inlineStr">
        <is>
          <t>9780415904858</t>
        </is>
      </c>
      <c r="BC2230" t="inlineStr">
        <is>
          <t>32285001819332</t>
        </is>
      </c>
      <c r="BD2230" t="inlineStr">
        <is>
          <t>893316193</t>
        </is>
      </c>
    </row>
    <row r="2231">
      <c r="A2231" t="inlineStr">
        <is>
          <t>No</t>
        </is>
      </c>
      <c r="B2231" t="inlineStr">
        <is>
          <t>HQ76.3.U5 F74 1981</t>
        </is>
      </c>
      <c r="C2231" t="inlineStr">
        <is>
          <t>0                      HQ 0076300U  5                  F  74          1981</t>
        </is>
      </c>
      <c r="D2231" t="inlineStr">
        <is>
          <t>Reflections of a rock lobster : a story about growing up gay / by Aaron Fricke.</t>
        </is>
      </c>
      <c r="F2231" t="inlineStr">
        <is>
          <t>No</t>
        </is>
      </c>
      <c r="G2231" t="inlineStr">
        <is>
          <t>1</t>
        </is>
      </c>
      <c r="H2231" t="inlineStr">
        <is>
          <t>No</t>
        </is>
      </c>
      <c r="I2231" t="inlineStr">
        <is>
          <t>No</t>
        </is>
      </c>
      <c r="J2231" t="inlineStr">
        <is>
          <t>0</t>
        </is>
      </c>
      <c r="K2231" t="inlineStr">
        <is>
          <t>Fricke, Aaron.</t>
        </is>
      </c>
      <c r="L2231" t="inlineStr">
        <is>
          <t>Boston : Alyson Publications, 1981.</t>
        </is>
      </c>
      <c r="M2231" t="inlineStr">
        <is>
          <t>1981</t>
        </is>
      </c>
      <c r="O2231" t="inlineStr">
        <is>
          <t>eng</t>
        </is>
      </c>
      <c r="P2231" t="inlineStr">
        <is>
          <t>mau</t>
        </is>
      </c>
      <c r="R2231" t="inlineStr">
        <is>
          <t xml:space="preserve">HQ </t>
        </is>
      </c>
      <c r="S2231" t="n">
        <v>8</v>
      </c>
      <c r="T2231" t="n">
        <v>8</v>
      </c>
      <c r="U2231" t="inlineStr">
        <is>
          <t>2006-11-21</t>
        </is>
      </c>
      <c r="V2231" t="inlineStr">
        <is>
          <t>2006-11-21</t>
        </is>
      </c>
      <c r="W2231" t="inlineStr">
        <is>
          <t>1990-01-23</t>
        </is>
      </c>
      <c r="X2231" t="inlineStr">
        <is>
          <t>1990-01-23</t>
        </is>
      </c>
      <c r="Y2231" t="n">
        <v>311</v>
      </c>
      <c r="Z2231" t="n">
        <v>279</v>
      </c>
      <c r="AA2231" t="n">
        <v>330</v>
      </c>
      <c r="AB2231" t="n">
        <v>4</v>
      </c>
      <c r="AC2231" t="n">
        <v>4</v>
      </c>
      <c r="AD2231" t="n">
        <v>9</v>
      </c>
      <c r="AE2231" t="n">
        <v>11</v>
      </c>
      <c r="AF2231" t="n">
        <v>3</v>
      </c>
      <c r="AG2231" t="n">
        <v>4</v>
      </c>
      <c r="AH2231" t="n">
        <v>1</v>
      </c>
      <c r="AI2231" t="n">
        <v>2</v>
      </c>
      <c r="AJ2231" t="n">
        <v>2</v>
      </c>
      <c r="AK2231" t="n">
        <v>2</v>
      </c>
      <c r="AL2231" t="n">
        <v>3</v>
      </c>
      <c r="AM2231" t="n">
        <v>3</v>
      </c>
      <c r="AN2231" t="n">
        <v>0</v>
      </c>
      <c r="AO2231" t="n">
        <v>0</v>
      </c>
      <c r="AP2231" t="inlineStr">
        <is>
          <t>No</t>
        </is>
      </c>
      <c r="AQ2231" t="inlineStr">
        <is>
          <t>Yes</t>
        </is>
      </c>
      <c r="AR2231">
        <f>HYPERLINK("http://catalog.hathitrust.org/Record/000196539","HathiTrust Record")</f>
        <v/>
      </c>
      <c r="AS2231">
        <f>HYPERLINK("https://creighton-primo.hosted.exlibrisgroup.com/primo-explore/search?tab=default_tab&amp;search_scope=EVERYTHING&amp;vid=01CRU&amp;lang=en_US&amp;offset=0&amp;query=any,contains,991005148369702656","Catalog Record")</f>
        <v/>
      </c>
      <c r="AT2231">
        <f>HYPERLINK("http://www.worldcat.org/oclc/7675638","WorldCat Record")</f>
        <v/>
      </c>
      <c r="AU2231" t="inlineStr">
        <is>
          <t>28844452:eng</t>
        </is>
      </c>
      <c r="AV2231" t="inlineStr">
        <is>
          <t>7675638</t>
        </is>
      </c>
      <c r="AW2231" t="inlineStr">
        <is>
          <t>991005148369702656</t>
        </is>
      </c>
      <c r="AX2231" t="inlineStr">
        <is>
          <t>991005148369702656</t>
        </is>
      </c>
      <c r="AY2231" t="inlineStr">
        <is>
          <t>2259592430002656</t>
        </is>
      </c>
      <c r="AZ2231" t="inlineStr">
        <is>
          <t>BOOK</t>
        </is>
      </c>
      <c r="BB2231" t="inlineStr">
        <is>
          <t>9780932870094</t>
        </is>
      </c>
      <c r="BC2231" t="inlineStr">
        <is>
          <t>32285000035229</t>
        </is>
      </c>
      <c r="BD2231" t="inlineStr">
        <is>
          <t>893801819</t>
        </is>
      </c>
    </row>
    <row r="2232">
      <c r="A2232" t="inlineStr">
        <is>
          <t>No</t>
        </is>
      </c>
      <c r="B2232" t="inlineStr">
        <is>
          <t>HQ76.3.U5 G387 1998</t>
        </is>
      </c>
      <c r="C2232" t="inlineStr">
        <is>
          <t>0                      HQ 0076300U  5                  G  387         1998</t>
        </is>
      </c>
      <c r="D2232" t="inlineStr">
        <is>
          <t>Gay marriage / Tamara L. Roleff, book editor.</t>
        </is>
      </c>
      <c r="F2232" t="inlineStr">
        <is>
          <t>No</t>
        </is>
      </c>
      <c r="G2232" t="inlineStr">
        <is>
          <t>1</t>
        </is>
      </c>
      <c r="H2232" t="inlineStr">
        <is>
          <t>No</t>
        </is>
      </c>
      <c r="I2232" t="inlineStr">
        <is>
          <t>No</t>
        </is>
      </c>
      <c r="J2232" t="inlineStr">
        <is>
          <t>0</t>
        </is>
      </c>
      <c r="L2232" t="inlineStr">
        <is>
          <t>San Diego, Calif. : Greenhaven Press, c1998.</t>
        </is>
      </c>
      <c r="M2232" t="inlineStr">
        <is>
          <t>1998</t>
        </is>
      </c>
      <c r="O2232" t="inlineStr">
        <is>
          <t>eng</t>
        </is>
      </c>
      <c r="P2232" t="inlineStr">
        <is>
          <t>cau</t>
        </is>
      </c>
      <c r="Q2232" t="inlineStr">
        <is>
          <t>At issue</t>
        </is>
      </c>
      <c r="R2232" t="inlineStr">
        <is>
          <t xml:space="preserve">HQ </t>
        </is>
      </c>
      <c r="S2232" t="n">
        <v>30</v>
      </c>
      <c r="T2232" t="n">
        <v>30</v>
      </c>
      <c r="U2232" t="inlineStr">
        <is>
          <t>2009-06-15</t>
        </is>
      </c>
      <c r="V2232" t="inlineStr">
        <is>
          <t>2009-06-15</t>
        </is>
      </c>
      <c r="W2232" t="inlineStr">
        <is>
          <t>1999-11-11</t>
        </is>
      </c>
      <c r="X2232" t="inlineStr">
        <is>
          <t>1999-11-11</t>
        </is>
      </c>
      <c r="Y2232" t="n">
        <v>530</v>
      </c>
      <c r="Z2232" t="n">
        <v>506</v>
      </c>
      <c r="AA2232" t="n">
        <v>584</v>
      </c>
      <c r="AB2232" t="n">
        <v>3</v>
      </c>
      <c r="AC2232" t="n">
        <v>3</v>
      </c>
      <c r="AD2232" t="n">
        <v>5</v>
      </c>
      <c r="AE2232" t="n">
        <v>6</v>
      </c>
      <c r="AF2232" t="n">
        <v>3</v>
      </c>
      <c r="AG2232" t="n">
        <v>3</v>
      </c>
      <c r="AH2232" t="n">
        <v>0</v>
      </c>
      <c r="AI2232" t="n">
        <v>1</v>
      </c>
      <c r="AJ2232" t="n">
        <v>2</v>
      </c>
      <c r="AK2232" t="n">
        <v>3</v>
      </c>
      <c r="AL2232" t="n">
        <v>0</v>
      </c>
      <c r="AM2232" t="n">
        <v>0</v>
      </c>
      <c r="AN2232" t="n">
        <v>0</v>
      </c>
      <c r="AO2232" t="n">
        <v>0</v>
      </c>
      <c r="AP2232" t="inlineStr">
        <is>
          <t>No</t>
        </is>
      </c>
      <c r="AQ2232" t="inlineStr">
        <is>
          <t>No</t>
        </is>
      </c>
      <c r="AS2232">
        <f>HYPERLINK("https://creighton-primo.hosted.exlibrisgroup.com/primo-explore/search?tab=default_tab&amp;search_scope=EVERYTHING&amp;vid=01CRU&amp;lang=en_US&amp;offset=0&amp;query=any,contains,991002831979702656","Catalog Record")</f>
        <v/>
      </c>
      <c r="AT2232">
        <f>HYPERLINK("http://www.worldcat.org/oclc/37300617","WorldCat Record")</f>
        <v/>
      </c>
      <c r="AU2232" t="inlineStr">
        <is>
          <t>56195352:eng</t>
        </is>
      </c>
      <c r="AV2232" t="inlineStr">
        <is>
          <t>37300617</t>
        </is>
      </c>
      <c r="AW2232" t="inlineStr">
        <is>
          <t>991002831979702656</t>
        </is>
      </c>
      <c r="AX2232" t="inlineStr">
        <is>
          <t>991002831979702656</t>
        </is>
      </c>
      <c r="AY2232" t="inlineStr">
        <is>
          <t>2259400880002656</t>
        </is>
      </c>
      <c r="AZ2232" t="inlineStr">
        <is>
          <t>BOOK</t>
        </is>
      </c>
      <c r="BB2232" t="inlineStr">
        <is>
          <t>9781565106925</t>
        </is>
      </c>
      <c r="BC2232" t="inlineStr">
        <is>
          <t>32285003563896</t>
        </is>
      </c>
      <c r="BD2232" t="inlineStr">
        <is>
          <t>893780280</t>
        </is>
      </c>
    </row>
    <row r="2233">
      <c r="A2233" t="inlineStr">
        <is>
          <t>No</t>
        </is>
      </c>
      <c r="B2233" t="inlineStr">
        <is>
          <t>HQ76.3.U5 G45 1996</t>
        </is>
      </c>
      <c r="C2233" t="inlineStr">
        <is>
          <t>0                      HQ 0076300U  5                  G  45          1996</t>
        </is>
      </c>
      <c r="D2233" t="inlineStr">
        <is>
          <t>Generation Q : gays, lesbians, and bisexuals born around 1969's Stonewall riots tell their stories of growing up in the age of information / edited by Robin Bernstein and Seth Clark Silberman.</t>
        </is>
      </c>
      <c r="F2233" t="inlineStr">
        <is>
          <t>No</t>
        </is>
      </c>
      <c r="G2233" t="inlineStr">
        <is>
          <t>1</t>
        </is>
      </c>
      <c r="H2233" t="inlineStr">
        <is>
          <t>No</t>
        </is>
      </c>
      <c r="I2233" t="inlineStr">
        <is>
          <t>No</t>
        </is>
      </c>
      <c r="J2233" t="inlineStr">
        <is>
          <t>0</t>
        </is>
      </c>
      <c r="L2233" t="inlineStr">
        <is>
          <t>Los Angeles : Alyson Publications, 1996.</t>
        </is>
      </c>
      <c r="M2233" t="inlineStr">
        <is>
          <t>1996</t>
        </is>
      </c>
      <c r="N2233" t="inlineStr">
        <is>
          <t>1st ed.</t>
        </is>
      </c>
      <c r="O2233" t="inlineStr">
        <is>
          <t>eng</t>
        </is>
      </c>
      <c r="P2233" t="inlineStr">
        <is>
          <t>cau</t>
        </is>
      </c>
      <c r="R2233" t="inlineStr">
        <is>
          <t xml:space="preserve">HQ </t>
        </is>
      </c>
      <c r="S2233" t="n">
        <v>7</v>
      </c>
      <c r="T2233" t="n">
        <v>7</v>
      </c>
      <c r="U2233" t="inlineStr">
        <is>
          <t>2000-03-27</t>
        </is>
      </c>
      <c r="V2233" t="inlineStr">
        <is>
          <t>2000-03-27</t>
        </is>
      </c>
      <c r="W2233" t="inlineStr">
        <is>
          <t>1996-10-01</t>
        </is>
      </c>
      <c r="X2233" t="inlineStr">
        <is>
          <t>1996-10-01</t>
        </is>
      </c>
      <c r="Y2233" t="n">
        <v>150</v>
      </c>
      <c r="Z2233" t="n">
        <v>134</v>
      </c>
      <c r="AA2233" t="n">
        <v>140</v>
      </c>
      <c r="AB2233" t="n">
        <v>2</v>
      </c>
      <c r="AC2233" t="n">
        <v>2</v>
      </c>
      <c r="AD2233" t="n">
        <v>6</v>
      </c>
      <c r="AE2233" t="n">
        <v>6</v>
      </c>
      <c r="AF2233" t="n">
        <v>0</v>
      </c>
      <c r="AG2233" t="n">
        <v>0</v>
      </c>
      <c r="AH2233" t="n">
        <v>2</v>
      </c>
      <c r="AI2233" t="n">
        <v>2</v>
      </c>
      <c r="AJ2233" t="n">
        <v>4</v>
      </c>
      <c r="AK2233" t="n">
        <v>4</v>
      </c>
      <c r="AL2233" t="n">
        <v>1</v>
      </c>
      <c r="AM2233" t="n">
        <v>1</v>
      </c>
      <c r="AN2233" t="n">
        <v>0</v>
      </c>
      <c r="AO2233" t="n">
        <v>0</v>
      </c>
      <c r="AP2233" t="inlineStr">
        <is>
          <t>No</t>
        </is>
      </c>
      <c r="AQ2233" t="inlineStr">
        <is>
          <t>No</t>
        </is>
      </c>
      <c r="AS2233">
        <f>HYPERLINK("https://creighton-primo.hosted.exlibrisgroup.com/primo-explore/search?tab=default_tab&amp;search_scope=EVERYTHING&amp;vid=01CRU&amp;lang=en_US&amp;offset=0&amp;query=any,contains,991002682549702656","Catalog Record")</f>
        <v/>
      </c>
      <c r="AT2233">
        <f>HYPERLINK("http://www.worldcat.org/oclc/35049556","WorldCat Record")</f>
        <v/>
      </c>
      <c r="AU2233" t="inlineStr">
        <is>
          <t>41155475:eng</t>
        </is>
      </c>
      <c r="AV2233" t="inlineStr">
        <is>
          <t>35049556</t>
        </is>
      </c>
      <c r="AW2233" t="inlineStr">
        <is>
          <t>991002682549702656</t>
        </is>
      </c>
      <c r="AX2233" t="inlineStr">
        <is>
          <t>991002682549702656</t>
        </is>
      </c>
      <c r="AY2233" t="inlineStr">
        <is>
          <t>2271097510002656</t>
        </is>
      </c>
      <c r="AZ2233" t="inlineStr">
        <is>
          <t>BOOK</t>
        </is>
      </c>
      <c r="BB2233" t="inlineStr">
        <is>
          <t>9781555833565</t>
        </is>
      </c>
      <c r="BC2233" t="inlineStr">
        <is>
          <t>32285002321544</t>
        </is>
      </c>
      <c r="BD2233" t="inlineStr">
        <is>
          <t>893616425</t>
        </is>
      </c>
    </row>
    <row r="2234">
      <c r="A2234" t="inlineStr">
        <is>
          <t>No</t>
        </is>
      </c>
      <c r="B2234" t="inlineStr">
        <is>
          <t>HQ76.3.U5 G73 1999</t>
        </is>
      </c>
      <c r="C2234" t="inlineStr">
        <is>
          <t>0                      HQ 0076300U  5                  G  73          1999</t>
        </is>
      </c>
      <c r="D2234" t="inlineStr">
        <is>
          <t>In your face : stories from the lives of queer youth / Mary L. Gray.</t>
        </is>
      </c>
      <c r="F2234" t="inlineStr">
        <is>
          <t>No</t>
        </is>
      </c>
      <c r="G2234" t="inlineStr">
        <is>
          <t>1</t>
        </is>
      </c>
      <c r="H2234" t="inlineStr">
        <is>
          <t>No</t>
        </is>
      </c>
      <c r="I2234" t="inlineStr">
        <is>
          <t>No</t>
        </is>
      </c>
      <c r="J2234" t="inlineStr">
        <is>
          <t>0</t>
        </is>
      </c>
      <c r="K2234" t="inlineStr">
        <is>
          <t>Gray, Mary L.</t>
        </is>
      </c>
      <c r="L2234" t="inlineStr">
        <is>
          <t>New York : Haworth Press, c1999.</t>
        </is>
      </c>
      <c r="M2234" t="inlineStr">
        <is>
          <t>1999</t>
        </is>
      </c>
      <c r="O2234" t="inlineStr">
        <is>
          <t>eng</t>
        </is>
      </c>
      <c r="P2234" t="inlineStr">
        <is>
          <t>nyu</t>
        </is>
      </c>
      <c r="Q2234" t="inlineStr">
        <is>
          <t>Haworth gay &amp; lesbian studies</t>
        </is>
      </c>
      <c r="R2234" t="inlineStr">
        <is>
          <t xml:space="preserve">HQ </t>
        </is>
      </c>
      <c r="S2234" t="n">
        <v>2</v>
      </c>
      <c r="T2234" t="n">
        <v>2</v>
      </c>
      <c r="U2234" t="inlineStr">
        <is>
          <t>2004-06-06</t>
        </is>
      </c>
      <c r="V2234" t="inlineStr">
        <is>
          <t>2004-06-06</t>
        </is>
      </c>
      <c r="W2234" t="inlineStr">
        <is>
          <t>1999-12-13</t>
        </is>
      </c>
      <c r="X2234" t="inlineStr">
        <is>
          <t>1999-12-13</t>
        </is>
      </c>
      <c r="Y2234" t="n">
        <v>326</v>
      </c>
      <c r="Z2234" t="n">
        <v>300</v>
      </c>
      <c r="AA2234" t="n">
        <v>337</v>
      </c>
      <c r="AB2234" t="n">
        <v>4</v>
      </c>
      <c r="AC2234" t="n">
        <v>4</v>
      </c>
      <c r="AD2234" t="n">
        <v>11</v>
      </c>
      <c r="AE2234" t="n">
        <v>11</v>
      </c>
      <c r="AF2234" t="n">
        <v>2</v>
      </c>
      <c r="AG2234" t="n">
        <v>2</v>
      </c>
      <c r="AH2234" t="n">
        <v>4</v>
      </c>
      <c r="AI2234" t="n">
        <v>4</v>
      </c>
      <c r="AJ2234" t="n">
        <v>6</v>
      </c>
      <c r="AK2234" t="n">
        <v>6</v>
      </c>
      <c r="AL2234" t="n">
        <v>2</v>
      </c>
      <c r="AM2234" t="n">
        <v>2</v>
      </c>
      <c r="AN2234" t="n">
        <v>0</v>
      </c>
      <c r="AO2234" t="n">
        <v>0</v>
      </c>
      <c r="AP2234" t="inlineStr">
        <is>
          <t>No</t>
        </is>
      </c>
      <c r="AQ2234" t="inlineStr">
        <is>
          <t>Yes</t>
        </is>
      </c>
      <c r="AR2234">
        <f>HYPERLINK("http://catalog.hathitrust.org/Record/004030545","HathiTrust Record")</f>
        <v/>
      </c>
      <c r="AS2234">
        <f>HYPERLINK("https://creighton-primo.hosted.exlibrisgroup.com/primo-explore/search?tab=default_tab&amp;search_scope=EVERYTHING&amp;vid=01CRU&amp;lang=en_US&amp;offset=0&amp;query=any,contains,991002979559702656","Catalog Record")</f>
        <v/>
      </c>
      <c r="AT2234">
        <f>HYPERLINK("http://www.worldcat.org/oclc/40052417","WorldCat Record")</f>
        <v/>
      </c>
      <c r="AU2234" t="inlineStr">
        <is>
          <t>2745240:eng</t>
        </is>
      </c>
      <c r="AV2234" t="inlineStr">
        <is>
          <t>40052417</t>
        </is>
      </c>
      <c r="AW2234" t="inlineStr">
        <is>
          <t>991002979559702656</t>
        </is>
      </c>
      <c r="AX2234" t="inlineStr">
        <is>
          <t>991002979559702656</t>
        </is>
      </c>
      <c r="AY2234" t="inlineStr">
        <is>
          <t>2261643390002656</t>
        </is>
      </c>
      <c r="AZ2234" t="inlineStr">
        <is>
          <t>BOOK</t>
        </is>
      </c>
      <c r="BB2234" t="inlineStr">
        <is>
          <t>9780789000767</t>
        </is>
      </c>
      <c r="BC2234" t="inlineStr">
        <is>
          <t>32285003632592</t>
        </is>
      </c>
      <c r="BD2234" t="inlineStr">
        <is>
          <t>893530718</t>
        </is>
      </c>
    </row>
    <row r="2235">
      <c r="A2235" t="inlineStr">
        <is>
          <t>No</t>
        </is>
      </c>
      <c r="B2235" t="inlineStr">
        <is>
          <t>HQ76.3.U5 G75 1990</t>
        </is>
      </c>
      <c r="C2235" t="inlineStr">
        <is>
          <t>0                      HQ 0076300U  5                  G  75          1990</t>
        </is>
      </c>
      <c r="D2235" t="inlineStr">
        <is>
          <t>Beyond acceptance : parents of lesbians and gays talk about their experiences / Carolyn Welch Griffin, Marian J. Wirth, Arthur G. Wirth.</t>
        </is>
      </c>
      <c r="F2235" t="inlineStr">
        <is>
          <t>No</t>
        </is>
      </c>
      <c r="G2235" t="inlineStr">
        <is>
          <t>1</t>
        </is>
      </c>
      <c r="H2235" t="inlineStr">
        <is>
          <t>No</t>
        </is>
      </c>
      <c r="I2235" t="inlineStr">
        <is>
          <t>No</t>
        </is>
      </c>
      <c r="J2235" t="inlineStr">
        <is>
          <t>0</t>
        </is>
      </c>
      <c r="K2235" t="inlineStr">
        <is>
          <t>Griffin, Carolyn Welch, 1934-</t>
        </is>
      </c>
      <c r="L2235" t="inlineStr">
        <is>
          <t>New York : St. Martin's Press, [1990]</t>
        </is>
      </c>
      <c r="M2235" t="inlineStr">
        <is>
          <t>1990</t>
        </is>
      </c>
      <c r="O2235" t="inlineStr">
        <is>
          <t>eng</t>
        </is>
      </c>
      <c r="P2235" t="inlineStr">
        <is>
          <t>nyu</t>
        </is>
      </c>
      <c r="R2235" t="inlineStr">
        <is>
          <t xml:space="preserve">HQ </t>
        </is>
      </c>
      <c r="S2235" t="n">
        <v>2</v>
      </c>
      <c r="T2235" t="n">
        <v>2</v>
      </c>
      <c r="U2235" t="inlineStr">
        <is>
          <t>1997-01-29</t>
        </is>
      </c>
      <c r="V2235" t="inlineStr">
        <is>
          <t>1997-01-29</t>
        </is>
      </c>
      <c r="W2235" t="inlineStr">
        <is>
          <t>1996-03-15</t>
        </is>
      </c>
      <c r="X2235" t="inlineStr">
        <is>
          <t>1996-03-15</t>
        </is>
      </c>
      <c r="Y2235" t="n">
        <v>199</v>
      </c>
      <c r="Z2235" t="n">
        <v>173</v>
      </c>
      <c r="AA2235" t="n">
        <v>822</v>
      </c>
      <c r="AB2235" t="n">
        <v>1</v>
      </c>
      <c r="AC2235" t="n">
        <v>7</v>
      </c>
      <c r="AD2235" t="n">
        <v>6</v>
      </c>
      <c r="AE2235" t="n">
        <v>14</v>
      </c>
      <c r="AF2235" t="n">
        <v>2</v>
      </c>
      <c r="AG2235" t="n">
        <v>4</v>
      </c>
      <c r="AH2235" t="n">
        <v>2</v>
      </c>
      <c r="AI2235" t="n">
        <v>2</v>
      </c>
      <c r="AJ2235" t="n">
        <v>4</v>
      </c>
      <c r="AK2235" t="n">
        <v>9</v>
      </c>
      <c r="AL2235" t="n">
        <v>0</v>
      </c>
      <c r="AM2235" t="n">
        <v>2</v>
      </c>
      <c r="AN2235" t="n">
        <v>0</v>
      </c>
      <c r="AO2235" t="n">
        <v>0</v>
      </c>
      <c r="AP2235" t="inlineStr">
        <is>
          <t>No</t>
        </is>
      </c>
      <c r="AQ2235" t="inlineStr">
        <is>
          <t>No</t>
        </is>
      </c>
      <c r="AS2235">
        <f>HYPERLINK("https://creighton-primo.hosted.exlibrisgroup.com/primo-explore/search?tab=default_tab&amp;search_scope=EVERYTHING&amp;vid=01CRU&amp;lang=en_US&amp;offset=0&amp;query=any,contains,991001704209702656","Catalog Record")</f>
        <v/>
      </c>
      <c r="AT2235">
        <f>HYPERLINK("http://www.worldcat.org/oclc/21558903","WorldCat Record")</f>
        <v/>
      </c>
      <c r="AU2235" t="inlineStr">
        <is>
          <t>608882:eng</t>
        </is>
      </c>
      <c r="AV2235" t="inlineStr">
        <is>
          <t>21558903</t>
        </is>
      </c>
      <c r="AW2235" t="inlineStr">
        <is>
          <t>991001704209702656</t>
        </is>
      </c>
      <c r="AX2235" t="inlineStr">
        <is>
          <t>991001704209702656</t>
        </is>
      </c>
      <c r="AY2235" t="inlineStr">
        <is>
          <t>2271594880002656</t>
        </is>
      </c>
      <c r="AZ2235" t="inlineStr">
        <is>
          <t>BOOK</t>
        </is>
      </c>
      <c r="BB2235" t="inlineStr">
        <is>
          <t>9780312049935</t>
        </is>
      </c>
      <c r="BC2235" t="inlineStr">
        <is>
          <t>32285002143385</t>
        </is>
      </c>
      <c r="BD2235" t="inlineStr">
        <is>
          <t>893529145</t>
        </is>
      </c>
    </row>
    <row r="2236">
      <c r="A2236" t="inlineStr">
        <is>
          <t>No</t>
        </is>
      </c>
      <c r="B2236" t="inlineStr">
        <is>
          <t>HQ76.3.U5 H635 1985</t>
        </is>
      </c>
      <c r="C2236" t="inlineStr">
        <is>
          <t>0                      HQ 0076300U  5                  H  635         1985</t>
        </is>
      </c>
      <c r="D2236" t="inlineStr">
        <is>
          <t>Bashers, baiters &amp; bigots : homophobia in American society / edited by John P. De Cecco.</t>
        </is>
      </c>
      <c r="F2236" t="inlineStr">
        <is>
          <t>No</t>
        </is>
      </c>
      <c r="G2236" t="inlineStr">
        <is>
          <t>1</t>
        </is>
      </c>
      <c r="H2236" t="inlineStr">
        <is>
          <t>No</t>
        </is>
      </c>
      <c r="I2236" t="inlineStr">
        <is>
          <t>No</t>
        </is>
      </c>
      <c r="J2236" t="inlineStr">
        <is>
          <t>0</t>
        </is>
      </c>
      <c r="K2236" t="inlineStr">
        <is>
          <t>Homophobia.</t>
        </is>
      </c>
      <c r="L2236" t="inlineStr">
        <is>
          <t>New York : Harrington Park Press, c1985.</t>
        </is>
      </c>
      <c r="M2236" t="inlineStr">
        <is>
          <t>1985</t>
        </is>
      </c>
      <c r="O2236" t="inlineStr">
        <is>
          <t>eng</t>
        </is>
      </c>
      <c r="P2236" t="inlineStr">
        <is>
          <t>nyu</t>
        </is>
      </c>
      <c r="R2236" t="inlineStr">
        <is>
          <t xml:space="preserve">HQ </t>
        </is>
      </c>
      <c r="S2236" t="n">
        <v>33</v>
      </c>
      <c r="T2236" t="n">
        <v>33</v>
      </c>
      <c r="U2236" t="inlineStr">
        <is>
          <t>2006-11-02</t>
        </is>
      </c>
      <c r="V2236" t="inlineStr">
        <is>
          <t>2006-11-02</t>
        </is>
      </c>
      <c r="W2236" t="inlineStr">
        <is>
          <t>1994-12-21</t>
        </is>
      </c>
      <c r="X2236" t="inlineStr">
        <is>
          <t>1994-12-21</t>
        </is>
      </c>
      <c r="Y2236" t="n">
        <v>190</v>
      </c>
      <c r="Z2236" t="n">
        <v>161</v>
      </c>
      <c r="AA2236" t="n">
        <v>175</v>
      </c>
      <c r="AB2236" t="n">
        <v>1</v>
      </c>
      <c r="AC2236" t="n">
        <v>1</v>
      </c>
      <c r="AD2236" t="n">
        <v>6</v>
      </c>
      <c r="AE2236" t="n">
        <v>7</v>
      </c>
      <c r="AF2236" t="n">
        <v>2</v>
      </c>
      <c r="AG2236" t="n">
        <v>2</v>
      </c>
      <c r="AH2236" t="n">
        <v>2</v>
      </c>
      <c r="AI2236" t="n">
        <v>3</v>
      </c>
      <c r="AJ2236" t="n">
        <v>4</v>
      </c>
      <c r="AK2236" t="n">
        <v>5</v>
      </c>
      <c r="AL2236" t="n">
        <v>0</v>
      </c>
      <c r="AM2236" t="n">
        <v>0</v>
      </c>
      <c r="AN2236" t="n">
        <v>0</v>
      </c>
      <c r="AO2236" t="n">
        <v>0</v>
      </c>
      <c r="AP2236" t="inlineStr">
        <is>
          <t>No</t>
        </is>
      </c>
      <c r="AQ2236" t="inlineStr">
        <is>
          <t>Yes</t>
        </is>
      </c>
      <c r="AR2236">
        <f>HYPERLINK("http://catalog.hathitrust.org/Record/002525022","HathiTrust Record")</f>
        <v/>
      </c>
      <c r="AS2236">
        <f>HYPERLINK("https://creighton-primo.hosted.exlibrisgroup.com/primo-explore/search?tab=default_tab&amp;search_scope=EVERYTHING&amp;vid=01CRU&amp;lang=en_US&amp;offset=0&amp;query=any,contains,991000487299702656","Catalog Record")</f>
        <v/>
      </c>
      <c r="AT2236">
        <f>HYPERLINK("http://www.worldcat.org/oclc/11089538","WorldCat Record")</f>
        <v/>
      </c>
      <c r="AU2236" t="inlineStr">
        <is>
          <t>807331045:eng</t>
        </is>
      </c>
      <c r="AV2236" t="inlineStr">
        <is>
          <t>11089538</t>
        </is>
      </c>
      <c r="AW2236" t="inlineStr">
        <is>
          <t>991000487299702656</t>
        </is>
      </c>
      <c r="AX2236" t="inlineStr">
        <is>
          <t>991000487299702656</t>
        </is>
      </c>
      <c r="AY2236" t="inlineStr">
        <is>
          <t>2265353800002656</t>
        </is>
      </c>
      <c r="AZ2236" t="inlineStr">
        <is>
          <t>BOOK</t>
        </is>
      </c>
      <c r="BB2236" t="inlineStr">
        <is>
          <t>9780918393029</t>
        </is>
      </c>
      <c r="BC2236" t="inlineStr">
        <is>
          <t>32285001778702</t>
        </is>
      </c>
      <c r="BD2236" t="inlineStr">
        <is>
          <t>893345701</t>
        </is>
      </c>
    </row>
    <row r="2237">
      <c r="A2237" t="inlineStr">
        <is>
          <t>No</t>
        </is>
      </c>
      <c r="B2237" t="inlineStr">
        <is>
          <t>HQ76.3.U5 J6</t>
        </is>
      </c>
      <c r="C2237" t="inlineStr">
        <is>
          <t>0                      HQ 0076300U  5                  J  6</t>
        </is>
      </c>
      <c r="D2237" t="inlineStr">
        <is>
          <t>Lesbian nation : the feminist solution / by Jill Johnston.</t>
        </is>
      </c>
      <c r="F2237" t="inlineStr">
        <is>
          <t>No</t>
        </is>
      </c>
      <c r="G2237" t="inlineStr">
        <is>
          <t>1</t>
        </is>
      </c>
      <c r="H2237" t="inlineStr">
        <is>
          <t>No</t>
        </is>
      </c>
      <c r="I2237" t="inlineStr">
        <is>
          <t>No</t>
        </is>
      </c>
      <c r="J2237" t="inlineStr">
        <is>
          <t>0</t>
        </is>
      </c>
      <c r="K2237" t="inlineStr">
        <is>
          <t>Johnston, Jill.</t>
        </is>
      </c>
      <c r="L2237" t="inlineStr">
        <is>
          <t>New York : Simon and Schuster, [1973]</t>
        </is>
      </c>
      <c r="M2237" t="inlineStr">
        <is>
          <t>1973</t>
        </is>
      </c>
      <c r="O2237" t="inlineStr">
        <is>
          <t>eng</t>
        </is>
      </c>
      <c r="P2237" t="inlineStr">
        <is>
          <t>nyu</t>
        </is>
      </c>
      <c r="R2237" t="inlineStr">
        <is>
          <t xml:space="preserve">HQ </t>
        </is>
      </c>
      <c r="S2237" t="n">
        <v>8</v>
      </c>
      <c r="T2237" t="n">
        <v>8</v>
      </c>
      <c r="U2237" t="inlineStr">
        <is>
          <t>2000-03-20</t>
        </is>
      </c>
      <c r="V2237" t="inlineStr">
        <is>
          <t>2000-03-20</t>
        </is>
      </c>
      <c r="W2237" t="inlineStr">
        <is>
          <t>1992-10-26</t>
        </is>
      </c>
      <c r="X2237" t="inlineStr">
        <is>
          <t>1992-10-26</t>
        </is>
      </c>
      <c r="Y2237" t="n">
        <v>590</v>
      </c>
      <c r="Z2237" t="n">
        <v>500</v>
      </c>
      <c r="AA2237" t="n">
        <v>555</v>
      </c>
      <c r="AB2237" t="n">
        <v>3</v>
      </c>
      <c r="AC2237" t="n">
        <v>3</v>
      </c>
      <c r="AD2237" t="n">
        <v>13</v>
      </c>
      <c r="AE2237" t="n">
        <v>13</v>
      </c>
      <c r="AF2237" t="n">
        <v>3</v>
      </c>
      <c r="AG2237" t="n">
        <v>3</v>
      </c>
      <c r="AH2237" t="n">
        <v>2</v>
      </c>
      <c r="AI2237" t="n">
        <v>2</v>
      </c>
      <c r="AJ2237" t="n">
        <v>7</v>
      </c>
      <c r="AK2237" t="n">
        <v>7</v>
      </c>
      <c r="AL2237" t="n">
        <v>2</v>
      </c>
      <c r="AM2237" t="n">
        <v>2</v>
      </c>
      <c r="AN2237" t="n">
        <v>1</v>
      </c>
      <c r="AO2237" t="n">
        <v>1</v>
      </c>
      <c r="AP2237" t="inlineStr">
        <is>
          <t>No</t>
        </is>
      </c>
      <c r="AQ2237" t="inlineStr">
        <is>
          <t>Yes</t>
        </is>
      </c>
      <c r="AR2237">
        <f>HYPERLINK("http://catalog.hathitrust.org/Record/001108266","HathiTrust Record")</f>
        <v/>
      </c>
      <c r="AS2237">
        <f>HYPERLINK("https://creighton-primo.hosted.exlibrisgroup.com/primo-explore/search?tab=default_tab&amp;search_scope=EVERYTHING&amp;vid=01CRU&amp;lang=en_US&amp;offset=0&amp;query=any,contains,991003073189702656","Catalog Record")</f>
        <v/>
      </c>
      <c r="AT2237">
        <f>HYPERLINK("http://www.worldcat.org/oclc/627573","WorldCat Record")</f>
        <v/>
      </c>
      <c r="AU2237" t="inlineStr">
        <is>
          <t>859653130:eng</t>
        </is>
      </c>
      <c r="AV2237" t="inlineStr">
        <is>
          <t>627573</t>
        </is>
      </c>
      <c r="AW2237" t="inlineStr">
        <is>
          <t>991003073189702656</t>
        </is>
      </c>
      <c r="AX2237" t="inlineStr">
        <is>
          <t>991003073189702656</t>
        </is>
      </c>
      <c r="AY2237" t="inlineStr">
        <is>
          <t>2257826070002656</t>
        </is>
      </c>
      <c r="AZ2237" t="inlineStr">
        <is>
          <t>BOOK</t>
        </is>
      </c>
      <c r="BB2237" t="inlineStr">
        <is>
          <t>9780671214333</t>
        </is>
      </c>
      <c r="BC2237" t="inlineStr">
        <is>
          <t>32285001358307</t>
        </is>
      </c>
      <c r="BD2237" t="inlineStr">
        <is>
          <t>893329930</t>
        </is>
      </c>
    </row>
    <row r="2238">
      <c r="A2238" t="inlineStr">
        <is>
          <t>No</t>
        </is>
      </c>
      <c r="B2238" t="inlineStr">
        <is>
          <t>HQ76.3.U5 K375 2001</t>
        </is>
      </c>
      <c r="C2238" t="inlineStr">
        <is>
          <t>0                      HQ 0076300U  5                  K  375         2001</t>
        </is>
      </c>
      <c r="D2238" t="inlineStr">
        <is>
          <t>Love stories : sex between men before homosexuality / Jonathan Ned Katz.</t>
        </is>
      </c>
      <c r="F2238" t="inlineStr">
        <is>
          <t>No</t>
        </is>
      </c>
      <c r="G2238" t="inlineStr">
        <is>
          <t>1</t>
        </is>
      </c>
      <c r="H2238" t="inlineStr">
        <is>
          <t>No</t>
        </is>
      </c>
      <c r="I2238" t="inlineStr">
        <is>
          <t>No</t>
        </is>
      </c>
      <c r="J2238" t="inlineStr">
        <is>
          <t>0</t>
        </is>
      </c>
      <c r="K2238" t="inlineStr">
        <is>
          <t>Katz, Jonathan, 1938-</t>
        </is>
      </c>
      <c r="L2238" t="inlineStr">
        <is>
          <t>Chicago : University of Chicago Press, 2001.</t>
        </is>
      </c>
      <c r="M2238" t="inlineStr">
        <is>
          <t>2001</t>
        </is>
      </c>
      <c r="O2238" t="inlineStr">
        <is>
          <t>eng</t>
        </is>
      </c>
      <c r="P2238" t="inlineStr">
        <is>
          <t>ilu</t>
        </is>
      </c>
      <c r="R2238" t="inlineStr">
        <is>
          <t xml:space="preserve">HQ </t>
        </is>
      </c>
      <c r="S2238" t="n">
        <v>3</v>
      </c>
      <c r="T2238" t="n">
        <v>3</v>
      </c>
      <c r="U2238" t="inlineStr">
        <is>
          <t>2003-07-28</t>
        </is>
      </c>
      <c r="V2238" t="inlineStr">
        <is>
          <t>2003-07-28</t>
        </is>
      </c>
      <c r="W2238" t="inlineStr">
        <is>
          <t>2002-07-30</t>
        </is>
      </c>
      <c r="X2238" t="inlineStr">
        <is>
          <t>2002-07-30</t>
        </is>
      </c>
      <c r="Y2238" t="n">
        <v>668</v>
      </c>
      <c r="Z2238" t="n">
        <v>582</v>
      </c>
      <c r="AA2238" t="n">
        <v>582</v>
      </c>
      <c r="AB2238" t="n">
        <v>3</v>
      </c>
      <c r="AC2238" t="n">
        <v>3</v>
      </c>
      <c r="AD2238" t="n">
        <v>25</v>
      </c>
      <c r="AE2238" t="n">
        <v>25</v>
      </c>
      <c r="AF2238" t="n">
        <v>12</v>
      </c>
      <c r="AG2238" t="n">
        <v>12</v>
      </c>
      <c r="AH2238" t="n">
        <v>6</v>
      </c>
      <c r="AI2238" t="n">
        <v>6</v>
      </c>
      <c r="AJ2238" t="n">
        <v>11</v>
      </c>
      <c r="AK2238" t="n">
        <v>11</v>
      </c>
      <c r="AL2238" t="n">
        <v>2</v>
      </c>
      <c r="AM2238" t="n">
        <v>2</v>
      </c>
      <c r="AN2238" t="n">
        <v>0</v>
      </c>
      <c r="AO2238" t="n">
        <v>0</v>
      </c>
      <c r="AP2238" t="inlineStr">
        <is>
          <t>No</t>
        </is>
      </c>
      <c r="AQ2238" t="inlineStr">
        <is>
          <t>No</t>
        </is>
      </c>
      <c r="AS2238">
        <f>HYPERLINK("https://creighton-primo.hosted.exlibrisgroup.com/primo-explore/search?tab=default_tab&amp;search_scope=EVERYTHING&amp;vid=01CRU&amp;lang=en_US&amp;offset=0&amp;query=any,contains,991003842719702656","Catalog Record")</f>
        <v/>
      </c>
      <c r="AT2238">
        <f>HYPERLINK("http://www.worldcat.org/oclc/46836784","WorldCat Record")</f>
        <v/>
      </c>
      <c r="AU2238" t="inlineStr">
        <is>
          <t>837081471:eng</t>
        </is>
      </c>
      <c r="AV2238" t="inlineStr">
        <is>
          <t>46836784</t>
        </is>
      </c>
      <c r="AW2238" t="inlineStr">
        <is>
          <t>991003842719702656</t>
        </is>
      </c>
      <c r="AX2238" t="inlineStr">
        <is>
          <t>991003842719702656</t>
        </is>
      </c>
      <c r="AY2238" t="inlineStr">
        <is>
          <t>2261630390002656</t>
        </is>
      </c>
      <c r="AZ2238" t="inlineStr">
        <is>
          <t>BOOK</t>
        </is>
      </c>
      <c r="BB2238" t="inlineStr">
        <is>
          <t>9780226426150</t>
        </is>
      </c>
      <c r="BC2238" t="inlineStr">
        <is>
          <t>32285004640750</t>
        </is>
      </c>
      <c r="BD2238" t="inlineStr">
        <is>
          <t>893252848</t>
        </is>
      </c>
    </row>
    <row r="2239">
      <c r="A2239" t="inlineStr">
        <is>
          <t>No</t>
        </is>
      </c>
      <c r="B2239" t="inlineStr">
        <is>
          <t>HQ76.3.U5 L48 1996</t>
        </is>
      </c>
      <c r="C2239" t="inlineStr">
        <is>
          <t>0                      HQ 0076300U  5                  L  48          1996</t>
        </is>
      </c>
      <c r="D2239" t="inlineStr">
        <is>
          <t>Lesbians and gays in couples and families : a handbook for therapists / Joan Laird and Robert-Jay Green, editors ; foreword by Monica McGoldrick.</t>
        </is>
      </c>
      <c r="F2239" t="inlineStr">
        <is>
          <t>No</t>
        </is>
      </c>
      <c r="G2239" t="inlineStr">
        <is>
          <t>1</t>
        </is>
      </c>
      <c r="H2239" t="inlineStr">
        <is>
          <t>No</t>
        </is>
      </c>
      <c r="I2239" t="inlineStr">
        <is>
          <t>No</t>
        </is>
      </c>
      <c r="J2239" t="inlineStr">
        <is>
          <t>0</t>
        </is>
      </c>
      <c r="L2239" t="inlineStr">
        <is>
          <t>San Francisco : Jossey-Bass Publishers, c1996.</t>
        </is>
      </c>
      <c r="M2239" t="inlineStr">
        <is>
          <t>1996</t>
        </is>
      </c>
      <c r="N2239" t="inlineStr">
        <is>
          <t>1st ed.</t>
        </is>
      </c>
      <c r="O2239" t="inlineStr">
        <is>
          <t>eng</t>
        </is>
      </c>
      <c r="P2239" t="inlineStr">
        <is>
          <t>cau</t>
        </is>
      </c>
      <c r="R2239" t="inlineStr">
        <is>
          <t xml:space="preserve">HQ </t>
        </is>
      </c>
      <c r="S2239" t="n">
        <v>12</v>
      </c>
      <c r="T2239" t="n">
        <v>12</v>
      </c>
      <c r="U2239" t="inlineStr">
        <is>
          <t>2006-07-03</t>
        </is>
      </c>
      <c r="V2239" t="inlineStr">
        <is>
          <t>2006-07-03</t>
        </is>
      </c>
      <c r="W2239" t="inlineStr">
        <is>
          <t>1999-04-27</t>
        </is>
      </c>
      <c r="X2239" t="inlineStr">
        <is>
          <t>1999-04-27</t>
        </is>
      </c>
      <c r="Y2239" t="n">
        <v>495</v>
      </c>
      <c r="Z2239" t="n">
        <v>417</v>
      </c>
      <c r="AA2239" t="n">
        <v>423</v>
      </c>
      <c r="AB2239" t="n">
        <v>3</v>
      </c>
      <c r="AC2239" t="n">
        <v>3</v>
      </c>
      <c r="AD2239" t="n">
        <v>25</v>
      </c>
      <c r="AE2239" t="n">
        <v>25</v>
      </c>
      <c r="AF2239" t="n">
        <v>11</v>
      </c>
      <c r="AG2239" t="n">
        <v>11</v>
      </c>
      <c r="AH2239" t="n">
        <v>6</v>
      </c>
      <c r="AI2239" t="n">
        <v>6</v>
      </c>
      <c r="AJ2239" t="n">
        <v>13</v>
      </c>
      <c r="AK2239" t="n">
        <v>13</v>
      </c>
      <c r="AL2239" t="n">
        <v>2</v>
      </c>
      <c r="AM2239" t="n">
        <v>2</v>
      </c>
      <c r="AN2239" t="n">
        <v>0</v>
      </c>
      <c r="AO2239" t="n">
        <v>0</v>
      </c>
      <c r="AP2239" t="inlineStr">
        <is>
          <t>No</t>
        </is>
      </c>
      <c r="AQ2239" t="inlineStr">
        <is>
          <t>Yes</t>
        </is>
      </c>
      <c r="AR2239">
        <f>HYPERLINK("http://catalog.hathitrust.org/Record/003076067","HathiTrust Record")</f>
        <v/>
      </c>
      <c r="AS2239">
        <f>HYPERLINK("https://creighton-primo.hosted.exlibrisgroup.com/primo-explore/search?tab=default_tab&amp;search_scope=EVERYTHING&amp;vid=01CRU&amp;lang=en_US&amp;offset=0&amp;query=any,contains,991002609529702656","Catalog Record")</f>
        <v/>
      </c>
      <c r="AT2239">
        <f>HYPERLINK("http://www.worldcat.org/oclc/34190867","WorldCat Record")</f>
        <v/>
      </c>
      <c r="AU2239" t="inlineStr">
        <is>
          <t>473652283:eng</t>
        </is>
      </c>
      <c r="AV2239" t="inlineStr">
        <is>
          <t>34190867</t>
        </is>
      </c>
      <c r="AW2239" t="inlineStr">
        <is>
          <t>991002609529702656</t>
        </is>
      </c>
      <c r="AX2239" t="inlineStr">
        <is>
          <t>991002609529702656</t>
        </is>
      </c>
      <c r="AY2239" t="inlineStr">
        <is>
          <t>2256313930002656</t>
        </is>
      </c>
      <c r="AZ2239" t="inlineStr">
        <is>
          <t>BOOK</t>
        </is>
      </c>
      <c r="BB2239" t="inlineStr">
        <is>
          <t>9780787902223</t>
        </is>
      </c>
      <c r="BC2239" t="inlineStr">
        <is>
          <t>32285003556429</t>
        </is>
      </c>
      <c r="BD2239" t="inlineStr">
        <is>
          <t>893792668</t>
        </is>
      </c>
    </row>
    <row r="2240">
      <c r="A2240" t="inlineStr">
        <is>
          <t>No</t>
        </is>
      </c>
      <c r="B2240" t="inlineStr">
        <is>
          <t>HQ76.3.U5 L49 1998</t>
        </is>
      </c>
      <c r="C2240" t="inlineStr">
        <is>
          <t>0                      HQ 0076300U  5                  L  49          1998</t>
        </is>
      </c>
      <c r="D2240" t="inlineStr">
        <is>
          <t>Recognizing ourselves : ceremonies of lesbian and gay commitment / Ellen Lewin.</t>
        </is>
      </c>
      <c r="F2240" t="inlineStr">
        <is>
          <t>No</t>
        </is>
      </c>
      <c r="G2240" t="inlineStr">
        <is>
          <t>1</t>
        </is>
      </c>
      <c r="H2240" t="inlineStr">
        <is>
          <t>No</t>
        </is>
      </c>
      <c r="I2240" t="inlineStr">
        <is>
          <t>No</t>
        </is>
      </c>
      <c r="J2240" t="inlineStr">
        <is>
          <t>0</t>
        </is>
      </c>
      <c r="K2240" t="inlineStr">
        <is>
          <t>Lewin, Ellen.</t>
        </is>
      </c>
      <c r="L2240" t="inlineStr">
        <is>
          <t>New York : Columbia University Press, c1998.</t>
        </is>
      </c>
      <c r="M2240" t="inlineStr">
        <is>
          <t>1998</t>
        </is>
      </c>
      <c r="O2240" t="inlineStr">
        <is>
          <t>eng</t>
        </is>
      </c>
      <c r="P2240" t="inlineStr">
        <is>
          <t>nyu</t>
        </is>
      </c>
      <c r="Q2240" t="inlineStr">
        <is>
          <t>Between men--between women</t>
        </is>
      </c>
      <c r="R2240" t="inlineStr">
        <is>
          <t xml:space="preserve">HQ </t>
        </is>
      </c>
      <c r="S2240" t="n">
        <v>12</v>
      </c>
      <c r="T2240" t="n">
        <v>12</v>
      </c>
      <c r="U2240" t="inlineStr">
        <is>
          <t>2006-07-03</t>
        </is>
      </c>
      <c r="V2240" t="inlineStr">
        <is>
          <t>2006-07-03</t>
        </is>
      </c>
      <c r="W2240" t="inlineStr">
        <is>
          <t>2000-01-05</t>
        </is>
      </c>
      <c r="X2240" t="inlineStr">
        <is>
          <t>2000-01-05</t>
        </is>
      </c>
      <c r="Y2240" t="n">
        <v>543</v>
      </c>
      <c r="Z2240" t="n">
        <v>486</v>
      </c>
      <c r="AA2240" t="n">
        <v>494</v>
      </c>
      <c r="AB2240" t="n">
        <v>3</v>
      </c>
      <c r="AC2240" t="n">
        <v>3</v>
      </c>
      <c r="AD2240" t="n">
        <v>18</v>
      </c>
      <c r="AE2240" t="n">
        <v>18</v>
      </c>
      <c r="AF2240" t="n">
        <v>6</v>
      </c>
      <c r="AG2240" t="n">
        <v>6</v>
      </c>
      <c r="AH2240" t="n">
        <v>3</v>
      </c>
      <c r="AI2240" t="n">
        <v>3</v>
      </c>
      <c r="AJ2240" t="n">
        <v>10</v>
      </c>
      <c r="AK2240" t="n">
        <v>10</v>
      </c>
      <c r="AL2240" t="n">
        <v>1</v>
      </c>
      <c r="AM2240" t="n">
        <v>1</v>
      </c>
      <c r="AN2240" t="n">
        <v>1</v>
      </c>
      <c r="AO2240" t="n">
        <v>1</v>
      </c>
      <c r="AP2240" t="inlineStr">
        <is>
          <t>No</t>
        </is>
      </c>
      <c r="AQ2240" t="inlineStr">
        <is>
          <t>No</t>
        </is>
      </c>
      <c r="AS2240">
        <f>HYPERLINK("https://creighton-primo.hosted.exlibrisgroup.com/primo-explore/search?tab=default_tab&amp;search_scope=EVERYTHING&amp;vid=01CRU&amp;lang=en_US&amp;offset=0&amp;query=any,contains,991002872289702656","Catalog Record")</f>
        <v/>
      </c>
      <c r="AT2240">
        <f>HYPERLINK("http://www.worldcat.org/oclc/37862761","WorldCat Record")</f>
        <v/>
      </c>
      <c r="AU2240" t="inlineStr">
        <is>
          <t>837016601:eng</t>
        </is>
      </c>
      <c r="AV2240" t="inlineStr">
        <is>
          <t>37862761</t>
        </is>
      </c>
      <c r="AW2240" t="inlineStr">
        <is>
          <t>991002872289702656</t>
        </is>
      </c>
      <c r="AX2240" t="inlineStr">
        <is>
          <t>991002872289702656</t>
        </is>
      </c>
      <c r="AY2240" t="inlineStr">
        <is>
          <t>2268810240002656</t>
        </is>
      </c>
      <c r="AZ2240" t="inlineStr">
        <is>
          <t>BOOK</t>
        </is>
      </c>
      <c r="BB2240" t="inlineStr">
        <is>
          <t>9780231103923</t>
        </is>
      </c>
      <c r="BC2240" t="inlineStr">
        <is>
          <t>32285003637054</t>
        </is>
      </c>
      <c r="BD2240" t="inlineStr">
        <is>
          <t>893434396</t>
        </is>
      </c>
    </row>
    <row r="2241">
      <c r="A2241" t="inlineStr">
        <is>
          <t>No</t>
        </is>
      </c>
      <c r="B2241" t="inlineStr">
        <is>
          <t>HQ76.3.U5 L58 1999</t>
        </is>
      </c>
      <c r="C2241" t="inlineStr">
        <is>
          <t>0                      HQ 0076300U  5                  L  58          1999</t>
        </is>
      </c>
      <c r="D2241" t="inlineStr">
        <is>
          <t>Understanding homosexuality, changing schools : a text for teachers, counselors, and administrators / Arthur Lipkin.</t>
        </is>
      </c>
      <c r="F2241" t="inlineStr">
        <is>
          <t>No</t>
        </is>
      </c>
      <c r="G2241" t="inlineStr">
        <is>
          <t>1</t>
        </is>
      </c>
      <c r="H2241" t="inlineStr">
        <is>
          <t>No</t>
        </is>
      </c>
      <c r="I2241" t="inlineStr">
        <is>
          <t>No</t>
        </is>
      </c>
      <c r="J2241" t="inlineStr">
        <is>
          <t>0</t>
        </is>
      </c>
      <c r="K2241" t="inlineStr">
        <is>
          <t>Lipkin, Arthur.</t>
        </is>
      </c>
      <c r="L2241" t="inlineStr">
        <is>
          <t>Boulder, Colo. : Westview Press, 1999.</t>
        </is>
      </c>
      <c r="M2241" t="inlineStr">
        <is>
          <t>1999</t>
        </is>
      </c>
      <c r="O2241" t="inlineStr">
        <is>
          <t>eng</t>
        </is>
      </c>
      <c r="P2241" t="inlineStr">
        <is>
          <t>cou</t>
        </is>
      </c>
      <c r="R2241" t="inlineStr">
        <is>
          <t xml:space="preserve">HQ </t>
        </is>
      </c>
      <c r="S2241" t="n">
        <v>3</v>
      </c>
      <c r="T2241" t="n">
        <v>3</v>
      </c>
      <c r="U2241" t="inlineStr">
        <is>
          <t>2007-07-30</t>
        </is>
      </c>
      <c r="V2241" t="inlineStr">
        <is>
          <t>2007-07-30</t>
        </is>
      </c>
      <c r="W2241" t="inlineStr">
        <is>
          <t>2001-08-07</t>
        </is>
      </c>
      <c r="X2241" t="inlineStr">
        <is>
          <t>2001-08-07</t>
        </is>
      </c>
      <c r="Y2241" t="n">
        <v>352</v>
      </c>
      <c r="Z2241" t="n">
        <v>316</v>
      </c>
      <c r="AA2241" t="n">
        <v>360</v>
      </c>
      <c r="AB2241" t="n">
        <v>2</v>
      </c>
      <c r="AC2241" t="n">
        <v>2</v>
      </c>
      <c r="AD2241" t="n">
        <v>14</v>
      </c>
      <c r="AE2241" t="n">
        <v>15</v>
      </c>
      <c r="AF2241" t="n">
        <v>3</v>
      </c>
      <c r="AG2241" t="n">
        <v>4</v>
      </c>
      <c r="AH2241" t="n">
        <v>5</v>
      </c>
      <c r="AI2241" t="n">
        <v>6</v>
      </c>
      <c r="AJ2241" t="n">
        <v>9</v>
      </c>
      <c r="AK2241" t="n">
        <v>9</v>
      </c>
      <c r="AL2241" t="n">
        <v>1</v>
      </c>
      <c r="AM2241" t="n">
        <v>1</v>
      </c>
      <c r="AN2241" t="n">
        <v>0</v>
      </c>
      <c r="AO2241" t="n">
        <v>0</v>
      </c>
      <c r="AP2241" t="inlineStr">
        <is>
          <t>No</t>
        </is>
      </c>
      <c r="AQ2241" t="inlineStr">
        <is>
          <t>Yes</t>
        </is>
      </c>
      <c r="AR2241">
        <f>HYPERLINK("http://catalog.hathitrust.org/Record/004027107","HathiTrust Record")</f>
        <v/>
      </c>
      <c r="AS2241">
        <f>HYPERLINK("https://creighton-primo.hosted.exlibrisgroup.com/primo-explore/search?tab=default_tab&amp;search_scope=EVERYTHING&amp;vid=01CRU&amp;lang=en_US&amp;offset=0&amp;query=any,contains,991003598569702656","Catalog Record")</f>
        <v/>
      </c>
      <c r="AT2241">
        <f>HYPERLINK("http://www.worldcat.org/oclc/40996087","WorldCat Record")</f>
        <v/>
      </c>
      <c r="AU2241" t="inlineStr">
        <is>
          <t>1400617568:eng</t>
        </is>
      </c>
      <c r="AV2241" t="inlineStr">
        <is>
          <t>40996087</t>
        </is>
      </c>
      <c r="AW2241" t="inlineStr">
        <is>
          <t>991003598569702656</t>
        </is>
      </c>
      <c r="AX2241" t="inlineStr">
        <is>
          <t>991003598569702656</t>
        </is>
      </c>
      <c r="AY2241" t="inlineStr">
        <is>
          <t>2265167710002656</t>
        </is>
      </c>
      <c r="AZ2241" t="inlineStr">
        <is>
          <t>BOOK</t>
        </is>
      </c>
      <c r="BB2241" t="inlineStr">
        <is>
          <t>9780813325347</t>
        </is>
      </c>
      <c r="BC2241" t="inlineStr">
        <is>
          <t>32285004376082</t>
        </is>
      </c>
      <c r="BD2241" t="inlineStr">
        <is>
          <t>893887652</t>
        </is>
      </c>
    </row>
    <row r="2242">
      <c r="A2242" t="inlineStr">
        <is>
          <t>No</t>
        </is>
      </c>
      <c r="B2242" t="inlineStr">
        <is>
          <t>HQ76.3.U5 M354 1998</t>
        </is>
      </c>
      <c r="C2242" t="inlineStr">
        <is>
          <t>0                      HQ 0076300U  5                  M  354         1998</t>
        </is>
      </c>
      <c r="D2242" t="inlineStr">
        <is>
          <t>Together forever : gay and lesbian marriage / Eric Marcus.</t>
        </is>
      </c>
      <c r="F2242" t="inlineStr">
        <is>
          <t>No</t>
        </is>
      </c>
      <c r="G2242" t="inlineStr">
        <is>
          <t>1</t>
        </is>
      </c>
      <c r="H2242" t="inlineStr">
        <is>
          <t>No</t>
        </is>
      </c>
      <c r="I2242" t="inlineStr">
        <is>
          <t>No</t>
        </is>
      </c>
      <c r="J2242" t="inlineStr">
        <is>
          <t>0</t>
        </is>
      </c>
      <c r="K2242" t="inlineStr">
        <is>
          <t>Marcus, Eric.</t>
        </is>
      </c>
      <c r="L2242" t="inlineStr">
        <is>
          <t>New York : Doubleday, c1998.</t>
        </is>
      </c>
      <c r="M2242" t="inlineStr">
        <is>
          <t>1998</t>
        </is>
      </c>
      <c r="N2242" t="inlineStr">
        <is>
          <t>1st Anchor Books ed.</t>
        </is>
      </c>
      <c r="O2242" t="inlineStr">
        <is>
          <t>eng</t>
        </is>
      </c>
      <c r="P2242" t="inlineStr">
        <is>
          <t>nyu</t>
        </is>
      </c>
      <c r="R2242" t="inlineStr">
        <is>
          <t xml:space="preserve">HQ </t>
        </is>
      </c>
      <c r="S2242" t="n">
        <v>16</v>
      </c>
      <c r="T2242" t="n">
        <v>16</v>
      </c>
      <c r="U2242" t="inlineStr">
        <is>
          <t>2004-04-26</t>
        </is>
      </c>
      <c r="V2242" t="inlineStr">
        <is>
          <t>2004-04-26</t>
        </is>
      </c>
      <c r="W2242" t="inlineStr">
        <is>
          <t>1998-08-20</t>
        </is>
      </c>
      <c r="X2242" t="inlineStr">
        <is>
          <t>1998-08-20</t>
        </is>
      </c>
      <c r="Y2242" t="n">
        <v>258</v>
      </c>
      <c r="Z2242" t="n">
        <v>232</v>
      </c>
      <c r="AA2242" t="n">
        <v>243</v>
      </c>
      <c r="AB2242" t="n">
        <v>2</v>
      </c>
      <c r="AC2242" t="n">
        <v>2</v>
      </c>
      <c r="AD2242" t="n">
        <v>6</v>
      </c>
      <c r="AE2242" t="n">
        <v>6</v>
      </c>
      <c r="AF2242" t="n">
        <v>2</v>
      </c>
      <c r="AG2242" t="n">
        <v>2</v>
      </c>
      <c r="AH2242" t="n">
        <v>1</v>
      </c>
      <c r="AI2242" t="n">
        <v>1</v>
      </c>
      <c r="AJ2242" t="n">
        <v>3</v>
      </c>
      <c r="AK2242" t="n">
        <v>3</v>
      </c>
      <c r="AL2242" t="n">
        <v>1</v>
      </c>
      <c r="AM2242" t="n">
        <v>1</v>
      </c>
      <c r="AN2242" t="n">
        <v>0</v>
      </c>
      <c r="AO2242" t="n">
        <v>0</v>
      </c>
      <c r="AP2242" t="inlineStr">
        <is>
          <t>No</t>
        </is>
      </c>
      <c r="AQ2242" t="inlineStr">
        <is>
          <t>Yes</t>
        </is>
      </c>
      <c r="AR2242">
        <f>HYPERLINK("http://catalog.hathitrust.org/Record/003976419","HathiTrust Record")</f>
        <v/>
      </c>
      <c r="AS2242">
        <f>HYPERLINK("https://creighton-primo.hosted.exlibrisgroup.com/primo-explore/search?tab=default_tab&amp;search_scope=EVERYTHING&amp;vid=01CRU&amp;lang=en_US&amp;offset=0&amp;query=any,contains,991002907549702656","Catalog Record")</f>
        <v/>
      </c>
      <c r="AT2242">
        <f>HYPERLINK("http://www.worldcat.org/oclc/38425984","WorldCat Record")</f>
        <v/>
      </c>
      <c r="AU2242" t="inlineStr">
        <is>
          <t>287242533:eng</t>
        </is>
      </c>
      <c r="AV2242" t="inlineStr">
        <is>
          <t>38425984</t>
        </is>
      </c>
      <c r="AW2242" t="inlineStr">
        <is>
          <t>991002907549702656</t>
        </is>
      </c>
      <c r="AX2242" t="inlineStr">
        <is>
          <t>991002907549702656</t>
        </is>
      </c>
      <c r="AY2242" t="inlineStr">
        <is>
          <t>2255764580002656</t>
        </is>
      </c>
      <c r="AZ2242" t="inlineStr">
        <is>
          <t>BOOK</t>
        </is>
      </c>
      <c r="BB2242" t="inlineStr">
        <is>
          <t>9780385488754</t>
        </is>
      </c>
      <c r="BC2242" t="inlineStr">
        <is>
          <t>32285003460234</t>
        </is>
      </c>
      <c r="BD2242" t="inlineStr">
        <is>
          <t>893805196</t>
        </is>
      </c>
    </row>
    <row r="2243">
      <c r="A2243" t="inlineStr">
        <is>
          <t>No</t>
        </is>
      </c>
      <c r="B2243" t="inlineStr">
        <is>
          <t>HQ76.3.U5 M36 1993</t>
        </is>
      </c>
      <c r="C2243" t="inlineStr">
        <is>
          <t>0                      HQ 0076300U  5                  M  36          1993</t>
        </is>
      </c>
      <c r="D2243" t="inlineStr">
        <is>
          <t>The lesbian and gay parenting handbook : creating and raising our families / April Martin.</t>
        </is>
      </c>
      <c r="F2243" t="inlineStr">
        <is>
          <t>No</t>
        </is>
      </c>
      <c r="G2243" t="inlineStr">
        <is>
          <t>1</t>
        </is>
      </c>
      <c r="H2243" t="inlineStr">
        <is>
          <t>No</t>
        </is>
      </c>
      <c r="I2243" t="inlineStr">
        <is>
          <t>No</t>
        </is>
      </c>
      <c r="J2243" t="inlineStr">
        <is>
          <t>0</t>
        </is>
      </c>
      <c r="K2243" t="inlineStr">
        <is>
          <t>Martin, April, 1948-</t>
        </is>
      </c>
      <c r="L2243" t="inlineStr">
        <is>
          <t>New York : HarperPerennial, c1993.</t>
        </is>
      </c>
      <c r="M2243" t="inlineStr">
        <is>
          <t>1993</t>
        </is>
      </c>
      <c r="O2243" t="inlineStr">
        <is>
          <t>eng</t>
        </is>
      </c>
      <c r="P2243" t="inlineStr">
        <is>
          <t>nyu</t>
        </is>
      </c>
      <c r="R2243" t="inlineStr">
        <is>
          <t xml:space="preserve">HQ </t>
        </is>
      </c>
      <c r="S2243" t="n">
        <v>26</v>
      </c>
      <c r="T2243" t="n">
        <v>26</v>
      </c>
      <c r="U2243" t="inlineStr">
        <is>
          <t>2007-10-24</t>
        </is>
      </c>
      <c r="V2243" t="inlineStr">
        <is>
          <t>2007-10-24</t>
        </is>
      </c>
      <c r="W2243" t="inlineStr">
        <is>
          <t>1995-10-23</t>
        </is>
      </c>
      <c r="X2243" t="inlineStr">
        <is>
          <t>1995-10-23</t>
        </is>
      </c>
      <c r="Y2243" t="n">
        <v>459</v>
      </c>
      <c r="Z2243" t="n">
        <v>427</v>
      </c>
      <c r="AA2243" t="n">
        <v>446</v>
      </c>
      <c r="AB2243" t="n">
        <v>2</v>
      </c>
      <c r="AC2243" t="n">
        <v>2</v>
      </c>
      <c r="AD2243" t="n">
        <v>6</v>
      </c>
      <c r="AE2243" t="n">
        <v>6</v>
      </c>
      <c r="AF2243" t="n">
        <v>1</v>
      </c>
      <c r="AG2243" t="n">
        <v>1</v>
      </c>
      <c r="AH2243" t="n">
        <v>1</v>
      </c>
      <c r="AI2243" t="n">
        <v>1</v>
      </c>
      <c r="AJ2243" t="n">
        <v>3</v>
      </c>
      <c r="AK2243" t="n">
        <v>3</v>
      </c>
      <c r="AL2243" t="n">
        <v>1</v>
      </c>
      <c r="AM2243" t="n">
        <v>1</v>
      </c>
      <c r="AN2243" t="n">
        <v>0</v>
      </c>
      <c r="AO2243" t="n">
        <v>0</v>
      </c>
      <c r="AP2243" t="inlineStr">
        <is>
          <t>No</t>
        </is>
      </c>
      <c r="AQ2243" t="inlineStr">
        <is>
          <t>Yes</t>
        </is>
      </c>
      <c r="AR2243">
        <f>HYPERLINK("http://catalog.hathitrust.org/Record/004529806","HathiTrust Record")</f>
        <v/>
      </c>
      <c r="AS2243">
        <f>HYPERLINK("https://creighton-primo.hosted.exlibrisgroup.com/primo-explore/search?tab=default_tab&amp;search_scope=EVERYTHING&amp;vid=01CRU&amp;lang=en_US&amp;offset=0&amp;query=any,contains,991002101919702656","Catalog Record")</f>
        <v/>
      </c>
      <c r="AT2243">
        <f>HYPERLINK("http://www.worldcat.org/oclc/26974547","WorldCat Record")</f>
        <v/>
      </c>
      <c r="AU2243" t="inlineStr">
        <is>
          <t>335060659:eng</t>
        </is>
      </c>
      <c r="AV2243" t="inlineStr">
        <is>
          <t>26974547</t>
        </is>
      </c>
      <c r="AW2243" t="inlineStr">
        <is>
          <t>991002101919702656</t>
        </is>
      </c>
      <c r="AX2243" t="inlineStr">
        <is>
          <t>991002101919702656</t>
        </is>
      </c>
      <c r="AY2243" t="inlineStr">
        <is>
          <t>2255833570002656</t>
        </is>
      </c>
      <c r="AZ2243" t="inlineStr">
        <is>
          <t>BOOK</t>
        </is>
      </c>
      <c r="BB2243" t="inlineStr">
        <is>
          <t>9780060553319</t>
        </is>
      </c>
      <c r="BC2243" t="inlineStr">
        <is>
          <t>32285002097383</t>
        </is>
      </c>
      <c r="BD2243" t="inlineStr">
        <is>
          <t>893892155</t>
        </is>
      </c>
    </row>
    <row r="2244">
      <c r="A2244" t="inlineStr">
        <is>
          <t>No</t>
        </is>
      </c>
      <c r="B2244" t="inlineStr">
        <is>
          <t>HQ76.3.U5 M38 1990b</t>
        </is>
      </c>
      <c r="C2244" t="inlineStr">
        <is>
          <t>0                      HQ 0076300U  5                  M  38          1990b</t>
        </is>
      </c>
      <c r="D2244" t="inlineStr">
        <is>
          <t>Dialogues of the sexual revolution / Lawrence Mass.</t>
        </is>
      </c>
      <c r="E2244" t="inlineStr">
        <is>
          <t>V.2</t>
        </is>
      </c>
      <c r="F2244" t="inlineStr">
        <is>
          <t>Yes</t>
        </is>
      </c>
      <c r="G2244" t="inlineStr">
        <is>
          <t>1</t>
        </is>
      </c>
      <c r="H2244" t="inlineStr">
        <is>
          <t>No</t>
        </is>
      </c>
      <c r="I2244" t="inlineStr">
        <is>
          <t>No</t>
        </is>
      </c>
      <c r="J2244" t="inlineStr">
        <is>
          <t>0</t>
        </is>
      </c>
      <c r="K2244" t="inlineStr">
        <is>
          <t>Mass, Lawrence, 1946-</t>
        </is>
      </c>
      <c r="L2244" t="inlineStr">
        <is>
          <t>New York : Harrington Park Press, c1990.</t>
        </is>
      </c>
      <c r="M2244" t="inlineStr">
        <is>
          <t>1990</t>
        </is>
      </c>
      <c r="O2244" t="inlineStr">
        <is>
          <t>eng</t>
        </is>
      </c>
      <c r="P2244" t="inlineStr">
        <is>
          <t>nyu</t>
        </is>
      </c>
      <c r="R2244" t="inlineStr">
        <is>
          <t xml:space="preserve">HQ </t>
        </is>
      </c>
      <c r="S2244" t="n">
        <v>7</v>
      </c>
      <c r="T2244" t="n">
        <v>13</v>
      </c>
      <c r="U2244" t="inlineStr">
        <is>
          <t>2006-04-08</t>
        </is>
      </c>
      <c r="V2244" t="inlineStr">
        <is>
          <t>2006-04-08</t>
        </is>
      </c>
      <c r="W2244" t="inlineStr">
        <is>
          <t>1997-05-08</t>
        </is>
      </c>
      <c r="X2244" t="inlineStr">
        <is>
          <t>1997-05-08</t>
        </is>
      </c>
      <c r="Y2244" t="n">
        <v>111</v>
      </c>
      <c r="Z2244" t="n">
        <v>91</v>
      </c>
      <c r="AA2244" t="n">
        <v>224</v>
      </c>
      <c r="AB2244" t="n">
        <v>1</v>
      </c>
      <c r="AC2244" t="n">
        <v>2</v>
      </c>
      <c r="AD2244" t="n">
        <v>2</v>
      </c>
      <c r="AE2244" t="n">
        <v>12</v>
      </c>
      <c r="AF2244" t="n">
        <v>0</v>
      </c>
      <c r="AG2244" t="n">
        <v>2</v>
      </c>
      <c r="AH2244" t="n">
        <v>0</v>
      </c>
      <c r="AI2244" t="n">
        <v>2</v>
      </c>
      <c r="AJ2244" t="n">
        <v>2</v>
      </c>
      <c r="AK2244" t="n">
        <v>10</v>
      </c>
      <c r="AL2244" t="n">
        <v>0</v>
      </c>
      <c r="AM2244" t="n">
        <v>1</v>
      </c>
      <c r="AN2244" t="n">
        <v>0</v>
      </c>
      <c r="AO2244" t="n">
        <v>0</v>
      </c>
      <c r="AP2244" t="inlineStr">
        <is>
          <t>No</t>
        </is>
      </c>
      <c r="AQ2244" t="inlineStr">
        <is>
          <t>No</t>
        </is>
      </c>
      <c r="AS2244">
        <f>HYPERLINK("https://creighton-primo.hosted.exlibrisgroup.com/primo-explore/search?tab=default_tab&amp;search_scope=EVERYTHING&amp;vid=01CRU&amp;lang=en_US&amp;offset=0&amp;query=any,contains,991001741979702656","Catalog Record")</f>
        <v/>
      </c>
      <c r="AT2244">
        <f>HYPERLINK("http://www.worldcat.org/oclc/22005787","WorldCat Record")</f>
        <v/>
      </c>
      <c r="AU2244" t="inlineStr">
        <is>
          <t>22965893:eng</t>
        </is>
      </c>
      <c r="AV2244" t="inlineStr">
        <is>
          <t>22005787</t>
        </is>
      </c>
      <c r="AW2244" t="inlineStr">
        <is>
          <t>991001741979702656</t>
        </is>
      </c>
      <c r="AX2244" t="inlineStr">
        <is>
          <t>991001741979702656</t>
        </is>
      </c>
      <c r="AY2244" t="inlineStr">
        <is>
          <t>2264322550002656</t>
        </is>
      </c>
      <c r="AZ2244" t="inlineStr">
        <is>
          <t>BOOK</t>
        </is>
      </c>
      <c r="BB2244" t="inlineStr">
        <is>
          <t>9780918393890</t>
        </is>
      </c>
      <c r="BC2244" t="inlineStr">
        <is>
          <t>32285002606126</t>
        </is>
      </c>
      <c r="BD2244" t="inlineStr">
        <is>
          <t>893903550</t>
        </is>
      </c>
    </row>
    <row r="2245">
      <c r="A2245" t="inlineStr">
        <is>
          <t>No</t>
        </is>
      </c>
      <c r="B2245" t="inlineStr">
        <is>
          <t>HQ76.3.U5 M38 1990b</t>
        </is>
      </c>
      <c r="C2245" t="inlineStr">
        <is>
          <t>0                      HQ 0076300U  5                  M  38          1990b</t>
        </is>
      </c>
      <c r="D2245" t="inlineStr">
        <is>
          <t>Dialogues of the sexual revolution / Lawrence Mass.</t>
        </is>
      </c>
      <c r="E2245" t="inlineStr">
        <is>
          <t>V.1</t>
        </is>
      </c>
      <c r="F2245" t="inlineStr">
        <is>
          <t>Yes</t>
        </is>
      </c>
      <c r="G2245" t="inlineStr">
        <is>
          <t>1</t>
        </is>
      </c>
      <c r="H2245" t="inlineStr">
        <is>
          <t>No</t>
        </is>
      </c>
      <c r="I2245" t="inlineStr">
        <is>
          <t>No</t>
        </is>
      </c>
      <c r="J2245" t="inlineStr">
        <is>
          <t>0</t>
        </is>
      </c>
      <c r="K2245" t="inlineStr">
        <is>
          <t>Mass, Lawrence, 1946-</t>
        </is>
      </c>
      <c r="L2245" t="inlineStr">
        <is>
          <t>New York : Harrington Park Press, c1990.</t>
        </is>
      </c>
      <c r="M2245" t="inlineStr">
        <is>
          <t>1990</t>
        </is>
      </c>
      <c r="O2245" t="inlineStr">
        <is>
          <t>eng</t>
        </is>
      </c>
      <c r="P2245" t="inlineStr">
        <is>
          <t>nyu</t>
        </is>
      </c>
      <c r="R2245" t="inlineStr">
        <is>
          <t xml:space="preserve">HQ </t>
        </is>
      </c>
      <c r="S2245" t="n">
        <v>6</v>
      </c>
      <c r="T2245" t="n">
        <v>13</v>
      </c>
      <c r="V2245" t="inlineStr">
        <is>
          <t>2006-04-08</t>
        </is>
      </c>
      <c r="W2245" t="inlineStr">
        <is>
          <t>1997-05-08</t>
        </is>
      </c>
      <c r="X2245" t="inlineStr">
        <is>
          <t>1997-05-08</t>
        </is>
      </c>
      <c r="Y2245" t="n">
        <v>111</v>
      </c>
      <c r="Z2245" t="n">
        <v>91</v>
      </c>
      <c r="AA2245" t="n">
        <v>224</v>
      </c>
      <c r="AB2245" t="n">
        <v>1</v>
      </c>
      <c r="AC2245" t="n">
        <v>2</v>
      </c>
      <c r="AD2245" t="n">
        <v>2</v>
      </c>
      <c r="AE2245" t="n">
        <v>12</v>
      </c>
      <c r="AF2245" t="n">
        <v>0</v>
      </c>
      <c r="AG2245" t="n">
        <v>2</v>
      </c>
      <c r="AH2245" t="n">
        <v>0</v>
      </c>
      <c r="AI2245" t="n">
        <v>2</v>
      </c>
      <c r="AJ2245" t="n">
        <v>2</v>
      </c>
      <c r="AK2245" t="n">
        <v>10</v>
      </c>
      <c r="AL2245" t="n">
        <v>0</v>
      </c>
      <c r="AM2245" t="n">
        <v>1</v>
      </c>
      <c r="AN2245" t="n">
        <v>0</v>
      </c>
      <c r="AO2245" t="n">
        <v>0</v>
      </c>
      <c r="AP2245" t="inlineStr">
        <is>
          <t>No</t>
        </is>
      </c>
      <c r="AQ2245" t="inlineStr">
        <is>
          <t>No</t>
        </is>
      </c>
      <c r="AS2245">
        <f>HYPERLINK("https://creighton-primo.hosted.exlibrisgroup.com/primo-explore/search?tab=default_tab&amp;search_scope=EVERYTHING&amp;vid=01CRU&amp;lang=en_US&amp;offset=0&amp;query=any,contains,991001741979702656","Catalog Record")</f>
        <v/>
      </c>
      <c r="AT2245">
        <f>HYPERLINK("http://www.worldcat.org/oclc/22005787","WorldCat Record")</f>
        <v/>
      </c>
      <c r="AU2245" t="inlineStr">
        <is>
          <t>22965893:eng</t>
        </is>
      </c>
      <c r="AV2245" t="inlineStr">
        <is>
          <t>22005787</t>
        </is>
      </c>
      <c r="AW2245" t="inlineStr">
        <is>
          <t>991001741979702656</t>
        </is>
      </c>
      <c r="AX2245" t="inlineStr">
        <is>
          <t>991001741979702656</t>
        </is>
      </c>
      <c r="AY2245" t="inlineStr">
        <is>
          <t>2264322550002656</t>
        </is>
      </c>
      <c r="AZ2245" t="inlineStr">
        <is>
          <t>BOOK</t>
        </is>
      </c>
      <c r="BB2245" t="inlineStr">
        <is>
          <t>9780918393890</t>
        </is>
      </c>
      <c r="BC2245" t="inlineStr">
        <is>
          <t>32285002606118</t>
        </is>
      </c>
      <c r="BD2245" t="inlineStr">
        <is>
          <t>893872760</t>
        </is>
      </c>
    </row>
    <row r="2246">
      <c r="A2246" t="inlineStr">
        <is>
          <t>No</t>
        </is>
      </c>
      <c r="B2246" t="inlineStr">
        <is>
          <t>HQ76.3.U5 M4 1993</t>
        </is>
      </c>
      <c r="C2246" t="inlineStr">
        <is>
          <t>0                      HQ 0076300U  5                  M  4           1993</t>
        </is>
      </c>
      <c r="D2246" t="inlineStr">
        <is>
          <t>Gay issues in the workplace / Brian McNaught.</t>
        </is>
      </c>
      <c r="F2246" t="inlineStr">
        <is>
          <t>No</t>
        </is>
      </c>
      <c r="G2246" t="inlineStr">
        <is>
          <t>1</t>
        </is>
      </c>
      <c r="H2246" t="inlineStr">
        <is>
          <t>No</t>
        </is>
      </c>
      <c r="I2246" t="inlineStr">
        <is>
          <t>No</t>
        </is>
      </c>
      <c r="J2246" t="inlineStr">
        <is>
          <t>0</t>
        </is>
      </c>
      <c r="K2246" t="inlineStr">
        <is>
          <t>McNaught, Brian.</t>
        </is>
      </c>
      <c r="L2246" t="inlineStr">
        <is>
          <t>New York : St. Martin's Press, 1993.</t>
        </is>
      </c>
      <c r="M2246" t="inlineStr">
        <is>
          <t>1993</t>
        </is>
      </c>
      <c r="N2246" t="inlineStr">
        <is>
          <t>1st ed.</t>
        </is>
      </c>
      <c r="O2246" t="inlineStr">
        <is>
          <t>eng</t>
        </is>
      </c>
      <c r="P2246" t="inlineStr">
        <is>
          <t>nyu</t>
        </is>
      </c>
      <c r="R2246" t="inlineStr">
        <is>
          <t xml:space="preserve">HQ </t>
        </is>
      </c>
      <c r="S2246" t="n">
        <v>23</v>
      </c>
      <c r="T2246" t="n">
        <v>23</v>
      </c>
      <c r="U2246" t="inlineStr">
        <is>
          <t>2006-04-08</t>
        </is>
      </c>
      <c r="V2246" t="inlineStr">
        <is>
          <t>2006-04-08</t>
        </is>
      </c>
      <c r="W2246" t="inlineStr">
        <is>
          <t>1994-05-09</t>
        </is>
      </c>
      <c r="X2246" t="inlineStr">
        <is>
          <t>1994-05-09</t>
        </is>
      </c>
      <c r="Y2246" t="n">
        <v>572</v>
      </c>
      <c r="Z2246" t="n">
        <v>525</v>
      </c>
      <c r="AA2246" t="n">
        <v>789</v>
      </c>
      <c r="AB2246" t="n">
        <v>4</v>
      </c>
      <c r="AC2246" t="n">
        <v>11</v>
      </c>
      <c r="AD2246" t="n">
        <v>23</v>
      </c>
      <c r="AE2246" t="n">
        <v>40</v>
      </c>
      <c r="AF2246" t="n">
        <v>7</v>
      </c>
      <c r="AG2246" t="n">
        <v>13</v>
      </c>
      <c r="AH2246" t="n">
        <v>5</v>
      </c>
      <c r="AI2246" t="n">
        <v>7</v>
      </c>
      <c r="AJ2246" t="n">
        <v>12</v>
      </c>
      <c r="AK2246" t="n">
        <v>18</v>
      </c>
      <c r="AL2246" t="n">
        <v>3</v>
      </c>
      <c r="AM2246" t="n">
        <v>9</v>
      </c>
      <c r="AN2246" t="n">
        <v>2</v>
      </c>
      <c r="AO2246" t="n">
        <v>2</v>
      </c>
      <c r="AP2246" t="inlineStr">
        <is>
          <t>No</t>
        </is>
      </c>
      <c r="AQ2246" t="inlineStr">
        <is>
          <t>No</t>
        </is>
      </c>
      <c r="AS2246">
        <f>HYPERLINK("https://creighton-primo.hosted.exlibrisgroup.com/primo-explore/search?tab=default_tab&amp;search_scope=EVERYTHING&amp;vid=01CRU&amp;lang=en_US&amp;offset=0&amp;query=any,contains,991002219819702656","Catalog Record")</f>
        <v/>
      </c>
      <c r="AT2246">
        <f>HYPERLINK("http://www.worldcat.org/oclc/28586364","WorldCat Record")</f>
        <v/>
      </c>
      <c r="AU2246" t="inlineStr">
        <is>
          <t>30855938:eng</t>
        </is>
      </c>
      <c r="AV2246" t="inlineStr">
        <is>
          <t>28586364</t>
        </is>
      </c>
      <c r="AW2246" t="inlineStr">
        <is>
          <t>991002219819702656</t>
        </is>
      </c>
      <c r="AX2246" t="inlineStr">
        <is>
          <t>991002219819702656</t>
        </is>
      </c>
      <c r="AY2246" t="inlineStr">
        <is>
          <t>2263874610002656</t>
        </is>
      </c>
      <c r="AZ2246" t="inlineStr">
        <is>
          <t>BOOK</t>
        </is>
      </c>
      <c r="BB2246" t="inlineStr">
        <is>
          <t>9780312098087</t>
        </is>
      </c>
      <c r="BC2246" t="inlineStr">
        <is>
          <t>32285001879617</t>
        </is>
      </c>
      <c r="BD2246" t="inlineStr">
        <is>
          <t>893603328</t>
        </is>
      </c>
    </row>
    <row r="2247">
      <c r="A2247" t="inlineStr">
        <is>
          <t>No</t>
        </is>
      </c>
      <c r="B2247" t="inlineStr">
        <is>
          <t>HQ76.3.U5 N52 1996</t>
        </is>
      </c>
      <c r="C2247" t="inlineStr">
        <is>
          <t>0                      HQ 0076300U  5                  N  52          1996</t>
        </is>
      </c>
      <c r="D2247" t="inlineStr">
        <is>
          <t>The gay agenda : talking back to the fundamentalists / Jack Nichols ; with a foreword by George Weinberg.</t>
        </is>
      </c>
      <c r="F2247" t="inlineStr">
        <is>
          <t>No</t>
        </is>
      </c>
      <c r="G2247" t="inlineStr">
        <is>
          <t>1</t>
        </is>
      </c>
      <c r="H2247" t="inlineStr">
        <is>
          <t>No</t>
        </is>
      </c>
      <c r="I2247" t="inlineStr">
        <is>
          <t>No</t>
        </is>
      </c>
      <c r="J2247" t="inlineStr">
        <is>
          <t>0</t>
        </is>
      </c>
      <c r="K2247" t="inlineStr">
        <is>
          <t>Nichols, Jack.</t>
        </is>
      </c>
      <c r="L2247" t="inlineStr">
        <is>
          <t>Amherst, N.Y. : Prometheus Books, 1996.</t>
        </is>
      </c>
      <c r="M2247" t="inlineStr">
        <is>
          <t>1996</t>
        </is>
      </c>
      <c r="O2247" t="inlineStr">
        <is>
          <t>eng</t>
        </is>
      </c>
      <c r="P2247" t="inlineStr">
        <is>
          <t>nyu</t>
        </is>
      </c>
      <c r="R2247" t="inlineStr">
        <is>
          <t xml:space="preserve">HQ </t>
        </is>
      </c>
      <c r="S2247" t="n">
        <v>15</v>
      </c>
      <c r="T2247" t="n">
        <v>15</v>
      </c>
      <c r="U2247" t="inlineStr">
        <is>
          <t>2009-11-17</t>
        </is>
      </c>
      <c r="V2247" t="inlineStr">
        <is>
          <t>2009-11-17</t>
        </is>
      </c>
      <c r="W2247" t="inlineStr">
        <is>
          <t>1996-12-17</t>
        </is>
      </c>
      <c r="X2247" t="inlineStr">
        <is>
          <t>1996-12-17</t>
        </is>
      </c>
      <c r="Y2247" t="n">
        <v>351</v>
      </c>
      <c r="Z2247" t="n">
        <v>330</v>
      </c>
      <c r="AA2247" t="n">
        <v>336</v>
      </c>
      <c r="AB2247" t="n">
        <v>3</v>
      </c>
      <c r="AC2247" t="n">
        <v>3</v>
      </c>
      <c r="AD2247" t="n">
        <v>13</v>
      </c>
      <c r="AE2247" t="n">
        <v>13</v>
      </c>
      <c r="AF2247" t="n">
        <v>4</v>
      </c>
      <c r="AG2247" t="n">
        <v>4</v>
      </c>
      <c r="AH2247" t="n">
        <v>1</v>
      </c>
      <c r="AI2247" t="n">
        <v>1</v>
      </c>
      <c r="AJ2247" t="n">
        <v>9</v>
      </c>
      <c r="AK2247" t="n">
        <v>9</v>
      </c>
      <c r="AL2247" t="n">
        <v>2</v>
      </c>
      <c r="AM2247" t="n">
        <v>2</v>
      </c>
      <c r="AN2247" t="n">
        <v>0</v>
      </c>
      <c r="AO2247" t="n">
        <v>0</v>
      </c>
      <c r="AP2247" t="inlineStr">
        <is>
          <t>No</t>
        </is>
      </c>
      <c r="AQ2247" t="inlineStr">
        <is>
          <t>Yes</t>
        </is>
      </c>
      <c r="AR2247">
        <f>HYPERLINK("http://catalog.hathitrust.org/Record/003115660","HathiTrust Record")</f>
        <v/>
      </c>
      <c r="AS2247">
        <f>HYPERLINK("https://creighton-primo.hosted.exlibrisgroup.com/primo-explore/search?tab=default_tab&amp;search_scope=EVERYTHING&amp;vid=01CRU&amp;lang=en_US&amp;offset=0&amp;query=any,contains,991002673499702656","Catalog Record")</f>
        <v/>
      </c>
      <c r="AT2247">
        <f>HYPERLINK("http://www.worldcat.org/oclc/34958850","WorldCat Record")</f>
        <v/>
      </c>
      <c r="AU2247" t="inlineStr">
        <is>
          <t>937715:eng</t>
        </is>
      </c>
      <c r="AV2247" t="inlineStr">
        <is>
          <t>34958850</t>
        </is>
      </c>
      <c r="AW2247" t="inlineStr">
        <is>
          <t>991002673499702656</t>
        </is>
      </c>
      <c r="AX2247" t="inlineStr">
        <is>
          <t>991002673499702656</t>
        </is>
      </c>
      <c r="AY2247" t="inlineStr">
        <is>
          <t>2255062710002656</t>
        </is>
      </c>
      <c r="AZ2247" t="inlineStr">
        <is>
          <t>BOOK</t>
        </is>
      </c>
      <c r="BB2247" t="inlineStr">
        <is>
          <t>9781573921039</t>
        </is>
      </c>
      <c r="BC2247" t="inlineStr">
        <is>
          <t>32285002394343</t>
        </is>
      </c>
      <c r="BD2247" t="inlineStr">
        <is>
          <t>893415502</t>
        </is>
      </c>
    </row>
    <row r="2248">
      <c r="A2248" t="inlineStr">
        <is>
          <t>No</t>
        </is>
      </c>
      <c r="B2248" t="inlineStr">
        <is>
          <t>HQ76.3.U5 O523 1998</t>
        </is>
      </c>
      <c r="C2248" t="inlineStr">
        <is>
          <t>0                      HQ 0076300U  5                  O  523         1998</t>
        </is>
      </c>
      <c r="D2248" t="inlineStr">
        <is>
          <t>On the road to same-sex marriage : a supportive guide to psychological, political, and legal issues / Robert P. Cabaj, David W. Purcell, editors.</t>
        </is>
      </c>
      <c r="F2248" t="inlineStr">
        <is>
          <t>No</t>
        </is>
      </c>
      <c r="G2248" t="inlineStr">
        <is>
          <t>1</t>
        </is>
      </c>
      <c r="H2248" t="inlineStr">
        <is>
          <t>No</t>
        </is>
      </c>
      <c r="I2248" t="inlineStr">
        <is>
          <t>No</t>
        </is>
      </c>
      <c r="J2248" t="inlineStr">
        <is>
          <t>0</t>
        </is>
      </c>
      <c r="L2248" t="inlineStr">
        <is>
          <t>San Francisco : Jossey-Bass, c1998.</t>
        </is>
      </c>
      <c r="M2248" t="inlineStr">
        <is>
          <t>1998</t>
        </is>
      </c>
      <c r="O2248" t="inlineStr">
        <is>
          <t>eng</t>
        </is>
      </c>
      <c r="P2248" t="inlineStr">
        <is>
          <t>cau</t>
        </is>
      </c>
      <c r="R2248" t="inlineStr">
        <is>
          <t xml:space="preserve">HQ </t>
        </is>
      </c>
      <c r="S2248" t="n">
        <v>21</v>
      </c>
      <c r="T2248" t="n">
        <v>21</v>
      </c>
      <c r="U2248" t="inlineStr">
        <is>
          <t>2004-04-26</t>
        </is>
      </c>
      <c r="V2248" t="inlineStr">
        <is>
          <t>2004-04-26</t>
        </is>
      </c>
      <c r="W2248" t="inlineStr">
        <is>
          <t>1998-04-20</t>
        </is>
      </c>
      <c r="X2248" t="inlineStr">
        <is>
          <t>1998-04-20</t>
        </is>
      </c>
      <c r="Y2248" t="n">
        <v>432</v>
      </c>
      <c r="Z2248" t="n">
        <v>400</v>
      </c>
      <c r="AA2248" t="n">
        <v>408</v>
      </c>
      <c r="AB2248" t="n">
        <v>4</v>
      </c>
      <c r="AC2248" t="n">
        <v>4</v>
      </c>
      <c r="AD2248" t="n">
        <v>19</v>
      </c>
      <c r="AE2248" t="n">
        <v>19</v>
      </c>
      <c r="AF2248" t="n">
        <v>3</v>
      </c>
      <c r="AG2248" t="n">
        <v>3</v>
      </c>
      <c r="AH2248" t="n">
        <v>3</v>
      </c>
      <c r="AI2248" t="n">
        <v>3</v>
      </c>
      <c r="AJ2248" t="n">
        <v>8</v>
      </c>
      <c r="AK2248" t="n">
        <v>8</v>
      </c>
      <c r="AL2248" t="n">
        <v>3</v>
      </c>
      <c r="AM2248" t="n">
        <v>3</v>
      </c>
      <c r="AN2248" t="n">
        <v>5</v>
      </c>
      <c r="AO2248" t="n">
        <v>5</v>
      </c>
      <c r="AP2248" t="inlineStr">
        <is>
          <t>No</t>
        </is>
      </c>
      <c r="AQ2248" t="inlineStr">
        <is>
          <t>No</t>
        </is>
      </c>
      <c r="AS2248">
        <f>HYPERLINK("https://creighton-primo.hosted.exlibrisgroup.com/primo-explore/search?tab=default_tab&amp;search_scope=EVERYTHING&amp;vid=01CRU&amp;lang=en_US&amp;offset=0&amp;query=any,contains,991002823579702656","Catalog Record")</f>
        <v/>
      </c>
      <c r="AT2248">
        <f>HYPERLINK("http://www.worldcat.org/oclc/37157670","WorldCat Record")</f>
        <v/>
      </c>
      <c r="AU2248" t="inlineStr">
        <is>
          <t>477330435:eng</t>
        </is>
      </c>
      <c r="AV2248" t="inlineStr">
        <is>
          <t>37157670</t>
        </is>
      </c>
      <c r="AW2248" t="inlineStr">
        <is>
          <t>991002823579702656</t>
        </is>
      </c>
      <c r="AX2248" t="inlineStr">
        <is>
          <t>991002823579702656</t>
        </is>
      </c>
      <c r="AY2248" t="inlineStr">
        <is>
          <t>2271541360002656</t>
        </is>
      </c>
      <c r="AZ2248" t="inlineStr">
        <is>
          <t>BOOK</t>
        </is>
      </c>
      <c r="BB2248" t="inlineStr">
        <is>
          <t>9780787909628</t>
        </is>
      </c>
      <c r="BC2248" t="inlineStr">
        <is>
          <t>32285003375622</t>
        </is>
      </c>
      <c r="BD2248" t="inlineStr">
        <is>
          <t>893792963</t>
        </is>
      </c>
    </row>
    <row r="2249">
      <c r="A2249" t="inlineStr">
        <is>
          <t>No</t>
        </is>
      </c>
      <c r="B2249" t="inlineStr">
        <is>
          <t>HQ76.3.U5 O54 1983</t>
        </is>
      </c>
      <c r="C2249" t="inlineStr">
        <is>
          <t>0                      HQ 0076300U  5                  O  54          1983</t>
        </is>
      </c>
      <c r="D2249" t="inlineStr">
        <is>
          <t>One teenager in ten : writings by gay and lesbian youth / edited by Ann Heron.</t>
        </is>
      </c>
      <c r="F2249" t="inlineStr">
        <is>
          <t>No</t>
        </is>
      </c>
      <c r="G2249" t="inlineStr">
        <is>
          <t>1</t>
        </is>
      </c>
      <c r="H2249" t="inlineStr">
        <is>
          <t>No</t>
        </is>
      </c>
      <c r="I2249" t="inlineStr">
        <is>
          <t>No</t>
        </is>
      </c>
      <c r="J2249" t="inlineStr">
        <is>
          <t>0</t>
        </is>
      </c>
      <c r="L2249" t="inlineStr">
        <is>
          <t>Boston : Alyson Publications, 1983.</t>
        </is>
      </c>
      <c r="M2249" t="inlineStr">
        <is>
          <t>1983</t>
        </is>
      </c>
      <c r="N2249" t="inlineStr">
        <is>
          <t>1st ed.</t>
        </is>
      </c>
      <c r="O2249" t="inlineStr">
        <is>
          <t>eng</t>
        </is>
      </c>
      <c r="P2249" t="inlineStr">
        <is>
          <t>mau</t>
        </is>
      </c>
      <c r="R2249" t="inlineStr">
        <is>
          <t xml:space="preserve">HQ </t>
        </is>
      </c>
      <c r="S2249" t="n">
        <v>3</v>
      </c>
      <c r="T2249" t="n">
        <v>3</v>
      </c>
      <c r="U2249" t="inlineStr">
        <is>
          <t>2007-05-21</t>
        </is>
      </c>
      <c r="V2249" t="inlineStr">
        <is>
          <t>2007-05-21</t>
        </is>
      </c>
      <c r="W2249" t="inlineStr">
        <is>
          <t>1997-02-07</t>
        </is>
      </c>
      <c r="X2249" t="inlineStr">
        <is>
          <t>1997-02-07</t>
        </is>
      </c>
      <c r="Y2249" t="n">
        <v>368</v>
      </c>
      <c r="Z2249" t="n">
        <v>338</v>
      </c>
      <c r="AA2249" t="n">
        <v>376</v>
      </c>
      <c r="AB2249" t="n">
        <v>5</v>
      </c>
      <c r="AC2249" t="n">
        <v>5</v>
      </c>
      <c r="AD2249" t="n">
        <v>11</v>
      </c>
      <c r="AE2249" t="n">
        <v>11</v>
      </c>
      <c r="AF2249" t="n">
        <v>2</v>
      </c>
      <c r="AG2249" t="n">
        <v>2</v>
      </c>
      <c r="AH2249" t="n">
        <v>1</v>
      </c>
      <c r="AI2249" t="n">
        <v>1</v>
      </c>
      <c r="AJ2249" t="n">
        <v>4</v>
      </c>
      <c r="AK2249" t="n">
        <v>4</v>
      </c>
      <c r="AL2249" t="n">
        <v>4</v>
      </c>
      <c r="AM2249" t="n">
        <v>4</v>
      </c>
      <c r="AN2249" t="n">
        <v>0</v>
      </c>
      <c r="AO2249" t="n">
        <v>0</v>
      </c>
      <c r="AP2249" t="inlineStr">
        <is>
          <t>No</t>
        </is>
      </c>
      <c r="AQ2249" t="inlineStr">
        <is>
          <t>Yes</t>
        </is>
      </c>
      <c r="AR2249">
        <f>HYPERLINK("http://catalog.hathitrust.org/Record/001828267","HathiTrust Record")</f>
        <v/>
      </c>
      <c r="AS2249">
        <f>HYPERLINK("https://creighton-primo.hosted.exlibrisgroup.com/primo-explore/search?tab=default_tab&amp;search_scope=EVERYTHING&amp;vid=01CRU&amp;lang=en_US&amp;offset=0&amp;query=any,contains,991001675139702656","Catalog Record")</f>
        <v/>
      </c>
      <c r="AT2249">
        <f>HYPERLINK("http://www.worldcat.org/oclc/21329788","WorldCat Record")</f>
        <v/>
      </c>
      <c r="AU2249" t="inlineStr">
        <is>
          <t>54584331:eng</t>
        </is>
      </c>
      <c r="AV2249" t="inlineStr">
        <is>
          <t>21329788</t>
        </is>
      </c>
      <c r="AW2249" t="inlineStr">
        <is>
          <t>991001675139702656</t>
        </is>
      </c>
      <c r="AX2249" t="inlineStr">
        <is>
          <t>991001675139702656</t>
        </is>
      </c>
      <c r="AY2249" t="inlineStr">
        <is>
          <t>2266127840002656</t>
        </is>
      </c>
      <c r="AZ2249" t="inlineStr">
        <is>
          <t>BOOK</t>
        </is>
      </c>
      <c r="BB2249" t="inlineStr">
        <is>
          <t>9780932870261</t>
        </is>
      </c>
      <c r="BC2249" t="inlineStr">
        <is>
          <t>32285002414950</t>
        </is>
      </c>
      <c r="BD2249" t="inlineStr">
        <is>
          <t>893696930</t>
        </is>
      </c>
    </row>
    <row r="2250">
      <c r="A2250" t="inlineStr">
        <is>
          <t>No</t>
        </is>
      </c>
      <c r="B2250" t="inlineStr">
        <is>
          <t>HQ76.3.U5 O82 1996</t>
        </is>
      </c>
      <c r="C2250" t="inlineStr">
        <is>
          <t>0                      HQ 0076300U  5                  O  82          1996</t>
        </is>
      </c>
      <c r="D2250" t="inlineStr">
        <is>
          <t>Coming home to America : a roadmap to gay &amp; lesbian empowerment / Torie Osborn.</t>
        </is>
      </c>
      <c r="F2250" t="inlineStr">
        <is>
          <t>No</t>
        </is>
      </c>
      <c r="G2250" t="inlineStr">
        <is>
          <t>1</t>
        </is>
      </c>
      <c r="H2250" t="inlineStr">
        <is>
          <t>No</t>
        </is>
      </c>
      <c r="I2250" t="inlineStr">
        <is>
          <t>No</t>
        </is>
      </c>
      <c r="J2250" t="inlineStr">
        <is>
          <t>0</t>
        </is>
      </c>
      <c r="K2250" t="inlineStr">
        <is>
          <t>Osborn, Torie.</t>
        </is>
      </c>
      <c r="L2250" t="inlineStr">
        <is>
          <t>New York : St. Martin's Press, 1996.</t>
        </is>
      </c>
      <c r="M2250" t="inlineStr">
        <is>
          <t>1996</t>
        </is>
      </c>
      <c r="N2250" t="inlineStr">
        <is>
          <t>1st ed.</t>
        </is>
      </c>
      <c r="O2250" t="inlineStr">
        <is>
          <t>eng</t>
        </is>
      </c>
      <c r="P2250" t="inlineStr">
        <is>
          <t>nyu</t>
        </is>
      </c>
      <c r="R2250" t="inlineStr">
        <is>
          <t xml:space="preserve">HQ </t>
        </is>
      </c>
      <c r="S2250" t="n">
        <v>2</v>
      </c>
      <c r="T2250" t="n">
        <v>2</v>
      </c>
      <c r="U2250" t="inlineStr">
        <is>
          <t>2000-07-28</t>
        </is>
      </c>
      <c r="V2250" t="inlineStr">
        <is>
          <t>2000-07-28</t>
        </is>
      </c>
      <c r="W2250" t="inlineStr">
        <is>
          <t>1997-05-08</t>
        </is>
      </c>
      <c r="X2250" t="inlineStr">
        <is>
          <t>1997-05-08</t>
        </is>
      </c>
      <c r="Y2250" t="n">
        <v>216</v>
      </c>
      <c r="Z2250" t="n">
        <v>202</v>
      </c>
      <c r="AA2250" t="n">
        <v>222</v>
      </c>
      <c r="AB2250" t="n">
        <v>2</v>
      </c>
      <c r="AC2250" t="n">
        <v>2</v>
      </c>
      <c r="AD2250" t="n">
        <v>7</v>
      </c>
      <c r="AE2250" t="n">
        <v>7</v>
      </c>
      <c r="AF2250" t="n">
        <v>1</v>
      </c>
      <c r="AG2250" t="n">
        <v>1</v>
      </c>
      <c r="AH2250" t="n">
        <v>2</v>
      </c>
      <c r="AI2250" t="n">
        <v>2</v>
      </c>
      <c r="AJ2250" t="n">
        <v>5</v>
      </c>
      <c r="AK2250" t="n">
        <v>5</v>
      </c>
      <c r="AL2250" t="n">
        <v>1</v>
      </c>
      <c r="AM2250" t="n">
        <v>1</v>
      </c>
      <c r="AN2250" t="n">
        <v>0</v>
      </c>
      <c r="AO2250" t="n">
        <v>0</v>
      </c>
      <c r="AP2250" t="inlineStr">
        <is>
          <t>No</t>
        </is>
      </c>
      <c r="AQ2250" t="inlineStr">
        <is>
          <t>No</t>
        </is>
      </c>
      <c r="AS2250">
        <f>HYPERLINK("https://creighton-primo.hosted.exlibrisgroup.com/primo-explore/search?tab=default_tab&amp;search_scope=EVERYTHING&amp;vid=01CRU&amp;lang=en_US&amp;offset=0&amp;query=any,contains,991002650629702656","Catalog Record")</f>
        <v/>
      </c>
      <c r="AT2250">
        <f>HYPERLINK("http://www.worldcat.org/oclc/34669413","WorldCat Record")</f>
        <v/>
      </c>
      <c r="AU2250" t="inlineStr">
        <is>
          <t>608923:eng</t>
        </is>
      </c>
      <c r="AV2250" t="inlineStr">
        <is>
          <t>34669413</t>
        </is>
      </c>
      <c r="AW2250" t="inlineStr">
        <is>
          <t>991002650629702656</t>
        </is>
      </c>
      <c r="AX2250" t="inlineStr">
        <is>
          <t>991002650629702656</t>
        </is>
      </c>
      <c r="AY2250" t="inlineStr">
        <is>
          <t>2271274190002656</t>
        </is>
      </c>
      <c r="AZ2250" t="inlineStr">
        <is>
          <t>BOOK</t>
        </is>
      </c>
      <c r="BB2250" t="inlineStr">
        <is>
          <t>9780312145729</t>
        </is>
      </c>
      <c r="BC2250" t="inlineStr">
        <is>
          <t>32285002606217</t>
        </is>
      </c>
      <c r="BD2250" t="inlineStr">
        <is>
          <t>893792720</t>
        </is>
      </c>
    </row>
    <row r="2251">
      <c r="A2251" t="inlineStr">
        <is>
          <t>No</t>
        </is>
      </c>
      <c r="B2251" t="inlineStr">
        <is>
          <t>HQ76.3.U5 O996 1998</t>
        </is>
      </c>
      <c r="C2251" t="inlineStr">
        <is>
          <t>0                      HQ 0076300U  5                  O  996         1998</t>
        </is>
      </c>
      <c r="D2251" t="inlineStr">
        <is>
          <t>Queer kids : the challenges and promise for lesbian, gay, and bisexual youth / Robert E. Owens, Jr.</t>
        </is>
      </c>
      <c r="F2251" t="inlineStr">
        <is>
          <t>No</t>
        </is>
      </c>
      <c r="G2251" t="inlineStr">
        <is>
          <t>1</t>
        </is>
      </c>
      <c r="H2251" t="inlineStr">
        <is>
          <t>No</t>
        </is>
      </c>
      <c r="I2251" t="inlineStr">
        <is>
          <t>No</t>
        </is>
      </c>
      <c r="J2251" t="inlineStr">
        <is>
          <t>0</t>
        </is>
      </c>
      <c r="K2251" t="inlineStr">
        <is>
          <t>Owens, Robert E., Jr., 1944-</t>
        </is>
      </c>
      <c r="L2251" t="inlineStr">
        <is>
          <t>New York : Haworth Press, c1998.</t>
        </is>
      </c>
      <c r="M2251" t="inlineStr">
        <is>
          <t>1998</t>
        </is>
      </c>
      <c r="O2251" t="inlineStr">
        <is>
          <t>eng</t>
        </is>
      </c>
      <c r="P2251" t="inlineStr">
        <is>
          <t>nyu</t>
        </is>
      </c>
      <c r="Q2251" t="inlineStr">
        <is>
          <t>Haworth gay &amp; lesbian studies</t>
        </is>
      </c>
      <c r="R2251" t="inlineStr">
        <is>
          <t xml:space="preserve">HQ </t>
        </is>
      </c>
      <c r="S2251" t="n">
        <v>12</v>
      </c>
      <c r="T2251" t="n">
        <v>12</v>
      </c>
      <c r="U2251" t="inlineStr">
        <is>
          <t>2009-11-24</t>
        </is>
      </c>
      <c r="V2251" t="inlineStr">
        <is>
          <t>2009-11-24</t>
        </is>
      </c>
      <c r="W2251" t="inlineStr">
        <is>
          <t>1998-08-20</t>
        </is>
      </c>
      <c r="X2251" t="inlineStr">
        <is>
          <t>1998-08-20</t>
        </is>
      </c>
      <c r="Y2251" t="n">
        <v>363</v>
      </c>
      <c r="Z2251" t="n">
        <v>311</v>
      </c>
      <c r="AA2251" t="n">
        <v>400</v>
      </c>
      <c r="AB2251" t="n">
        <v>3</v>
      </c>
      <c r="AC2251" t="n">
        <v>3</v>
      </c>
      <c r="AD2251" t="n">
        <v>18</v>
      </c>
      <c r="AE2251" t="n">
        <v>18</v>
      </c>
      <c r="AF2251" t="n">
        <v>5</v>
      </c>
      <c r="AG2251" t="n">
        <v>5</v>
      </c>
      <c r="AH2251" t="n">
        <v>4</v>
      </c>
      <c r="AI2251" t="n">
        <v>4</v>
      </c>
      <c r="AJ2251" t="n">
        <v>11</v>
      </c>
      <c r="AK2251" t="n">
        <v>11</v>
      </c>
      <c r="AL2251" t="n">
        <v>2</v>
      </c>
      <c r="AM2251" t="n">
        <v>2</v>
      </c>
      <c r="AN2251" t="n">
        <v>0</v>
      </c>
      <c r="AO2251" t="n">
        <v>0</v>
      </c>
      <c r="AP2251" t="inlineStr">
        <is>
          <t>No</t>
        </is>
      </c>
      <c r="AQ2251" t="inlineStr">
        <is>
          <t>No</t>
        </is>
      </c>
      <c r="AS2251">
        <f>HYPERLINK("https://creighton-primo.hosted.exlibrisgroup.com/primo-explore/search?tab=default_tab&amp;search_scope=EVERYTHING&amp;vid=01CRU&amp;lang=en_US&amp;offset=0&amp;query=any,contains,991002874879702656","Catalog Record")</f>
        <v/>
      </c>
      <c r="AT2251">
        <f>HYPERLINK("http://www.worldcat.org/oclc/37884776","WorldCat Record")</f>
        <v/>
      </c>
      <c r="AU2251" t="inlineStr">
        <is>
          <t>604574:eng</t>
        </is>
      </c>
      <c r="AV2251" t="inlineStr">
        <is>
          <t>37884776</t>
        </is>
      </c>
      <c r="AW2251" t="inlineStr">
        <is>
          <t>991002874879702656</t>
        </is>
      </c>
      <c r="AX2251" t="inlineStr">
        <is>
          <t>991002874879702656</t>
        </is>
      </c>
      <c r="AY2251" t="inlineStr">
        <is>
          <t>2267103900002656</t>
        </is>
      </c>
      <c r="AZ2251" t="inlineStr">
        <is>
          <t>BOOK</t>
        </is>
      </c>
      <c r="BB2251" t="inlineStr">
        <is>
          <t>9780789004390</t>
        </is>
      </c>
      <c r="BC2251" t="inlineStr">
        <is>
          <t>32285005552335</t>
        </is>
      </c>
      <c r="BD2251" t="inlineStr">
        <is>
          <t>893440633</t>
        </is>
      </c>
    </row>
    <row r="2252">
      <c r="A2252" t="inlineStr">
        <is>
          <t>No</t>
        </is>
      </c>
      <c r="B2252" t="inlineStr">
        <is>
          <t>HQ76.3.U5 P64 1996</t>
        </is>
      </c>
      <c r="C2252" t="inlineStr">
        <is>
          <t>0                      HQ 0076300U  5                  P  64          1996</t>
        </is>
      </c>
      <c r="D2252" t="inlineStr">
        <is>
          <t>Policing public sex : queer politics and the future of AIDS activism / edited by Dangerous Bedfellows.</t>
        </is>
      </c>
      <c r="F2252" t="inlineStr">
        <is>
          <t>No</t>
        </is>
      </c>
      <c r="G2252" t="inlineStr">
        <is>
          <t>1</t>
        </is>
      </c>
      <c r="H2252" t="inlineStr">
        <is>
          <t>No</t>
        </is>
      </c>
      <c r="I2252" t="inlineStr">
        <is>
          <t>No</t>
        </is>
      </c>
      <c r="J2252" t="inlineStr">
        <is>
          <t>0</t>
        </is>
      </c>
      <c r="L2252" t="inlineStr">
        <is>
          <t>Boston, MA : South End Press, c1996.</t>
        </is>
      </c>
      <c r="M2252" t="inlineStr">
        <is>
          <t>1996</t>
        </is>
      </c>
      <c r="O2252" t="inlineStr">
        <is>
          <t>eng</t>
        </is>
      </c>
      <c r="P2252" t="inlineStr">
        <is>
          <t>mau</t>
        </is>
      </c>
      <c r="R2252" t="inlineStr">
        <is>
          <t xml:space="preserve">HQ </t>
        </is>
      </c>
      <c r="S2252" t="n">
        <v>11</v>
      </c>
      <c r="T2252" t="n">
        <v>11</v>
      </c>
      <c r="U2252" t="inlineStr">
        <is>
          <t>2004-11-11</t>
        </is>
      </c>
      <c r="V2252" t="inlineStr">
        <is>
          <t>2004-11-11</t>
        </is>
      </c>
      <c r="W2252" t="inlineStr">
        <is>
          <t>1997-02-14</t>
        </is>
      </c>
      <c r="X2252" t="inlineStr">
        <is>
          <t>1997-02-14</t>
        </is>
      </c>
      <c r="Y2252" t="n">
        <v>350</v>
      </c>
      <c r="Z2252" t="n">
        <v>296</v>
      </c>
      <c r="AA2252" t="n">
        <v>337</v>
      </c>
      <c r="AB2252" t="n">
        <v>1</v>
      </c>
      <c r="AC2252" t="n">
        <v>1</v>
      </c>
      <c r="AD2252" t="n">
        <v>10</v>
      </c>
      <c r="AE2252" t="n">
        <v>12</v>
      </c>
      <c r="AF2252" t="n">
        <v>3</v>
      </c>
      <c r="AG2252" t="n">
        <v>5</v>
      </c>
      <c r="AH2252" t="n">
        <v>2</v>
      </c>
      <c r="AI2252" t="n">
        <v>2</v>
      </c>
      <c r="AJ2252" t="n">
        <v>5</v>
      </c>
      <c r="AK2252" t="n">
        <v>5</v>
      </c>
      <c r="AL2252" t="n">
        <v>0</v>
      </c>
      <c r="AM2252" t="n">
        <v>0</v>
      </c>
      <c r="AN2252" t="n">
        <v>3</v>
      </c>
      <c r="AO2252" t="n">
        <v>3</v>
      </c>
      <c r="AP2252" t="inlineStr">
        <is>
          <t>No</t>
        </is>
      </c>
      <c r="AQ2252" t="inlineStr">
        <is>
          <t>Yes</t>
        </is>
      </c>
      <c r="AR2252">
        <f>HYPERLINK("http://catalog.hathitrust.org/Record/003131501","HathiTrust Record")</f>
        <v/>
      </c>
      <c r="AS2252">
        <f>HYPERLINK("https://creighton-primo.hosted.exlibrisgroup.com/primo-explore/search?tab=default_tab&amp;search_scope=EVERYTHING&amp;vid=01CRU&amp;lang=en_US&amp;offset=0&amp;query=any,contains,991002627529702656","Catalog Record")</f>
        <v/>
      </c>
      <c r="AT2252">
        <f>HYPERLINK("http://www.worldcat.org/oclc/34471078","WorldCat Record")</f>
        <v/>
      </c>
      <c r="AU2252" t="inlineStr">
        <is>
          <t>916543192:eng</t>
        </is>
      </c>
      <c r="AV2252" t="inlineStr">
        <is>
          <t>34471078</t>
        </is>
      </c>
      <c r="AW2252" t="inlineStr">
        <is>
          <t>991002627529702656</t>
        </is>
      </c>
      <c r="AX2252" t="inlineStr">
        <is>
          <t>991002627529702656</t>
        </is>
      </c>
      <c r="AY2252" t="inlineStr">
        <is>
          <t>2264466070002656</t>
        </is>
      </c>
      <c r="AZ2252" t="inlineStr">
        <is>
          <t>BOOK</t>
        </is>
      </c>
      <c r="BB2252" t="inlineStr">
        <is>
          <t>9780896085497</t>
        </is>
      </c>
      <c r="BC2252" t="inlineStr">
        <is>
          <t>32285002431350</t>
        </is>
      </c>
      <c r="BD2252" t="inlineStr">
        <is>
          <t>893415435</t>
        </is>
      </c>
    </row>
    <row r="2253">
      <c r="A2253" t="inlineStr">
        <is>
          <t>No</t>
        </is>
      </c>
      <c r="B2253" t="inlineStr">
        <is>
          <t>HQ76.3.U5 P65 1995</t>
        </is>
      </c>
      <c r="C2253" t="inlineStr">
        <is>
          <t>0                      HQ 0076300U  5                  P  65          1995</t>
        </is>
      </c>
      <c r="D2253" t="inlineStr">
        <is>
          <t>Lesbian and gay families : redefining parenting in America / by Jill S. Pollack.</t>
        </is>
      </c>
      <c r="F2253" t="inlineStr">
        <is>
          <t>No</t>
        </is>
      </c>
      <c r="G2253" t="inlineStr">
        <is>
          <t>1</t>
        </is>
      </c>
      <c r="H2253" t="inlineStr">
        <is>
          <t>No</t>
        </is>
      </c>
      <c r="I2253" t="inlineStr">
        <is>
          <t>No</t>
        </is>
      </c>
      <c r="J2253" t="inlineStr">
        <is>
          <t>0</t>
        </is>
      </c>
      <c r="K2253" t="inlineStr">
        <is>
          <t>Pollack, Jill S.</t>
        </is>
      </c>
      <c r="L2253" t="inlineStr">
        <is>
          <t>New York : F. Watts, c1995.</t>
        </is>
      </c>
      <c r="M2253" t="inlineStr">
        <is>
          <t>1995</t>
        </is>
      </c>
      <c r="O2253" t="inlineStr">
        <is>
          <t>eng</t>
        </is>
      </c>
      <c r="P2253" t="inlineStr">
        <is>
          <t>nyu</t>
        </is>
      </c>
      <c r="Q2253" t="inlineStr">
        <is>
          <t>The changing family</t>
        </is>
      </c>
      <c r="R2253" t="inlineStr">
        <is>
          <t xml:space="preserve">HQ </t>
        </is>
      </c>
      <c r="S2253" t="n">
        <v>20</v>
      </c>
      <c r="T2253" t="n">
        <v>20</v>
      </c>
      <c r="U2253" t="inlineStr">
        <is>
          <t>2006-04-25</t>
        </is>
      </c>
      <c r="V2253" t="inlineStr">
        <is>
          <t>2006-04-25</t>
        </is>
      </c>
      <c r="W2253" t="inlineStr">
        <is>
          <t>1996-10-01</t>
        </is>
      </c>
      <c r="X2253" t="inlineStr">
        <is>
          <t>1996-10-01</t>
        </is>
      </c>
      <c r="Y2253" t="n">
        <v>161</v>
      </c>
      <c r="Z2253" t="n">
        <v>143</v>
      </c>
      <c r="AA2253" t="n">
        <v>149</v>
      </c>
      <c r="AB2253" t="n">
        <v>4</v>
      </c>
      <c r="AC2253" t="n">
        <v>4</v>
      </c>
      <c r="AD2253" t="n">
        <v>3</v>
      </c>
      <c r="AE2253" t="n">
        <v>3</v>
      </c>
      <c r="AF2253" t="n">
        <v>0</v>
      </c>
      <c r="AG2253" t="n">
        <v>0</v>
      </c>
      <c r="AH2253" t="n">
        <v>0</v>
      </c>
      <c r="AI2253" t="n">
        <v>0</v>
      </c>
      <c r="AJ2253" t="n">
        <v>1</v>
      </c>
      <c r="AK2253" t="n">
        <v>1</v>
      </c>
      <c r="AL2253" t="n">
        <v>2</v>
      </c>
      <c r="AM2253" t="n">
        <v>2</v>
      </c>
      <c r="AN2253" t="n">
        <v>0</v>
      </c>
      <c r="AO2253" t="n">
        <v>0</v>
      </c>
      <c r="AP2253" t="inlineStr">
        <is>
          <t>No</t>
        </is>
      </c>
      <c r="AQ2253" t="inlineStr">
        <is>
          <t>No</t>
        </is>
      </c>
      <c r="AS2253">
        <f>HYPERLINK("https://creighton-primo.hosted.exlibrisgroup.com/primo-explore/search?tab=default_tab&amp;search_scope=EVERYTHING&amp;vid=01CRU&amp;lang=en_US&amp;offset=0&amp;query=any,contains,991002416749702656","Catalog Record")</f>
        <v/>
      </c>
      <c r="AT2253">
        <f>HYPERLINK("http://www.worldcat.org/oclc/31435985","WorldCat Record")</f>
        <v/>
      </c>
      <c r="AU2253" t="inlineStr">
        <is>
          <t>33678422:eng</t>
        </is>
      </c>
      <c r="AV2253" t="inlineStr">
        <is>
          <t>31435985</t>
        </is>
      </c>
      <c r="AW2253" t="inlineStr">
        <is>
          <t>991002416749702656</t>
        </is>
      </c>
      <c r="AX2253" t="inlineStr">
        <is>
          <t>991002416749702656</t>
        </is>
      </c>
      <c r="AY2253" t="inlineStr">
        <is>
          <t>2262146080002656</t>
        </is>
      </c>
      <c r="AZ2253" t="inlineStr">
        <is>
          <t>BOOK</t>
        </is>
      </c>
      <c r="BB2253" t="inlineStr">
        <is>
          <t>9780531112076</t>
        </is>
      </c>
      <c r="BC2253" t="inlineStr">
        <is>
          <t>32285002321403</t>
        </is>
      </c>
      <c r="BD2253" t="inlineStr">
        <is>
          <t>893251188</t>
        </is>
      </c>
    </row>
    <row r="2254">
      <c r="A2254" t="inlineStr">
        <is>
          <t>No</t>
        </is>
      </c>
      <c r="B2254" t="inlineStr">
        <is>
          <t>HQ76.3.U5 Q445 1997</t>
        </is>
      </c>
      <c r="C2254" t="inlineStr">
        <is>
          <t>0                      HQ 0076300U  5                  Q  445         1997</t>
        </is>
      </c>
      <c r="D2254" t="inlineStr">
        <is>
          <t>Queerly classed / edited by Susan Raffo.</t>
        </is>
      </c>
      <c r="F2254" t="inlineStr">
        <is>
          <t>No</t>
        </is>
      </c>
      <c r="G2254" t="inlineStr">
        <is>
          <t>1</t>
        </is>
      </c>
      <c r="H2254" t="inlineStr">
        <is>
          <t>No</t>
        </is>
      </c>
      <c r="I2254" t="inlineStr">
        <is>
          <t>No</t>
        </is>
      </c>
      <c r="J2254" t="inlineStr">
        <is>
          <t>0</t>
        </is>
      </c>
      <c r="L2254" t="inlineStr">
        <is>
          <t>Boston, MA : South End Press, c1997.</t>
        </is>
      </c>
      <c r="M2254" t="inlineStr">
        <is>
          <t>1997</t>
        </is>
      </c>
      <c r="O2254" t="inlineStr">
        <is>
          <t>eng</t>
        </is>
      </c>
      <c r="P2254" t="inlineStr">
        <is>
          <t>mau</t>
        </is>
      </c>
      <c r="R2254" t="inlineStr">
        <is>
          <t xml:space="preserve">HQ </t>
        </is>
      </c>
      <c r="S2254" t="n">
        <v>3</v>
      </c>
      <c r="T2254" t="n">
        <v>3</v>
      </c>
      <c r="U2254" t="inlineStr">
        <is>
          <t>2006-04-22</t>
        </is>
      </c>
      <c r="V2254" t="inlineStr">
        <is>
          <t>2006-04-22</t>
        </is>
      </c>
      <c r="W2254" t="inlineStr">
        <is>
          <t>1998-04-13</t>
        </is>
      </c>
      <c r="X2254" t="inlineStr">
        <is>
          <t>1998-04-13</t>
        </is>
      </c>
      <c r="Y2254" t="n">
        <v>332</v>
      </c>
      <c r="Z2254" t="n">
        <v>306</v>
      </c>
      <c r="AA2254" t="n">
        <v>345</v>
      </c>
      <c r="AB2254" t="n">
        <v>2</v>
      </c>
      <c r="AC2254" t="n">
        <v>2</v>
      </c>
      <c r="AD2254" t="n">
        <v>17</v>
      </c>
      <c r="AE2254" t="n">
        <v>18</v>
      </c>
      <c r="AF2254" t="n">
        <v>7</v>
      </c>
      <c r="AG2254" t="n">
        <v>8</v>
      </c>
      <c r="AH2254" t="n">
        <v>2</v>
      </c>
      <c r="AI2254" t="n">
        <v>2</v>
      </c>
      <c r="AJ2254" t="n">
        <v>11</v>
      </c>
      <c r="AK2254" t="n">
        <v>11</v>
      </c>
      <c r="AL2254" t="n">
        <v>1</v>
      </c>
      <c r="AM2254" t="n">
        <v>1</v>
      </c>
      <c r="AN2254" t="n">
        <v>0</v>
      </c>
      <c r="AO2254" t="n">
        <v>0</v>
      </c>
      <c r="AP2254" t="inlineStr">
        <is>
          <t>No</t>
        </is>
      </c>
      <c r="AQ2254" t="inlineStr">
        <is>
          <t>No</t>
        </is>
      </c>
      <c r="AS2254">
        <f>HYPERLINK("https://creighton-primo.hosted.exlibrisgroup.com/primo-explore/search?tab=default_tab&amp;search_scope=EVERYTHING&amp;vid=01CRU&amp;lang=en_US&amp;offset=0&amp;query=any,contains,991002715729702656","Catalog Record")</f>
        <v/>
      </c>
      <c r="AT2254">
        <f>HYPERLINK("http://www.worldcat.org/oclc/35627635","WorldCat Record")</f>
        <v/>
      </c>
      <c r="AU2254" t="inlineStr">
        <is>
          <t>40716606:eng</t>
        </is>
      </c>
      <c r="AV2254" t="inlineStr">
        <is>
          <t>35627635</t>
        </is>
      </c>
      <c r="AW2254" t="inlineStr">
        <is>
          <t>991002715729702656</t>
        </is>
      </c>
      <c r="AX2254" t="inlineStr">
        <is>
          <t>991002715729702656</t>
        </is>
      </c>
      <c r="AY2254" t="inlineStr">
        <is>
          <t>2264748700002656</t>
        </is>
      </c>
      <c r="AZ2254" t="inlineStr">
        <is>
          <t>BOOK</t>
        </is>
      </c>
      <c r="BB2254" t="inlineStr">
        <is>
          <t>9780896085619</t>
        </is>
      </c>
      <c r="BC2254" t="inlineStr">
        <is>
          <t>32285003384202</t>
        </is>
      </c>
      <c r="BD2254" t="inlineStr">
        <is>
          <t>893329439</t>
        </is>
      </c>
    </row>
    <row r="2255">
      <c r="A2255" t="inlineStr">
        <is>
          <t>No</t>
        </is>
      </c>
      <c r="B2255" t="inlineStr">
        <is>
          <t>HQ76.3.U5 R57 1992b</t>
        </is>
      </c>
      <c r="C2255" t="inlineStr">
        <is>
          <t>0                      HQ 0076300U  5                  R  57          1992b</t>
        </is>
      </c>
      <c r="D2255" t="inlineStr">
        <is>
          <t>Heartlands : a gay man's odyssey across America / Darrell Yates Rist.</t>
        </is>
      </c>
      <c r="F2255" t="inlineStr">
        <is>
          <t>No</t>
        </is>
      </c>
      <c r="G2255" t="inlineStr">
        <is>
          <t>1</t>
        </is>
      </c>
      <c r="H2255" t="inlineStr">
        <is>
          <t>No</t>
        </is>
      </c>
      <c r="I2255" t="inlineStr">
        <is>
          <t>No</t>
        </is>
      </c>
      <c r="J2255" t="inlineStr">
        <is>
          <t>0</t>
        </is>
      </c>
      <c r="K2255" t="inlineStr">
        <is>
          <t>Rist, Darrell Yates.</t>
        </is>
      </c>
      <c r="L2255" t="inlineStr">
        <is>
          <t>New York : Plume, c1992</t>
        </is>
      </c>
      <c r="M2255" t="inlineStr">
        <is>
          <t>1992</t>
        </is>
      </c>
      <c r="O2255" t="inlineStr">
        <is>
          <t>eng</t>
        </is>
      </c>
      <c r="P2255" t="inlineStr">
        <is>
          <t>nyu</t>
        </is>
      </c>
      <c r="R2255" t="inlineStr">
        <is>
          <t xml:space="preserve">HQ </t>
        </is>
      </c>
      <c r="S2255" t="n">
        <v>1</v>
      </c>
      <c r="T2255" t="n">
        <v>1</v>
      </c>
      <c r="U2255" t="inlineStr">
        <is>
          <t>2000-05-26</t>
        </is>
      </c>
      <c r="V2255" t="inlineStr">
        <is>
          <t>2000-05-26</t>
        </is>
      </c>
      <c r="W2255" t="inlineStr">
        <is>
          <t>1997-03-25</t>
        </is>
      </c>
      <c r="X2255" t="inlineStr">
        <is>
          <t>1997-03-25</t>
        </is>
      </c>
      <c r="Y2255" t="n">
        <v>65</v>
      </c>
      <c r="Z2255" t="n">
        <v>64</v>
      </c>
      <c r="AA2255" t="n">
        <v>368</v>
      </c>
      <c r="AB2255" t="n">
        <v>3</v>
      </c>
      <c r="AC2255" t="n">
        <v>6</v>
      </c>
      <c r="AD2255" t="n">
        <v>3</v>
      </c>
      <c r="AE2255" t="n">
        <v>10</v>
      </c>
      <c r="AF2255" t="n">
        <v>0</v>
      </c>
      <c r="AG2255" t="n">
        <v>1</v>
      </c>
      <c r="AH2255" t="n">
        <v>1</v>
      </c>
      <c r="AI2255" t="n">
        <v>2</v>
      </c>
      <c r="AJ2255" t="n">
        <v>0</v>
      </c>
      <c r="AK2255" t="n">
        <v>6</v>
      </c>
      <c r="AL2255" t="n">
        <v>2</v>
      </c>
      <c r="AM2255" t="n">
        <v>3</v>
      </c>
      <c r="AN2255" t="n">
        <v>0</v>
      </c>
      <c r="AO2255" t="n">
        <v>0</v>
      </c>
      <c r="AP2255" t="inlineStr">
        <is>
          <t>No</t>
        </is>
      </c>
      <c r="AQ2255" t="inlineStr">
        <is>
          <t>Yes</t>
        </is>
      </c>
      <c r="AR2255">
        <f>HYPERLINK("http://catalog.hathitrust.org/Record/007572096","HathiTrust Record")</f>
        <v/>
      </c>
      <c r="AS2255">
        <f>HYPERLINK("https://creighton-primo.hosted.exlibrisgroup.com/primo-explore/search?tab=default_tab&amp;search_scope=EVERYTHING&amp;vid=01CRU&amp;lang=en_US&amp;offset=0&amp;query=any,contains,991005416929702656","Catalog Record")</f>
        <v/>
      </c>
      <c r="AT2255">
        <f>HYPERLINK("http://www.worldcat.org/oclc/28064351","WorldCat Record")</f>
        <v/>
      </c>
      <c r="AU2255" t="inlineStr">
        <is>
          <t>339717:eng</t>
        </is>
      </c>
      <c r="AV2255" t="inlineStr">
        <is>
          <t>28064351</t>
        </is>
      </c>
      <c r="AW2255" t="inlineStr">
        <is>
          <t>991005416929702656</t>
        </is>
      </c>
      <c r="AX2255" t="inlineStr">
        <is>
          <t>991005416929702656</t>
        </is>
      </c>
      <c r="AY2255" t="inlineStr">
        <is>
          <t>2254857170002656</t>
        </is>
      </c>
      <c r="AZ2255" t="inlineStr">
        <is>
          <t>BOOK</t>
        </is>
      </c>
      <c r="BB2255" t="inlineStr">
        <is>
          <t>9780452270374</t>
        </is>
      </c>
      <c r="BC2255" t="inlineStr">
        <is>
          <t>32285002475902</t>
        </is>
      </c>
      <c r="BD2255" t="inlineStr">
        <is>
          <t>893412864</t>
        </is>
      </c>
    </row>
    <row r="2256">
      <c r="A2256" t="inlineStr">
        <is>
          <t>No</t>
        </is>
      </c>
      <c r="B2256" t="inlineStr">
        <is>
          <t>HQ76.3.U5 R69</t>
        </is>
      </c>
      <c r="C2256" t="inlineStr">
        <is>
          <t>0                      HQ 0076300U  5                  R  69</t>
        </is>
      </c>
      <c r="D2256" t="inlineStr">
        <is>
          <t>Sexual experience between men and boys : exploring the pederast underground / Parker Rossman.</t>
        </is>
      </c>
      <c r="F2256" t="inlineStr">
        <is>
          <t>No</t>
        </is>
      </c>
      <c r="G2256" t="inlineStr">
        <is>
          <t>1</t>
        </is>
      </c>
      <c r="H2256" t="inlineStr">
        <is>
          <t>No</t>
        </is>
      </c>
      <c r="I2256" t="inlineStr">
        <is>
          <t>No</t>
        </is>
      </c>
      <c r="J2256" t="inlineStr">
        <is>
          <t>0</t>
        </is>
      </c>
      <c r="K2256" t="inlineStr">
        <is>
          <t>Rossman, Parker.</t>
        </is>
      </c>
      <c r="L2256" t="inlineStr">
        <is>
          <t>New York : Association Press, c1976.</t>
        </is>
      </c>
      <c r="M2256" t="inlineStr">
        <is>
          <t>1976</t>
        </is>
      </c>
      <c r="O2256" t="inlineStr">
        <is>
          <t>eng</t>
        </is>
      </c>
      <c r="P2256" t="inlineStr">
        <is>
          <t>nyu</t>
        </is>
      </c>
      <c r="R2256" t="inlineStr">
        <is>
          <t xml:space="preserve">HQ </t>
        </is>
      </c>
      <c r="S2256" t="n">
        <v>2</v>
      </c>
      <c r="T2256" t="n">
        <v>2</v>
      </c>
      <c r="U2256" t="inlineStr">
        <is>
          <t>1993-06-09</t>
        </is>
      </c>
      <c r="V2256" t="inlineStr">
        <is>
          <t>1993-06-09</t>
        </is>
      </c>
      <c r="W2256" t="inlineStr">
        <is>
          <t>1993-01-13</t>
        </is>
      </c>
      <c r="X2256" t="inlineStr">
        <is>
          <t>1993-01-13</t>
        </is>
      </c>
      <c r="Y2256" t="n">
        <v>312</v>
      </c>
      <c r="Z2256" t="n">
        <v>272</v>
      </c>
      <c r="AA2256" t="n">
        <v>284</v>
      </c>
      <c r="AB2256" t="n">
        <v>4</v>
      </c>
      <c r="AC2256" t="n">
        <v>4</v>
      </c>
      <c r="AD2256" t="n">
        <v>9</v>
      </c>
      <c r="AE2256" t="n">
        <v>10</v>
      </c>
      <c r="AF2256" t="n">
        <v>3</v>
      </c>
      <c r="AG2256" t="n">
        <v>3</v>
      </c>
      <c r="AH2256" t="n">
        <v>0</v>
      </c>
      <c r="AI2256" t="n">
        <v>0</v>
      </c>
      <c r="AJ2256" t="n">
        <v>5</v>
      </c>
      <c r="AK2256" t="n">
        <v>6</v>
      </c>
      <c r="AL2256" t="n">
        <v>3</v>
      </c>
      <c r="AM2256" t="n">
        <v>3</v>
      </c>
      <c r="AN2256" t="n">
        <v>0</v>
      </c>
      <c r="AO2256" t="n">
        <v>0</v>
      </c>
      <c r="AP2256" t="inlineStr">
        <is>
          <t>No</t>
        </is>
      </c>
      <c r="AQ2256" t="inlineStr">
        <is>
          <t>Yes</t>
        </is>
      </c>
      <c r="AR2256">
        <f>HYPERLINK("http://catalog.hathitrust.org/Record/000728361","HathiTrust Record")</f>
        <v/>
      </c>
      <c r="AS2256">
        <f>HYPERLINK("https://creighton-primo.hosted.exlibrisgroup.com/primo-explore/search?tab=default_tab&amp;search_scope=EVERYTHING&amp;vid=01CRU&amp;lang=en_US&amp;offset=0&amp;query=any,contains,991004011889702656","Catalog Record")</f>
        <v/>
      </c>
      <c r="AT2256">
        <f>HYPERLINK("http://www.worldcat.org/oclc/2091704","WorldCat Record")</f>
        <v/>
      </c>
      <c r="AU2256" t="inlineStr">
        <is>
          <t>5529076:eng</t>
        </is>
      </c>
      <c r="AV2256" t="inlineStr">
        <is>
          <t>2091704</t>
        </is>
      </c>
      <c r="AW2256" t="inlineStr">
        <is>
          <t>991004011889702656</t>
        </is>
      </c>
      <c r="AX2256" t="inlineStr">
        <is>
          <t>991004011889702656</t>
        </is>
      </c>
      <c r="AY2256" t="inlineStr">
        <is>
          <t>2269162190002656</t>
        </is>
      </c>
      <c r="AZ2256" t="inlineStr">
        <is>
          <t>BOOK</t>
        </is>
      </c>
      <c r="BB2256" t="inlineStr">
        <is>
          <t>9780809619115</t>
        </is>
      </c>
      <c r="BC2256" t="inlineStr">
        <is>
          <t>32285001445484</t>
        </is>
      </c>
      <c r="BD2256" t="inlineStr">
        <is>
          <t>893423268</t>
        </is>
      </c>
    </row>
    <row r="2257">
      <c r="A2257" t="inlineStr">
        <is>
          <t>No</t>
        </is>
      </c>
      <c r="B2257" t="inlineStr">
        <is>
          <t>HQ76.3.U5 R86 1999</t>
        </is>
      </c>
      <c r="C2257" t="inlineStr">
        <is>
          <t>0                      HQ 0076300U  5                  R  86          1999</t>
        </is>
      </c>
      <c r="D2257" t="inlineStr">
        <is>
          <t>A desired past : a short history of same-sex love in America / Leila J. Rupp.</t>
        </is>
      </c>
      <c r="F2257" t="inlineStr">
        <is>
          <t>No</t>
        </is>
      </c>
      <c r="G2257" t="inlineStr">
        <is>
          <t>1</t>
        </is>
      </c>
      <c r="H2257" t="inlineStr">
        <is>
          <t>No</t>
        </is>
      </c>
      <c r="I2257" t="inlineStr">
        <is>
          <t>No</t>
        </is>
      </c>
      <c r="J2257" t="inlineStr">
        <is>
          <t>0</t>
        </is>
      </c>
      <c r="K2257" t="inlineStr">
        <is>
          <t>Rupp, Leila J., 1950-</t>
        </is>
      </c>
      <c r="L2257" t="inlineStr">
        <is>
          <t>Chicago : University of Chicago Press, 1999.</t>
        </is>
      </c>
      <c r="M2257" t="inlineStr">
        <is>
          <t>1999</t>
        </is>
      </c>
      <c r="O2257" t="inlineStr">
        <is>
          <t>eng</t>
        </is>
      </c>
      <c r="P2257" t="inlineStr">
        <is>
          <t>ilu</t>
        </is>
      </c>
      <c r="R2257" t="inlineStr">
        <is>
          <t xml:space="preserve">HQ </t>
        </is>
      </c>
      <c r="S2257" t="n">
        <v>2</v>
      </c>
      <c r="T2257" t="n">
        <v>2</v>
      </c>
      <c r="U2257" t="inlineStr">
        <is>
          <t>2006-03-22</t>
        </is>
      </c>
      <c r="V2257" t="inlineStr">
        <is>
          <t>2006-03-22</t>
        </is>
      </c>
      <c r="W2257" t="inlineStr">
        <is>
          <t>2000-09-11</t>
        </is>
      </c>
      <c r="X2257" t="inlineStr">
        <is>
          <t>2000-09-11</t>
        </is>
      </c>
      <c r="Y2257" t="n">
        <v>905</v>
      </c>
      <c r="Z2257" t="n">
        <v>820</v>
      </c>
      <c r="AA2257" t="n">
        <v>820</v>
      </c>
      <c r="AB2257" t="n">
        <v>5</v>
      </c>
      <c r="AC2257" t="n">
        <v>5</v>
      </c>
      <c r="AD2257" t="n">
        <v>39</v>
      </c>
      <c r="AE2257" t="n">
        <v>39</v>
      </c>
      <c r="AF2257" t="n">
        <v>17</v>
      </c>
      <c r="AG2257" t="n">
        <v>17</v>
      </c>
      <c r="AH2257" t="n">
        <v>7</v>
      </c>
      <c r="AI2257" t="n">
        <v>7</v>
      </c>
      <c r="AJ2257" t="n">
        <v>21</v>
      </c>
      <c r="AK2257" t="n">
        <v>21</v>
      </c>
      <c r="AL2257" t="n">
        <v>4</v>
      </c>
      <c r="AM2257" t="n">
        <v>4</v>
      </c>
      <c r="AN2257" t="n">
        <v>1</v>
      </c>
      <c r="AO2257" t="n">
        <v>1</v>
      </c>
      <c r="AP2257" t="inlineStr">
        <is>
          <t>No</t>
        </is>
      </c>
      <c r="AQ2257" t="inlineStr">
        <is>
          <t>No</t>
        </is>
      </c>
      <c r="AS2257">
        <f>HYPERLINK("https://creighton-primo.hosted.exlibrisgroup.com/primo-explore/search?tab=default_tab&amp;search_scope=EVERYTHING&amp;vid=01CRU&amp;lang=en_US&amp;offset=0&amp;query=any,contains,991003240059702656","Catalog Record")</f>
        <v/>
      </c>
      <c r="AT2257">
        <f>HYPERLINK("http://www.worldcat.org/oclc/40595366","WorldCat Record")</f>
        <v/>
      </c>
      <c r="AU2257" t="inlineStr">
        <is>
          <t>837038160:eng</t>
        </is>
      </c>
      <c r="AV2257" t="inlineStr">
        <is>
          <t>40595366</t>
        </is>
      </c>
      <c r="AW2257" t="inlineStr">
        <is>
          <t>991003240059702656</t>
        </is>
      </c>
      <c r="AX2257" t="inlineStr">
        <is>
          <t>991003240059702656</t>
        </is>
      </c>
      <c r="AY2257" t="inlineStr">
        <is>
          <t>2262169100002656</t>
        </is>
      </c>
      <c r="AZ2257" t="inlineStr">
        <is>
          <t>BOOK</t>
        </is>
      </c>
      <c r="BB2257" t="inlineStr">
        <is>
          <t>9780226731551</t>
        </is>
      </c>
      <c r="BC2257" t="inlineStr">
        <is>
          <t>32285003760559</t>
        </is>
      </c>
      <c r="BD2257" t="inlineStr">
        <is>
          <t>893623290</t>
        </is>
      </c>
    </row>
    <row r="2258">
      <c r="A2258" t="inlineStr">
        <is>
          <t>No</t>
        </is>
      </c>
      <c r="B2258" t="inlineStr">
        <is>
          <t>HQ76.3.U5 S33 1997</t>
        </is>
      </c>
      <c r="C2258" t="inlineStr">
        <is>
          <t>0                      HQ 0076300U  5                  S  33          1997</t>
        </is>
      </c>
      <c r="D2258" t="inlineStr">
        <is>
          <t>Same-sex marriage : the moral and legal debate / edited by Robert M. Baird &amp; Stuart E. Rosenbaum.</t>
        </is>
      </c>
      <c r="F2258" t="inlineStr">
        <is>
          <t>No</t>
        </is>
      </c>
      <c r="G2258" t="inlineStr">
        <is>
          <t>1</t>
        </is>
      </c>
      <c r="H2258" t="inlineStr">
        <is>
          <t>No</t>
        </is>
      </c>
      <c r="I2258" t="inlineStr">
        <is>
          <t>No</t>
        </is>
      </c>
      <c r="J2258" t="inlineStr">
        <is>
          <t>0</t>
        </is>
      </c>
      <c r="L2258" t="inlineStr">
        <is>
          <t>Amherst, N.Y. : Prometheus Books, 1997.</t>
        </is>
      </c>
      <c r="M2258" t="inlineStr">
        <is>
          <t>1997</t>
        </is>
      </c>
      <c r="O2258" t="inlineStr">
        <is>
          <t>eng</t>
        </is>
      </c>
      <c r="P2258" t="inlineStr">
        <is>
          <t>nyu</t>
        </is>
      </c>
      <c r="R2258" t="inlineStr">
        <is>
          <t xml:space="preserve">HQ </t>
        </is>
      </c>
      <c r="S2258" t="n">
        <v>22</v>
      </c>
      <c r="T2258" t="n">
        <v>22</v>
      </c>
      <c r="U2258" t="inlineStr">
        <is>
          <t>2010-04-14</t>
        </is>
      </c>
      <c r="V2258" t="inlineStr">
        <is>
          <t>2010-04-14</t>
        </is>
      </c>
      <c r="W2258" t="inlineStr">
        <is>
          <t>1998-02-25</t>
        </is>
      </c>
      <c r="X2258" t="inlineStr">
        <is>
          <t>1998-02-25</t>
        </is>
      </c>
      <c r="Y2258" t="n">
        <v>851</v>
      </c>
      <c r="Z2258" t="n">
        <v>778</v>
      </c>
      <c r="AA2258" t="n">
        <v>992</v>
      </c>
      <c r="AB2258" t="n">
        <v>5</v>
      </c>
      <c r="AC2258" t="n">
        <v>7</v>
      </c>
      <c r="AD2258" t="n">
        <v>28</v>
      </c>
      <c r="AE2258" t="n">
        <v>37</v>
      </c>
      <c r="AF2258" t="n">
        <v>8</v>
      </c>
      <c r="AG2258" t="n">
        <v>11</v>
      </c>
      <c r="AH2258" t="n">
        <v>5</v>
      </c>
      <c r="AI2258" t="n">
        <v>6</v>
      </c>
      <c r="AJ2258" t="n">
        <v>11</v>
      </c>
      <c r="AK2258" t="n">
        <v>15</v>
      </c>
      <c r="AL2258" t="n">
        <v>2</v>
      </c>
      <c r="AM2258" t="n">
        <v>4</v>
      </c>
      <c r="AN2258" t="n">
        <v>8</v>
      </c>
      <c r="AO2258" t="n">
        <v>9</v>
      </c>
      <c r="AP2258" t="inlineStr">
        <is>
          <t>No</t>
        </is>
      </c>
      <c r="AQ2258" t="inlineStr">
        <is>
          <t>Yes</t>
        </is>
      </c>
      <c r="AR2258">
        <f>HYPERLINK("http://catalog.hathitrust.org/Record/003163744","HathiTrust Record")</f>
        <v/>
      </c>
      <c r="AS2258">
        <f>HYPERLINK("https://creighton-primo.hosted.exlibrisgroup.com/primo-explore/search?tab=default_tab&amp;search_scope=EVERYTHING&amp;vid=01CRU&amp;lang=en_US&amp;offset=0&amp;query=any,contains,991005425499702656","Catalog Record")</f>
        <v/>
      </c>
      <c r="AT2258">
        <f>HYPERLINK("http://www.worldcat.org/oclc/36112209","WorldCat Record")</f>
        <v/>
      </c>
      <c r="AU2258" t="inlineStr">
        <is>
          <t>906328069:eng</t>
        </is>
      </c>
      <c r="AV2258" t="inlineStr">
        <is>
          <t>36112209</t>
        </is>
      </c>
      <c r="AW2258" t="inlineStr">
        <is>
          <t>991005425499702656</t>
        </is>
      </c>
      <c r="AX2258" t="inlineStr">
        <is>
          <t>991005425499702656</t>
        </is>
      </c>
      <c r="AY2258" t="inlineStr">
        <is>
          <t>2268130080002656</t>
        </is>
      </c>
      <c r="AZ2258" t="inlineStr">
        <is>
          <t>BOOK</t>
        </is>
      </c>
      <c r="BB2258" t="inlineStr">
        <is>
          <t>9781573921299</t>
        </is>
      </c>
      <c r="BC2258" t="inlineStr">
        <is>
          <t>32285003355475</t>
        </is>
      </c>
      <c r="BD2258" t="inlineStr">
        <is>
          <t>893425150</t>
        </is>
      </c>
    </row>
    <row r="2259">
      <c r="A2259" t="inlineStr">
        <is>
          <t>No</t>
        </is>
      </c>
      <c r="B2259" t="inlineStr">
        <is>
          <t>HQ76.3.U5 S54 1996</t>
        </is>
      </c>
      <c r="C2259" t="inlineStr">
        <is>
          <t>0                      HQ 0076300U  5                  S  54          1996</t>
        </is>
      </c>
      <c r="D2259" t="inlineStr">
        <is>
          <t>Outing yourself : how to come out as lesbian or gay to your family, friends, and coworkers / Michelangelo Signorile ; [foreword by Betty Berzon].</t>
        </is>
      </c>
      <c r="F2259" t="inlineStr">
        <is>
          <t>No</t>
        </is>
      </c>
      <c r="G2259" t="inlineStr">
        <is>
          <t>1</t>
        </is>
      </c>
      <c r="H2259" t="inlineStr">
        <is>
          <t>No</t>
        </is>
      </c>
      <c r="I2259" t="inlineStr">
        <is>
          <t>No</t>
        </is>
      </c>
      <c r="J2259" t="inlineStr">
        <is>
          <t>0</t>
        </is>
      </c>
      <c r="K2259" t="inlineStr">
        <is>
          <t>Signorile, Michelangelo, 1960-</t>
        </is>
      </c>
      <c r="L2259" t="inlineStr">
        <is>
          <t>New York : Simon &amp; Schuster, 1996.</t>
        </is>
      </c>
      <c r="M2259" t="inlineStr">
        <is>
          <t>1996</t>
        </is>
      </c>
      <c r="N2259" t="inlineStr">
        <is>
          <t>1st Fireside ed.</t>
        </is>
      </c>
      <c r="O2259" t="inlineStr">
        <is>
          <t>eng</t>
        </is>
      </c>
      <c r="P2259" t="inlineStr">
        <is>
          <t>nyu</t>
        </is>
      </c>
      <c r="R2259" t="inlineStr">
        <is>
          <t xml:space="preserve">HQ </t>
        </is>
      </c>
      <c r="S2259" t="n">
        <v>3</v>
      </c>
      <c r="T2259" t="n">
        <v>3</v>
      </c>
      <c r="U2259" t="inlineStr">
        <is>
          <t>2009-11-24</t>
        </is>
      </c>
      <c r="V2259" t="inlineStr">
        <is>
          <t>2009-11-24</t>
        </is>
      </c>
      <c r="W2259" t="inlineStr">
        <is>
          <t>1998-04-23</t>
        </is>
      </c>
      <c r="X2259" t="inlineStr">
        <is>
          <t>1998-04-23</t>
        </is>
      </c>
      <c r="Y2259" t="n">
        <v>227</v>
      </c>
      <c r="Z2259" t="n">
        <v>207</v>
      </c>
      <c r="AA2259" t="n">
        <v>601</v>
      </c>
      <c r="AB2259" t="n">
        <v>3</v>
      </c>
      <c r="AC2259" t="n">
        <v>6</v>
      </c>
      <c r="AD2259" t="n">
        <v>7</v>
      </c>
      <c r="AE2259" t="n">
        <v>14</v>
      </c>
      <c r="AF2259" t="n">
        <v>4</v>
      </c>
      <c r="AG2259" t="n">
        <v>5</v>
      </c>
      <c r="AH2259" t="n">
        <v>0</v>
      </c>
      <c r="AI2259" t="n">
        <v>2</v>
      </c>
      <c r="AJ2259" t="n">
        <v>2</v>
      </c>
      <c r="AK2259" t="n">
        <v>4</v>
      </c>
      <c r="AL2259" t="n">
        <v>2</v>
      </c>
      <c r="AM2259" t="n">
        <v>4</v>
      </c>
      <c r="AN2259" t="n">
        <v>0</v>
      </c>
      <c r="AO2259" t="n">
        <v>0</v>
      </c>
      <c r="AP2259" t="inlineStr">
        <is>
          <t>No</t>
        </is>
      </c>
      <c r="AQ2259" t="inlineStr">
        <is>
          <t>No</t>
        </is>
      </c>
      <c r="AS2259">
        <f>HYPERLINK("https://creighton-primo.hosted.exlibrisgroup.com/primo-explore/search?tab=default_tab&amp;search_scope=EVERYTHING&amp;vid=01CRU&amp;lang=en_US&amp;offset=0&amp;query=any,contains,991002596789702656","Catalog Record")</f>
        <v/>
      </c>
      <c r="AT2259">
        <f>HYPERLINK("http://www.worldcat.org/oclc/34024973","WorldCat Record")</f>
        <v/>
      </c>
      <c r="AU2259" t="inlineStr">
        <is>
          <t>34347224:eng</t>
        </is>
      </c>
      <c r="AV2259" t="inlineStr">
        <is>
          <t>34024973</t>
        </is>
      </c>
      <c r="AW2259" t="inlineStr">
        <is>
          <t>991002596789702656</t>
        </is>
      </c>
      <c r="AX2259" t="inlineStr">
        <is>
          <t>991002596789702656</t>
        </is>
      </c>
      <c r="AY2259" t="inlineStr">
        <is>
          <t>2258109520002656</t>
        </is>
      </c>
      <c r="AZ2259" t="inlineStr">
        <is>
          <t>BOOK</t>
        </is>
      </c>
      <c r="BB2259" t="inlineStr">
        <is>
          <t>9780684826172</t>
        </is>
      </c>
      <c r="BC2259" t="inlineStr">
        <is>
          <t>32285005552111</t>
        </is>
      </c>
      <c r="BD2259" t="inlineStr">
        <is>
          <t>893335484</t>
        </is>
      </c>
    </row>
    <row r="2260">
      <c r="A2260" t="inlineStr">
        <is>
          <t>No</t>
        </is>
      </c>
      <c r="B2260" t="inlineStr">
        <is>
          <t>HQ76.3.U5 S56 1978</t>
        </is>
      </c>
      <c r="C2260" t="inlineStr">
        <is>
          <t>0                      HQ 0076300U  5                  S  56          1978</t>
        </is>
      </c>
      <c r="D2260" t="inlineStr">
        <is>
          <t>A family matter : a parent's guide to homosexuality / by Charles Silverstein.</t>
        </is>
      </c>
      <c r="F2260" t="inlineStr">
        <is>
          <t>No</t>
        </is>
      </c>
      <c r="G2260" t="inlineStr">
        <is>
          <t>1</t>
        </is>
      </c>
      <c r="H2260" t="inlineStr">
        <is>
          <t>No</t>
        </is>
      </c>
      <c r="I2260" t="inlineStr">
        <is>
          <t>No</t>
        </is>
      </c>
      <c r="J2260" t="inlineStr">
        <is>
          <t>0</t>
        </is>
      </c>
      <c r="K2260" t="inlineStr">
        <is>
          <t>Silverstein, Charles.</t>
        </is>
      </c>
      <c r="L2260" t="inlineStr">
        <is>
          <t>New York : McGraw-Hill, 1978, c1977.</t>
        </is>
      </c>
      <c r="M2260" t="inlineStr">
        <is>
          <t>1978</t>
        </is>
      </c>
      <c r="O2260" t="inlineStr">
        <is>
          <t>eng</t>
        </is>
      </c>
      <c r="P2260" t="inlineStr">
        <is>
          <t>nyu</t>
        </is>
      </c>
      <c r="Q2260" t="inlineStr">
        <is>
          <t>McGraw-Hill paperbacks</t>
        </is>
      </c>
      <c r="R2260" t="inlineStr">
        <is>
          <t xml:space="preserve">HQ </t>
        </is>
      </c>
      <c r="S2260" t="n">
        <v>9</v>
      </c>
      <c r="T2260" t="n">
        <v>9</v>
      </c>
      <c r="U2260" t="inlineStr">
        <is>
          <t>1995-11-20</t>
        </is>
      </c>
      <c r="V2260" t="inlineStr">
        <is>
          <t>1995-11-20</t>
        </is>
      </c>
      <c r="W2260" t="inlineStr">
        <is>
          <t>1995-02-28</t>
        </is>
      </c>
      <c r="X2260" t="inlineStr">
        <is>
          <t>1995-02-28</t>
        </is>
      </c>
      <c r="Y2260" t="n">
        <v>92</v>
      </c>
      <c r="Z2260" t="n">
        <v>80</v>
      </c>
      <c r="AA2260" t="n">
        <v>488</v>
      </c>
      <c r="AB2260" t="n">
        <v>2</v>
      </c>
      <c r="AC2260" t="n">
        <v>2</v>
      </c>
      <c r="AD2260" t="n">
        <v>1</v>
      </c>
      <c r="AE2260" t="n">
        <v>8</v>
      </c>
      <c r="AF2260" t="n">
        <v>0</v>
      </c>
      <c r="AG2260" t="n">
        <v>1</v>
      </c>
      <c r="AH2260" t="n">
        <v>0</v>
      </c>
      <c r="AI2260" t="n">
        <v>2</v>
      </c>
      <c r="AJ2260" t="n">
        <v>0</v>
      </c>
      <c r="AK2260" t="n">
        <v>5</v>
      </c>
      <c r="AL2260" t="n">
        <v>1</v>
      </c>
      <c r="AM2260" t="n">
        <v>1</v>
      </c>
      <c r="AN2260" t="n">
        <v>0</v>
      </c>
      <c r="AO2260" t="n">
        <v>0</v>
      </c>
      <c r="AP2260" t="inlineStr">
        <is>
          <t>No</t>
        </is>
      </c>
      <c r="AQ2260" t="inlineStr">
        <is>
          <t>No</t>
        </is>
      </c>
      <c r="AS2260">
        <f>HYPERLINK("https://creighton-primo.hosted.exlibrisgroup.com/primo-explore/search?tab=default_tab&amp;search_scope=EVERYTHING&amp;vid=01CRU&amp;lang=en_US&amp;offset=0&amp;query=any,contains,991004625179702656","Catalog Record")</f>
        <v/>
      </c>
      <c r="AT2260">
        <f>HYPERLINK("http://www.worldcat.org/oclc/4333903","WorldCat Record")</f>
        <v/>
      </c>
      <c r="AU2260" t="inlineStr">
        <is>
          <t>406454:eng</t>
        </is>
      </c>
      <c r="AV2260" t="inlineStr">
        <is>
          <t>4333903</t>
        </is>
      </c>
      <c r="AW2260" t="inlineStr">
        <is>
          <t>991004625179702656</t>
        </is>
      </c>
      <c r="AX2260" t="inlineStr">
        <is>
          <t>991004625179702656</t>
        </is>
      </c>
      <c r="AY2260" t="inlineStr">
        <is>
          <t>2268612950002656</t>
        </is>
      </c>
      <c r="AZ2260" t="inlineStr">
        <is>
          <t>BOOK</t>
        </is>
      </c>
      <c r="BB2260" t="inlineStr">
        <is>
          <t>9780070574526</t>
        </is>
      </c>
      <c r="BC2260" t="inlineStr">
        <is>
          <t>32285001779700</t>
        </is>
      </c>
      <c r="BD2260" t="inlineStr">
        <is>
          <t>893810605</t>
        </is>
      </c>
    </row>
    <row r="2261">
      <c r="A2261" t="inlineStr">
        <is>
          <t>No</t>
        </is>
      </c>
      <c r="B2261" t="inlineStr">
        <is>
          <t>HQ76.3.U5 S57</t>
        </is>
      </c>
      <c r="C2261" t="inlineStr">
        <is>
          <t>0                      HQ 0076300U  5                  S  57</t>
        </is>
      </c>
      <c r="D2261" t="inlineStr">
        <is>
          <t>Man to man : gay couples in America / by Charles Silverstein.</t>
        </is>
      </c>
      <c r="F2261" t="inlineStr">
        <is>
          <t>No</t>
        </is>
      </c>
      <c r="G2261" t="inlineStr">
        <is>
          <t>1</t>
        </is>
      </c>
      <c r="H2261" t="inlineStr">
        <is>
          <t>No</t>
        </is>
      </c>
      <c r="I2261" t="inlineStr">
        <is>
          <t>No</t>
        </is>
      </c>
      <c r="J2261" t="inlineStr">
        <is>
          <t>0</t>
        </is>
      </c>
      <c r="K2261" t="inlineStr">
        <is>
          <t>Silverstein, Charles.</t>
        </is>
      </c>
      <c r="L2261" t="inlineStr">
        <is>
          <t>New York : Morrow, 1981.</t>
        </is>
      </c>
      <c r="M2261" t="inlineStr">
        <is>
          <t>1981</t>
        </is>
      </c>
      <c r="N2261" t="inlineStr">
        <is>
          <t>1st ed.</t>
        </is>
      </c>
      <c r="O2261" t="inlineStr">
        <is>
          <t>eng</t>
        </is>
      </c>
      <c r="P2261" t="inlineStr">
        <is>
          <t>nyu</t>
        </is>
      </c>
      <c r="R2261" t="inlineStr">
        <is>
          <t xml:space="preserve">HQ </t>
        </is>
      </c>
      <c r="S2261" t="n">
        <v>14</v>
      </c>
      <c r="T2261" t="n">
        <v>14</v>
      </c>
      <c r="U2261" t="inlineStr">
        <is>
          <t>1997-02-06</t>
        </is>
      </c>
      <c r="V2261" t="inlineStr">
        <is>
          <t>1997-02-06</t>
        </is>
      </c>
      <c r="W2261" t="inlineStr">
        <is>
          <t>1990-02-01</t>
        </is>
      </c>
      <c r="X2261" t="inlineStr">
        <is>
          <t>1990-02-01</t>
        </is>
      </c>
      <c r="Y2261" t="n">
        <v>215</v>
      </c>
      <c r="Z2261" t="n">
        <v>190</v>
      </c>
      <c r="AA2261" t="n">
        <v>284</v>
      </c>
      <c r="AB2261" t="n">
        <v>3</v>
      </c>
      <c r="AC2261" t="n">
        <v>3</v>
      </c>
      <c r="AD2261" t="n">
        <v>5</v>
      </c>
      <c r="AE2261" t="n">
        <v>8</v>
      </c>
      <c r="AF2261" t="n">
        <v>0</v>
      </c>
      <c r="AG2261" t="n">
        <v>2</v>
      </c>
      <c r="AH2261" t="n">
        <v>2</v>
      </c>
      <c r="AI2261" t="n">
        <v>4</v>
      </c>
      <c r="AJ2261" t="n">
        <v>2</v>
      </c>
      <c r="AK2261" t="n">
        <v>2</v>
      </c>
      <c r="AL2261" t="n">
        <v>2</v>
      </c>
      <c r="AM2261" t="n">
        <v>2</v>
      </c>
      <c r="AN2261" t="n">
        <v>0</v>
      </c>
      <c r="AO2261" t="n">
        <v>0</v>
      </c>
      <c r="AP2261" t="inlineStr">
        <is>
          <t>No</t>
        </is>
      </c>
      <c r="AQ2261" t="inlineStr">
        <is>
          <t>No</t>
        </is>
      </c>
      <c r="AS2261">
        <f>HYPERLINK("https://creighton-primo.hosted.exlibrisgroup.com/primo-explore/search?tab=default_tab&amp;search_scope=EVERYTHING&amp;vid=01CRU&amp;lang=en_US&amp;offset=0&amp;query=any,contains,991005037159702656","Catalog Record")</f>
        <v/>
      </c>
      <c r="AT2261">
        <f>HYPERLINK("http://www.worldcat.org/oclc/6762530","WorldCat Record")</f>
        <v/>
      </c>
      <c r="AU2261" t="inlineStr">
        <is>
          <t>434971:eng</t>
        </is>
      </c>
      <c r="AV2261" t="inlineStr">
        <is>
          <t>6762530</t>
        </is>
      </c>
      <c r="AW2261" t="inlineStr">
        <is>
          <t>991005037159702656</t>
        </is>
      </c>
      <c r="AX2261" t="inlineStr">
        <is>
          <t>991005037159702656</t>
        </is>
      </c>
      <c r="AY2261" t="inlineStr">
        <is>
          <t>2262869910002656</t>
        </is>
      </c>
      <c r="AZ2261" t="inlineStr">
        <is>
          <t>BOOK</t>
        </is>
      </c>
      <c r="BB2261" t="inlineStr">
        <is>
          <t>9780688000417</t>
        </is>
      </c>
      <c r="BC2261" t="inlineStr">
        <is>
          <t>32285000031772</t>
        </is>
      </c>
      <c r="BD2261" t="inlineStr">
        <is>
          <t>893801625</t>
        </is>
      </c>
    </row>
    <row r="2262">
      <c r="A2262" t="inlineStr">
        <is>
          <t>No</t>
        </is>
      </c>
      <c r="B2262" t="inlineStr">
        <is>
          <t>HQ76.3.U5 S76 1999</t>
        </is>
      </c>
      <c r="C2262" t="inlineStr">
        <is>
          <t>0                      HQ 0076300U  5                  S  76          1999</t>
        </is>
      </c>
      <c r="D2262" t="inlineStr">
        <is>
          <t>From this day forward : commitment, marriage, and family in lesbian and gay relationships / Gretchen A. Stiers.</t>
        </is>
      </c>
      <c r="F2262" t="inlineStr">
        <is>
          <t>No</t>
        </is>
      </c>
      <c r="G2262" t="inlineStr">
        <is>
          <t>1</t>
        </is>
      </c>
      <c r="H2262" t="inlineStr">
        <is>
          <t>No</t>
        </is>
      </c>
      <c r="I2262" t="inlineStr">
        <is>
          <t>No</t>
        </is>
      </c>
      <c r="J2262" t="inlineStr">
        <is>
          <t>0</t>
        </is>
      </c>
      <c r="K2262" t="inlineStr">
        <is>
          <t>Stiers, Gretchen A., 1962-</t>
        </is>
      </c>
      <c r="L2262" t="inlineStr">
        <is>
          <t>New York : St. Martin's Press, c1999.</t>
        </is>
      </c>
      <c r="M2262" t="inlineStr">
        <is>
          <t>1999</t>
        </is>
      </c>
      <c r="N2262" t="inlineStr">
        <is>
          <t>1st ed.</t>
        </is>
      </c>
      <c r="O2262" t="inlineStr">
        <is>
          <t>eng</t>
        </is>
      </c>
      <c r="P2262" t="inlineStr">
        <is>
          <t>nyu</t>
        </is>
      </c>
      <c r="R2262" t="inlineStr">
        <is>
          <t xml:space="preserve">HQ </t>
        </is>
      </c>
      <c r="S2262" t="n">
        <v>10</v>
      </c>
      <c r="T2262" t="n">
        <v>10</v>
      </c>
      <c r="U2262" t="inlineStr">
        <is>
          <t>2006-07-03</t>
        </is>
      </c>
      <c r="V2262" t="inlineStr">
        <is>
          <t>2006-07-03</t>
        </is>
      </c>
      <c r="W2262" t="inlineStr">
        <is>
          <t>1999-09-28</t>
        </is>
      </c>
      <c r="X2262" t="inlineStr">
        <is>
          <t>1999-09-28</t>
        </is>
      </c>
      <c r="Y2262" t="n">
        <v>604</v>
      </c>
      <c r="Z2262" t="n">
        <v>560</v>
      </c>
      <c r="AA2262" t="n">
        <v>618</v>
      </c>
      <c r="AB2262" t="n">
        <v>4</v>
      </c>
      <c r="AC2262" t="n">
        <v>4</v>
      </c>
      <c r="AD2262" t="n">
        <v>26</v>
      </c>
      <c r="AE2262" t="n">
        <v>27</v>
      </c>
      <c r="AF2262" t="n">
        <v>12</v>
      </c>
      <c r="AG2262" t="n">
        <v>13</v>
      </c>
      <c r="AH2262" t="n">
        <v>5</v>
      </c>
      <c r="AI2262" t="n">
        <v>5</v>
      </c>
      <c r="AJ2262" t="n">
        <v>14</v>
      </c>
      <c r="AK2262" t="n">
        <v>14</v>
      </c>
      <c r="AL2262" t="n">
        <v>3</v>
      </c>
      <c r="AM2262" t="n">
        <v>3</v>
      </c>
      <c r="AN2262" t="n">
        <v>0</v>
      </c>
      <c r="AO2262" t="n">
        <v>0</v>
      </c>
      <c r="AP2262" t="inlineStr">
        <is>
          <t>No</t>
        </is>
      </c>
      <c r="AQ2262" t="inlineStr">
        <is>
          <t>No</t>
        </is>
      </c>
      <c r="AS2262">
        <f>HYPERLINK("https://creighton-primo.hosted.exlibrisgroup.com/primo-explore/search?tab=default_tab&amp;search_scope=EVERYTHING&amp;vid=01CRU&amp;lang=en_US&amp;offset=0&amp;query=any,contains,991002978929702656","Catalog Record")</f>
        <v/>
      </c>
      <c r="AT2262">
        <f>HYPERLINK("http://www.worldcat.org/oclc/39985614","WorldCat Record")</f>
        <v/>
      </c>
      <c r="AU2262" t="inlineStr">
        <is>
          <t>837020240:eng</t>
        </is>
      </c>
      <c r="AV2262" t="inlineStr">
        <is>
          <t>39985614</t>
        </is>
      </c>
      <c r="AW2262" t="inlineStr">
        <is>
          <t>991002978929702656</t>
        </is>
      </c>
      <c r="AX2262" t="inlineStr">
        <is>
          <t>991002978929702656</t>
        </is>
      </c>
      <c r="AY2262" t="inlineStr">
        <is>
          <t>2258795340002656</t>
        </is>
      </c>
      <c r="AZ2262" t="inlineStr">
        <is>
          <t>BOOK</t>
        </is>
      </c>
      <c r="BB2262" t="inlineStr">
        <is>
          <t>9780312175429</t>
        </is>
      </c>
      <c r="BC2262" t="inlineStr">
        <is>
          <t>32285003591079</t>
        </is>
      </c>
      <c r="BD2262" t="inlineStr">
        <is>
          <t>893518018</t>
        </is>
      </c>
    </row>
    <row r="2263">
      <c r="A2263" t="inlineStr">
        <is>
          <t>No</t>
        </is>
      </c>
      <c r="B2263" t="inlineStr">
        <is>
          <t>HQ76.3.U5 S85 1998</t>
        </is>
      </c>
      <c r="C2263" t="inlineStr">
        <is>
          <t>0                      HQ 0076300U  5                  S  85          1998</t>
        </is>
      </c>
      <c r="D2263" t="inlineStr">
        <is>
          <t>Love undetectable : notes on friendship, sex, and survival / Andrew Sullivan.</t>
        </is>
      </c>
      <c r="F2263" t="inlineStr">
        <is>
          <t>No</t>
        </is>
      </c>
      <c r="G2263" t="inlineStr">
        <is>
          <t>1</t>
        </is>
      </c>
      <c r="H2263" t="inlineStr">
        <is>
          <t>No</t>
        </is>
      </c>
      <c r="I2263" t="inlineStr">
        <is>
          <t>No</t>
        </is>
      </c>
      <c r="J2263" t="inlineStr">
        <is>
          <t>0</t>
        </is>
      </c>
      <c r="K2263" t="inlineStr">
        <is>
          <t>Sullivan, Andrew, 1963-</t>
        </is>
      </c>
      <c r="L2263" t="inlineStr">
        <is>
          <t>New York : Alfred A. Knopf : Distributed by Random House, 1998.</t>
        </is>
      </c>
      <c r="M2263" t="inlineStr">
        <is>
          <t>1998</t>
        </is>
      </c>
      <c r="N2263" t="inlineStr">
        <is>
          <t>1st ed.</t>
        </is>
      </c>
      <c r="O2263" t="inlineStr">
        <is>
          <t>eng</t>
        </is>
      </c>
      <c r="P2263" t="inlineStr">
        <is>
          <t>nyu</t>
        </is>
      </c>
      <c r="R2263" t="inlineStr">
        <is>
          <t xml:space="preserve">HQ </t>
        </is>
      </c>
      <c r="S2263" t="n">
        <v>3</v>
      </c>
      <c r="T2263" t="n">
        <v>3</v>
      </c>
      <c r="U2263" t="inlineStr">
        <is>
          <t>1998-10-21</t>
        </is>
      </c>
      <c r="V2263" t="inlineStr">
        <is>
          <t>1998-10-21</t>
        </is>
      </c>
      <c r="W2263" t="inlineStr">
        <is>
          <t>1998-10-07</t>
        </is>
      </c>
      <c r="X2263" t="inlineStr">
        <is>
          <t>1998-10-07</t>
        </is>
      </c>
      <c r="Y2263" t="n">
        <v>494</v>
      </c>
      <c r="Z2263" t="n">
        <v>466</v>
      </c>
      <c r="AA2263" t="n">
        <v>509</v>
      </c>
      <c r="AB2263" t="n">
        <v>5</v>
      </c>
      <c r="AC2263" t="n">
        <v>6</v>
      </c>
      <c r="AD2263" t="n">
        <v>23</v>
      </c>
      <c r="AE2263" t="n">
        <v>25</v>
      </c>
      <c r="AF2263" t="n">
        <v>5</v>
      </c>
      <c r="AG2263" t="n">
        <v>6</v>
      </c>
      <c r="AH2263" t="n">
        <v>5</v>
      </c>
      <c r="AI2263" t="n">
        <v>5</v>
      </c>
      <c r="AJ2263" t="n">
        <v>14</v>
      </c>
      <c r="AK2263" t="n">
        <v>15</v>
      </c>
      <c r="AL2263" t="n">
        <v>3</v>
      </c>
      <c r="AM2263" t="n">
        <v>4</v>
      </c>
      <c r="AN2263" t="n">
        <v>0</v>
      </c>
      <c r="AO2263" t="n">
        <v>0</v>
      </c>
      <c r="AP2263" t="inlineStr">
        <is>
          <t>No</t>
        </is>
      </c>
      <c r="AQ2263" t="inlineStr">
        <is>
          <t>Yes</t>
        </is>
      </c>
      <c r="AR2263">
        <f>HYPERLINK("http://catalog.hathitrust.org/Record/003993542","HathiTrust Record")</f>
        <v/>
      </c>
      <c r="AS2263">
        <f>HYPERLINK("https://creighton-primo.hosted.exlibrisgroup.com/primo-explore/search?tab=default_tab&amp;search_scope=EVERYTHING&amp;vid=01CRU&amp;lang=en_US&amp;offset=0&amp;query=any,contains,991002912969702656","Catalog Record")</f>
        <v/>
      </c>
      <c r="AT2263">
        <f>HYPERLINK("http://www.worldcat.org/oclc/38520141","WorldCat Record")</f>
        <v/>
      </c>
      <c r="AU2263" t="inlineStr">
        <is>
          <t>35491575:eng</t>
        </is>
      </c>
      <c r="AV2263" t="inlineStr">
        <is>
          <t>38520141</t>
        </is>
      </c>
      <c r="AW2263" t="inlineStr">
        <is>
          <t>991002912969702656</t>
        </is>
      </c>
      <c r="AX2263" t="inlineStr">
        <is>
          <t>991002912969702656</t>
        </is>
      </c>
      <c r="AY2263" t="inlineStr">
        <is>
          <t>2262226190002656</t>
        </is>
      </c>
      <c r="AZ2263" t="inlineStr">
        <is>
          <t>BOOK</t>
        </is>
      </c>
      <c r="BB2263" t="inlineStr">
        <is>
          <t>9780679451198</t>
        </is>
      </c>
      <c r="BC2263" t="inlineStr">
        <is>
          <t>32285003473518</t>
        </is>
      </c>
      <c r="BD2263" t="inlineStr">
        <is>
          <t>893786742</t>
        </is>
      </c>
    </row>
    <row r="2264">
      <c r="A2264" t="inlineStr">
        <is>
          <t>No</t>
        </is>
      </c>
      <c r="B2264" t="inlineStr">
        <is>
          <t>HQ76.3.U5 T96 1995</t>
        </is>
      </c>
      <c r="C2264" t="inlineStr">
        <is>
          <t>0                      HQ 0076300U  5                  T  96          1995</t>
        </is>
      </c>
      <c r="D2264" t="inlineStr">
        <is>
          <t>Two teenagers in 20 : writings by gay and lesbian youth / edited by Ann Heron.</t>
        </is>
      </c>
      <c r="F2264" t="inlineStr">
        <is>
          <t>No</t>
        </is>
      </c>
      <c r="G2264" t="inlineStr">
        <is>
          <t>1</t>
        </is>
      </c>
      <c r="H2264" t="inlineStr">
        <is>
          <t>No</t>
        </is>
      </c>
      <c r="I2264" t="inlineStr">
        <is>
          <t>No</t>
        </is>
      </c>
      <c r="J2264" t="inlineStr">
        <is>
          <t>0</t>
        </is>
      </c>
      <c r="L2264" t="inlineStr">
        <is>
          <t>Boston : Alyson Publications, 1995, c1994.</t>
        </is>
      </c>
      <c r="M2264" t="inlineStr">
        <is>
          <t>1995</t>
        </is>
      </c>
      <c r="N2264" t="inlineStr">
        <is>
          <t>1st paperback ed.</t>
        </is>
      </c>
      <c r="O2264" t="inlineStr">
        <is>
          <t>eng</t>
        </is>
      </c>
      <c r="P2264" t="inlineStr">
        <is>
          <t>mau</t>
        </is>
      </c>
      <c r="R2264" t="inlineStr">
        <is>
          <t xml:space="preserve">HQ </t>
        </is>
      </c>
      <c r="S2264" t="n">
        <v>17</v>
      </c>
      <c r="T2264" t="n">
        <v>17</v>
      </c>
      <c r="U2264" t="inlineStr">
        <is>
          <t>2007-02-13</t>
        </is>
      </c>
      <c r="V2264" t="inlineStr">
        <is>
          <t>2007-02-13</t>
        </is>
      </c>
      <c r="W2264" t="inlineStr">
        <is>
          <t>1996-11-13</t>
        </is>
      </c>
      <c r="X2264" t="inlineStr">
        <is>
          <t>1996-11-13</t>
        </is>
      </c>
      <c r="Y2264" t="n">
        <v>151</v>
      </c>
      <c r="Z2264" t="n">
        <v>139</v>
      </c>
      <c r="AA2264" t="n">
        <v>531</v>
      </c>
      <c r="AB2264" t="n">
        <v>5</v>
      </c>
      <c r="AC2264" t="n">
        <v>6</v>
      </c>
      <c r="AD2264" t="n">
        <v>7</v>
      </c>
      <c r="AE2264" t="n">
        <v>14</v>
      </c>
      <c r="AF2264" t="n">
        <v>1</v>
      </c>
      <c r="AG2264" t="n">
        <v>4</v>
      </c>
      <c r="AH2264" t="n">
        <v>0</v>
      </c>
      <c r="AI2264" t="n">
        <v>1</v>
      </c>
      <c r="AJ2264" t="n">
        <v>3</v>
      </c>
      <c r="AK2264" t="n">
        <v>6</v>
      </c>
      <c r="AL2264" t="n">
        <v>3</v>
      </c>
      <c r="AM2264" t="n">
        <v>4</v>
      </c>
      <c r="AN2264" t="n">
        <v>0</v>
      </c>
      <c r="AO2264" t="n">
        <v>0</v>
      </c>
      <c r="AP2264" t="inlineStr">
        <is>
          <t>No</t>
        </is>
      </c>
      <c r="AQ2264" t="inlineStr">
        <is>
          <t>No</t>
        </is>
      </c>
      <c r="AS2264">
        <f>HYPERLINK("https://creighton-primo.hosted.exlibrisgroup.com/primo-explore/search?tab=default_tab&amp;search_scope=EVERYTHING&amp;vid=01CRU&amp;lang=en_US&amp;offset=0&amp;query=any,contains,991002504579702656","Catalog Record")</f>
        <v/>
      </c>
      <c r="AT2264">
        <f>HYPERLINK("http://www.worldcat.org/oclc/32583226","WorldCat Record")</f>
        <v/>
      </c>
      <c r="AU2264" t="inlineStr">
        <is>
          <t>55809375:eng</t>
        </is>
      </c>
      <c r="AV2264" t="inlineStr">
        <is>
          <t>32583226</t>
        </is>
      </c>
      <c r="AW2264" t="inlineStr">
        <is>
          <t>991002504579702656</t>
        </is>
      </c>
      <c r="AX2264" t="inlineStr">
        <is>
          <t>991002504579702656</t>
        </is>
      </c>
      <c r="AY2264" t="inlineStr">
        <is>
          <t>2265301840002656</t>
        </is>
      </c>
      <c r="AZ2264" t="inlineStr">
        <is>
          <t>BOOK</t>
        </is>
      </c>
      <c r="BB2264" t="inlineStr">
        <is>
          <t>9781555832827</t>
        </is>
      </c>
      <c r="BC2264" t="inlineStr">
        <is>
          <t>32285002372380</t>
        </is>
      </c>
      <c r="BD2264" t="inlineStr">
        <is>
          <t>893697879</t>
        </is>
      </c>
    </row>
    <row r="2265">
      <c r="A2265" t="inlineStr">
        <is>
          <t>No</t>
        </is>
      </c>
      <c r="B2265" t="inlineStr">
        <is>
          <t>HQ76.3.U5 U37 1984</t>
        </is>
      </c>
      <c r="C2265" t="inlineStr">
        <is>
          <t>0                      HQ 0076300U  5                  U  37          1984</t>
        </is>
      </c>
      <c r="D2265" t="inlineStr">
        <is>
          <t>The two of us : affirming, celebrating, and symbolizing gay and lesbian relationships / Larry J. Uhrig.</t>
        </is>
      </c>
      <c r="F2265" t="inlineStr">
        <is>
          <t>No</t>
        </is>
      </c>
      <c r="G2265" t="inlineStr">
        <is>
          <t>1</t>
        </is>
      </c>
      <c r="H2265" t="inlineStr">
        <is>
          <t>No</t>
        </is>
      </c>
      <c r="I2265" t="inlineStr">
        <is>
          <t>No</t>
        </is>
      </c>
      <c r="J2265" t="inlineStr">
        <is>
          <t>0</t>
        </is>
      </c>
      <c r="K2265" t="inlineStr">
        <is>
          <t>Uhrig, Larry J.</t>
        </is>
      </c>
      <c r="L2265" t="inlineStr">
        <is>
          <t>Boston : Alyson Publications, 1984.</t>
        </is>
      </c>
      <c r="M2265" t="inlineStr">
        <is>
          <t>1984</t>
        </is>
      </c>
      <c r="N2265" t="inlineStr">
        <is>
          <t>1st ed.</t>
        </is>
      </c>
      <c r="O2265" t="inlineStr">
        <is>
          <t>eng</t>
        </is>
      </c>
      <c r="P2265" t="inlineStr">
        <is>
          <t>mau</t>
        </is>
      </c>
      <c r="R2265" t="inlineStr">
        <is>
          <t xml:space="preserve">HQ </t>
        </is>
      </c>
      <c r="S2265" t="n">
        <v>9</v>
      </c>
      <c r="T2265" t="n">
        <v>9</v>
      </c>
      <c r="U2265" t="inlineStr">
        <is>
          <t>2000-10-27</t>
        </is>
      </c>
      <c r="V2265" t="inlineStr">
        <is>
          <t>2000-10-27</t>
        </is>
      </c>
      <c r="W2265" t="inlineStr">
        <is>
          <t>1997-02-07</t>
        </is>
      </c>
      <c r="X2265" t="inlineStr">
        <is>
          <t>1997-02-07</t>
        </is>
      </c>
      <c r="Y2265" t="n">
        <v>105</v>
      </c>
      <c r="Z2265" t="n">
        <v>95</v>
      </c>
      <c r="AA2265" t="n">
        <v>101</v>
      </c>
      <c r="AB2265" t="n">
        <v>4</v>
      </c>
      <c r="AC2265" t="n">
        <v>4</v>
      </c>
      <c r="AD2265" t="n">
        <v>3</v>
      </c>
      <c r="AE2265" t="n">
        <v>3</v>
      </c>
      <c r="AF2265" t="n">
        <v>0</v>
      </c>
      <c r="AG2265" t="n">
        <v>0</v>
      </c>
      <c r="AH2265" t="n">
        <v>0</v>
      </c>
      <c r="AI2265" t="n">
        <v>0</v>
      </c>
      <c r="AJ2265" t="n">
        <v>0</v>
      </c>
      <c r="AK2265" t="n">
        <v>0</v>
      </c>
      <c r="AL2265" t="n">
        <v>3</v>
      </c>
      <c r="AM2265" t="n">
        <v>3</v>
      </c>
      <c r="AN2265" t="n">
        <v>0</v>
      </c>
      <c r="AO2265" t="n">
        <v>0</v>
      </c>
      <c r="AP2265" t="inlineStr">
        <is>
          <t>No</t>
        </is>
      </c>
      <c r="AQ2265" t="inlineStr">
        <is>
          <t>Yes</t>
        </is>
      </c>
      <c r="AR2265">
        <f>HYPERLINK("http://catalog.hathitrust.org/Record/007135924","HathiTrust Record")</f>
        <v/>
      </c>
      <c r="AS2265">
        <f>HYPERLINK("https://creighton-primo.hosted.exlibrisgroup.com/primo-explore/search?tab=default_tab&amp;search_scope=EVERYTHING&amp;vid=01CRU&amp;lang=en_US&amp;offset=0&amp;query=any,contains,991000532769702656","Catalog Record")</f>
        <v/>
      </c>
      <c r="AT2265">
        <f>HYPERLINK("http://www.worldcat.org/oclc/11416160","WorldCat Record")</f>
        <v/>
      </c>
      <c r="AU2265" t="inlineStr">
        <is>
          <t>3873747:eng</t>
        </is>
      </c>
      <c r="AV2265" t="inlineStr">
        <is>
          <t>11416160</t>
        </is>
      </c>
      <c r="AW2265" t="inlineStr">
        <is>
          <t>991000532769702656</t>
        </is>
      </c>
      <c r="AX2265" t="inlineStr">
        <is>
          <t>991000532769702656</t>
        </is>
      </c>
      <c r="AY2265" t="inlineStr">
        <is>
          <t>2272621800002656</t>
        </is>
      </c>
      <c r="AZ2265" t="inlineStr">
        <is>
          <t>BOOK</t>
        </is>
      </c>
      <c r="BB2265" t="inlineStr">
        <is>
          <t>9780932870629</t>
        </is>
      </c>
      <c r="BC2265" t="inlineStr">
        <is>
          <t>32285002430071</t>
        </is>
      </c>
      <c r="BD2265" t="inlineStr">
        <is>
          <t>893508869</t>
        </is>
      </c>
    </row>
    <row r="2266">
      <c r="A2266" t="inlineStr">
        <is>
          <t>No</t>
        </is>
      </c>
      <c r="B2266" t="inlineStr">
        <is>
          <t>HQ76.3.U5 W37</t>
        </is>
      </c>
      <c r="C2266" t="inlineStr">
        <is>
          <t>0                      HQ 0076300U  5                  W  37</t>
        </is>
      </c>
      <c r="D2266" t="inlineStr">
        <is>
          <t>Identity and community in the gay world / [by] Carol A. B. Warren.</t>
        </is>
      </c>
      <c r="F2266" t="inlineStr">
        <is>
          <t>No</t>
        </is>
      </c>
      <c r="G2266" t="inlineStr">
        <is>
          <t>1</t>
        </is>
      </c>
      <c r="H2266" t="inlineStr">
        <is>
          <t>No</t>
        </is>
      </c>
      <c r="I2266" t="inlineStr">
        <is>
          <t>No</t>
        </is>
      </c>
      <c r="J2266" t="inlineStr">
        <is>
          <t>0</t>
        </is>
      </c>
      <c r="K2266" t="inlineStr">
        <is>
          <t>Warren, Carol A. B., 1944-</t>
        </is>
      </c>
      <c r="L2266" t="inlineStr">
        <is>
          <t>New York : Wiley, [1974]</t>
        </is>
      </c>
      <c r="M2266" t="inlineStr">
        <is>
          <t>1974</t>
        </is>
      </c>
      <c r="O2266" t="inlineStr">
        <is>
          <t>eng</t>
        </is>
      </c>
      <c r="P2266" t="inlineStr">
        <is>
          <t>nyu</t>
        </is>
      </c>
      <c r="R2266" t="inlineStr">
        <is>
          <t xml:space="preserve">HQ </t>
        </is>
      </c>
      <c r="S2266" t="n">
        <v>22</v>
      </c>
      <c r="T2266" t="n">
        <v>22</v>
      </c>
      <c r="U2266" t="inlineStr">
        <is>
          <t>2007-07-10</t>
        </is>
      </c>
      <c r="V2266" t="inlineStr">
        <is>
          <t>2007-07-10</t>
        </is>
      </c>
      <c r="W2266" t="inlineStr">
        <is>
          <t>1990-12-13</t>
        </is>
      </c>
      <c r="X2266" t="inlineStr">
        <is>
          <t>1990-12-13</t>
        </is>
      </c>
      <c r="Y2266" t="n">
        <v>516</v>
      </c>
      <c r="Z2266" t="n">
        <v>406</v>
      </c>
      <c r="AA2266" t="n">
        <v>413</v>
      </c>
      <c r="AB2266" t="n">
        <v>6</v>
      </c>
      <c r="AC2266" t="n">
        <v>6</v>
      </c>
      <c r="AD2266" t="n">
        <v>20</v>
      </c>
      <c r="AE2266" t="n">
        <v>20</v>
      </c>
      <c r="AF2266" t="n">
        <v>5</v>
      </c>
      <c r="AG2266" t="n">
        <v>5</v>
      </c>
      <c r="AH2266" t="n">
        <v>4</v>
      </c>
      <c r="AI2266" t="n">
        <v>4</v>
      </c>
      <c r="AJ2266" t="n">
        <v>10</v>
      </c>
      <c r="AK2266" t="n">
        <v>10</v>
      </c>
      <c r="AL2266" t="n">
        <v>5</v>
      </c>
      <c r="AM2266" t="n">
        <v>5</v>
      </c>
      <c r="AN2266" t="n">
        <v>0</v>
      </c>
      <c r="AO2266" t="n">
        <v>0</v>
      </c>
      <c r="AP2266" t="inlineStr">
        <is>
          <t>No</t>
        </is>
      </c>
      <c r="AQ2266" t="inlineStr">
        <is>
          <t>Yes</t>
        </is>
      </c>
      <c r="AR2266">
        <f>HYPERLINK("http://catalog.hathitrust.org/Record/000010569","HathiTrust Record")</f>
        <v/>
      </c>
      <c r="AS2266">
        <f>HYPERLINK("https://creighton-primo.hosted.exlibrisgroup.com/primo-explore/search?tab=default_tab&amp;search_scope=EVERYTHING&amp;vid=01CRU&amp;lang=en_US&amp;offset=0&amp;query=any,contains,991003206189702656","Catalog Record")</f>
        <v/>
      </c>
      <c r="AT2266">
        <f>HYPERLINK("http://www.worldcat.org/oclc/730862","WorldCat Record")</f>
        <v/>
      </c>
      <c r="AU2266" t="inlineStr">
        <is>
          <t>1755481:eng</t>
        </is>
      </c>
      <c r="AV2266" t="inlineStr">
        <is>
          <t>730862</t>
        </is>
      </c>
      <c r="AW2266" t="inlineStr">
        <is>
          <t>991003206189702656</t>
        </is>
      </c>
      <c r="AX2266" t="inlineStr">
        <is>
          <t>991003206189702656</t>
        </is>
      </c>
      <c r="AY2266" t="inlineStr">
        <is>
          <t>2267220790002656</t>
        </is>
      </c>
      <c r="AZ2266" t="inlineStr">
        <is>
          <t>BOOK</t>
        </is>
      </c>
      <c r="BB2266" t="inlineStr">
        <is>
          <t>9780471921127</t>
        </is>
      </c>
      <c r="BC2266" t="inlineStr">
        <is>
          <t>32285000425420</t>
        </is>
      </c>
      <c r="BD2266" t="inlineStr">
        <is>
          <t>893799472</t>
        </is>
      </c>
    </row>
    <row r="2267">
      <c r="A2267" t="inlineStr">
        <is>
          <t>No</t>
        </is>
      </c>
      <c r="B2267" t="inlineStr">
        <is>
          <t>HQ76.3.U5 W44</t>
        </is>
      </c>
      <c r="C2267" t="inlineStr">
        <is>
          <t>0                      HQ 0076300U  5                  W  44</t>
        </is>
      </c>
      <c r="D2267" t="inlineStr">
        <is>
          <t>Male homosexuals : their problems and adaptations / [by] Martin S. Weinberg [and] Colin J. Williams.</t>
        </is>
      </c>
      <c r="F2267" t="inlineStr">
        <is>
          <t>No</t>
        </is>
      </c>
      <c r="G2267" t="inlineStr">
        <is>
          <t>1</t>
        </is>
      </c>
      <c r="H2267" t="inlineStr">
        <is>
          <t>No</t>
        </is>
      </c>
      <c r="I2267" t="inlineStr">
        <is>
          <t>No</t>
        </is>
      </c>
      <c r="J2267" t="inlineStr">
        <is>
          <t>0</t>
        </is>
      </c>
      <c r="K2267" t="inlineStr">
        <is>
          <t>Weinberg, Martin S.</t>
        </is>
      </c>
      <c r="L2267" t="inlineStr">
        <is>
          <t>New York : Oxford University Press, 1974.</t>
        </is>
      </c>
      <c r="M2267" t="inlineStr">
        <is>
          <t>1974</t>
        </is>
      </c>
      <c r="O2267" t="inlineStr">
        <is>
          <t>eng</t>
        </is>
      </c>
      <c r="P2267" t="inlineStr">
        <is>
          <t>nyu</t>
        </is>
      </c>
      <c r="R2267" t="inlineStr">
        <is>
          <t xml:space="preserve">HQ </t>
        </is>
      </c>
      <c r="S2267" t="n">
        <v>20</v>
      </c>
      <c r="T2267" t="n">
        <v>20</v>
      </c>
      <c r="U2267" t="inlineStr">
        <is>
          <t>1997-03-17</t>
        </is>
      </c>
      <c r="V2267" t="inlineStr">
        <is>
          <t>1997-03-17</t>
        </is>
      </c>
      <c r="W2267" t="inlineStr">
        <is>
          <t>1990-12-13</t>
        </is>
      </c>
      <c r="X2267" t="inlineStr">
        <is>
          <t>1990-12-13</t>
        </is>
      </c>
      <c r="Y2267" t="n">
        <v>770</v>
      </c>
      <c r="Z2267" t="n">
        <v>613</v>
      </c>
      <c r="AA2267" t="n">
        <v>669</v>
      </c>
      <c r="AB2267" t="n">
        <v>5</v>
      </c>
      <c r="AC2267" t="n">
        <v>5</v>
      </c>
      <c r="AD2267" t="n">
        <v>30</v>
      </c>
      <c r="AE2267" t="n">
        <v>33</v>
      </c>
      <c r="AF2267" t="n">
        <v>12</v>
      </c>
      <c r="AG2267" t="n">
        <v>14</v>
      </c>
      <c r="AH2267" t="n">
        <v>6</v>
      </c>
      <c r="AI2267" t="n">
        <v>6</v>
      </c>
      <c r="AJ2267" t="n">
        <v>15</v>
      </c>
      <c r="AK2267" t="n">
        <v>16</v>
      </c>
      <c r="AL2267" t="n">
        <v>3</v>
      </c>
      <c r="AM2267" t="n">
        <v>3</v>
      </c>
      <c r="AN2267" t="n">
        <v>0</v>
      </c>
      <c r="AO2267" t="n">
        <v>0</v>
      </c>
      <c r="AP2267" t="inlineStr">
        <is>
          <t>No</t>
        </is>
      </c>
      <c r="AQ2267" t="inlineStr">
        <is>
          <t>Yes</t>
        </is>
      </c>
      <c r="AR2267">
        <f>HYPERLINK("http://catalog.hathitrust.org/Record/001108270","HathiTrust Record")</f>
        <v/>
      </c>
      <c r="AS2267">
        <f>HYPERLINK("https://creighton-primo.hosted.exlibrisgroup.com/primo-explore/search?tab=default_tab&amp;search_scope=EVERYTHING&amp;vid=01CRU&amp;lang=en_US&amp;offset=0&amp;query=any,contains,991003448009702656","Catalog Record")</f>
        <v/>
      </c>
      <c r="AT2267">
        <f>HYPERLINK("http://www.worldcat.org/oclc/983782","WorldCat Record")</f>
        <v/>
      </c>
      <c r="AU2267" t="inlineStr">
        <is>
          <t>1951725:eng</t>
        </is>
      </c>
      <c r="AV2267" t="inlineStr">
        <is>
          <t>983782</t>
        </is>
      </c>
      <c r="AW2267" t="inlineStr">
        <is>
          <t>991003448009702656</t>
        </is>
      </c>
      <c r="AX2267" t="inlineStr">
        <is>
          <t>991003448009702656</t>
        </is>
      </c>
      <c r="AY2267" t="inlineStr">
        <is>
          <t>2272644190002656</t>
        </is>
      </c>
      <c r="AZ2267" t="inlineStr">
        <is>
          <t>BOOK</t>
        </is>
      </c>
      <c r="BB2267" t="inlineStr">
        <is>
          <t>9780195017588</t>
        </is>
      </c>
      <c r="BC2267" t="inlineStr">
        <is>
          <t>32285000425412</t>
        </is>
      </c>
      <c r="BD2267" t="inlineStr">
        <is>
          <t>893604792</t>
        </is>
      </c>
    </row>
    <row r="2268">
      <c r="A2268" t="inlineStr">
        <is>
          <t>No</t>
        </is>
      </c>
      <c r="B2268" t="inlineStr">
        <is>
          <t>HQ76.3.U52 M74 2001</t>
        </is>
      </c>
      <c r="C2268" t="inlineStr">
        <is>
          <t>0                      HQ 0076300U  52                 M  74          2001</t>
        </is>
      </c>
      <c r="D2268" t="inlineStr">
        <is>
          <t>Men like that : a southern queer history / John Howard.</t>
        </is>
      </c>
      <c r="F2268" t="inlineStr">
        <is>
          <t>No</t>
        </is>
      </c>
      <c r="G2268" t="inlineStr">
        <is>
          <t>1</t>
        </is>
      </c>
      <c r="H2268" t="inlineStr">
        <is>
          <t>No</t>
        </is>
      </c>
      <c r="I2268" t="inlineStr">
        <is>
          <t>No</t>
        </is>
      </c>
      <c r="J2268" t="inlineStr">
        <is>
          <t>0</t>
        </is>
      </c>
      <c r="K2268" t="inlineStr">
        <is>
          <t>Howard, John, 1962-</t>
        </is>
      </c>
      <c r="L2268" t="inlineStr">
        <is>
          <t>Chicago : University of Chicago Press, 2001, c1999.</t>
        </is>
      </c>
      <c r="M2268" t="inlineStr">
        <is>
          <t>2001</t>
        </is>
      </c>
      <c r="N2268" t="inlineStr">
        <is>
          <t>1st pbk. ed.</t>
        </is>
      </c>
      <c r="O2268" t="inlineStr">
        <is>
          <t>eng</t>
        </is>
      </c>
      <c r="P2268" t="inlineStr">
        <is>
          <t>ilu</t>
        </is>
      </c>
      <c r="R2268" t="inlineStr">
        <is>
          <t xml:space="preserve">HQ </t>
        </is>
      </c>
      <c r="S2268" t="n">
        <v>2</v>
      </c>
      <c r="T2268" t="n">
        <v>2</v>
      </c>
      <c r="U2268" t="inlineStr">
        <is>
          <t>2006-05-11</t>
        </is>
      </c>
      <c r="V2268" t="inlineStr">
        <is>
          <t>2006-05-11</t>
        </is>
      </c>
      <c r="W2268" t="inlineStr">
        <is>
          <t>2006-05-11</t>
        </is>
      </c>
      <c r="X2268" t="inlineStr">
        <is>
          <t>2006-05-11</t>
        </is>
      </c>
      <c r="Y2268" t="n">
        <v>63</v>
      </c>
      <c r="Z2268" t="n">
        <v>52</v>
      </c>
      <c r="AA2268" t="n">
        <v>611</v>
      </c>
      <c r="AB2268" t="n">
        <v>1</v>
      </c>
      <c r="AC2268" t="n">
        <v>4</v>
      </c>
      <c r="AD2268" t="n">
        <v>1</v>
      </c>
      <c r="AE2268" t="n">
        <v>27</v>
      </c>
      <c r="AF2268" t="n">
        <v>1</v>
      </c>
      <c r="AG2268" t="n">
        <v>11</v>
      </c>
      <c r="AH2268" t="n">
        <v>0</v>
      </c>
      <c r="AI2268" t="n">
        <v>7</v>
      </c>
      <c r="AJ2268" t="n">
        <v>1</v>
      </c>
      <c r="AK2268" t="n">
        <v>15</v>
      </c>
      <c r="AL2268" t="n">
        <v>0</v>
      </c>
      <c r="AM2268" t="n">
        <v>3</v>
      </c>
      <c r="AN2268" t="n">
        <v>0</v>
      </c>
      <c r="AO2268" t="n">
        <v>0</v>
      </c>
      <c r="AP2268" t="inlineStr">
        <is>
          <t>No</t>
        </is>
      </c>
      <c r="AQ2268" t="inlineStr">
        <is>
          <t>No</t>
        </is>
      </c>
      <c r="AS2268">
        <f>HYPERLINK("https://creighton-primo.hosted.exlibrisgroup.com/primo-explore/search?tab=default_tab&amp;search_scope=EVERYTHING&amp;vid=01CRU&amp;lang=en_US&amp;offset=0&amp;query=any,contains,991004807389702656","Catalog Record")</f>
        <v/>
      </c>
      <c r="AT2268">
        <f>HYPERLINK("http://www.worldcat.org/oclc/48881184","WorldCat Record")</f>
        <v/>
      </c>
      <c r="AU2268" t="inlineStr">
        <is>
          <t>807520485:eng</t>
        </is>
      </c>
      <c r="AV2268" t="inlineStr">
        <is>
          <t>48881184</t>
        </is>
      </c>
      <c r="AW2268" t="inlineStr">
        <is>
          <t>991004807389702656</t>
        </is>
      </c>
      <c r="AX2268" t="inlineStr">
        <is>
          <t>991004807389702656</t>
        </is>
      </c>
      <c r="AY2268" t="inlineStr">
        <is>
          <t>2270574000002656</t>
        </is>
      </c>
      <c r="AZ2268" t="inlineStr">
        <is>
          <t>BOOK</t>
        </is>
      </c>
      <c r="BB2268" t="inlineStr">
        <is>
          <t>9780226354705</t>
        </is>
      </c>
      <c r="BC2268" t="inlineStr">
        <is>
          <t>32285005186415</t>
        </is>
      </c>
      <c r="BD2268" t="inlineStr">
        <is>
          <t>893229856</t>
        </is>
      </c>
    </row>
    <row r="2269">
      <c r="A2269" t="inlineStr">
        <is>
          <t>No</t>
        </is>
      </c>
      <c r="B2269" t="inlineStr">
        <is>
          <t>HQ76.34 .W44 2001</t>
        </is>
      </c>
      <c r="C2269" t="inlineStr">
        <is>
          <t>0                      HQ 0076340W  44          2001</t>
        </is>
      </c>
      <c r="D2269" t="inlineStr">
        <is>
          <t>Same sex intimacies : families of choice and other life experiments / Jeffrey Weeks, Brian Heaphy, and Catherine Donovan.</t>
        </is>
      </c>
      <c r="F2269" t="inlineStr">
        <is>
          <t>No</t>
        </is>
      </c>
      <c r="G2269" t="inlineStr">
        <is>
          <t>1</t>
        </is>
      </c>
      <c r="H2269" t="inlineStr">
        <is>
          <t>No</t>
        </is>
      </c>
      <c r="I2269" t="inlineStr">
        <is>
          <t>No</t>
        </is>
      </c>
      <c r="J2269" t="inlineStr">
        <is>
          <t>0</t>
        </is>
      </c>
      <c r="K2269" t="inlineStr">
        <is>
          <t>Weeks, Jeffrey, 1945-</t>
        </is>
      </c>
      <c r="L2269" t="inlineStr">
        <is>
          <t>London ; New York : Routledge, 2001.</t>
        </is>
      </c>
      <c r="M2269" t="inlineStr">
        <is>
          <t>2001</t>
        </is>
      </c>
      <c r="O2269" t="inlineStr">
        <is>
          <t>eng</t>
        </is>
      </c>
      <c r="P2269" t="inlineStr">
        <is>
          <t>enk</t>
        </is>
      </c>
      <c r="R2269" t="inlineStr">
        <is>
          <t xml:space="preserve">HQ </t>
        </is>
      </c>
      <c r="S2269" t="n">
        <v>9</v>
      </c>
      <c r="T2269" t="n">
        <v>9</v>
      </c>
      <c r="U2269" t="inlineStr">
        <is>
          <t>2006-03-10</t>
        </is>
      </c>
      <c r="V2269" t="inlineStr">
        <is>
          <t>2006-03-10</t>
        </is>
      </c>
      <c r="W2269" t="inlineStr">
        <is>
          <t>2001-08-29</t>
        </is>
      </c>
      <c r="X2269" t="inlineStr">
        <is>
          <t>2001-08-29</t>
        </is>
      </c>
      <c r="Y2269" t="n">
        <v>432</v>
      </c>
      <c r="Z2269" t="n">
        <v>288</v>
      </c>
      <c r="AA2269" t="n">
        <v>401</v>
      </c>
      <c r="AB2269" t="n">
        <v>3</v>
      </c>
      <c r="AC2269" t="n">
        <v>3</v>
      </c>
      <c r="AD2269" t="n">
        <v>12</v>
      </c>
      <c r="AE2269" t="n">
        <v>13</v>
      </c>
      <c r="AF2269" t="n">
        <v>4</v>
      </c>
      <c r="AG2269" t="n">
        <v>5</v>
      </c>
      <c r="AH2269" t="n">
        <v>3</v>
      </c>
      <c r="AI2269" t="n">
        <v>3</v>
      </c>
      <c r="AJ2269" t="n">
        <v>4</v>
      </c>
      <c r="AK2269" t="n">
        <v>4</v>
      </c>
      <c r="AL2269" t="n">
        <v>2</v>
      </c>
      <c r="AM2269" t="n">
        <v>2</v>
      </c>
      <c r="AN2269" t="n">
        <v>0</v>
      </c>
      <c r="AO2269" t="n">
        <v>0</v>
      </c>
      <c r="AP2269" t="inlineStr">
        <is>
          <t>No</t>
        </is>
      </c>
      <c r="AQ2269" t="inlineStr">
        <is>
          <t>No</t>
        </is>
      </c>
      <c r="AS2269">
        <f>HYPERLINK("https://creighton-primo.hosted.exlibrisgroup.com/primo-explore/search?tab=default_tab&amp;search_scope=EVERYTHING&amp;vid=01CRU&amp;lang=en_US&amp;offset=0&amp;query=any,contains,991003605049702656","Catalog Record")</f>
        <v/>
      </c>
      <c r="AT2269">
        <f>HYPERLINK("http://www.worldcat.org/oclc/45388524","WorldCat Record")</f>
        <v/>
      </c>
      <c r="AU2269" t="inlineStr">
        <is>
          <t>800708707:eng</t>
        </is>
      </c>
      <c r="AV2269" t="inlineStr">
        <is>
          <t>45388524</t>
        </is>
      </c>
      <c r="AW2269" t="inlineStr">
        <is>
          <t>991003605049702656</t>
        </is>
      </c>
      <c r="AX2269" t="inlineStr">
        <is>
          <t>991003605049702656</t>
        </is>
      </c>
      <c r="AY2269" t="inlineStr">
        <is>
          <t>2262017540002656</t>
        </is>
      </c>
      <c r="AZ2269" t="inlineStr">
        <is>
          <t>BOOK</t>
        </is>
      </c>
      <c r="BB2269" t="inlineStr">
        <is>
          <t>9780415254762</t>
        </is>
      </c>
      <c r="BC2269" t="inlineStr">
        <is>
          <t>32285004382692</t>
        </is>
      </c>
      <c r="BD2269" t="inlineStr">
        <is>
          <t>893793802</t>
        </is>
      </c>
    </row>
    <row r="2270">
      <c r="A2270" t="inlineStr">
        <is>
          <t>No</t>
        </is>
      </c>
      <c r="B2270" t="inlineStr">
        <is>
          <t>HQ76.4 .C43 2006</t>
        </is>
      </c>
      <c r="C2270" t="inlineStr">
        <is>
          <t>0                      HQ 0076400C  43          2006</t>
        </is>
      </c>
      <c r="D2270" t="inlineStr">
        <is>
          <t>Challenging homophobia and heterosexism : lesbian, gay, bisexual, transgender, and queer issues in organizational settings / Robert J. Hill, editor.</t>
        </is>
      </c>
      <c r="F2270" t="inlineStr">
        <is>
          <t>No</t>
        </is>
      </c>
      <c r="G2270" t="inlineStr">
        <is>
          <t>1</t>
        </is>
      </c>
      <c r="H2270" t="inlineStr">
        <is>
          <t>No</t>
        </is>
      </c>
      <c r="I2270" t="inlineStr">
        <is>
          <t>No</t>
        </is>
      </c>
      <c r="J2270" t="inlineStr">
        <is>
          <t>0</t>
        </is>
      </c>
      <c r="L2270" t="inlineStr">
        <is>
          <t>San Francisco, Calif. : Jossey-Bass ; Chichester : John Wiley [distributor], 2006.</t>
        </is>
      </c>
      <c r="M2270" t="inlineStr">
        <is>
          <t>2007</t>
        </is>
      </c>
      <c r="O2270" t="inlineStr">
        <is>
          <t>eng</t>
        </is>
      </c>
      <c r="P2270" t="inlineStr">
        <is>
          <t>cau</t>
        </is>
      </c>
      <c r="Q2270" t="inlineStr">
        <is>
          <t>New directions for adult and continuing education ; no. 112</t>
        </is>
      </c>
      <c r="R2270" t="inlineStr">
        <is>
          <t xml:space="preserve">HQ </t>
        </is>
      </c>
      <c r="S2270" t="n">
        <v>2</v>
      </c>
      <c r="T2270" t="n">
        <v>2</v>
      </c>
      <c r="U2270" t="inlineStr">
        <is>
          <t>2009-02-26</t>
        </is>
      </c>
      <c r="V2270" t="inlineStr">
        <is>
          <t>2009-02-26</t>
        </is>
      </c>
      <c r="W2270" t="inlineStr">
        <is>
          <t>2007-06-12</t>
        </is>
      </c>
      <c r="X2270" t="inlineStr">
        <is>
          <t>2007-06-12</t>
        </is>
      </c>
      <c r="Y2270" t="n">
        <v>291</v>
      </c>
      <c r="Z2270" t="n">
        <v>260</v>
      </c>
      <c r="AA2270" t="n">
        <v>272</v>
      </c>
      <c r="AB2270" t="n">
        <v>3</v>
      </c>
      <c r="AC2270" t="n">
        <v>3</v>
      </c>
      <c r="AD2270" t="n">
        <v>11</v>
      </c>
      <c r="AE2270" t="n">
        <v>11</v>
      </c>
      <c r="AF2270" t="n">
        <v>3</v>
      </c>
      <c r="AG2270" t="n">
        <v>3</v>
      </c>
      <c r="AH2270" t="n">
        <v>2</v>
      </c>
      <c r="AI2270" t="n">
        <v>2</v>
      </c>
      <c r="AJ2270" t="n">
        <v>7</v>
      </c>
      <c r="AK2270" t="n">
        <v>7</v>
      </c>
      <c r="AL2270" t="n">
        <v>2</v>
      </c>
      <c r="AM2270" t="n">
        <v>2</v>
      </c>
      <c r="AN2270" t="n">
        <v>0</v>
      </c>
      <c r="AO2270" t="n">
        <v>0</v>
      </c>
      <c r="AP2270" t="inlineStr">
        <is>
          <t>No</t>
        </is>
      </c>
      <c r="AQ2270" t="inlineStr">
        <is>
          <t>No</t>
        </is>
      </c>
      <c r="AS2270">
        <f>HYPERLINK("https://creighton-primo.hosted.exlibrisgroup.com/primo-explore/search?tab=default_tab&amp;search_scope=EVERYTHING&amp;vid=01CRU&amp;lang=en_US&amp;offset=0&amp;query=any,contains,991005088899702656","Catalog Record")</f>
        <v/>
      </c>
      <c r="AT2270">
        <f>HYPERLINK("http://www.worldcat.org/oclc/77466676","WorldCat Record")</f>
        <v/>
      </c>
      <c r="AU2270" t="inlineStr">
        <is>
          <t>396762562:eng</t>
        </is>
      </c>
      <c r="AV2270" t="inlineStr">
        <is>
          <t>77466676</t>
        </is>
      </c>
      <c r="AW2270" t="inlineStr">
        <is>
          <t>991005088899702656</t>
        </is>
      </c>
      <c r="AX2270" t="inlineStr">
        <is>
          <t>991005088899702656</t>
        </is>
      </c>
      <c r="AY2270" t="inlineStr">
        <is>
          <t>2270170960002656</t>
        </is>
      </c>
      <c r="AZ2270" t="inlineStr">
        <is>
          <t>BOOK</t>
        </is>
      </c>
      <c r="BB2270" t="inlineStr">
        <is>
          <t>9780787994952</t>
        </is>
      </c>
      <c r="BC2270" t="inlineStr">
        <is>
          <t>32285005316731</t>
        </is>
      </c>
      <c r="BD2270" t="inlineStr">
        <is>
          <t>893533141</t>
        </is>
      </c>
    </row>
    <row r="2271">
      <c r="A2271" t="inlineStr">
        <is>
          <t>No</t>
        </is>
      </c>
      <c r="B2271" t="inlineStr">
        <is>
          <t>HQ76.45.A8 M37 2002</t>
        </is>
      </c>
      <c r="C2271" t="inlineStr">
        <is>
          <t>0                      HQ 0076450A  8                  M  37          2002</t>
        </is>
      </c>
      <c r="D2271" t="inlineStr">
        <is>
          <t>The spectacle of violence : homophobia, gender and knowledge / Gail Mason.</t>
        </is>
      </c>
      <c r="F2271" t="inlineStr">
        <is>
          <t>No</t>
        </is>
      </c>
      <c r="G2271" t="inlineStr">
        <is>
          <t>1</t>
        </is>
      </c>
      <c r="H2271" t="inlineStr">
        <is>
          <t>No</t>
        </is>
      </c>
      <c r="I2271" t="inlineStr">
        <is>
          <t>No</t>
        </is>
      </c>
      <c r="J2271" t="inlineStr">
        <is>
          <t>0</t>
        </is>
      </c>
      <c r="K2271" t="inlineStr">
        <is>
          <t>Mason, Gail.</t>
        </is>
      </c>
      <c r="L2271" t="inlineStr">
        <is>
          <t>London ; New York : Routledge, 2002.</t>
        </is>
      </c>
      <c r="M2271" t="inlineStr">
        <is>
          <t>2002</t>
        </is>
      </c>
      <c r="O2271" t="inlineStr">
        <is>
          <t>eng</t>
        </is>
      </c>
      <c r="P2271" t="inlineStr">
        <is>
          <t>enk</t>
        </is>
      </c>
      <c r="Q2271" t="inlineStr">
        <is>
          <t>Writing corporealities</t>
        </is>
      </c>
      <c r="R2271" t="inlineStr">
        <is>
          <t xml:space="preserve">HQ </t>
        </is>
      </c>
      <c r="S2271" t="n">
        <v>2</v>
      </c>
      <c r="T2271" t="n">
        <v>2</v>
      </c>
      <c r="U2271" t="inlineStr">
        <is>
          <t>2003-12-08</t>
        </is>
      </c>
      <c r="V2271" t="inlineStr">
        <is>
          <t>2003-12-08</t>
        </is>
      </c>
      <c r="W2271" t="inlineStr">
        <is>
          <t>2001-12-06</t>
        </is>
      </c>
      <c r="X2271" t="inlineStr">
        <is>
          <t>2001-12-06</t>
        </is>
      </c>
      <c r="Y2271" t="n">
        <v>324</v>
      </c>
      <c r="Z2271" t="n">
        <v>215</v>
      </c>
      <c r="AA2271" t="n">
        <v>927</v>
      </c>
      <c r="AB2271" t="n">
        <v>2</v>
      </c>
      <c r="AC2271" t="n">
        <v>13</v>
      </c>
      <c r="AD2271" t="n">
        <v>10</v>
      </c>
      <c r="AE2271" t="n">
        <v>41</v>
      </c>
      <c r="AF2271" t="n">
        <v>3</v>
      </c>
      <c r="AG2271" t="n">
        <v>12</v>
      </c>
      <c r="AH2271" t="n">
        <v>4</v>
      </c>
      <c r="AI2271" t="n">
        <v>9</v>
      </c>
      <c r="AJ2271" t="n">
        <v>5</v>
      </c>
      <c r="AK2271" t="n">
        <v>13</v>
      </c>
      <c r="AL2271" t="n">
        <v>1</v>
      </c>
      <c r="AM2271" t="n">
        <v>11</v>
      </c>
      <c r="AN2271" t="n">
        <v>1</v>
      </c>
      <c r="AO2271" t="n">
        <v>2</v>
      </c>
      <c r="AP2271" t="inlineStr">
        <is>
          <t>No</t>
        </is>
      </c>
      <c r="AQ2271" t="inlineStr">
        <is>
          <t>No</t>
        </is>
      </c>
      <c r="AS2271">
        <f>HYPERLINK("https://creighton-primo.hosted.exlibrisgroup.com/primo-explore/search?tab=default_tab&amp;search_scope=EVERYTHING&amp;vid=01CRU&amp;lang=en_US&amp;offset=0&amp;query=any,contains,991003605119702656","Catalog Record")</f>
        <v/>
      </c>
      <c r="AT2271">
        <f>HYPERLINK("http://www.worldcat.org/oclc/46836989","WorldCat Record")</f>
        <v/>
      </c>
      <c r="AU2271" t="inlineStr">
        <is>
          <t>792944520:eng</t>
        </is>
      </c>
      <c r="AV2271" t="inlineStr">
        <is>
          <t>46836989</t>
        </is>
      </c>
      <c r="AW2271" t="inlineStr">
        <is>
          <t>991003605119702656</t>
        </is>
      </c>
      <c r="AX2271" t="inlineStr">
        <is>
          <t>991003605119702656</t>
        </is>
      </c>
      <c r="AY2271" t="inlineStr">
        <is>
          <t>2261582180002656</t>
        </is>
      </c>
      <c r="AZ2271" t="inlineStr">
        <is>
          <t>BOOK</t>
        </is>
      </c>
      <c r="BB2271" t="inlineStr">
        <is>
          <t>9780415189552</t>
        </is>
      </c>
      <c r="BC2271" t="inlineStr">
        <is>
          <t>32285004426739</t>
        </is>
      </c>
      <c r="BD2271" t="inlineStr">
        <is>
          <t>893692912</t>
        </is>
      </c>
    </row>
    <row r="2272">
      <c r="A2272" t="inlineStr">
        <is>
          <t>No</t>
        </is>
      </c>
      <c r="B2272" t="inlineStr">
        <is>
          <t>HQ76.5 .A33 1987</t>
        </is>
      </c>
      <c r="C2272" t="inlineStr">
        <is>
          <t>0                      HQ 0076500A  33          1987</t>
        </is>
      </c>
      <c r="D2272" t="inlineStr">
        <is>
          <t>The rise of a gay and lesbian movement / Barry D. Adam.</t>
        </is>
      </c>
      <c r="F2272" t="inlineStr">
        <is>
          <t>No</t>
        </is>
      </c>
      <c r="G2272" t="inlineStr">
        <is>
          <t>1</t>
        </is>
      </c>
      <c r="H2272" t="inlineStr">
        <is>
          <t>No</t>
        </is>
      </c>
      <c r="I2272" t="inlineStr">
        <is>
          <t>No</t>
        </is>
      </c>
      <c r="J2272" t="inlineStr">
        <is>
          <t>0</t>
        </is>
      </c>
      <c r="K2272" t="inlineStr">
        <is>
          <t>Adam, Barry D.</t>
        </is>
      </c>
      <c r="L2272" t="inlineStr">
        <is>
          <t>Boston : Twayne Publishers, c1987.</t>
        </is>
      </c>
      <c r="M2272" t="inlineStr">
        <is>
          <t>1987</t>
        </is>
      </c>
      <c r="O2272" t="inlineStr">
        <is>
          <t>eng</t>
        </is>
      </c>
      <c r="P2272" t="inlineStr">
        <is>
          <t>mau</t>
        </is>
      </c>
      <c r="Q2272" t="inlineStr">
        <is>
          <t>Social movements past &amp; present</t>
        </is>
      </c>
      <c r="R2272" t="inlineStr">
        <is>
          <t xml:space="preserve">HQ </t>
        </is>
      </c>
      <c r="S2272" t="n">
        <v>29</v>
      </c>
      <c r="T2272" t="n">
        <v>29</v>
      </c>
      <c r="U2272" t="inlineStr">
        <is>
          <t>2008-10-06</t>
        </is>
      </c>
      <c r="V2272" t="inlineStr">
        <is>
          <t>2008-10-06</t>
        </is>
      </c>
      <c r="W2272" t="inlineStr">
        <is>
          <t>1990-03-20</t>
        </is>
      </c>
      <c r="X2272" t="inlineStr">
        <is>
          <t>1990-03-20</t>
        </is>
      </c>
      <c r="Y2272" t="n">
        <v>1139</v>
      </c>
      <c r="Z2272" t="n">
        <v>1031</v>
      </c>
      <c r="AA2272" t="n">
        <v>1383</v>
      </c>
      <c r="AB2272" t="n">
        <v>8</v>
      </c>
      <c r="AC2272" t="n">
        <v>9</v>
      </c>
      <c r="AD2272" t="n">
        <v>42</v>
      </c>
      <c r="AE2272" t="n">
        <v>48</v>
      </c>
      <c r="AF2272" t="n">
        <v>16</v>
      </c>
      <c r="AG2272" t="n">
        <v>19</v>
      </c>
      <c r="AH2272" t="n">
        <v>9</v>
      </c>
      <c r="AI2272" t="n">
        <v>9</v>
      </c>
      <c r="AJ2272" t="n">
        <v>19</v>
      </c>
      <c r="AK2272" t="n">
        <v>21</v>
      </c>
      <c r="AL2272" t="n">
        <v>7</v>
      </c>
      <c r="AM2272" t="n">
        <v>8</v>
      </c>
      <c r="AN2272" t="n">
        <v>2</v>
      </c>
      <c r="AO2272" t="n">
        <v>3</v>
      </c>
      <c r="AP2272" t="inlineStr">
        <is>
          <t>No</t>
        </is>
      </c>
      <c r="AQ2272" t="inlineStr">
        <is>
          <t>Yes</t>
        </is>
      </c>
      <c r="AR2272">
        <f>HYPERLINK("http://catalog.hathitrust.org/Record/000824218","HathiTrust Record")</f>
        <v/>
      </c>
      <c r="AS2272">
        <f>HYPERLINK("https://creighton-primo.hosted.exlibrisgroup.com/primo-explore/search?tab=default_tab&amp;search_scope=EVERYTHING&amp;vid=01CRU&amp;lang=en_US&amp;offset=0&amp;query=any,contains,991000964459702656","Catalog Record")</f>
        <v/>
      </c>
      <c r="AT2272">
        <f>HYPERLINK("http://www.worldcat.org/oclc/14904421","WorldCat Record")</f>
        <v/>
      </c>
      <c r="AU2272" t="inlineStr">
        <is>
          <t>8179958:eng</t>
        </is>
      </c>
      <c r="AV2272" t="inlineStr">
        <is>
          <t>14904421</t>
        </is>
      </c>
      <c r="AW2272" t="inlineStr">
        <is>
          <t>991000964459702656</t>
        </is>
      </c>
      <c r="AX2272" t="inlineStr">
        <is>
          <t>991000964459702656</t>
        </is>
      </c>
      <c r="AY2272" t="inlineStr">
        <is>
          <t>2266721940002656</t>
        </is>
      </c>
      <c r="AZ2272" t="inlineStr">
        <is>
          <t>BOOK</t>
        </is>
      </c>
      <c r="BB2272" t="inlineStr">
        <is>
          <t>9780805797152</t>
        </is>
      </c>
      <c r="BC2272" t="inlineStr">
        <is>
          <t>32285000087212</t>
        </is>
      </c>
      <c r="BD2272" t="inlineStr">
        <is>
          <t>893596077</t>
        </is>
      </c>
    </row>
    <row r="2273">
      <c r="A2273" t="inlineStr">
        <is>
          <t>No</t>
        </is>
      </c>
      <c r="B2273" t="inlineStr">
        <is>
          <t>HQ76.5 .G38</t>
        </is>
      </c>
      <c r="C2273" t="inlineStr">
        <is>
          <t>0                      HQ 0076500G  38</t>
        </is>
      </c>
      <c r="D2273" t="inlineStr">
        <is>
          <t>The Gay academic / edited by Louie Crew ; written by Ellen M. Barrett ... [et al.].</t>
        </is>
      </c>
      <c r="F2273" t="inlineStr">
        <is>
          <t>No</t>
        </is>
      </c>
      <c r="G2273" t="inlineStr">
        <is>
          <t>1</t>
        </is>
      </c>
      <c r="H2273" t="inlineStr">
        <is>
          <t>No</t>
        </is>
      </c>
      <c r="I2273" t="inlineStr">
        <is>
          <t>No</t>
        </is>
      </c>
      <c r="J2273" t="inlineStr">
        <is>
          <t>0</t>
        </is>
      </c>
      <c r="L2273" t="inlineStr">
        <is>
          <t>Palm Springs, Calif. : ETC Publications, c1978.</t>
        </is>
      </c>
      <c r="M2273" t="inlineStr">
        <is>
          <t>1978</t>
        </is>
      </c>
      <c r="O2273" t="inlineStr">
        <is>
          <t>eng</t>
        </is>
      </c>
      <c r="P2273" t="inlineStr">
        <is>
          <t>cau</t>
        </is>
      </c>
      <c r="R2273" t="inlineStr">
        <is>
          <t xml:space="preserve">HQ </t>
        </is>
      </c>
      <c r="S2273" t="n">
        <v>6</v>
      </c>
      <c r="T2273" t="n">
        <v>6</v>
      </c>
      <c r="U2273" t="inlineStr">
        <is>
          <t>1994-02-08</t>
        </is>
      </c>
      <c r="V2273" t="inlineStr">
        <is>
          <t>1994-02-08</t>
        </is>
      </c>
      <c r="W2273" t="inlineStr">
        <is>
          <t>1992-04-01</t>
        </is>
      </c>
      <c r="X2273" t="inlineStr">
        <is>
          <t>1992-04-01</t>
        </is>
      </c>
      <c r="Y2273" t="n">
        <v>612</v>
      </c>
      <c r="Z2273" t="n">
        <v>550</v>
      </c>
      <c r="AA2273" t="n">
        <v>556</v>
      </c>
      <c r="AB2273" t="n">
        <v>5</v>
      </c>
      <c r="AC2273" t="n">
        <v>5</v>
      </c>
      <c r="AD2273" t="n">
        <v>22</v>
      </c>
      <c r="AE2273" t="n">
        <v>22</v>
      </c>
      <c r="AF2273" t="n">
        <v>10</v>
      </c>
      <c r="AG2273" t="n">
        <v>10</v>
      </c>
      <c r="AH2273" t="n">
        <v>6</v>
      </c>
      <c r="AI2273" t="n">
        <v>6</v>
      </c>
      <c r="AJ2273" t="n">
        <v>8</v>
      </c>
      <c r="AK2273" t="n">
        <v>8</v>
      </c>
      <c r="AL2273" t="n">
        <v>4</v>
      </c>
      <c r="AM2273" t="n">
        <v>4</v>
      </c>
      <c r="AN2273" t="n">
        <v>0</v>
      </c>
      <c r="AO2273" t="n">
        <v>0</v>
      </c>
      <c r="AP2273" t="inlineStr">
        <is>
          <t>No</t>
        </is>
      </c>
      <c r="AQ2273" t="inlineStr">
        <is>
          <t>No</t>
        </is>
      </c>
      <c r="AS2273">
        <f>HYPERLINK("https://creighton-primo.hosted.exlibrisgroup.com/primo-explore/search?tab=default_tab&amp;search_scope=EVERYTHING&amp;vid=01CRU&amp;lang=en_US&amp;offset=0&amp;query=any,contains,991003917989702656","Catalog Record")</f>
        <v/>
      </c>
      <c r="AT2273">
        <f>HYPERLINK("http://www.worldcat.org/oclc/1863538","WorldCat Record")</f>
        <v/>
      </c>
      <c r="AU2273" t="inlineStr">
        <is>
          <t>542665:eng</t>
        </is>
      </c>
      <c r="AV2273" t="inlineStr">
        <is>
          <t>1863538</t>
        </is>
      </c>
      <c r="AW2273" t="inlineStr">
        <is>
          <t>991003917989702656</t>
        </is>
      </c>
      <c r="AX2273" t="inlineStr">
        <is>
          <t>991003917989702656</t>
        </is>
      </c>
      <c r="AY2273" t="inlineStr">
        <is>
          <t>2263240790002656</t>
        </is>
      </c>
      <c r="AZ2273" t="inlineStr">
        <is>
          <t>BOOK</t>
        </is>
      </c>
      <c r="BB2273" t="inlineStr">
        <is>
          <t>9780882800363</t>
        </is>
      </c>
      <c r="BC2273" t="inlineStr">
        <is>
          <t>32285001031342</t>
        </is>
      </c>
      <c r="BD2273" t="inlineStr">
        <is>
          <t>893800369</t>
        </is>
      </c>
    </row>
    <row r="2274">
      <c r="A2274" t="inlineStr">
        <is>
          <t>No</t>
        </is>
      </c>
      <c r="B2274" t="inlineStr">
        <is>
          <t>HQ76.5 .H35 1995</t>
        </is>
      </c>
      <c r="C2274" t="inlineStr">
        <is>
          <t>0                      HQ 0076500H  35          1995</t>
        </is>
      </c>
      <c r="D2274" t="inlineStr">
        <is>
          <t>Saint Foucault : towards a gay hagiography / David M. Halperin.</t>
        </is>
      </c>
      <c r="F2274" t="inlineStr">
        <is>
          <t>No</t>
        </is>
      </c>
      <c r="G2274" t="inlineStr">
        <is>
          <t>1</t>
        </is>
      </c>
      <c r="H2274" t="inlineStr">
        <is>
          <t>No</t>
        </is>
      </c>
      <c r="I2274" t="inlineStr">
        <is>
          <t>No</t>
        </is>
      </c>
      <c r="J2274" t="inlineStr">
        <is>
          <t>0</t>
        </is>
      </c>
      <c r="K2274" t="inlineStr">
        <is>
          <t>Halperin, David M., 1952-</t>
        </is>
      </c>
      <c r="L2274" t="inlineStr">
        <is>
          <t>New York : Oxford University Press, c1995.</t>
        </is>
      </c>
      <c r="M2274" t="inlineStr">
        <is>
          <t>1995</t>
        </is>
      </c>
      <c r="O2274" t="inlineStr">
        <is>
          <t>eng</t>
        </is>
      </c>
      <c r="P2274" t="inlineStr">
        <is>
          <t>nyu</t>
        </is>
      </c>
      <c r="R2274" t="inlineStr">
        <is>
          <t xml:space="preserve">HQ </t>
        </is>
      </c>
      <c r="S2274" t="n">
        <v>1</v>
      </c>
      <c r="T2274" t="n">
        <v>1</v>
      </c>
      <c r="U2274" t="inlineStr">
        <is>
          <t>2001-09-10</t>
        </is>
      </c>
      <c r="V2274" t="inlineStr">
        <is>
          <t>2001-09-10</t>
        </is>
      </c>
      <c r="W2274" t="inlineStr">
        <is>
          <t>1995-08-01</t>
        </is>
      </c>
      <c r="X2274" t="inlineStr">
        <is>
          <t>1995-08-01</t>
        </is>
      </c>
      <c r="Y2274" t="n">
        <v>559</v>
      </c>
      <c r="Z2274" t="n">
        <v>416</v>
      </c>
      <c r="AA2274" t="n">
        <v>507</v>
      </c>
      <c r="AB2274" t="n">
        <v>2</v>
      </c>
      <c r="AC2274" t="n">
        <v>4</v>
      </c>
      <c r="AD2274" t="n">
        <v>22</v>
      </c>
      <c r="AE2274" t="n">
        <v>26</v>
      </c>
      <c r="AF2274" t="n">
        <v>5</v>
      </c>
      <c r="AG2274" t="n">
        <v>7</v>
      </c>
      <c r="AH2274" t="n">
        <v>7</v>
      </c>
      <c r="AI2274" t="n">
        <v>7</v>
      </c>
      <c r="AJ2274" t="n">
        <v>13</v>
      </c>
      <c r="AK2274" t="n">
        <v>14</v>
      </c>
      <c r="AL2274" t="n">
        <v>1</v>
      </c>
      <c r="AM2274" t="n">
        <v>3</v>
      </c>
      <c r="AN2274" t="n">
        <v>1</v>
      </c>
      <c r="AO2274" t="n">
        <v>1</v>
      </c>
      <c r="AP2274" t="inlineStr">
        <is>
          <t>No</t>
        </is>
      </c>
      <c r="AQ2274" t="inlineStr">
        <is>
          <t>No</t>
        </is>
      </c>
      <c r="AS2274">
        <f>HYPERLINK("https://creighton-primo.hosted.exlibrisgroup.com/primo-explore/search?tab=default_tab&amp;search_scope=EVERYTHING&amp;vid=01CRU&amp;lang=en_US&amp;offset=0&amp;query=any,contains,991002422989702656","Catalog Record")</f>
        <v/>
      </c>
      <c r="AT2274">
        <f>HYPERLINK("http://www.worldcat.org/oclc/31605139","WorldCat Record")</f>
        <v/>
      </c>
      <c r="AU2274" t="inlineStr">
        <is>
          <t>19330478:eng</t>
        </is>
      </c>
      <c r="AV2274" t="inlineStr">
        <is>
          <t>31605139</t>
        </is>
      </c>
      <c r="AW2274" t="inlineStr">
        <is>
          <t>991002422989702656</t>
        </is>
      </c>
      <c r="AX2274" t="inlineStr">
        <is>
          <t>991002422989702656</t>
        </is>
      </c>
      <c r="AY2274" t="inlineStr">
        <is>
          <t>2265768510002656</t>
        </is>
      </c>
      <c r="AZ2274" t="inlineStr">
        <is>
          <t>BOOK</t>
        </is>
      </c>
      <c r="BB2274" t="inlineStr">
        <is>
          <t>9780195093711</t>
        </is>
      </c>
      <c r="BC2274" t="inlineStr">
        <is>
          <t>32285002076940</t>
        </is>
      </c>
      <c r="BD2274" t="inlineStr">
        <is>
          <t>893262275</t>
        </is>
      </c>
    </row>
    <row r="2275">
      <c r="A2275" t="inlineStr">
        <is>
          <t>No</t>
        </is>
      </c>
      <c r="B2275" t="inlineStr">
        <is>
          <t>HQ76.5 .L38 1995</t>
        </is>
      </c>
      <c r="C2275" t="inlineStr">
        <is>
          <t>0                      HQ 0076500L  38          1995</t>
        </is>
      </c>
      <c r="D2275" t="inlineStr">
        <is>
          <t>The early homosexual rights movement, 1864-1935 / John Lauritsen and David Thorstad.</t>
        </is>
      </c>
      <c r="F2275" t="inlineStr">
        <is>
          <t>No</t>
        </is>
      </c>
      <c r="G2275" t="inlineStr">
        <is>
          <t>1</t>
        </is>
      </c>
      <c r="H2275" t="inlineStr">
        <is>
          <t>No</t>
        </is>
      </c>
      <c r="I2275" t="inlineStr">
        <is>
          <t>No</t>
        </is>
      </c>
      <c r="J2275" t="inlineStr">
        <is>
          <t>0</t>
        </is>
      </c>
      <c r="K2275" t="inlineStr">
        <is>
          <t>Lauritsen, John.</t>
        </is>
      </c>
      <c r="L2275" t="inlineStr">
        <is>
          <t>Ojai, CA : Times Change Press, c1995.</t>
        </is>
      </c>
      <c r="M2275" t="inlineStr">
        <is>
          <t>1995</t>
        </is>
      </c>
      <c r="N2275" t="inlineStr">
        <is>
          <t>Rev. ed.</t>
        </is>
      </c>
      <c r="O2275" t="inlineStr">
        <is>
          <t>eng</t>
        </is>
      </c>
      <c r="P2275" t="inlineStr">
        <is>
          <t>cau</t>
        </is>
      </c>
      <c r="R2275" t="inlineStr">
        <is>
          <t xml:space="preserve">HQ </t>
        </is>
      </c>
      <c r="S2275" t="n">
        <v>17</v>
      </c>
      <c r="T2275" t="n">
        <v>17</v>
      </c>
      <c r="U2275" t="inlineStr">
        <is>
          <t>2010-10-12</t>
        </is>
      </c>
      <c r="V2275" t="inlineStr">
        <is>
          <t>2010-10-12</t>
        </is>
      </c>
      <c r="W2275" t="inlineStr">
        <is>
          <t>1997-01-28</t>
        </is>
      </c>
      <c r="X2275" t="inlineStr">
        <is>
          <t>1997-01-28</t>
        </is>
      </c>
      <c r="Y2275" t="n">
        <v>66</v>
      </c>
      <c r="Z2275" t="n">
        <v>56</v>
      </c>
      <c r="AA2275" t="n">
        <v>440</v>
      </c>
      <c r="AB2275" t="n">
        <v>1</v>
      </c>
      <c r="AC2275" t="n">
        <v>4</v>
      </c>
      <c r="AD2275" t="n">
        <v>1</v>
      </c>
      <c r="AE2275" t="n">
        <v>13</v>
      </c>
      <c r="AF2275" t="n">
        <v>0</v>
      </c>
      <c r="AG2275" t="n">
        <v>3</v>
      </c>
      <c r="AH2275" t="n">
        <v>0</v>
      </c>
      <c r="AI2275" t="n">
        <v>3</v>
      </c>
      <c r="AJ2275" t="n">
        <v>1</v>
      </c>
      <c r="AK2275" t="n">
        <v>6</v>
      </c>
      <c r="AL2275" t="n">
        <v>0</v>
      </c>
      <c r="AM2275" t="n">
        <v>3</v>
      </c>
      <c r="AN2275" t="n">
        <v>0</v>
      </c>
      <c r="AO2275" t="n">
        <v>0</v>
      </c>
      <c r="AP2275" t="inlineStr">
        <is>
          <t>No</t>
        </is>
      </c>
      <c r="AQ2275" t="inlineStr">
        <is>
          <t>No</t>
        </is>
      </c>
      <c r="AS2275">
        <f>HYPERLINK("https://creighton-primo.hosted.exlibrisgroup.com/primo-explore/search?tab=default_tab&amp;search_scope=EVERYTHING&amp;vid=01CRU&amp;lang=en_US&amp;offset=0&amp;query=any,contains,991002540879702656","Catalog Record")</f>
        <v/>
      </c>
      <c r="AT2275">
        <f>HYPERLINK("http://www.worldcat.org/oclc/33014100","WorldCat Record")</f>
        <v/>
      </c>
      <c r="AU2275" t="inlineStr">
        <is>
          <t>537548:eng</t>
        </is>
      </c>
      <c r="AV2275" t="inlineStr">
        <is>
          <t>33014100</t>
        </is>
      </c>
      <c r="AW2275" t="inlineStr">
        <is>
          <t>991002540879702656</t>
        </is>
      </c>
      <c r="AX2275" t="inlineStr">
        <is>
          <t>991002540879702656</t>
        </is>
      </c>
      <c r="AY2275" t="inlineStr">
        <is>
          <t>2255720230002656</t>
        </is>
      </c>
      <c r="AZ2275" t="inlineStr">
        <is>
          <t>BOOK</t>
        </is>
      </c>
      <c r="BB2275" t="inlineStr">
        <is>
          <t>9780878100415</t>
        </is>
      </c>
      <c r="BC2275" t="inlineStr">
        <is>
          <t>32285002122132</t>
        </is>
      </c>
      <c r="BD2275" t="inlineStr">
        <is>
          <t>893704194</t>
        </is>
      </c>
    </row>
    <row r="2276">
      <c r="A2276" t="inlineStr">
        <is>
          <t>No</t>
        </is>
      </c>
      <c r="B2276" t="inlineStr">
        <is>
          <t>HQ76.5 .N6 1983</t>
        </is>
      </c>
      <c r="C2276" t="inlineStr">
        <is>
          <t>0                      HQ 0076500N  6           1983</t>
        </is>
      </c>
      <c r="D2276" t="inlineStr">
        <is>
          <t>No turning back : lesbian and gay liberation for the '80s / Gerre Goodman...[et al.] ; foreword by Malcolm Boyd.</t>
        </is>
      </c>
      <c r="F2276" t="inlineStr">
        <is>
          <t>No</t>
        </is>
      </c>
      <c r="G2276" t="inlineStr">
        <is>
          <t>1</t>
        </is>
      </c>
      <c r="H2276" t="inlineStr">
        <is>
          <t>No</t>
        </is>
      </c>
      <c r="I2276" t="inlineStr">
        <is>
          <t>No</t>
        </is>
      </c>
      <c r="J2276" t="inlineStr">
        <is>
          <t>0</t>
        </is>
      </c>
      <c r="L2276" t="inlineStr">
        <is>
          <t>Philadelphia, PA : New Society Publishers, c1983.</t>
        </is>
      </c>
      <c r="M2276" t="inlineStr">
        <is>
          <t>1983</t>
        </is>
      </c>
      <c r="O2276" t="inlineStr">
        <is>
          <t>eng</t>
        </is>
      </c>
      <c r="P2276" t="inlineStr">
        <is>
          <t>pau</t>
        </is>
      </c>
      <c r="R2276" t="inlineStr">
        <is>
          <t xml:space="preserve">HQ </t>
        </is>
      </c>
      <c r="S2276" t="n">
        <v>23</v>
      </c>
      <c r="T2276" t="n">
        <v>23</v>
      </c>
      <c r="U2276" t="inlineStr">
        <is>
          <t>2006-03-10</t>
        </is>
      </c>
      <c r="V2276" t="inlineStr">
        <is>
          <t>2006-03-10</t>
        </is>
      </c>
      <c r="W2276" t="inlineStr">
        <is>
          <t>1990-04-10</t>
        </is>
      </c>
      <c r="X2276" t="inlineStr">
        <is>
          <t>1990-04-10</t>
        </is>
      </c>
      <c r="Y2276" t="n">
        <v>397</v>
      </c>
      <c r="Z2276" t="n">
        <v>349</v>
      </c>
      <c r="AA2276" t="n">
        <v>366</v>
      </c>
      <c r="AB2276" t="n">
        <v>4</v>
      </c>
      <c r="AC2276" t="n">
        <v>4</v>
      </c>
      <c r="AD2276" t="n">
        <v>17</v>
      </c>
      <c r="AE2276" t="n">
        <v>19</v>
      </c>
      <c r="AF2276" t="n">
        <v>7</v>
      </c>
      <c r="AG2276" t="n">
        <v>8</v>
      </c>
      <c r="AH2276" t="n">
        <v>5</v>
      </c>
      <c r="AI2276" t="n">
        <v>6</v>
      </c>
      <c r="AJ2276" t="n">
        <v>7</v>
      </c>
      <c r="AK2276" t="n">
        <v>7</v>
      </c>
      <c r="AL2276" t="n">
        <v>3</v>
      </c>
      <c r="AM2276" t="n">
        <v>3</v>
      </c>
      <c r="AN2276" t="n">
        <v>0</v>
      </c>
      <c r="AO2276" t="n">
        <v>0</v>
      </c>
      <c r="AP2276" t="inlineStr">
        <is>
          <t>No</t>
        </is>
      </c>
      <c r="AQ2276" t="inlineStr">
        <is>
          <t>Yes</t>
        </is>
      </c>
      <c r="AR2276">
        <f>HYPERLINK("http://catalog.hathitrust.org/Record/000281038","HathiTrust Record")</f>
        <v/>
      </c>
      <c r="AS2276">
        <f>HYPERLINK("https://creighton-primo.hosted.exlibrisgroup.com/primo-explore/search?tab=default_tab&amp;search_scope=EVERYTHING&amp;vid=01CRU&amp;lang=en_US&amp;offset=0&amp;query=any,contains,991000223869702656","Catalog Record")</f>
        <v/>
      </c>
      <c r="AT2276">
        <f>HYPERLINK("http://www.worldcat.org/oclc/9596418","WorldCat Record")</f>
        <v/>
      </c>
      <c r="AU2276" t="inlineStr">
        <is>
          <t>34995214:eng</t>
        </is>
      </c>
      <c r="AV2276" t="inlineStr">
        <is>
          <t>9596418</t>
        </is>
      </c>
      <c r="AW2276" t="inlineStr">
        <is>
          <t>991000223869702656</t>
        </is>
      </c>
      <c r="AX2276" t="inlineStr">
        <is>
          <t>991000223869702656</t>
        </is>
      </c>
      <c r="AY2276" t="inlineStr">
        <is>
          <t>2262185090002656</t>
        </is>
      </c>
      <c r="AZ2276" t="inlineStr">
        <is>
          <t>BOOK</t>
        </is>
      </c>
      <c r="BB2276" t="inlineStr">
        <is>
          <t>9780865710191</t>
        </is>
      </c>
      <c r="BC2276" t="inlineStr">
        <is>
          <t>32285000120161</t>
        </is>
      </c>
      <c r="BD2276" t="inlineStr">
        <is>
          <t>893527912</t>
        </is>
      </c>
    </row>
    <row r="2277">
      <c r="A2277" t="inlineStr">
        <is>
          <t>No</t>
        </is>
      </c>
      <c r="B2277" t="inlineStr">
        <is>
          <t>HQ76.5 .W56 1995</t>
        </is>
      </c>
      <c r="C2277" t="inlineStr">
        <is>
          <t>0                      HQ 0076500W  56          1995</t>
        </is>
      </c>
      <c r="D2277" t="inlineStr">
        <is>
          <t>Sexual orientation and human rights : the United States Constitution, the European Convention, and the Canadian Charter / Robert Wintemute.</t>
        </is>
      </c>
      <c r="F2277" t="inlineStr">
        <is>
          <t>No</t>
        </is>
      </c>
      <c r="G2277" t="inlineStr">
        <is>
          <t>1</t>
        </is>
      </c>
      <c r="H2277" t="inlineStr">
        <is>
          <t>Yes</t>
        </is>
      </c>
      <c r="I2277" t="inlineStr">
        <is>
          <t>No</t>
        </is>
      </c>
      <c r="J2277" t="inlineStr">
        <is>
          <t>0</t>
        </is>
      </c>
      <c r="K2277" t="inlineStr">
        <is>
          <t>Wintemute, Robert.</t>
        </is>
      </c>
      <c r="L2277" t="inlineStr">
        <is>
          <t>Oxford : Clarendon Press ; New York : Oxford University Press, 1995.</t>
        </is>
      </c>
      <c r="M2277" t="inlineStr">
        <is>
          <t>1995</t>
        </is>
      </c>
      <c r="O2277" t="inlineStr">
        <is>
          <t>eng</t>
        </is>
      </c>
      <c r="P2277" t="inlineStr">
        <is>
          <t>enk</t>
        </is>
      </c>
      <c r="R2277" t="inlineStr">
        <is>
          <t xml:space="preserve">HQ </t>
        </is>
      </c>
      <c r="S2277" t="n">
        <v>27</v>
      </c>
      <c r="T2277" t="n">
        <v>28</v>
      </c>
      <c r="U2277" t="inlineStr">
        <is>
          <t>2008-09-10</t>
        </is>
      </c>
      <c r="V2277" t="inlineStr">
        <is>
          <t>2008-09-10</t>
        </is>
      </c>
      <c r="W2277" t="inlineStr">
        <is>
          <t>1996-12-11</t>
        </is>
      </c>
      <c r="X2277" t="inlineStr">
        <is>
          <t>1996-12-11</t>
        </is>
      </c>
      <c r="Y2277" t="n">
        <v>489</v>
      </c>
      <c r="Z2277" t="n">
        <v>348</v>
      </c>
      <c r="AA2277" t="n">
        <v>460</v>
      </c>
      <c r="AB2277" t="n">
        <v>3</v>
      </c>
      <c r="AC2277" t="n">
        <v>3</v>
      </c>
      <c r="AD2277" t="n">
        <v>22</v>
      </c>
      <c r="AE2277" t="n">
        <v>31</v>
      </c>
      <c r="AF2277" t="n">
        <v>4</v>
      </c>
      <c r="AG2277" t="n">
        <v>5</v>
      </c>
      <c r="AH2277" t="n">
        <v>3</v>
      </c>
      <c r="AI2277" t="n">
        <v>5</v>
      </c>
      <c r="AJ2277" t="n">
        <v>6</v>
      </c>
      <c r="AK2277" t="n">
        <v>8</v>
      </c>
      <c r="AL2277" t="n">
        <v>1</v>
      </c>
      <c r="AM2277" t="n">
        <v>1</v>
      </c>
      <c r="AN2277" t="n">
        <v>11</v>
      </c>
      <c r="AO2277" t="n">
        <v>16</v>
      </c>
      <c r="AP2277" t="inlineStr">
        <is>
          <t>No</t>
        </is>
      </c>
      <c r="AQ2277" t="inlineStr">
        <is>
          <t>No</t>
        </is>
      </c>
      <c r="AS2277">
        <f>HYPERLINK("https://creighton-primo.hosted.exlibrisgroup.com/primo-explore/search?tab=default_tab&amp;search_scope=EVERYTHING&amp;vid=01CRU&amp;lang=en_US&amp;offset=0&amp;query=any,contains,991001668029702656","Catalog Record")</f>
        <v/>
      </c>
      <c r="AT2277">
        <f>HYPERLINK("http://www.worldcat.org/oclc/32854900","WorldCat Record")</f>
        <v/>
      </c>
      <c r="AU2277" t="inlineStr">
        <is>
          <t>4924000530:eng</t>
        </is>
      </c>
      <c r="AV2277" t="inlineStr">
        <is>
          <t>32854900</t>
        </is>
      </c>
      <c r="AW2277" t="inlineStr">
        <is>
          <t>991001668029702656</t>
        </is>
      </c>
      <c r="AX2277" t="inlineStr">
        <is>
          <t>991001668029702656</t>
        </is>
      </c>
      <c r="AY2277" t="inlineStr">
        <is>
          <t>2272338090002656</t>
        </is>
      </c>
      <c r="AZ2277" t="inlineStr">
        <is>
          <t>BOOK</t>
        </is>
      </c>
      <c r="BB2277" t="inlineStr">
        <is>
          <t>9780198259725</t>
        </is>
      </c>
      <c r="BC2277" t="inlineStr">
        <is>
          <t>32285002392503</t>
        </is>
      </c>
      <c r="BD2277" t="inlineStr">
        <is>
          <t>893232140</t>
        </is>
      </c>
    </row>
    <row r="2278">
      <c r="A2278" t="inlineStr">
        <is>
          <t>No</t>
        </is>
      </c>
      <c r="B2278" t="inlineStr">
        <is>
          <t>HQ76.8.G7 P73 1983</t>
        </is>
      </c>
      <c r="C2278" t="inlineStr">
        <is>
          <t>0                      HQ 0076800G  7                  P  73          1983</t>
        </is>
      </c>
      <c r="D2278" t="inlineStr">
        <is>
          <t>Prejudice and pride : discrimination against gay people in modern Britain / edited by Bruce Galloway.</t>
        </is>
      </c>
      <c r="F2278" t="inlineStr">
        <is>
          <t>No</t>
        </is>
      </c>
      <c r="G2278" t="inlineStr">
        <is>
          <t>1</t>
        </is>
      </c>
      <c r="H2278" t="inlineStr">
        <is>
          <t>No</t>
        </is>
      </c>
      <c r="I2278" t="inlineStr">
        <is>
          <t>No</t>
        </is>
      </c>
      <c r="J2278" t="inlineStr">
        <is>
          <t>0</t>
        </is>
      </c>
      <c r="L2278" t="inlineStr">
        <is>
          <t>London ; Boston : Routledge &amp; Kegan Paul, 1983.</t>
        </is>
      </c>
      <c r="M2278" t="inlineStr">
        <is>
          <t>1983</t>
        </is>
      </c>
      <c r="O2278" t="inlineStr">
        <is>
          <t>eng</t>
        </is>
      </c>
      <c r="P2278" t="inlineStr">
        <is>
          <t>enk</t>
        </is>
      </c>
      <c r="R2278" t="inlineStr">
        <is>
          <t xml:space="preserve">HQ </t>
        </is>
      </c>
      <c r="S2278" t="n">
        <v>16</v>
      </c>
      <c r="T2278" t="n">
        <v>16</v>
      </c>
      <c r="U2278" t="inlineStr">
        <is>
          <t>1997-10-27</t>
        </is>
      </c>
      <c r="V2278" t="inlineStr">
        <is>
          <t>1997-10-27</t>
        </is>
      </c>
      <c r="W2278" t="inlineStr">
        <is>
          <t>1992-03-10</t>
        </is>
      </c>
      <c r="X2278" t="inlineStr">
        <is>
          <t>1992-03-10</t>
        </is>
      </c>
      <c r="Y2278" t="n">
        <v>315</v>
      </c>
      <c r="Z2278" t="n">
        <v>226</v>
      </c>
      <c r="AA2278" t="n">
        <v>233</v>
      </c>
      <c r="AB2278" t="n">
        <v>3</v>
      </c>
      <c r="AC2278" t="n">
        <v>3</v>
      </c>
      <c r="AD2278" t="n">
        <v>8</v>
      </c>
      <c r="AE2278" t="n">
        <v>8</v>
      </c>
      <c r="AF2278" t="n">
        <v>2</v>
      </c>
      <c r="AG2278" t="n">
        <v>2</v>
      </c>
      <c r="AH2278" t="n">
        <v>2</v>
      </c>
      <c r="AI2278" t="n">
        <v>2</v>
      </c>
      <c r="AJ2278" t="n">
        <v>3</v>
      </c>
      <c r="AK2278" t="n">
        <v>3</v>
      </c>
      <c r="AL2278" t="n">
        <v>2</v>
      </c>
      <c r="AM2278" t="n">
        <v>2</v>
      </c>
      <c r="AN2278" t="n">
        <v>0</v>
      </c>
      <c r="AO2278" t="n">
        <v>0</v>
      </c>
      <c r="AP2278" t="inlineStr">
        <is>
          <t>No</t>
        </is>
      </c>
      <c r="AQ2278" t="inlineStr">
        <is>
          <t>Yes</t>
        </is>
      </c>
      <c r="AR2278">
        <f>HYPERLINK("http://catalog.hathitrust.org/Record/000243723","HathiTrust Record")</f>
        <v/>
      </c>
      <c r="AS2278">
        <f>HYPERLINK("https://creighton-primo.hosted.exlibrisgroup.com/primo-explore/search?tab=default_tab&amp;search_scope=EVERYTHING&amp;vid=01CRU&amp;lang=en_US&amp;offset=0&amp;query=any,contains,991000244489702656","Catalog Record")</f>
        <v/>
      </c>
      <c r="AT2278">
        <f>HYPERLINK("http://www.worldcat.org/oclc/9687304","WorldCat Record")</f>
        <v/>
      </c>
      <c r="AU2278" t="inlineStr">
        <is>
          <t>836641356:eng</t>
        </is>
      </c>
      <c r="AV2278" t="inlineStr">
        <is>
          <t>9687304</t>
        </is>
      </c>
      <c r="AW2278" t="inlineStr">
        <is>
          <t>991000244489702656</t>
        </is>
      </c>
      <c r="AX2278" t="inlineStr">
        <is>
          <t>991000244489702656</t>
        </is>
      </c>
      <c r="AY2278" t="inlineStr">
        <is>
          <t>2257142630002656</t>
        </is>
      </c>
      <c r="AZ2278" t="inlineStr">
        <is>
          <t>BOOK</t>
        </is>
      </c>
      <c r="BB2278" t="inlineStr">
        <is>
          <t>9780710099167</t>
        </is>
      </c>
      <c r="BC2278" t="inlineStr">
        <is>
          <t>32285000995893</t>
        </is>
      </c>
      <c r="BD2278" t="inlineStr">
        <is>
          <t>893708239</t>
        </is>
      </c>
    </row>
    <row r="2279">
      <c r="A2279" t="inlineStr">
        <is>
          <t>No</t>
        </is>
      </c>
      <c r="B2279" t="inlineStr">
        <is>
          <t>HQ76.8.U5 B74 2008</t>
        </is>
      </c>
      <c r="C2279" t="inlineStr">
        <is>
          <t>0                      HQ 0076800U  5                  B  74          2008</t>
        </is>
      </c>
      <c r="D2279" t="inlineStr">
        <is>
          <t>Value war : public opinion and the politics of gay rights / Paul R. Brewer.</t>
        </is>
      </c>
      <c r="F2279" t="inlineStr">
        <is>
          <t>No</t>
        </is>
      </c>
      <c r="G2279" t="inlineStr">
        <is>
          <t>1</t>
        </is>
      </c>
      <c r="H2279" t="inlineStr">
        <is>
          <t>No</t>
        </is>
      </c>
      <c r="I2279" t="inlineStr">
        <is>
          <t>No</t>
        </is>
      </c>
      <c r="J2279" t="inlineStr">
        <is>
          <t>0</t>
        </is>
      </c>
      <c r="K2279" t="inlineStr">
        <is>
          <t>Brewer, Paul Ryan.</t>
        </is>
      </c>
      <c r="L2279" t="inlineStr">
        <is>
          <t>Lanham : Rowman &amp; Littlefield Publishers, c2008.</t>
        </is>
      </c>
      <c r="M2279" t="inlineStr">
        <is>
          <t>2008</t>
        </is>
      </c>
      <c r="O2279" t="inlineStr">
        <is>
          <t>eng</t>
        </is>
      </c>
      <c r="P2279" t="inlineStr">
        <is>
          <t>mdu</t>
        </is>
      </c>
      <c r="R2279" t="inlineStr">
        <is>
          <t xml:space="preserve">HQ </t>
        </is>
      </c>
      <c r="S2279" t="n">
        <v>1</v>
      </c>
      <c r="T2279" t="n">
        <v>1</v>
      </c>
      <c r="U2279" t="inlineStr">
        <is>
          <t>2009-05-06</t>
        </is>
      </c>
      <c r="V2279" t="inlineStr">
        <is>
          <t>2009-05-06</t>
        </is>
      </c>
      <c r="W2279" t="inlineStr">
        <is>
          <t>2009-05-06</t>
        </is>
      </c>
      <c r="X2279" t="inlineStr">
        <is>
          <t>2009-05-06</t>
        </is>
      </c>
      <c r="Y2279" t="n">
        <v>374</v>
      </c>
      <c r="Z2279" t="n">
        <v>351</v>
      </c>
      <c r="AA2279" t="n">
        <v>374</v>
      </c>
      <c r="AB2279" t="n">
        <v>2</v>
      </c>
      <c r="AC2279" t="n">
        <v>2</v>
      </c>
      <c r="AD2279" t="n">
        <v>20</v>
      </c>
      <c r="AE2279" t="n">
        <v>21</v>
      </c>
      <c r="AF2279" t="n">
        <v>10</v>
      </c>
      <c r="AG2279" t="n">
        <v>11</v>
      </c>
      <c r="AH2279" t="n">
        <v>6</v>
      </c>
      <c r="AI2279" t="n">
        <v>7</v>
      </c>
      <c r="AJ2279" t="n">
        <v>9</v>
      </c>
      <c r="AK2279" t="n">
        <v>9</v>
      </c>
      <c r="AL2279" t="n">
        <v>1</v>
      </c>
      <c r="AM2279" t="n">
        <v>1</v>
      </c>
      <c r="AN2279" t="n">
        <v>0</v>
      </c>
      <c r="AO2279" t="n">
        <v>0</v>
      </c>
      <c r="AP2279" t="inlineStr">
        <is>
          <t>No</t>
        </is>
      </c>
      <c r="AQ2279" t="inlineStr">
        <is>
          <t>Yes</t>
        </is>
      </c>
      <c r="AR2279">
        <f>HYPERLINK("http://catalog.hathitrust.org/Record/005669781","HathiTrust Record")</f>
        <v/>
      </c>
      <c r="AS2279">
        <f>HYPERLINK("https://creighton-primo.hosted.exlibrisgroup.com/primo-explore/search?tab=default_tab&amp;search_scope=EVERYTHING&amp;vid=01CRU&amp;lang=en_US&amp;offset=0&amp;query=any,contains,991005313409702656","Catalog Record")</f>
        <v/>
      </c>
      <c r="AT2279">
        <f>HYPERLINK("http://www.worldcat.org/oclc/173243770","WorldCat Record")</f>
        <v/>
      </c>
      <c r="AU2279" t="inlineStr">
        <is>
          <t>114134722:eng</t>
        </is>
      </c>
      <c r="AV2279" t="inlineStr">
        <is>
          <t>173243770</t>
        </is>
      </c>
      <c r="AW2279" t="inlineStr">
        <is>
          <t>991005313409702656</t>
        </is>
      </c>
      <c r="AX2279" t="inlineStr">
        <is>
          <t>991005313409702656</t>
        </is>
      </c>
      <c r="AY2279" t="inlineStr">
        <is>
          <t>2264914390002656</t>
        </is>
      </c>
      <c r="AZ2279" t="inlineStr">
        <is>
          <t>BOOK</t>
        </is>
      </c>
      <c r="BB2279" t="inlineStr">
        <is>
          <t>9780742562103</t>
        </is>
      </c>
      <c r="BC2279" t="inlineStr">
        <is>
          <t>32285005531008</t>
        </is>
      </c>
      <c r="BD2279" t="inlineStr">
        <is>
          <t>893890016</t>
        </is>
      </c>
    </row>
    <row r="2280">
      <c r="A2280" t="inlineStr">
        <is>
          <t>No</t>
        </is>
      </c>
      <c r="B2280" t="inlineStr">
        <is>
          <t>HQ76.8.U5 B76 1998</t>
        </is>
      </c>
      <c r="C2280" t="inlineStr">
        <is>
          <t>0                      HQ 0076800U  5                  B  76          1998</t>
        </is>
      </c>
      <c r="D2280" t="inlineStr">
        <is>
          <t>The pleasure principle : sex, backlash, and the struggle for gay freedom / Michael Bronski.</t>
        </is>
      </c>
      <c r="F2280" t="inlineStr">
        <is>
          <t>No</t>
        </is>
      </c>
      <c r="G2280" t="inlineStr">
        <is>
          <t>1</t>
        </is>
      </c>
      <c r="H2280" t="inlineStr">
        <is>
          <t>No</t>
        </is>
      </c>
      <c r="I2280" t="inlineStr">
        <is>
          <t>No</t>
        </is>
      </c>
      <c r="J2280" t="inlineStr">
        <is>
          <t>0</t>
        </is>
      </c>
      <c r="K2280" t="inlineStr">
        <is>
          <t>Bronski, Michael.</t>
        </is>
      </c>
      <c r="L2280" t="inlineStr">
        <is>
          <t>New York : St. Martinʼs Press, c1998.</t>
        </is>
      </c>
      <c r="M2280" t="inlineStr">
        <is>
          <t>1998</t>
        </is>
      </c>
      <c r="N2280" t="inlineStr">
        <is>
          <t>1st ed.</t>
        </is>
      </c>
      <c r="O2280" t="inlineStr">
        <is>
          <t>eng</t>
        </is>
      </c>
      <c r="P2280" t="inlineStr">
        <is>
          <t>nyu</t>
        </is>
      </c>
      <c r="R2280" t="inlineStr">
        <is>
          <t xml:space="preserve">HQ </t>
        </is>
      </c>
      <c r="S2280" t="n">
        <v>4</v>
      </c>
      <c r="T2280" t="n">
        <v>4</v>
      </c>
      <c r="U2280" t="inlineStr">
        <is>
          <t>2005-12-12</t>
        </is>
      </c>
      <c r="V2280" t="inlineStr">
        <is>
          <t>2005-12-12</t>
        </is>
      </c>
      <c r="W2280" t="inlineStr">
        <is>
          <t>2000-01-11</t>
        </is>
      </c>
      <c r="X2280" t="inlineStr">
        <is>
          <t>2000-01-11</t>
        </is>
      </c>
      <c r="Y2280" t="n">
        <v>402</v>
      </c>
      <c r="Z2280" t="n">
        <v>368</v>
      </c>
      <c r="AA2280" t="n">
        <v>401</v>
      </c>
      <c r="AB2280" t="n">
        <v>4</v>
      </c>
      <c r="AC2280" t="n">
        <v>4</v>
      </c>
      <c r="AD2280" t="n">
        <v>16</v>
      </c>
      <c r="AE2280" t="n">
        <v>16</v>
      </c>
      <c r="AF2280" t="n">
        <v>5</v>
      </c>
      <c r="AG2280" t="n">
        <v>5</v>
      </c>
      <c r="AH2280" t="n">
        <v>3</v>
      </c>
      <c r="AI2280" t="n">
        <v>3</v>
      </c>
      <c r="AJ2280" t="n">
        <v>8</v>
      </c>
      <c r="AK2280" t="n">
        <v>8</v>
      </c>
      <c r="AL2280" t="n">
        <v>2</v>
      </c>
      <c r="AM2280" t="n">
        <v>2</v>
      </c>
      <c r="AN2280" t="n">
        <v>0</v>
      </c>
      <c r="AO2280" t="n">
        <v>0</v>
      </c>
      <c r="AP2280" t="inlineStr">
        <is>
          <t>No</t>
        </is>
      </c>
      <c r="AQ2280" t="inlineStr">
        <is>
          <t>No</t>
        </is>
      </c>
      <c r="AS2280">
        <f>HYPERLINK("https://creighton-primo.hosted.exlibrisgroup.com/primo-explore/search?tab=default_tab&amp;search_scope=EVERYTHING&amp;vid=01CRU&amp;lang=en_US&amp;offset=0&amp;query=any,contains,991002780129702656","Catalog Record")</f>
        <v/>
      </c>
      <c r="AT2280">
        <f>HYPERLINK("http://www.worldcat.org/oclc/36499000","WorldCat Record")</f>
        <v/>
      </c>
      <c r="AU2280" t="inlineStr">
        <is>
          <t>638930:eng</t>
        </is>
      </c>
      <c r="AV2280" t="inlineStr">
        <is>
          <t>36499000</t>
        </is>
      </c>
      <c r="AW2280" t="inlineStr">
        <is>
          <t>991002780129702656</t>
        </is>
      </c>
      <c r="AX2280" t="inlineStr">
        <is>
          <t>991002780129702656</t>
        </is>
      </c>
      <c r="AY2280" t="inlineStr">
        <is>
          <t>2266959230002656</t>
        </is>
      </c>
      <c r="AZ2280" t="inlineStr">
        <is>
          <t>BOOK</t>
        </is>
      </c>
      <c r="BB2280" t="inlineStr">
        <is>
          <t>9780312156251</t>
        </is>
      </c>
      <c r="BC2280" t="inlineStr">
        <is>
          <t>32285003639373</t>
        </is>
      </c>
      <c r="BD2280" t="inlineStr">
        <is>
          <t>893227269</t>
        </is>
      </c>
    </row>
    <row r="2281">
      <c r="A2281" t="inlineStr">
        <is>
          <t>No</t>
        </is>
      </c>
      <c r="B2281" t="inlineStr">
        <is>
          <t>HQ76.8.U5 B87 1997</t>
        </is>
      </c>
      <c r="C2281" t="inlineStr">
        <is>
          <t>0                      HQ 0076800U  5                  B  87          1997</t>
        </is>
      </c>
      <c r="D2281" t="inlineStr">
        <is>
          <t>Private lives, public conflicts : battles over gay rights in American communities / James W. Button, Barbara A. Rienzo, Kenneth D. Wald ; foreword by Barney Frank.</t>
        </is>
      </c>
      <c r="F2281" t="inlineStr">
        <is>
          <t>No</t>
        </is>
      </c>
      <c r="G2281" t="inlineStr">
        <is>
          <t>1</t>
        </is>
      </c>
      <c r="H2281" t="inlineStr">
        <is>
          <t>No</t>
        </is>
      </c>
      <c r="I2281" t="inlineStr">
        <is>
          <t>No</t>
        </is>
      </c>
      <c r="J2281" t="inlineStr">
        <is>
          <t>0</t>
        </is>
      </c>
      <c r="K2281" t="inlineStr">
        <is>
          <t>Button, James W., 1942-</t>
        </is>
      </c>
      <c r="L2281" t="inlineStr">
        <is>
          <t>Washington, D.C. : CQ Press, c1997.</t>
        </is>
      </c>
      <c r="M2281" t="inlineStr">
        <is>
          <t>1997</t>
        </is>
      </c>
      <c r="O2281" t="inlineStr">
        <is>
          <t>eng</t>
        </is>
      </c>
      <c r="P2281" t="inlineStr">
        <is>
          <t>dcu</t>
        </is>
      </c>
      <c r="R2281" t="inlineStr">
        <is>
          <t xml:space="preserve">HQ </t>
        </is>
      </c>
      <c r="S2281" t="n">
        <v>9</v>
      </c>
      <c r="T2281" t="n">
        <v>9</v>
      </c>
      <c r="U2281" t="inlineStr">
        <is>
          <t>2004-04-18</t>
        </is>
      </c>
      <c r="V2281" t="inlineStr">
        <is>
          <t>2004-04-18</t>
        </is>
      </c>
      <c r="W2281" t="inlineStr">
        <is>
          <t>1997-10-07</t>
        </is>
      </c>
      <c r="X2281" t="inlineStr">
        <is>
          <t>1997-10-07</t>
        </is>
      </c>
      <c r="Y2281" t="n">
        <v>688</v>
      </c>
      <c r="Z2281" t="n">
        <v>655</v>
      </c>
      <c r="AA2281" t="n">
        <v>663</v>
      </c>
      <c r="AB2281" t="n">
        <v>5</v>
      </c>
      <c r="AC2281" t="n">
        <v>6</v>
      </c>
      <c r="AD2281" t="n">
        <v>35</v>
      </c>
      <c r="AE2281" t="n">
        <v>35</v>
      </c>
      <c r="AF2281" t="n">
        <v>13</v>
      </c>
      <c r="AG2281" t="n">
        <v>13</v>
      </c>
      <c r="AH2281" t="n">
        <v>8</v>
      </c>
      <c r="AI2281" t="n">
        <v>8</v>
      </c>
      <c r="AJ2281" t="n">
        <v>15</v>
      </c>
      <c r="AK2281" t="n">
        <v>15</v>
      </c>
      <c r="AL2281" t="n">
        <v>4</v>
      </c>
      <c r="AM2281" t="n">
        <v>4</v>
      </c>
      <c r="AN2281" t="n">
        <v>5</v>
      </c>
      <c r="AO2281" t="n">
        <v>5</v>
      </c>
      <c r="AP2281" t="inlineStr">
        <is>
          <t>No</t>
        </is>
      </c>
      <c r="AQ2281" t="inlineStr">
        <is>
          <t>Yes</t>
        </is>
      </c>
      <c r="AR2281">
        <f>HYPERLINK("http://catalog.hathitrust.org/Record/003944434","HathiTrust Record")</f>
        <v/>
      </c>
      <c r="AS2281">
        <f>HYPERLINK("https://creighton-primo.hosted.exlibrisgroup.com/primo-explore/search?tab=default_tab&amp;search_scope=EVERYTHING&amp;vid=01CRU&amp;lang=en_US&amp;offset=0&amp;query=any,contains,991002758309702656","Catalog Record")</f>
        <v/>
      </c>
      <c r="AT2281">
        <f>HYPERLINK("http://www.worldcat.org/oclc/36178552","WorldCat Record")</f>
        <v/>
      </c>
      <c r="AU2281" t="inlineStr">
        <is>
          <t>152231256:eng</t>
        </is>
      </c>
      <c r="AV2281" t="inlineStr">
        <is>
          <t>36178552</t>
        </is>
      </c>
      <c r="AW2281" t="inlineStr">
        <is>
          <t>991002758309702656</t>
        </is>
      </c>
      <c r="AX2281" t="inlineStr">
        <is>
          <t>991002758309702656</t>
        </is>
      </c>
      <c r="AY2281" t="inlineStr">
        <is>
          <t>2262881100002656</t>
        </is>
      </c>
      <c r="AZ2281" t="inlineStr">
        <is>
          <t>BOOK</t>
        </is>
      </c>
      <c r="BB2281" t="inlineStr">
        <is>
          <t>9781568022789</t>
        </is>
      </c>
      <c r="BC2281" t="inlineStr">
        <is>
          <t>32285003253159</t>
        </is>
      </c>
      <c r="BD2281" t="inlineStr">
        <is>
          <t>893610248</t>
        </is>
      </c>
    </row>
    <row r="2282">
      <c r="A2282" t="inlineStr">
        <is>
          <t>No</t>
        </is>
      </c>
      <c r="B2282" t="inlineStr">
        <is>
          <t>HQ76.8.U5 C58 1999</t>
        </is>
      </c>
      <c r="C2282" t="inlineStr">
        <is>
          <t>0                      HQ 0076800U  5                  C  58          1999</t>
        </is>
      </c>
      <c r="D2282" t="inlineStr">
        <is>
          <t>Out for good : the struggle to build a gay rights movement in America / Dudley Clendinen and Adam Nagourney.</t>
        </is>
      </c>
      <c r="F2282" t="inlineStr">
        <is>
          <t>No</t>
        </is>
      </c>
      <c r="G2282" t="inlineStr">
        <is>
          <t>1</t>
        </is>
      </c>
      <c r="H2282" t="inlineStr">
        <is>
          <t>No</t>
        </is>
      </c>
      <c r="I2282" t="inlineStr">
        <is>
          <t>No</t>
        </is>
      </c>
      <c r="J2282" t="inlineStr">
        <is>
          <t>0</t>
        </is>
      </c>
      <c r="K2282" t="inlineStr">
        <is>
          <t>Clendinen, Dudley.</t>
        </is>
      </c>
      <c r="L2282" t="inlineStr">
        <is>
          <t>New York, N.Y. : Simon &amp; Schuster, c1999.</t>
        </is>
      </c>
      <c r="M2282" t="inlineStr">
        <is>
          <t>1999</t>
        </is>
      </c>
      <c r="O2282" t="inlineStr">
        <is>
          <t>eng</t>
        </is>
      </c>
      <c r="P2282" t="inlineStr">
        <is>
          <t>nyu</t>
        </is>
      </c>
      <c r="R2282" t="inlineStr">
        <is>
          <t xml:space="preserve">HQ </t>
        </is>
      </c>
      <c r="S2282" t="n">
        <v>1</v>
      </c>
      <c r="T2282" t="n">
        <v>1</v>
      </c>
      <c r="U2282" t="inlineStr">
        <is>
          <t>2010-10-12</t>
        </is>
      </c>
      <c r="V2282" t="inlineStr">
        <is>
          <t>2010-10-12</t>
        </is>
      </c>
      <c r="W2282" t="inlineStr">
        <is>
          <t>1999-12-07</t>
        </is>
      </c>
      <c r="X2282" t="inlineStr">
        <is>
          <t>1999-12-07</t>
        </is>
      </c>
      <c r="Y2282" t="n">
        <v>1049</v>
      </c>
      <c r="Z2282" t="n">
        <v>985</v>
      </c>
      <c r="AA2282" t="n">
        <v>1030</v>
      </c>
      <c r="AB2282" t="n">
        <v>5</v>
      </c>
      <c r="AC2282" t="n">
        <v>5</v>
      </c>
      <c r="AD2282" t="n">
        <v>27</v>
      </c>
      <c r="AE2282" t="n">
        <v>28</v>
      </c>
      <c r="AF2282" t="n">
        <v>12</v>
      </c>
      <c r="AG2282" t="n">
        <v>13</v>
      </c>
      <c r="AH2282" t="n">
        <v>6</v>
      </c>
      <c r="AI2282" t="n">
        <v>6</v>
      </c>
      <c r="AJ2282" t="n">
        <v>13</v>
      </c>
      <c r="AK2282" t="n">
        <v>14</v>
      </c>
      <c r="AL2282" t="n">
        <v>3</v>
      </c>
      <c r="AM2282" t="n">
        <v>3</v>
      </c>
      <c r="AN2282" t="n">
        <v>0</v>
      </c>
      <c r="AO2282" t="n">
        <v>0</v>
      </c>
      <c r="AP2282" t="inlineStr">
        <is>
          <t>No</t>
        </is>
      </c>
      <c r="AQ2282" t="inlineStr">
        <is>
          <t>Yes</t>
        </is>
      </c>
      <c r="AR2282">
        <f>HYPERLINK("http://catalog.hathitrust.org/Record/004034120","HathiTrust Record")</f>
        <v/>
      </c>
      <c r="AS2282">
        <f>HYPERLINK("https://creighton-primo.hosted.exlibrisgroup.com/primo-explore/search?tab=default_tab&amp;search_scope=EVERYTHING&amp;vid=01CRU&amp;lang=en_US&amp;offset=0&amp;query=any,contains,991003001699702656","Catalog Record")</f>
        <v/>
      </c>
      <c r="AT2282">
        <f>HYPERLINK("http://www.worldcat.org/oclc/40668240","WorldCat Record")</f>
        <v/>
      </c>
      <c r="AU2282" t="inlineStr">
        <is>
          <t>6712967:eng</t>
        </is>
      </c>
      <c r="AV2282" t="inlineStr">
        <is>
          <t>40668240</t>
        </is>
      </c>
      <c r="AW2282" t="inlineStr">
        <is>
          <t>991003001699702656</t>
        </is>
      </c>
      <c r="AX2282" t="inlineStr">
        <is>
          <t>991003001699702656</t>
        </is>
      </c>
      <c r="AY2282" t="inlineStr">
        <is>
          <t>2255082790002656</t>
        </is>
      </c>
      <c r="AZ2282" t="inlineStr">
        <is>
          <t>BOOK</t>
        </is>
      </c>
      <c r="BB2282" t="inlineStr">
        <is>
          <t>9780684810911</t>
        </is>
      </c>
      <c r="BC2282" t="inlineStr">
        <is>
          <t>32285003628913</t>
        </is>
      </c>
      <c r="BD2282" t="inlineStr">
        <is>
          <t>893698559</t>
        </is>
      </c>
    </row>
    <row r="2283">
      <c r="A2283" t="inlineStr">
        <is>
          <t>No</t>
        </is>
      </c>
      <c r="B2283" t="inlineStr">
        <is>
          <t>HQ76.8.U5 C65 1996</t>
        </is>
      </c>
      <c r="C2283" t="inlineStr">
        <is>
          <t>0                      HQ 0076800U  5                  C  65          1996</t>
        </is>
      </c>
      <c r="D2283" t="inlineStr">
        <is>
          <t>Try this at home! : a do-it-yourself guide to winning lesbian and gay civil rights policy : an ACLU guidebook / Matthew A. Coles.</t>
        </is>
      </c>
      <c r="F2283" t="inlineStr">
        <is>
          <t>No</t>
        </is>
      </c>
      <c r="G2283" t="inlineStr">
        <is>
          <t>1</t>
        </is>
      </c>
      <c r="H2283" t="inlineStr">
        <is>
          <t>No</t>
        </is>
      </c>
      <c r="I2283" t="inlineStr">
        <is>
          <t>No</t>
        </is>
      </c>
      <c r="J2283" t="inlineStr">
        <is>
          <t>0</t>
        </is>
      </c>
      <c r="K2283" t="inlineStr">
        <is>
          <t>Coles, Matthew A.</t>
        </is>
      </c>
      <c r="L2283" t="inlineStr">
        <is>
          <t>New York : New Press, c1996.</t>
        </is>
      </c>
      <c r="M2283" t="inlineStr">
        <is>
          <t>1996</t>
        </is>
      </c>
      <c r="O2283" t="inlineStr">
        <is>
          <t>eng</t>
        </is>
      </c>
      <c r="P2283" t="inlineStr">
        <is>
          <t>nyu</t>
        </is>
      </c>
      <c r="R2283" t="inlineStr">
        <is>
          <t xml:space="preserve">HQ </t>
        </is>
      </c>
      <c r="S2283" t="n">
        <v>2</v>
      </c>
      <c r="T2283" t="n">
        <v>2</v>
      </c>
      <c r="U2283" t="inlineStr">
        <is>
          <t>2006-01-21</t>
        </is>
      </c>
      <c r="V2283" t="inlineStr">
        <is>
          <t>2006-01-21</t>
        </is>
      </c>
      <c r="W2283" t="inlineStr">
        <is>
          <t>1997-03-05</t>
        </is>
      </c>
      <c r="X2283" t="inlineStr">
        <is>
          <t>1997-03-05</t>
        </is>
      </c>
      <c r="Y2283" t="n">
        <v>206</v>
      </c>
      <c r="Z2283" t="n">
        <v>199</v>
      </c>
      <c r="AA2283" t="n">
        <v>204</v>
      </c>
      <c r="AB2283" t="n">
        <v>2</v>
      </c>
      <c r="AC2283" t="n">
        <v>2</v>
      </c>
      <c r="AD2283" t="n">
        <v>9</v>
      </c>
      <c r="AE2283" t="n">
        <v>9</v>
      </c>
      <c r="AF2283" t="n">
        <v>1</v>
      </c>
      <c r="AG2283" t="n">
        <v>1</v>
      </c>
      <c r="AH2283" t="n">
        <v>1</v>
      </c>
      <c r="AI2283" t="n">
        <v>1</v>
      </c>
      <c r="AJ2283" t="n">
        <v>0</v>
      </c>
      <c r="AK2283" t="n">
        <v>0</v>
      </c>
      <c r="AL2283" t="n">
        <v>1</v>
      </c>
      <c r="AM2283" t="n">
        <v>1</v>
      </c>
      <c r="AN2283" t="n">
        <v>6</v>
      </c>
      <c r="AO2283" t="n">
        <v>6</v>
      </c>
      <c r="AP2283" t="inlineStr">
        <is>
          <t>No</t>
        </is>
      </c>
      <c r="AQ2283" t="inlineStr">
        <is>
          <t>No</t>
        </is>
      </c>
      <c r="AS2283">
        <f>HYPERLINK("https://creighton-primo.hosted.exlibrisgroup.com/primo-explore/search?tab=default_tab&amp;search_scope=EVERYTHING&amp;vid=01CRU&amp;lang=en_US&amp;offset=0&amp;query=any,contains,991002542169702656","Catalog Record")</f>
        <v/>
      </c>
      <c r="AT2283">
        <f>HYPERLINK("http://www.worldcat.org/oclc/33043410","WorldCat Record")</f>
        <v/>
      </c>
      <c r="AU2283" t="inlineStr">
        <is>
          <t>336813031:eng</t>
        </is>
      </c>
      <c r="AV2283" t="inlineStr">
        <is>
          <t>33043410</t>
        </is>
      </c>
      <c r="AW2283" t="inlineStr">
        <is>
          <t>991002542169702656</t>
        </is>
      </c>
      <c r="AX2283" t="inlineStr">
        <is>
          <t>991002542169702656</t>
        </is>
      </c>
      <c r="AY2283" t="inlineStr">
        <is>
          <t>2272232610002656</t>
        </is>
      </c>
      <c r="AZ2283" t="inlineStr">
        <is>
          <t>BOOK</t>
        </is>
      </c>
      <c r="BB2283" t="inlineStr">
        <is>
          <t>9781565843097</t>
        </is>
      </c>
      <c r="BC2283" t="inlineStr">
        <is>
          <t>32285002434875</t>
        </is>
      </c>
      <c r="BD2283" t="inlineStr">
        <is>
          <t>893352378</t>
        </is>
      </c>
    </row>
    <row r="2284">
      <c r="A2284" t="inlineStr">
        <is>
          <t>No</t>
        </is>
      </c>
      <c r="B2284" t="inlineStr">
        <is>
          <t>HQ76.8.U5 D447 1992</t>
        </is>
      </c>
      <c r="C2284" t="inlineStr">
        <is>
          <t>0                      HQ 0076800U  5                  D  447         1992</t>
        </is>
      </c>
      <c r="D2284" t="inlineStr">
        <is>
          <t>Making trouble : essays on gay history, politics, and the university / John D'Emilio.</t>
        </is>
      </c>
      <c r="F2284" t="inlineStr">
        <is>
          <t>No</t>
        </is>
      </c>
      <c r="G2284" t="inlineStr">
        <is>
          <t>1</t>
        </is>
      </c>
      <c r="H2284" t="inlineStr">
        <is>
          <t>No</t>
        </is>
      </c>
      <c r="I2284" t="inlineStr">
        <is>
          <t>No</t>
        </is>
      </c>
      <c r="J2284" t="inlineStr">
        <is>
          <t>0</t>
        </is>
      </c>
      <c r="K2284" t="inlineStr">
        <is>
          <t>D'Emilio, John.</t>
        </is>
      </c>
      <c r="L2284" t="inlineStr">
        <is>
          <t>New York : Routledge, 1992.</t>
        </is>
      </c>
      <c r="M2284" t="inlineStr">
        <is>
          <t>1992</t>
        </is>
      </c>
      <c r="O2284" t="inlineStr">
        <is>
          <t>eng</t>
        </is>
      </c>
      <c r="P2284" t="inlineStr">
        <is>
          <t>nyu</t>
        </is>
      </c>
      <c r="R2284" t="inlineStr">
        <is>
          <t xml:space="preserve">HQ </t>
        </is>
      </c>
      <c r="S2284" t="n">
        <v>6</v>
      </c>
      <c r="T2284" t="n">
        <v>6</v>
      </c>
      <c r="U2284" t="inlineStr">
        <is>
          <t>1998-04-03</t>
        </is>
      </c>
      <c r="V2284" t="inlineStr">
        <is>
          <t>1998-04-03</t>
        </is>
      </c>
      <c r="W2284" t="inlineStr">
        <is>
          <t>1996-06-20</t>
        </is>
      </c>
      <c r="X2284" t="inlineStr">
        <is>
          <t>1996-06-20</t>
        </is>
      </c>
      <c r="Y2284" t="n">
        <v>655</v>
      </c>
      <c r="Z2284" t="n">
        <v>546</v>
      </c>
      <c r="AA2284" t="n">
        <v>574</v>
      </c>
      <c r="AB2284" t="n">
        <v>5</v>
      </c>
      <c r="AC2284" t="n">
        <v>5</v>
      </c>
      <c r="AD2284" t="n">
        <v>27</v>
      </c>
      <c r="AE2284" t="n">
        <v>29</v>
      </c>
      <c r="AF2284" t="n">
        <v>9</v>
      </c>
      <c r="AG2284" t="n">
        <v>10</v>
      </c>
      <c r="AH2284" t="n">
        <v>7</v>
      </c>
      <c r="AI2284" t="n">
        <v>7</v>
      </c>
      <c r="AJ2284" t="n">
        <v>12</v>
      </c>
      <c r="AK2284" t="n">
        <v>14</v>
      </c>
      <c r="AL2284" t="n">
        <v>4</v>
      </c>
      <c r="AM2284" t="n">
        <v>4</v>
      </c>
      <c r="AN2284" t="n">
        <v>0</v>
      </c>
      <c r="AO2284" t="n">
        <v>0</v>
      </c>
      <c r="AP2284" t="inlineStr">
        <is>
          <t>No</t>
        </is>
      </c>
      <c r="AQ2284" t="inlineStr">
        <is>
          <t>No</t>
        </is>
      </c>
      <c r="AS2284">
        <f>HYPERLINK("https://creighton-primo.hosted.exlibrisgroup.com/primo-explore/search?tab=default_tab&amp;search_scope=EVERYTHING&amp;vid=01CRU&amp;lang=en_US&amp;offset=0&amp;query=any,contains,991002016289702656","Catalog Record")</f>
        <v/>
      </c>
      <c r="AT2284">
        <f>HYPERLINK("http://www.worldcat.org/oclc/25632228","WorldCat Record")</f>
        <v/>
      </c>
      <c r="AU2284" t="inlineStr">
        <is>
          <t>836891231:eng</t>
        </is>
      </c>
      <c r="AV2284" t="inlineStr">
        <is>
          <t>25632228</t>
        </is>
      </c>
      <c r="AW2284" t="inlineStr">
        <is>
          <t>991002016289702656</t>
        </is>
      </c>
      <c r="AX2284" t="inlineStr">
        <is>
          <t>991002016289702656</t>
        </is>
      </c>
      <c r="AY2284" t="inlineStr">
        <is>
          <t>2268342610002656</t>
        </is>
      </c>
      <c r="AZ2284" t="inlineStr">
        <is>
          <t>BOOK</t>
        </is>
      </c>
      <c r="BB2284" t="inlineStr">
        <is>
          <t>9780415905091</t>
        </is>
      </c>
      <c r="BC2284" t="inlineStr">
        <is>
          <t>32285002170990</t>
        </is>
      </c>
      <c r="BD2284" t="inlineStr">
        <is>
          <t>893529438</t>
        </is>
      </c>
    </row>
    <row r="2285">
      <c r="A2285" t="inlineStr">
        <is>
          <t>No</t>
        </is>
      </c>
      <c r="B2285" t="inlineStr">
        <is>
          <t>HQ76.8.U5 D45 1983</t>
        </is>
      </c>
      <c r="C2285" t="inlineStr">
        <is>
          <t>0                      HQ 0076800U  5                  D  45          1983</t>
        </is>
      </c>
      <c r="D2285" t="inlineStr">
        <is>
          <t>Sexual politics, sexual communities : the making of a homosexual minority in the United States, 1940-1970 / John D'Emilio.</t>
        </is>
      </c>
      <c r="F2285" t="inlineStr">
        <is>
          <t>No</t>
        </is>
      </c>
      <c r="G2285" t="inlineStr">
        <is>
          <t>1</t>
        </is>
      </c>
      <c r="H2285" t="inlineStr">
        <is>
          <t>No</t>
        </is>
      </c>
      <c r="I2285" t="inlineStr">
        <is>
          <t>No</t>
        </is>
      </c>
      <c r="J2285" t="inlineStr">
        <is>
          <t>0</t>
        </is>
      </c>
      <c r="K2285" t="inlineStr">
        <is>
          <t>D'Emilio, John.</t>
        </is>
      </c>
      <c r="L2285" t="inlineStr">
        <is>
          <t>Chicago : University of Chicago Press, 1983.</t>
        </is>
      </c>
      <c r="M2285" t="inlineStr">
        <is>
          <t>1983</t>
        </is>
      </c>
      <c r="O2285" t="inlineStr">
        <is>
          <t>eng</t>
        </is>
      </c>
      <c r="P2285" t="inlineStr">
        <is>
          <t>ilu</t>
        </is>
      </c>
      <c r="R2285" t="inlineStr">
        <is>
          <t xml:space="preserve">HQ </t>
        </is>
      </c>
      <c r="S2285" t="n">
        <v>10</v>
      </c>
      <c r="T2285" t="n">
        <v>10</v>
      </c>
      <c r="U2285" t="inlineStr">
        <is>
          <t>2002-11-08</t>
        </is>
      </c>
      <c r="V2285" t="inlineStr">
        <is>
          <t>2002-11-08</t>
        </is>
      </c>
      <c r="W2285" t="inlineStr">
        <is>
          <t>1996-07-30</t>
        </is>
      </c>
      <c r="X2285" t="inlineStr">
        <is>
          <t>1996-07-30</t>
        </is>
      </c>
      <c r="Y2285" t="n">
        <v>1027</v>
      </c>
      <c r="Z2285" t="n">
        <v>893</v>
      </c>
      <c r="AA2285" t="n">
        <v>1053</v>
      </c>
      <c r="AB2285" t="n">
        <v>7</v>
      </c>
      <c r="AC2285" t="n">
        <v>7</v>
      </c>
      <c r="AD2285" t="n">
        <v>36</v>
      </c>
      <c r="AE2285" t="n">
        <v>44</v>
      </c>
      <c r="AF2285" t="n">
        <v>12</v>
      </c>
      <c r="AG2285" t="n">
        <v>16</v>
      </c>
      <c r="AH2285" t="n">
        <v>8</v>
      </c>
      <c r="AI2285" t="n">
        <v>10</v>
      </c>
      <c r="AJ2285" t="n">
        <v>13</v>
      </c>
      <c r="AK2285" t="n">
        <v>18</v>
      </c>
      <c r="AL2285" t="n">
        <v>6</v>
      </c>
      <c r="AM2285" t="n">
        <v>6</v>
      </c>
      <c r="AN2285" t="n">
        <v>3</v>
      </c>
      <c r="AO2285" t="n">
        <v>3</v>
      </c>
      <c r="AP2285" t="inlineStr">
        <is>
          <t>No</t>
        </is>
      </c>
      <c r="AQ2285" t="inlineStr">
        <is>
          <t>No</t>
        </is>
      </c>
      <c r="AS2285">
        <f>HYPERLINK("https://creighton-primo.hosted.exlibrisgroup.com/primo-explore/search?tab=default_tab&amp;search_scope=EVERYTHING&amp;vid=01CRU&amp;lang=en_US&amp;offset=0&amp;query=any,contains,991000060269702656","Catalog Record")</f>
        <v/>
      </c>
      <c r="AT2285">
        <f>HYPERLINK("http://www.worldcat.org/oclc/8728658","WorldCat Record")</f>
        <v/>
      </c>
      <c r="AU2285" t="inlineStr">
        <is>
          <t>41911404:eng</t>
        </is>
      </c>
      <c r="AV2285" t="inlineStr">
        <is>
          <t>8728658</t>
        </is>
      </c>
      <c r="AW2285" t="inlineStr">
        <is>
          <t>991000060269702656</t>
        </is>
      </c>
      <c r="AX2285" t="inlineStr">
        <is>
          <t>991000060269702656</t>
        </is>
      </c>
      <c r="AY2285" t="inlineStr">
        <is>
          <t>2271274580002656</t>
        </is>
      </c>
      <c r="AZ2285" t="inlineStr">
        <is>
          <t>BOOK</t>
        </is>
      </c>
      <c r="BB2285" t="inlineStr">
        <is>
          <t>9780226142654</t>
        </is>
      </c>
      <c r="BC2285" t="inlineStr">
        <is>
          <t>32285002208626</t>
        </is>
      </c>
      <c r="BD2285" t="inlineStr">
        <is>
          <t>893589088</t>
        </is>
      </c>
    </row>
    <row r="2286">
      <c r="A2286" t="inlineStr">
        <is>
          <t>No</t>
        </is>
      </c>
      <c r="B2286" t="inlineStr">
        <is>
          <t>HQ76.8.U5 H84</t>
        </is>
      </c>
      <c r="C2286" t="inlineStr">
        <is>
          <t>0                      HQ 0076800U  5                  H  84</t>
        </is>
      </c>
      <c r="D2286" t="inlineStr">
        <is>
          <t>Out of the closets : the sociology of homosexual liberation.</t>
        </is>
      </c>
      <c r="F2286" t="inlineStr">
        <is>
          <t>No</t>
        </is>
      </c>
      <c r="G2286" t="inlineStr">
        <is>
          <t>1</t>
        </is>
      </c>
      <c r="H2286" t="inlineStr">
        <is>
          <t>No</t>
        </is>
      </c>
      <c r="I2286" t="inlineStr">
        <is>
          <t>No</t>
        </is>
      </c>
      <c r="J2286" t="inlineStr">
        <is>
          <t>0</t>
        </is>
      </c>
      <c r="K2286" t="inlineStr">
        <is>
          <t>Humphreys, Laud.</t>
        </is>
      </c>
      <c r="L2286" t="inlineStr">
        <is>
          <t>Englewood Cliffs, N.J. : Prentice-Hall, [1972]</t>
        </is>
      </c>
      <c r="M2286" t="inlineStr">
        <is>
          <t>1972</t>
        </is>
      </c>
      <c r="O2286" t="inlineStr">
        <is>
          <t>eng</t>
        </is>
      </c>
      <c r="P2286" t="inlineStr">
        <is>
          <t>nju</t>
        </is>
      </c>
      <c r="Q2286" t="inlineStr">
        <is>
          <t>A Spectrum book, S-288</t>
        </is>
      </c>
      <c r="R2286" t="inlineStr">
        <is>
          <t xml:space="preserve">HQ </t>
        </is>
      </c>
      <c r="S2286" t="n">
        <v>10</v>
      </c>
      <c r="T2286" t="n">
        <v>10</v>
      </c>
      <c r="U2286" t="inlineStr">
        <is>
          <t>2008-10-06</t>
        </is>
      </c>
      <c r="V2286" t="inlineStr">
        <is>
          <t>2008-10-06</t>
        </is>
      </c>
      <c r="W2286" t="inlineStr">
        <is>
          <t>1992-03-13</t>
        </is>
      </c>
      <c r="X2286" t="inlineStr">
        <is>
          <t>1992-03-13</t>
        </is>
      </c>
      <c r="Y2286" t="n">
        <v>618</v>
      </c>
      <c r="Z2286" t="n">
        <v>496</v>
      </c>
      <c r="AA2286" t="n">
        <v>502</v>
      </c>
      <c r="AB2286" t="n">
        <v>5</v>
      </c>
      <c r="AC2286" t="n">
        <v>5</v>
      </c>
      <c r="AD2286" t="n">
        <v>22</v>
      </c>
      <c r="AE2286" t="n">
        <v>22</v>
      </c>
      <c r="AF2286" t="n">
        <v>6</v>
      </c>
      <c r="AG2286" t="n">
        <v>6</v>
      </c>
      <c r="AH2286" t="n">
        <v>5</v>
      </c>
      <c r="AI2286" t="n">
        <v>5</v>
      </c>
      <c r="AJ2286" t="n">
        <v>10</v>
      </c>
      <c r="AK2286" t="n">
        <v>10</v>
      </c>
      <c r="AL2286" t="n">
        <v>4</v>
      </c>
      <c r="AM2286" t="n">
        <v>4</v>
      </c>
      <c r="AN2286" t="n">
        <v>0</v>
      </c>
      <c r="AO2286" t="n">
        <v>0</v>
      </c>
      <c r="AP2286" t="inlineStr">
        <is>
          <t>No</t>
        </is>
      </c>
      <c r="AQ2286" t="inlineStr">
        <is>
          <t>Yes</t>
        </is>
      </c>
      <c r="AR2286">
        <f>HYPERLINK("http://catalog.hathitrust.org/Record/001109888","HathiTrust Record")</f>
        <v/>
      </c>
      <c r="AS2286">
        <f>HYPERLINK("https://creighton-primo.hosted.exlibrisgroup.com/primo-explore/search?tab=default_tab&amp;search_scope=EVERYTHING&amp;vid=01CRU&amp;lang=en_US&amp;offset=0&amp;query=any,contains,991002464699702656","Catalog Record")</f>
        <v/>
      </c>
      <c r="AT2286">
        <f>HYPERLINK("http://www.worldcat.org/oclc/357093","WorldCat Record")</f>
        <v/>
      </c>
      <c r="AU2286" t="inlineStr">
        <is>
          <t>411749:eng</t>
        </is>
      </c>
      <c r="AV2286" t="inlineStr">
        <is>
          <t>357093</t>
        </is>
      </c>
      <c r="AW2286" t="inlineStr">
        <is>
          <t>991002464699702656</t>
        </is>
      </c>
      <c r="AX2286" t="inlineStr">
        <is>
          <t>991002464699702656</t>
        </is>
      </c>
      <c r="AY2286" t="inlineStr">
        <is>
          <t>2263051140002656</t>
        </is>
      </c>
      <c r="AZ2286" t="inlineStr">
        <is>
          <t>BOOK</t>
        </is>
      </c>
      <c r="BB2286" t="inlineStr">
        <is>
          <t>9780136453253</t>
        </is>
      </c>
      <c r="BC2286" t="inlineStr">
        <is>
          <t>32285000999184</t>
        </is>
      </c>
      <c r="BD2286" t="inlineStr">
        <is>
          <t>893421399</t>
        </is>
      </c>
    </row>
    <row r="2287">
      <c r="A2287" t="inlineStr">
        <is>
          <t>No</t>
        </is>
      </c>
      <c r="B2287" t="inlineStr">
        <is>
          <t>HQ76.8.U5 J64 1994</t>
        </is>
      </c>
      <c r="C2287" t="inlineStr">
        <is>
          <t>0                      HQ 0076800U  5                  J  64          1994</t>
        </is>
      </c>
      <c r="D2287" t="inlineStr">
        <is>
          <t>Outing : shattering the conspiracy of silence / Warren Johansson, William A. Percy.</t>
        </is>
      </c>
      <c r="F2287" t="inlineStr">
        <is>
          <t>No</t>
        </is>
      </c>
      <c r="G2287" t="inlineStr">
        <is>
          <t>1</t>
        </is>
      </c>
      <c r="H2287" t="inlineStr">
        <is>
          <t>No</t>
        </is>
      </c>
      <c r="I2287" t="inlineStr">
        <is>
          <t>No</t>
        </is>
      </c>
      <c r="J2287" t="inlineStr">
        <is>
          <t>0</t>
        </is>
      </c>
      <c r="K2287" t="inlineStr">
        <is>
          <t>Johansson, Warren.</t>
        </is>
      </c>
      <c r="L2287" t="inlineStr">
        <is>
          <t>New York : Haworth Press, c1994.</t>
        </is>
      </c>
      <c r="M2287" t="inlineStr">
        <is>
          <t>1994</t>
        </is>
      </c>
      <c r="O2287" t="inlineStr">
        <is>
          <t>eng</t>
        </is>
      </c>
      <c r="P2287" t="inlineStr">
        <is>
          <t>nyu</t>
        </is>
      </c>
      <c r="Q2287" t="inlineStr">
        <is>
          <t>Haworth gay and lesbian studies</t>
        </is>
      </c>
      <c r="R2287" t="inlineStr">
        <is>
          <t xml:space="preserve">HQ </t>
        </is>
      </c>
      <c r="S2287" t="n">
        <v>4</v>
      </c>
      <c r="T2287" t="n">
        <v>4</v>
      </c>
      <c r="U2287" t="inlineStr">
        <is>
          <t>2010-10-12</t>
        </is>
      </c>
      <c r="V2287" t="inlineStr">
        <is>
          <t>2010-10-12</t>
        </is>
      </c>
      <c r="W2287" t="inlineStr">
        <is>
          <t>1996-11-13</t>
        </is>
      </c>
      <c r="X2287" t="inlineStr">
        <is>
          <t>1996-11-13</t>
        </is>
      </c>
      <c r="Y2287" t="n">
        <v>415</v>
      </c>
      <c r="Z2287" t="n">
        <v>356</v>
      </c>
      <c r="AA2287" t="n">
        <v>403</v>
      </c>
      <c r="AB2287" t="n">
        <v>3</v>
      </c>
      <c r="AC2287" t="n">
        <v>3</v>
      </c>
      <c r="AD2287" t="n">
        <v>17</v>
      </c>
      <c r="AE2287" t="n">
        <v>17</v>
      </c>
      <c r="AF2287" t="n">
        <v>2</v>
      </c>
      <c r="AG2287" t="n">
        <v>2</v>
      </c>
      <c r="AH2287" t="n">
        <v>5</v>
      </c>
      <c r="AI2287" t="n">
        <v>5</v>
      </c>
      <c r="AJ2287" t="n">
        <v>13</v>
      </c>
      <c r="AK2287" t="n">
        <v>13</v>
      </c>
      <c r="AL2287" t="n">
        <v>2</v>
      </c>
      <c r="AM2287" t="n">
        <v>2</v>
      </c>
      <c r="AN2287" t="n">
        <v>0</v>
      </c>
      <c r="AO2287" t="n">
        <v>0</v>
      </c>
      <c r="AP2287" t="inlineStr">
        <is>
          <t>No</t>
        </is>
      </c>
      <c r="AQ2287" t="inlineStr">
        <is>
          <t>Yes</t>
        </is>
      </c>
      <c r="AR2287">
        <f>HYPERLINK("http://catalog.hathitrust.org/Record/002806195","HathiTrust Record")</f>
        <v/>
      </c>
      <c r="AS2287">
        <f>HYPERLINK("https://creighton-primo.hosted.exlibrisgroup.com/primo-explore/search?tab=default_tab&amp;search_scope=EVERYTHING&amp;vid=01CRU&amp;lang=en_US&amp;offset=0&amp;query=any,contains,991002177329702656","Catalog Record")</f>
        <v/>
      </c>
      <c r="AT2287">
        <f>HYPERLINK("http://www.worldcat.org/oclc/28026413","WorldCat Record")</f>
        <v/>
      </c>
      <c r="AU2287" t="inlineStr">
        <is>
          <t>387978:eng</t>
        </is>
      </c>
      <c r="AV2287" t="inlineStr">
        <is>
          <t>28026413</t>
        </is>
      </c>
      <c r="AW2287" t="inlineStr">
        <is>
          <t>991002177329702656</t>
        </is>
      </c>
      <c r="AX2287" t="inlineStr">
        <is>
          <t>991002177329702656</t>
        </is>
      </c>
      <c r="AY2287" t="inlineStr">
        <is>
          <t>2262920320002656</t>
        </is>
      </c>
      <c r="AZ2287" t="inlineStr">
        <is>
          <t>BOOK</t>
        </is>
      </c>
      <c r="BB2287" t="inlineStr">
        <is>
          <t>9781560230410</t>
        </is>
      </c>
      <c r="BC2287" t="inlineStr">
        <is>
          <t>32285002372349</t>
        </is>
      </c>
      <c r="BD2287" t="inlineStr">
        <is>
          <t>893879584</t>
        </is>
      </c>
    </row>
    <row r="2288">
      <c r="A2288" t="inlineStr">
        <is>
          <t>No</t>
        </is>
      </c>
      <c r="B2288" t="inlineStr">
        <is>
          <t>HQ76.8.U5 N38 1994</t>
        </is>
      </c>
      <c r="C2288" t="inlineStr">
        <is>
          <t>0                      HQ 0076800U  5                  N  38          1994</t>
        </is>
      </c>
      <c r="D2288" t="inlineStr">
        <is>
          <t>Created equal : why gay rights matter to America / Michael Nava &amp; Robert Dawidoff.</t>
        </is>
      </c>
      <c r="F2288" t="inlineStr">
        <is>
          <t>No</t>
        </is>
      </c>
      <c r="G2288" t="inlineStr">
        <is>
          <t>1</t>
        </is>
      </c>
      <c r="H2288" t="inlineStr">
        <is>
          <t>Yes</t>
        </is>
      </c>
      <c r="I2288" t="inlineStr">
        <is>
          <t>No</t>
        </is>
      </c>
      <c r="J2288" t="inlineStr">
        <is>
          <t>0</t>
        </is>
      </c>
      <c r="K2288" t="inlineStr">
        <is>
          <t>Nava, Michael.</t>
        </is>
      </c>
      <c r="L2288" t="inlineStr">
        <is>
          <t>New York : St. Martin's Press, 1994.</t>
        </is>
      </c>
      <c r="M2288" t="inlineStr">
        <is>
          <t>1994</t>
        </is>
      </c>
      <c r="N2288" t="inlineStr">
        <is>
          <t>1st ed.</t>
        </is>
      </c>
      <c r="O2288" t="inlineStr">
        <is>
          <t>eng</t>
        </is>
      </c>
      <c r="P2288" t="inlineStr">
        <is>
          <t>nyu</t>
        </is>
      </c>
      <c r="R2288" t="inlineStr">
        <is>
          <t xml:space="preserve">HQ </t>
        </is>
      </c>
      <c r="S2288" t="n">
        <v>25</v>
      </c>
      <c r="T2288" t="n">
        <v>26</v>
      </c>
      <c r="U2288" t="inlineStr">
        <is>
          <t>2005-10-10</t>
        </is>
      </c>
      <c r="V2288" t="inlineStr">
        <is>
          <t>2005-10-10</t>
        </is>
      </c>
      <c r="W2288" t="inlineStr">
        <is>
          <t>1995-10-24</t>
        </is>
      </c>
      <c r="X2288" t="inlineStr">
        <is>
          <t>1995-10-24</t>
        </is>
      </c>
      <c r="Y2288" t="n">
        <v>1105</v>
      </c>
      <c r="Z2288" t="n">
        <v>1056</v>
      </c>
      <c r="AA2288" t="n">
        <v>1117</v>
      </c>
      <c r="AB2288" t="n">
        <v>8</v>
      </c>
      <c r="AC2288" t="n">
        <v>8</v>
      </c>
      <c r="AD2288" t="n">
        <v>33</v>
      </c>
      <c r="AE2288" t="n">
        <v>35</v>
      </c>
      <c r="AF2288" t="n">
        <v>7</v>
      </c>
      <c r="AG2288" t="n">
        <v>8</v>
      </c>
      <c r="AH2288" t="n">
        <v>5</v>
      </c>
      <c r="AI2288" t="n">
        <v>6</v>
      </c>
      <c r="AJ2288" t="n">
        <v>13</v>
      </c>
      <c r="AK2288" t="n">
        <v>14</v>
      </c>
      <c r="AL2288" t="n">
        <v>3</v>
      </c>
      <c r="AM2288" t="n">
        <v>3</v>
      </c>
      <c r="AN2288" t="n">
        <v>10</v>
      </c>
      <c r="AO2288" t="n">
        <v>10</v>
      </c>
      <c r="AP2288" t="inlineStr">
        <is>
          <t>No</t>
        </is>
      </c>
      <c r="AQ2288" t="inlineStr">
        <is>
          <t>No</t>
        </is>
      </c>
      <c r="AS2288">
        <f>HYPERLINK("https://creighton-primo.hosted.exlibrisgroup.com/primo-explore/search?tab=default_tab&amp;search_scope=EVERYTHING&amp;vid=01CRU&amp;lang=en_US&amp;offset=0&amp;query=any,contains,991001660929702656","Catalog Record")</f>
        <v/>
      </c>
      <c r="AT2288">
        <f>HYPERLINK("http://www.worldcat.org/oclc/29357783","WorldCat Record")</f>
        <v/>
      </c>
      <c r="AU2288" t="inlineStr">
        <is>
          <t>31222168:eng</t>
        </is>
      </c>
      <c r="AV2288" t="inlineStr">
        <is>
          <t>29357783</t>
        </is>
      </c>
      <c r="AW2288" t="inlineStr">
        <is>
          <t>991001660929702656</t>
        </is>
      </c>
      <c r="AX2288" t="inlineStr">
        <is>
          <t>991001660929702656</t>
        </is>
      </c>
      <c r="AY2288" t="inlineStr">
        <is>
          <t>2265718180002656</t>
        </is>
      </c>
      <c r="AZ2288" t="inlineStr">
        <is>
          <t>BOOK</t>
        </is>
      </c>
      <c r="BB2288" t="inlineStr">
        <is>
          <t>9780312104436</t>
        </is>
      </c>
      <c r="BC2288" t="inlineStr">
        <is>
          <t>32285002097615</t>
        </is>
      </c>
      <c r="BD2288" t="inlineStr">
        <is>
          <t>893684494</t>
        </is>
      </c>
    </row>
    <row r="2289">
      <c r="A2289" t="inlineStr">
        <is>
          <t>No</t>
        </is>
      </c>
      <c r="B2289" t="inlineStr">
        <is>
          <t>HQ76.8.U5 O88 1992</t>
        </is>
      </c>
      <c r="C2289" t="inlineStr">
        <is>
          <t>0                      HQ 0076800U  5                  O  88          1992</t>
        </is>
      </c>
      <c r="D2289" t="inlineStr">
        <is>
          <t>Out of the closets : voices of gay liberation / edited by Karla Jay and Allen Young ; with a foreword by John D'Emilio.</t>
        </is>
      </c>
      <c r="F2289" t="inlineStr">
        <is>
          <t>No</t>
        </is>
      </c>
      <c r="G2289" t="inlineStr">
        <is>
          <t>1</t>
        </is>
      </c>
      <c r="H2289" t="inlineStr">
        <is>
          <t>No</t>
        </is>
      </c>
      <c r="I2289" t="inlineStr">
        <is>
          <t>No</t>
        </is>
      </c>
      <c r="J2289" t="inlineStr">
        <is>
          <t>0</t>
        </is>
      </c>
      <c r="L2289" t="inlineStr">
        <is>
          <t>New York : New York University Press, c1992.</t>
        </is>
      </c>
      <c r="M2289" t="inlineStr">
        <is>
          <t>1992</t>
        </is>
      </c>
      <c r="N2289" t="inlineStr">
        <is>
          <t>2nd ed.</t>
        </is>
      </c>
      <c r="O2289" t="inlineStr">
        <is>
          <t>eng</t>
        </is>
      </c>
      <c r="P2289" t="inlineStr">
        <is>
          <t>nyu</t>
        </is>
      </c>
      <c r="R2289" t="inlineStr">
        <is>
          <t xml:space="preserve">HQ </t>
        </is>
      </c>
      <c r="S2289" t="n">
        <v>18</v>
      </c>
      <c r="T2289" t="n">
        <v>18</v>
      </c>
      <c r="U2289" t="inlineStr">
        <is>
          <t>1998-03-28</t>
        </is>
      </c>
      <c r="V2289" t="inlineStr">
        <is>
          <t>1998-03-28</t>
        </is>
      </c>
      <c r="W2289" t="inlineStr">
        <is>
          <t>1996-08-05</t>
        </is>
      </c>
      <c r="X2289" t="inlineStr">
        <is>
          <t>1996-08-05</t>
        </is>
      </c>
      <c r="Y2289" t="n">
        <v>233</v>
      </c>
      <c r="Z2289" t="n">
        <v>204</v>
      </c>
      <c r="AA2289" t="n">
        <v>454</v>
      </c>
      <c r="AB2289" t="n">
        <v>1</v>
      </c>
      <c r="AC2289" t="n">
        <v>3</v>
      </c>
      <c r="AD2289" t="n">
        <v>8</v>
      </c>
      <c r="AE2289" t="n">
        <v>15</v>
      </c>
      <c r="AF2289" t="n">
        <v>3</v>
      </c>
      <c r="AG2289" t="n">
        <v>5</v>
      </c>
      <c r="AH2289" t="n">
        <v>0</v>
      </c>
      <c r="AI2289" t="n">
        <v>2</v>
      </c>
      <c r="AJ2289" t="n">
        <v>6</v>
      </c>
      <c r="AK2289" t="n">
        <v>9</v>
      </c>
      <c r="AL2289" t="n">
        <v>0</v>
      </c>
      <c r="AM2289" t="n">
        <v>2</v>
      </c>
      <c r="AN2289" t="n">
        <v>0</v>
      </c>
      <c r="AO2289" t="n">
        <v>0</v>
      </c>
      <c r="AP2289" t="inlineStr">
        <is>
          <t>No</t>
        </is>
      </c>
      <c r="AQ2289" t="inlineStr">
        <is>
          <t>No</t>
        </is>
      </c>
      <c r="AS2289">
        <f>HYPERLINK("https://creighton-primo.hosted.exlibrisgroup.com/primo-explore/search?tab=default_tab&amp;search_scope=EVERYTHING&amp;vid=01CRU&amp;lang=en_US&amp;offset=0&amp;query=any,contains,991001930149702656","Catalog Record")</f>
        <v/>
      </c>
      <c r="AT2289">
        <f>HYPERLINK("http://www.worldcat.org/oclc/24376050","WorldCat Record")</f>
        <v/>
      </c>
      <c r="AU2289" t="inlineStr">
        <is>
          <t>151156482:eng</t>
        </is>
      </c>
      <c r="AV2289" t="inlineStr">
        <is>
          <t>24376050</t>
        </is>
      </c>
      <c r="AW2289" t="inlineStr">
        <is>
          <t>991001930149702656</t>
        </is>
      </c>
      <c r="AX2289" t="inlineStr">
        <is>
          <t>991001930149702656</t>
        </is>
      </c>
      <c r="AY2289" t="inlineStr">
        <is>
          <t>2262549810002656</t>
        </is>
      </c>
      <c r="AZ2289" t="inlineStr">
        <is>
          <t>BOOK</t>
        </is>
      </c>
      <c r="BB2289" t="inlineStr">
        <is>
          <t>9780814741825</t>
        </is>
      </c>
      <c r="BC2289" t="inlineStr">
        <is>
          <t>32285002270378</t>
        </is>
      </c>
      <c r="BD2289" t="inlineStr">
        <is>
          <t>893316178</t>
        </is>
      </c>
    </row>
    <row r="2290">
      <c r="A2290" t="inlineStr">
        <is>
          <t>No</t>
        </is>
      </c>
      <c r="B2290" t="inlineStr">
        <is>
          <t>HQ76.8.U5 P65 2000</t>
        </is>
      </c>
      <c r="C2290" t="inlineStr">
        <is>
          <t>0                      HQ 0076800U  5                  P  65          2000</t>
        </is>
      </c>
      <c r="D2290" t="inlineStr">
        <is>
          <t>The politics of gay rights / edited by Craig A. Rimmerman, Kenneth D. Wald, and Clyde Wilcox.</t>
        </is>
      </c>
      <c r="F2290" t="inlineStr">
        <is>
          <t>No</t>
        </is>
      </c>
      <c r="G2290" t="inlineStr">
        <is>
          <t>1</t>
        </is>
      </c>
      <c r="H2290" t="inlineStr">
        <is>
          <t>No</t>
        </is>
      </c>
      <c r="I2290" t="inlineStr">
        <is>
          <t>No</t>
        </is>
      </c>
      <c r="J2290" t="inlineStr">
        <is>
          <t>0</t>
        </is>
      </c>
      <c r="L2290" t="inlineStr">
        <is>
          <t>Chicago : University of Chicago Press, 2000.</t>
        </is>
      </c>
      <c r="M2290" t="inlineStr">
        <is>
          <t>2000</t>
        </is>
      </c>
      <c r="O2290" t="inlineStr">
        <is>
          <t>eng</t>
        </is>
      </c>
      <c r="P2290" t="inlineStr">
        <is>
          <t>ilu</t>
        </is>
      </c>
      <c r="Q2290" t="inlineStr">
        <is>
          <t>The Chicago series on sexuality, history, and society</t>
        </is>
      </c>
      <c r="R2290" t="inlineStr">
        <is>
          <t xml:space="preserve">HQ </t>
        </is>
      </c>
      <c r="S2290" t="n">
        <v>11</v>
      </c>
      <c r="T2290" t="n">
        <v>11</v>
      </c>
      <c r="U2290" t="inlineStr">
        <is>
          <t>2005-03-06</t>
        </is>
      </c>
      <c r="V2290" t="inlineStr">
        <is>
          <t>2005-03-06</t>
        </is>
      </c>
      <c r="W2290" t="inlineStr">
        <is>
          <t>2001-01-24</t>
        </is>
      </c>
      <c r="X2290" t="inlineStr">
        <is>
          <t>2001-01-24</t>
        </is>
      </c>
      <c r="Y2290" t="n">
        <v>471</v>
      </c>
      <c r="Z2290" t="n">
        <v>402</v>
      </c>
      <c r="AA2290" t="n">
        <v>407</v>
      </c>
      <c r="AB2290" t="n">
        <v>6</v>
      </c>
      <c r="AC2290" t="n">
        <v>6</v>
      </c>
      <c r="AD2290" t="n">
        <v>23</v>
      </c>
      <c r="AE2290" t="n">
        <v>23</v>
      </c>
      <c r="AF2290" t="n">
        <v>8</v>
      </c>
      <c r="AG2290" t="n">
        <v>8</v>
      </c>
      <c r="AH2290" t="n">
        <v>4</v>
      </c>
      <c r="AI2290" t="n">
        <v>4</v>
      </c>
      <c r="AJ2290" t="n">
        <v>9</v>
      </c>
      <c r="AK2290" t="n">
        <v>9</v>
      </c>
      <c r="AL2290" t="n">
        <v>5</v>
      </c>
      <c r="AM2290" t="n">
        <v>5</v>
      </c>
      <c r="AN2290" t="n">
        <v>2</v>
      </c>
      <c r="AO2290" t="n">
        <v>2</v>
      </c>
      <c r="AP2290" t="inlineStr">
        <is>
          <t>No</t>
        </is>
      </c>
      <c r="AQ2290" t="inlineStr">
        <is>
          <t>No</t>
        </is>
      </c>
      <c r="AS2290">
        <f>HYPERLINK("https://creighton-primo.hosted.exlibrisgroup.com/primo-explore/search?tab=default_tab&amp;search_scope=EVERYTHING&amp;vid=01CRU&amp;lang=en_US&amp;offset=0&amp;query=any,contains,991003453679702656","Catalog Record")</f>
        <v/>
      </c>
      <c r="AT2290">
        <f>HYPERLINK("http://www.worldcat.org/oclc/42736400","WorldCat Record")</f>
        <v/>
      </c>
      <c r="AU2290" t="inlineStr">
        <is>
          <t>367527394:eng</t>
        </is>
      </c>
      <c r="AV2290" t="inlineStr">
        <is>
          <t>42736400</t>
        </is>
      </c>
      <c r="AW2290" t="inlineStr">
        <is>
          <t>991003453679702656</t>
        </is>
      </c>
      <c r="AX2290" t="inlineStr">
        <is>
          <t>991003453679702656</t>
        </is>
      </c>
      <c r="AY2290" t="inlineStr">
        <is>
          <t>2258964540002656</t>
        </is>
      </c>
      <c r="AZ2290" t="inlineStr">
        <is>
          <t>BOOK</t>
        </is>
      </c>
      <c r="BB2290" t="inlineStr">
        <is>
          <t>9780226719986</t>
        </is>
      </c>
      <c r="BC2290" t="inlineStr">
        <is>
          <t>32285004291323</t>
        </is>
      </c>
      <c r="BD2290" t="inlineStr">
        <is>
          <t>893774721</t>
        </is>
      </c>
    </row>
    <row r="2291">
      <c r="A2291" t="inlineStr">
        <is>
          <t>No</t>
        </is>
      </c>
      <c r="B2291" t="inlineStr">
        <is>
          <t>HQ76.8.U5 S57 1994</t>
        </is>
      </c>
      <c r="C2291" t="inlineStr">
        <is>
          <t>0                      HQ 0076800U  5                  S  57          1994</t>
        </is>
      </c>
      <c r="D2291" t="inlineStr">
        <is>
          <t>Queer in America : sex, the media, and the closets of power / Michelangelo Signorile.</t>
        </is>
      </c>
      <c r="F2291" t="inlineStr">
        <is>
          <t>No</t>
        </is>
      </c>
      <c r="G2291" t="inlineStr">
        <is>
          <t>1</t>
        </is>
      </c>
      <c r="H2291" t="inlineStr">
        <is>
          <t>No</t>
        </is>
      </c>
      <c r="I2291" t="inlineStr">
        <is>
          <t>No</t>
        </is>
      </c>
      <c r="J2291" t="inlineStr">
        <is>
          <t>0</t>
        </is>
      </c>
      <c r="K2291" t="inlineStr">
        <is>
          <t>Signorile, Michelangelo, 1960-</t>
        </is>
      </c>
      <c r="L2291" t="inlineStr">
        <is>
          <t>New York : Anchor Books, 1994.</t>
        </is>
      </c>
      <c r="M2291" t="inlineStr">
        <is>
          <t>1994</t>
        </is>
      </c>
      <c r="O2291" t="inlineStr">
        <is>
          <t>eng</t>
        </is>
      </c>
      <c r="P2291" t="inlineStr">
        <is>
          <t>nyu</t>
        </is>
      </c>
      <c r="R2291" t="inlineStr">
        <is>
          <t xml:space="preserve">HQ </t>
        </is>
      </c>
      <c r="S2291" t="n">
        <v>12</v>
      </c>
      <c r="T2291" t="n">
        <v>12</v>
      </c>
      <c r="U2291" t="inlineStr">
        <is>
          <t>2007-03-28</t>
        </is>
      </c>
      <c r="V2291" t="inlineStr">
        <is>
          <t>2007-03-28</t>
        </is>
      </c>
      <c r="W2291" t="inlineStr">
        <is>
          <t>1996-06-20</t>
        </is>
      </c>
      <c r="X2291" t="inlineStr">
        <is>
          <t>1996-06-20</t>
        </is>
      </c>
      <c r="Y2291" t="n">
        <v>149</v>
      </c>
      <c r="Z2291" t="n">
        <v>130</v>
      </c>
      <c r="AA2291" t="n">
        <v>938</v>
      </c>
      <c r="AB2291" t="n">
        <v>2</v>
      </c>
      <c r="AC2291" t="n">
        <v>5</v>
      </c>
      <c r="AD2291" t="n">
        <v>4</v>
      </c>
      <c r="AE2291" t="n">
        <v>25</v>
      </c>
      <c r="AF2291" t="n">
        <v>1</v>
      </c>
      <c r="AG2291" t="n">
        <v>8</v>
      </c>
      <c r="AH2291" t="n">
        <v>1</v>
      </c>
      <c r="AI2291" t="n">
        <v>6</v>
      </c>
      <c r="AJ2291" t="n">
        <v>2</v>
      </c>
      <c r="AK2291" t="n">
        <v>10</v>
      </c>
      <c r="AL2291" t="n">
        <v>1</v>
      </c>
      <c r="AM2291" t="n">
        <v>4</v>
      </c>
      <c r="AN2291" t="n">
        <v>0</v>
      </c>
      <c r="AO2291" t="n">
        <v>1</v>
      </c>
      <c r="AP2291" t="inlineStr">
        <is>
          <t>No</t>
        </is>
      </c>
      <c r="AQ2291" t="inlineStr">
        <is>
          <t>Yes</t>
        </is>
      </c>
      <c r="AR2291">
        <f>HYPERLINK("http://catalog.hathitrust.org/Record/002880597","HathiTrust Record")</f>
        <v/>
      </c>
      <c r="AS2291">
        <f>HYPERLINK("https://creighton-primo.hosted.exlibrisgroup.com/primo-explore/search?tab=default_tab&amp;search_scope=EVERYTHING&amp;vid=01CRU&amp;lang=en_US&amp;offset=0&amp;query=any,contains,991002297189702656","Catalog Record")</f>
        <v/>
      </c>
      <c r="AT2291">
        <f>HYPERLINK("http://www.worldcat.org/oclc/29797260","WorldCat Record")</f>
        <v/>
      </c>
      <c r="AU2291" t="inlineStr">
        <is>
          <t>346616:eng</t>
        </is>
      </c>
      <c r="AV2291" t="inlineStr">
        <is>
          <t>29797260</t>
        </is>
      </c>
      <c r="AW2291" t="inlineStr">
        <is>
          <t>991002297189702656</t>
        </is>
      </c>
      <c r="AX2291" t="inlineStr">
        <is>
          <t>991002297189702656</t>
        </is>
      </c>
      <c r="AY2291" t="inlineStr">
        <is>
          <t>2259329620002656</t>
        </is>
      </c>
      <c r="AZ2291" t="inlineStr">
        <is>
          <t>BOOK</t>
        </is>
      </c>
      <c r="BB2291" t="inlineStr">
        <is>
          <t>9780385473774</t>
        </is>
      </c>
      <c r="BC2291" t="inlineStr">
        <is>
          <t>32285002171006</t>
        </is>
      </c>
      <c r="BD2291" t="inlineStr">
        <is>
          <t>893232793</t>
        </is>
      </c>
    </row>
    <row r="2292">
      <c r="A2292" t="inlineStr">
        <is>
          <t>No</t>
        </is>
      </c>
      <c r="B2292" t="inlineStr">
        <is>
          <t>HQ76.8.U5 S59 1997</t>
        </is>
      </c>
      <c r="C2292" t="inlineStr">
        <is>
          <t>0                      HQ 0076800U  5                  S  59          1997</t>
        </is>
      </c>
      <c r="D2292" t="inlineStr">
        <is>
          <t>The new Civil War : the lesbian and gay struggle for civil rights / Diane Silver.</t>
        </is>
      </c>
      <c r="F2292" t="inlineStr">
        <is>
          <t>No</t>
        </is>
      </c>
      <c r="G2292" t="inlineStr">
        <is>
          <t>1</t>
        </is>
      </c>
      <c r="H2292" t="inlineStr">
        <is>
          <t>No</t>
        </is>
      </c>
      <c r="I2292" t="inlineStr">
        <is>
          <t>No</t>
        </is>
      </c>
      <c r="J2292" t="inlineStr">
        <is>
          <t>0</t>
        </is>
      </c>
      <c r="K2292" t="inlineStr">
        <is>
          <t>Silver, Diane, 1952-</t>
        </is>
      </c>
      <c r="L2292" t="inlineStr">
        <is>
          <t>New York : Franklin Watts, c1997.</t>
        </is>
      </c>
      <c r="M2292" t="inlineStr">
        <is>
          <t>1997</t>
        </is>
      </c>
      <c r="O2292" t="inlineStr">
        <is>
          <t>eng</t>
        </is>
      </c>
      <c r="P2292" t="inlineStr">
        <is>
          <t>nyu</t>
        </is>
      </c>
      <c r="Q2292" t="inlineStr">
        <is>
          <t>The lesbian and gay experience</t>
        </is>
      </c>
      <c r="R2292" t="inlineStr">
        <is>
          <t xml:space="preserve">HQ </t>
        </is>
      </c>
      <c r="S2292" t="n">
        <v>12</v>
      </c>
      <c r="T2292" t="n">
        <v>12</v>
      </c>
      <c r="U2292" t="inlineStr">
        <is>
          <t>2006-04-25</t>
        </is>
      </c>
      <c r="V2292" t="inlineStr">
        <is>
          <t>2006-04-25</t>
        </is>
      </c>
      <c r="W2292" t="inlineStr">
        <is>
          <t>1997-07-30</t>
        </is>
      </c>
      <c r="X2292" t="inlineStr">
        <is>
          <t>1997-07-30</t>
        </is>
      </c>
      <c r="Y2292" t="n">
        <v>189</v>
      </c>
      <c r="Z2292" t="n">
        <v>187</v>
      </c>
      <c r="AA2292" t="n">
        <v>192</v>
      </c>
      <c r="AB2292" t="n">
        <v>2</v>
      </c>
      <c r="AC2292" t="n">
        <v>2</v>
      </c>
      <c r="AD2292" t="n">
        <v>1</v>
      </c>
      <c r="AE2292" t="n">
        <v>1</v>
      </c>
      <c r="AF2292" t="n">
        <v>0</v>
      </c>
      <c r="AG2292" t="n">
        <v>0</v>
      </c>
      <c r="AH2292" t="n">
        <v>0</v>
      </c>
      <c r="AI2292" t="n">
        <v>0</v>
      </c>
      <c r="AJ2292" t="n">
        <v>0</v>
      </c>
      <c r="AK2292" t="n">
        <v>0</v>
      </c>
      <c r="AL2292" t="n">
        <v>1</v>
      </c>
      <c r="AM2292" t="n">
        <v>1</v>
      </c>
      <c r="AN2292" t="n">
        <v>0</v>
      </c>
      <c r="AO2292" t="n">
        <v>0</v>
      </c>
      <c r="AP2292" t="inlineStr">
        <is>
          <t>No</t>
        </is>
      </c>
      <c r="AQ2292" t="inlineStr">
        <is>
          <t>No</t>
        </is>
      </c>
      <c r="AS2292">
        <f>HYPERLINK("https://creighton-primo.hosted.exlibrisgroup.com/primo-explore/search?tab=default_tab&amp;search_scope=EVERYTHING&amp;vid=01CRU&amp;lang=en_US&amp;offset=0&amp;query=any,contains,991002614229702656","Catalog Record")</f>
        <v/>
      </c>
      <c r="AT2292">
        <f>HYPERLINK("http://www.worldcat.org/oclc/34281358","WorldCat Record")</f>
        <v/>
      </c>
      <c r="AU2292" t="inlineStr">
        <is>
          <t>560323:eng</t>
        </is>
      </c>
      <c r="AV2292" t="inlineStr">
        <is>
          <t>34281358</t>
        </is>
      </c>
      <c r="AW2292" t="inlineStr">
        <is>
          <t>991002614229702656</t>
        </is>
      </c>
      <c r="AX2292" t="inlineStr">
        <is>
          <t>991002614229702656</t>
        </is>
      </c>
      <c r="AY2292" t="inlineStr">
        <is>
          <t>2259019920002656</t>
        </is>
      </c>
      <c r="AZ2292" t="inlineStr">
        <is>
          <t>BOOK</t>
        </is>
      </c>
      <c r="BB2292" t="inlineStr">
        <is>
          <t>9780531112908</t>
        </is>
      </c>
      <c r="BC2292" t="inlineStr">
        <is>
          <t>32285002884590</t>
        </is>
      </c>
      <c r="BD2292" t="inlineStr">
        <is>
          <t>893227072</t>
        </is>
      </c>
    </row>
    <row r="2293">
      <c r="A2293" t="inlineStr">
        <is>
          <t>No</t>
        </is>
      </c>
      <c r="B2293" t="inlineStr">
        <is>
          <t>HQ76.8.U5 S65 2008</t>
        </is>
      </c>
      <c r="C2293" t="inlineStr">
        <is>
          <t>0                      HQ 0076800U  5                  S  65          2008</t>
        </is>
      </c>
      <c r="D2293" t="inlineStr">
        <is>
          <t>Political institutions and lesbian and gay rights in the United States and Canada / Miriam Smith.</t>
        </is>
      </c>
      <c r="F2293" t="inlineStr">
        <is>
          <t>No</t>
        </is>
      </c>
      <c r="G2293" t="inlineStr">
        <is>
          <t>1</t>
        </is>
      </c>
      <c r="H2293" t="inlineStr">
        <is>
          <t>No</t>
        </is>
      </c>
      <c r="I2293" t="inlineStr">
        <is>
          <t>No</t>
        </is>
      </c>
      <c r="J2293" t="inlineStr">
        <is>
          <t>0</t>
        </is>
      </c>
      <c r="K2293" t="inlineStr">
        <is>
          <t>Smith, Miriam Catherine.</t>
        </is>
      </c>
      <c r="L2293" t="inlineStr">
        <is>
          <t>New York : Routledge, 2008.</t>
        </is>
      </c>
      <c r="M2293" t="inlineStr">
        <is>
          <t>2008</t>
        </is>
      </c>
      <c r="O2293" t="inlineStr">
        <is>
          <t>eng</t>
        </is>
      </c>
      <c r="P2293" t="inlineStr">
        <is>
          <t>nyu</t>
        </is>
      </c>
      <c r="Q2293" t="inlineStr">
        <is>
          <t>Routledge studies in North American politics ; 1</t>
        </is>
      </c>
      <c r="R2293" t="inlineStr">
        <is>
          <t xml:space="preserve">HQ </t>
        </is>
      </c>
      <c r="S2293" t="n">
        <v>2</v>
      </c>
      <c r="T2293" t="n">
        <v>2</v>
      </c>
      <c r="U2293" t="inlineStr">
        <is>
          <t>2009-12-05</t>
        </is>
      </c>
      <c r="V2293" t="inlineStr">
        <is>
          <t>2009-12-05</t>
        </is>
      </c>
      <c r="W2293" t="inlineStr">
        <is>
          <t>2009-06-11</t>
        </is>
      </c>
      <c r="X2293" t="inlineStr">
        <is>
          <t>2009-06-11</t>
        </is>
      </c>
      <c r="Y2293" t="n">
        <v>308</v>
      </c>
      <c r="Z2293" t="n">
        <v>232</v>
      </c>
      <c r="AA2293" t="n">
        <v>595</v>
      </c>
      <c r="AB2293" t="n">
        <v>2</v>
      </c>
      <c r="AC2293" t="n">
        <v>17</v>
      </c>
      <c r="AD2293" t="n">
        <v>19</v>
      </c>
      <c r="AE2293" t="n">
        <v>32</v>
      </c>
      <c r="AF2293" t="n">
        <v>9</v>
      </c>
      <c r="AG2293" t="n">
        <v>12</v>
      </c>
      <c r="AH2293" t="n">
        <v>6</v>
      </c>
      <c r="AI2293" t="n">
        <v>6</v>
      </c>
      <c r="AJ2293" t="n">
        <v>8</v>
      </c>
      <c r="AK2293" t="n">
        <v>8</v>
      </c>
      <c r="AL2293" t="n">
        <v>1</v>
      </c>
      <c r="AM2293" t="n">
        <v>10</v>
      </c>
      <c r="AN2293" t="n">
        <v>1</v>
      </c>
      <c r="AO2293" t="n">
        <v>2</v>
      </c>
      <c r="AP2293" t="inlineStr">
        <is>
          <t>No</t>
        </is>
      </c>
      <c r="AQ2293" t="inlineStr">
        <is>
          <t>No</t>
        </is>
      </c>
      <c r="AS2293">
        <f>HYPERLINK("https://creighton-primo.hosted.exlibrisgroup.com/primo-explore/search?tab=default_tab&amp;search_scope=EVERYTHING&amp;vid=01CRU&amp;lang=en_US&amp;offset=0&amp;query=any,contains,991005318639702656","Catalog Record")</f>
        <v/>
      </c>
      <c r="AT2293">
        <f>HYPERLINK("http://www.worldcat.org/oclc/185095483","WorldCat Record")</f>
        <v/>
      </c>
      <c r="AU2293" t="inlineStr">
        <is>
          <t>117763088:eng</t>
        </is>
      </c>
      <c r="AV2293" t="inlineStr">
        <is>
          <t>185095483</t>
        </is>
      </c>
      <c r="AW2293" t="inlineStr">
        <is>
          <t>991005318639702656</t>
        </is>
      </c>
      <c r="AX2293" t="inlineStr">
        <is>
          <t>991005318639702656</t>
        </is>
      </c>
      <c r="AY2293" t="inlineStr">
        <is>
          <t>2265675410002656</t>
        </is>
      </c>
      <c r="AZ2293" t="inlineStr">
        <is>
          <t>BOOK</t>
        </is>
      </c>
      <c r="BB2293" t="inlineStr">
        <is>
          <t>9780415988711</t>
        </is>
      </c>
      <c r="BC2293" t="inlineStr">
        <is>
          <t>32285005534002</t>
        </is>
      </c>
      <c r="BD2293" t="inlineStr">
        <is>
          <t>893883666</t>
        </is>
      </c>
    </row>
    <row r="2294">
      <c r="A2294" t="inlineStr">
        <is>
          <t>No</t>
        </is>
      </c>
      <c r="B2294" t="inlineStr">
        <is>
          <t>HQ76.8.U5 S74 2001</t>
        </is>
      </c>
      <c r="C2294" t="inlineStr">
        <is>
          <t>0                      HQ 0076800U  5                  S  74          2001</t>
        </is>
      </c>
      <c r="D2294" t="inlineStr">
        <is>
          <t>The stranger next door : the story of a small community's battle over sex, faith, and civil rights / Arlene Stein.</t>
        </is>
      </c>
      <c r="F2294" t="inlineStr">
        <is>
          <t>No</t>
        </is>
      </c>
      <c r="G2294" t="inlineStr">
        <is>
          <t>1</t>
        </is>
      </c>
      <c r="H2294" t="inlineStr">
        <is>
          <t>No</t>
        </is>
      </c>
      <c r="I2294" t="inlineStr">
        <is>
          <t>No</t>
        </is>
      </c>
      <c r="J2294" t="inlineStr">
        <is>
          <t>0</t>
        </is>
      </c>
      <c r="K2294" t="inlineStr">
        <is>
          <t>Stein, Arlene.</t>
        </is>
      </c>
      <c r="L2294" t="inlineStr">
        <is>
          <t>Boston, Mass. : Beacon Press, c2001.</t>
        </is>
      </c>
      <c r="M2294" t="inlineStr">
        <is>
          <t>2001</t>
        </is>
      </c>
      <c r="O2294" t="inlineStr">
        <is>
          <t>eng</t>
        </is>
      </c>
      <c r="P2294" t="inlineStr">
        <is>
          <t>mau</t>
        </is>
      </c>
      <c r="R2294" t="inlineStr">
        <is>
          <t xml:space="preserve">HQ </t>
        </is>
      </c>
      <c r="S2294" t="n">
        <v>1</v>
      </c>
      <c r="T2294" t="n">
        <v>1</v>
      </c>
      <c r="U2294" t="inlineStr">
        <is>
          <t>2003-12-01</t>
        </is>
      </c>
      <c r="V2294" t="inlineStr">
        <is>
          <t>2003-12-01</t>
        </is>
      </c>
      <c r="W2294" t="inlineStr">
        <is>
          <t>2001-09-13</t>
        </is>
      </c>
      <c r="X2294" t="inlineStr">
        <is>
          <t>2001-09-13</t>
        </is>
      </c>
      <c r="Y2294" t="n">
        <v>646</v>
      </c>
      <c r="Z2294" t="n">
        <v>612</v>
      </c>
      <c r="AA2294" t="n">
        <v>947</v>
      </c>
      <c r="AB2294" t="n">
        <v>3</v>
      </c>
      <c r="AC2294" t="n">
        <v>7</v>
      </c>
      <c r="AD2294" t="n">
        <v>25</v>
      </c>
      <c r="AE2294" t="n">
        <v>40</v>
      </c>
      <c r="AF2294" t="n">
        <v>10</v>
      </c>
      <c r="AG2294" t="n">
        <v>16</v>
      </c>
      <c r="AH2294" t="n">
        <v>5</v>
      </c>
      <c r="AI2294" t="n">
        <v>8</v>
      </c>
      <c r="AJ2294" t="n">
        <v>14</v>
      </c>
      <c r="AK2294" t="n">
        <v>17</v>
      </c>
      <c r="AL2294" t="n">
        <v>2</v>
      </c>
      <c r="AM2294" t="n">
        <v>6</v>
      </c>
      <c r="AN2294" t="n">
        <v>1</v>
      </c>
      <c r="AO2294" t="n">
        <v>2</v>
      </c>
      <c r="AP2294" t="inlineStr">
        <is>
          <t>No</t>
        </is>
      </c>
      <c r="AQ2294" t="inlineStr">
        <is>
          <t>Yes</t>
        </is>
      </c>
      <c r="AR2294">
        <f>HYPERLINK("http://catalog.hathitrust.org/Record/004215566","HathiTrust Record")</f>
        <v/>
      </c>
      <c r="AS2294">
        <f>HYPERLINK("https://creighton-primo.hosted.exlibrisgroup.com/primo-explore/search?tab=default_tab&amp;search_scope=EVERYTHING&amp;vid=01CRU&amp;lang=en_US&amp;offset=0&amp;query=any,contains,991003605249702656","Catalog Record")</f>
        <v/>
      </c>
      <c r="AT2294">
        <f>HYPERLINK("http://www.worldcat.org/oclc/44841637","WorldCat Record")</f>
        <v/>
      </c>
      <c r="AU2294" t="inlineStr">
        <is>
          <t>793840990:eng</t>
        </is>
      </c>
      <c r="AV2294" t="inlineStr">
        <is>
          <t>44841637</t>
        </is>
      </c>
      <c r="AW2294" t="inlineStr">
        <is>
          <t>991003605249702656</t>
        </is>
      </c>
      <c r="AX2294" t="inlineStr">
        <is>
          <t>991003605249702656</t>
        </is>
      </c>
      <c r="AY2294" t="inlineStr">
        <is>
          <t>2265424920002656</t>
        </is>
      </c>
      <c r="AZ2294" t="inlineStr">
        <is>
          <t>BOOK</t>
        </is>
      </c>
      <c r="BB2294" t="inlineStr">
        <is>
          <t>9780807079522</t>
        </is>
      </c>
      <c r="BC2294" t="inlineStr">
        <is>
          <t>32285004391610</t>
        </is>
      </c>
      <c r="BD2294" t="inlineStr">
        <is>
          <t>893262829</t>
        </is>
      </c>
    </row>
    <row r="2295">
      <c r="A2295" t="inlineStr">
        <is>
          <t>No</t>
        </is>
      </c>
      <c r="B2295" t="inlineStr">
        <is>
          <t>HQ76.8.U5 V35 1995</t>
        </is>
      </c>
      <c r="C2295" t="inlineStr">
        <is>
          <t>0                      HQ 0076800U  5                  V  35          1995</t>
        </is>
      </c>
      <c r="D2295" t="inlineStr">
        <is>
          <t>Virtual equality : the mainstreaming of gay and lesbian liberation / Urvashi Vaid.</t>
        </is>
      </c>
      <c r="F2295" t="inlineStr">
        <is>
          <t>No</t>
        </is>
      </c>
      <c r="G2295" t="inlineStr">
        <is>
          <t>1</t>
        </is>
      </c>
      <c r="H2295" t="inlineStr">
        <is>
          <t>No</t>
        </is>
      </c>
      <c r="I2295" t="inlineStr">
        <is>
          <t>No</t>
        </is>
      </c>
      <c r="J2295" t="inlineStr">
        <is>
          <t>0</t>
        </is>
      </c>
      <c r="K2295" t="inlineStr">
        <is>
          <t>Vaid, Urvashi.</t>
        </is>
      </c>
      <c r="L2295" t="inlineStr">
        <is>
          <t>New York : Anchor Books, 1995.</t>
        </is>
      </c>
      <c r="M2295" t="inlineStr">
        <is>
          <t>1995</t>
        </is>
      </c>
      <c r="N2295" t="inlineStr">
        <is>
          <t>1st Anchor Books hardcover ed.</t>
        </is>
      </c>
      <c r="O2295" t="inlineStr">
        <is>
          <t>eng</t>
        </is>
      </c>
      <c r="P2295" t="inlineStr">
        <is>
          <t>nyu</t>
        </is>
      </c>
      <c r="R2295" t="inlineStr">
        <is>
          <t xml:space="preserve">HQ </t>
        </is>
      </c>
      <c r="S2295" t="n">
        <v>5</v>
      </c>
      <c r="T2295" t="n">
        <v>5</v>
      </c>
      <c r="U2295" t="inlineStr">
        <is>
          <t>1998-04-14</t>
        </is>
      </c>
      <c r="V2295" t="inlineStr">
        <is>
          <t>1998-04-14</t>
        </is>
      </c>
      <c r="W2295" t="inlineStr">
        <is>
          <t>1996-01-02</t>
        </is>
      </c>
      <c r="X2295" t="inlineStr">
        <is>
          <t>1996-01-02</t>
        </is>
      </c>
      <c r="Y2295" t="n">
        <v>624</v>
      </c>
      <c r="Z2295" t="n">
        <v>564</v>
      </c>
      <c r="AA2295" t="n">
        <v>730</v>
      </c>
      <c r="AB2295" t="n">
        <v>3</v>
      </c>
      <c r="AC2295" t="n">
        <v>5</v>
      </c>
      <c r="AD2295" t="n">
        <v>19</v>
      </c>
      <c r="AE2295" t="n">
        <v>26</v>
      </c>
      <c r="AF2295" t="n">
        <v>6</v>
      </c>
      <c r="AG2295" t="n">
        <v>8</v>
      </c>
      <c r="AH2295" t="n">
        <v>5</v>
      </c>
      <c r="AI2295" t="n">
        <v>6</v>
      </c>
      <c r="AJ2295" t="n">
        <v>9</v>
      </c>
      <c r="AK2295" t="n">
        <v>12</v>
      </c>
      <c r="AL2295" t="n">
        <v>2</v>
      </c>
      <c r="AM2295" t="n">
        <v>4</v>
      </c>
      <c r="AN2295" t="n">
        <v>1</v>
      </c>
      <c r="AO2295" t="n">
        <v>1</v>
      </c>
      <c r="AP2295" t="inlineStr">
        <is>
          <t>No</t>
        </is>
      </c>
      <c r="AQ2295" t="inlineStr">
        <is>
          <t>Yes</t>
        </is>
      </c>
      <c r="AR2295">
        <f>HYPERLINK("http://catalog.hathitrust.org/Record/003012022","HathiTrust Record")</f>
        <v/>
      </c>
      <c r="AS2295">
        <f>HYPERLINK("https://creighton-primo.hosted.exlibrisgroup.com/primo-explore/search?tab=default_tab&amp;search_scope=EVERYTHING&amp;vid=01CRU&amp;lang=en_US&amp;offset=0&amp;query=any,contains,991002496309702656","Catalog Record")</f>
        <v/>
      </c>
      <c r="AT2295">
        <f>HYPERLINK("http://www.worldcat.org/oclc/32468601","WorldCat Record")</f>
        <v/>
      </c>
      <c r="AU2295" t="inlineStr">
        <is>
          <t>34425720:eng</t>
        </is>
      </c>
      <c r="AV2295" t="inlineStr">
        <is>
          <t>32468601</t>
        </is>
      </c>
      <c r="AW2295" t="inlineStr">
        <is>
          <t>991002496309702656</t>
        </is>
      </c>
      <c r="AX2295" t="inlineStr">
        <is>
          <t>991002496309702656</t>
        </is>
      </c>
      <c r="AY2295" t="inlineStr">
        <is>
          <t>2265923310002656</t>
        </is>
      </c>
      <c r="AZ2295" t="inlineStr">
        <is>
          <t>BOOK</t>
        </is>
      </c>
      <c r="BB2295" t="inlineStr">
        <is>
          <t>9780385472982</t>
        </is>
      </c>
      <c r="BC2295" t="inlineStr">
        <is>
          <t>32285002113792</t>
        </is>
      </c>
      <c r="BD2295" t="inlineStr">
        <is>
          <t>893792528</t>
        </is>
      </c>
    </row>
    <row r="2296">
      <c r="A2296" t="inlineStr">
        <is>
          <t>No</t>
        </is>
      </c>
      <c r="B2296" t="inlineStr">
        <is>
          <t>HQ76.85 .C56 2007</t>
        </is>
      </c>
      <c r="C2296" t="inlineStr">
        <is>
          <t>0                      HQ 0076850C  56          2007</t>
        </is>
      </c>
      <c r="D2296" t="inlineStr">
        <is>
          <t>Gay conservatives : group consciousness and assimilation / Kenneth W. Cimino.</t>
        </is>
      </c>
      <c r="F2296" t="inlineStr">
        <is>
          <t>No</t>
        </is>
      </c>
      <c r="G2296" t="inlineStr">
        <is>
          <t>1</t>
        </is>
      </c>
      <c r="H2296" t="inlineStr">
        <is>
          <t>No</t>
        </is>
      </c>
      <c r="I2296" t="inlineStr">
        <is>
          <t>No</t>
        </is>
      </c>
      <c r="J2296" t="inlineStr">
        <is>
          <t>0</t>
        </is>
      </c>
      <c r="K2296" t="inlineStr">
        <is>
          <t>Cimino, Kenneth W.</t>
        </is>
      </c>
      <c r="L2296" t="inlineStr">
        <is>
          <t>New York : Harrington Park Press, c2007.</t>
        </is>
      </c>
      <c r="M2296" t="inlineStr">
        <is>
          <t>2007</t>
        </is>
      </c>
      <c r="O2296" t="inlineStr">
        <is>
          <t>eng</t>
        </is>
      </c>
      <c r="P2296" t="inlineStr">
        <is>
          <t>nyu</t>
        </is>
      </c>
      <c r="Q2296" t="inlineStr">
        <is>
          <t>Gay and lesbian studies</t>
        </is>
      </c>
      <c r="R2296" t="inlineStr">
        <is>
          <t xml:space="preserve">HQ </t>
        </is>
      </c>
      <c r="S2296" t="n">
        <v>1</v>
      </c>
      <c r="T2296" t="n">
        <v>1</v>
      </c>
      <c r="U2296" t="inlineStr">
        <is>
          <t>2007-06-26</t>
        </is>
      </c>
      <c r="V2296" t="inlineStr">
        <is>
          <t>2007-06-26</t>
        </is>
      </c>
      <c r="W2296" t="inlineStr">
        <is>
          <t>2007-06-26</t>
        </is>
      </c>
      <c r="X2296" t="inlineStr">
        <is>
          <t>2007-06-26</t>
        </is>
      </c>
      <c r="Y2296" t="n">
        <v>189</v>
      </c>
      <c r="Z2296" t="n">
        <v>163</v>
      </c>
      <c r="AA2296" t="n">
        <v>199</v>
      </c>
      <c r="AB2296" t="n">
        <v>3</v>
      </c>
      <c r="AC2296" t="n">
        <v>3</v>
      </c>
      <c r="AD2296" t="n">
        <v>5</v>
      </c>
      <c r="AE2296" t="n">
        <v>6</v>
      </c>
      <c r="AF2296" t="n">
        <v>1</v>
      </c>
      <c r="AG2296" t="n">
        <v>1</v>
      </c>
      <c r="AH2296" t="n">
        <v>1</v>
      </c>
      <c r="AI2296" t="n">
        <v>1</v>
      </c>
      <c r="AJ2296" t="n">
        <v>2</v>
      </c>
      <c r="AK2296" t="n">
        <v>3</v>
      </c>
      <c r="AL2296" t="n">
        <v>2</v>
      </c>
      <c r="AM2296" t="n">
        <v>2</v>
      </c>
      <c r="AN2296" t="n">
        <v>0</v>
      </c>
      <c r="AO2296" t="n">
        <v>0</v>
      </c>
      <c r="AP2296" t="inlineStr">
        <is>
          <t>No</t>
        </is>
      </c>
      <c r="AQ2296" t="inlineStr">
        <is>
          <t>Yes</t>
        </is>
      </c>
      <c r="AR2296">
        <f>HYPERLINK("http://catalog.hathitrust.org/Record/005424707","HathiTrust Record")</f>
        <v/>
      </c>
      <c r="AS2296">
        <f>HYPERLINK("https://creighton-primo.hosted.exlibrisgroup.com/primo-explore/search?tab=default_tab&amp;search_scope=EVERYTHING&amp;vid=01CRU&amp;lang=en_US&amp;offset=0&amp;query=any,contains,991005089079702656","Catalog Record")</f>
        <v/>
      </c>
      <c r="AT2296">
        <f>HYPERLINK("http://www.worldcat.org/oclc/71368931","WorldCat Record")</f>
        <v/>
      </c>
      <c r="AU2296" t="inlineStr">
        <is>
          <t>315792300:eng</t>
        </is>
      </c>
      <c r="AV2296" t="inlineStr">
        <is>
          <t>71368931</t>
        </is>
      </c>
      <c r="AW2296" t="inlineStr">
        <is>
          <t>991005089079702656</t>
        </is>
      </c>
      <c r="AX2296" t="inlineStr">
        <is>
          <t>991005089079702656</t>
        </is>
      </c>
      <c r="AY2296" t="inlineStr">
        <is>
          <t>2254852450002656</t>
        </is>
      </c>
      <c r="AZ2296" t="inlineStr">
        <is>
          <t>BOOK</t>
        </is>
      </c>
      <c r="BB2296" t="inlineStr">
        <is>
          <t>9781560236085</t>
        </is>
      </c>
      <c r="BC2296" t="inlineStr">
        <is>
          <t>32285005318919</t>
        </is>
      </c>
      <c r="BD2296" t="inlineStr">
        <is>
          <t>893533143</t>
        </is>
      </c>
    </row>
    <row r="2297">
      <c r="A2297" t="inlineStr">
        <is>
          <t>No</t>
        </is>
      </c>
      <c r="B2297" t="inlineStr">
        <is>
          <t>HQ76.95.U5 S77 1995</t>
        </is>
      </c>
      <c r="C2297" t="inlineStr">
        <is>
          <t>0                      HQ 0076950U  5                  S  77          1995</t>
        </is>
      </c>
      <c r="D2297" t="inlineStr">
        <is>
          <t>Unspeakable : the rise of the gay and lesbian press in America / Rodger Streitmatter.</t>
        </is>
      </c>
      <c r="F2297" t="inlineStr">
        <is>
          <t>No</t>
        </is>
      </c>
      <c r="G2297" t="inlineStr">
        <is>
          <t>1</t>
        </is>
      </c>
      <c r="H2297" t="inlineStr">
        <is>
          <t>No</t>
        </is>
      </c>
      <c r="I2297" t="inlineStr">
        <is>
          <t>No</t>
        </is>
      </c>
      <c r="J2297" t="inlineStr">
        <is>
          <t>0</t>
        </is>
      </c>
      <c r="K2297" t="inlineStr">
        <is>
          <t>Streitmatter, Rodger.</t>
        </is>
      </c>
      <c r="L2297" t="inlineStr">
        <is>
          <t>Boston : Faber and Faber, c1995.</t>
        </is>
      </c>
      <c r="M2297" t="inlineStr">
        <is>
          <t>1995</t>
        </is>
      </c>
      <c r="O2297" t="inlineStr">
        <is>
          <t>eng</t>
        </is>
      </c>
      <c r="P2297" t="inlineStr">
        <is>
          <t>mau</t>
        </is>
      </c>
      <c r="R2297" t="inlineStr">
        <is>
          <t xml:space="preserve">HQ </t>
        </is>
      </c>
      <c r="S2297" t="n">
        <v>3</v>
      </c>
      <c r="T2297" t="n">
        <v>3</v>
      </c>
      <c r="U2297" t="inlineStr">
        <is>
          <t>1996-04-17</t>
        </is>
      </c>
      <c r="V2297" t="inlineStr">
        <is>
          <t>1996-04-17</t>
        </is>
      </c>
      <c r="W2297" t="inlineStr">
        <is>
          <t>1996-03-15</t>
        </is>
      </c>
      <c r="X2297" t="inlineStr">
        <is>
          <t>1996-03-15</t>
        </is>
      </c>
      <c r="Y2297" t="n">
        <v>521</v>
      </c>
      <c r="Z2297" t="n">
        <v>468</v>
      </c>
      <c r="AA2297" t="n">
        <v>473</v>
      </c>
      <c r="AB2297" t="n">
        <v>5</v>
      </c>
      <c r="AC2297" t="n">
        <v>5</v>
      </c>
      <c r="AD2297" t="n">
        <v>28</v>
      </c>
      <c r="AE2297" t="n">
        <v>28</v>
      </c>
      <c r="AF2297" t="n">
        <v>10</v>
      </c>
      <c r="AG2297" t="n">
        <v>10</v>
      </c>
      <c r="AH2297" t="n">
        <v>7</v>
      </c>
      <c r="AI2297" t="n">
        <v>7</v>
      </c>
      <c r="AJ2297" t="n">
        <v>16</v>
      </c>
      <c r="AK2297" t="n">
        <v>16</v>
      </c>
      <c r="AL2297" t="n">
        <v>4</v>
      </c>
      <c r="AM2297" t="n">
        <v>4</v>
      </c>
      <c r="AN2297" t="n">
        <v>0</v>
      </c>
      <c r="AO2297" t="n">
        <v>0</v>
      </c>
      <c r="AP2297" t="inlineStr">
        <is>
          <t>No</t>
        </is>
      </c>
      <c r="AQ2297" t="inlineStr">
        <is>
          <t>No</t>
        </is>
      </c>
      <c r="AS2297">
        <f>HYPERLINK("https://creighton-primo.hosted.exlibrisgroup.com/primo-explore/search?tab=default_tab&amp;search_scope=EVERYTHING&amp;vid=01CRU&amp;lang=en_US&amp;offset=0&amp;query=any,contains,991002517839702656","Catalog Record")</f>
        <v/>
      </c>
      <c r="AT2297">
        <f>HYPERLINK("http://www.worldcat.org/oclc/32745788","WorldCat Record")</f>
        <v/>
      </c>
      <c r="AU2297" t="inlineStr">
        <is>
          <t>198528161:eng</t>
        </is>
      </c>
      <c r="AV2297" t="inlineStr">
        <is>
          <t>32745788</t>
        </is>
      </c>
      <c r="AW2297" t="inlineStr">
        <is>
          <t>991002517839702656</t>
        </is>
      </c>
      <c r="AX2297" t="inlineStr">
        <is>
          <t>991002517839702656</t>
        </is>
      </c>
      <c r="AY2297" t="inlineStr">
        <is>
          <t>2258528260002656</t>
        </is>
      </c>
      <c r="AZ2297" t="inlineStr">
        <is>
          <t>BOOK</t>
        </is>
      </c>
      <c r="BB2297" t="inlineStr">
        <is>
          <t>9780571198733</t>
        </is>
      </c>
      <c r="BC2297" t="inlineStr">
        <is>
          <t>32285002143179</t>
        </is>
      </c>
      <c r="BD2297" t="inlineStr">
        <is>
          <t>893409188</t>
        </is>
      </c>
    </row>
    <row r="2298">
      <c r="A2298" t="inlineStr">
        <is>
          <t>No</t>
        </is>
      </c>
      <c r="B2298" t="inlineStr">
        <is>
          <t>HQ762.M4 S55 1986</t>
        </is>
      </c>
      <c r="C2298" t="inlineStr">
        <is>
          <t>0                      HQ 0762000M  4                  S  55          1986</t>
        </is>
      </c>
      <c r="D2298" t="inlineStr">
        <is>
          <t>Two boys, a girl, and enough! : reproductive and economic decisionmaking on the Mexican periphery / Jeanne M. Simonelli.</t>
        </is>
      </c>
      <c r="F2298" t="inlineStr">
        <is>
          <t>No</t>
        </is>
      </c>
      <c r="G2298" t="inlineStr">
        <is>
          <t>1</t>
        </is>
      </c>
      <c r="H2298" t="inlineStr">
        <is>
          <t>No</t>
        </is>
      </c>
      <c r="I2298" t="inlineStr">
        <is>
          <t>No</t>
        </is>
      </c>
      <c r="J2298" t="inlineStr">
        <is>
          <t>0</t>
        </is>
      </c>
      <c r="K2298" t="inlineStr">
        <is>
          <t>Simonelli, Jeanne M.</t>
        </is>
      </c>
      <c r="L2298" t="inlineStr">
        <is>
          <t>Boulder : Westview Press, 1986.</t>
        </is>
      </c>
      <c r="M2298" t="inlineStr">
        <is>
          <t>1986</t>
        </is>
      </c>
      <c r="O2298" t="inlineStr">
        <is>
          <t>eng</t>
        </is>
      </c>
      <c r="P2298" t="inlineStr">
        <is>
          <t>cou</t>
        </is>
      </c>
      <c r="Q2298" t="inlineStr">
        <is>
          <t>Women in cross-cultural perspective</t>
        </is>
      </c>
      <c r="R2298" t="inlineStr">
        <is>
          <t xml:space="preserve">HQ </t>
        </is>
      </c>
      <c r="S2298" t="n">
        <v>11</v>
      </c>
      <c r="T2298" t="n">
        <v>11</v>
      </c>
      <c r="U2298" t="inlineStr">
        <is>
          <t>2003-11-16</t>
        </is>
      </c>
      <c r="V2298" t="inlineStr">
        <is>
          <t>2003-11-16</t>
        </is>
      </c>
      <c r="W2298" t="inlineStr">
        <is>
          <t>1990-09-24</t>
        </is>
      </c>
      <c r="X2298" t="inlineStr">
        <is>
          <t>1990-09-24</t>
        </is>
      </c>
      <c r="Y2298" t="n">
        <v>259</v>
      </c>
      <c r="Z2298" t="n">
        <v>219</v>
      </c>
      <c r="AA2298" t="n">
        <v>225</v>
      </c>
      <c r="AB2298" t="n">
        <v>3</v>
      </c>
      <c r="AC2298" t="n">
        <v>3</v>
      </c>
      <c r="AD2298" t="n">
        <v>7</v>
      </c>
      <c r="AE2298" t="n">
        <v>7</v>
      </c>
      <c r="AF2298" t="n">
        <v>1</v>
      </c>
      <c r="AG2298" t="n">
        <v>1</v>
      </c>
      <c r="AH2298" t="n">
        <v>3</v>
      </c>
      <c r="AI2298" t="n">
        <v>3</v>
      </c>
      <c r="AJ2298" t="n">
        <v>2</v>
      </c>
      <c r="AK2298" t="n">
        <v>2</v>
      </c>
      <c r="AL2298" t="n">
        <v>2</v>
      </c>
      <c r="AM2298" t="n">
        <v>2</v>
      </c>
      <c r="AN2298" t="n">
        <v>0</v>
      </c>
      <c r="AO2298" t="n">
        <v>0</v>
      </c>
      <c r="AP2298" t="inlineStr">
        <is>
          <t>No</t>
        </is>
      </c>
      <c r="AQ2298" t="inlineStr">
        <is>
          <t>No</t>
        </is>
      </c>
      <c r="AS2298">
        <f>HYPERLINK("https://creighton-primo.hosted.exlibrisgroup.com/primo-explore/search?tab=default_tab&amp;search_scope=EVERYTHING&amp;vid=01CRU&amp;lang=en_US&amp;offset=0&amp;query=any,contains,991001220139702656","Catalog Record")</f>
        <v/>
      </c>
      <c r="AT2298">
        <f>HYPERLINK("http://www.worldcat.org/oclc/17443075","WorldCat Record")</f>
        <v/>
      </c>
      <c r="AU2298" t="inlineStr">
        <is>
          <t>16110689:eng</t>
        </is>
      </c>
      <c r="AV2298" t="inlineStr">
        <is>
          <t>17443075</t>
        </is>
      </c>
      <c r="AW2298" t="inlineStr">
        <is>
          <t>991001220139702656</t>
        </is>
      </c>
      <c r="AX2298" t="inlineStr">
        <is>
          <t>991001220139702656</t>
        </is>
      </c>
      <c r="AY2298" t="inlineStr">
        <is>
          <t>2261327090002656</t>
        </is>
      </c>
      <c r="AZ2298" t="inlineStr">
        <is>
          <t>BOOK</t>
        </is>
      </c>
      <c r="BB2298" t="inlineStr">
        <is>
          <t>9780813371900</t>
        </is>
      </c>
      <c r="BC2298" t="inlineStr">
        <is>
          <t>32285000278381</t>
        </is>
      </c>
      <c r="BD2298" t="inlineStr">
        <is>
          <t>893797411</t>
        </is>
      </c>
    </row>
    <row r="2299">
      <c r="A2299" t="inlineStr">
        <is>
          <t>No</t>
        </is>
      </c>
      <c r="B2299" t="inlineStr">
        <is>
          <t>HQ762.U6 B33 1982</t>
        </is>
      </c>
      <c r="C2299" t="inlineStr">
        <is>
          <t>0                      HQ 0762000U  6                  B  33          1982</t>
        </is>
      </c>
      <c r="D2299" t="inlineStr">
        <is>
          <t>Life in large families : views of Mormon women / Howard M. Bahr, Spencer J. Condie, Kristen L. Goodman (Family and Demographic Research Institute, Brigham Young University).</t>
        </is>
      </c>
      <c r="F2299" t="inlineStr">
        <is>
          <t>No</t>
        </is>
      </c>
      <c r="G2299" t="inlineStr">
        <is>
          <t>1</t>
        </is>
      </c>
      <c r="H2299" t="inlineStr">
        <is>
          <t>No</t>
        </is>
      </c>
      <c r="I2299" t="inlineStr">
        <is>
          <t>No</t>
        </is>
      </c>
      <c r="J2299" t="inlineStr">
        <is>
          <t>0</t>
        </is>
      </c>
      <c r="K2299" t="inlineStr">
        <is>
          <t>Bahr, Howard M.</t>
        </is>
      </c>
      <c r="L2299" t="inlineStr">
        <is>
          <t>Washington, D.C. : University Press of America, c1982.</t>
        </is>
      </c>
      <c r="M2299" t="inlineStr">
        <is>
          <t>1982</t>
        </is>
      </c>
      <c r="O2299" t="inlineStr">
        <is>
          <t>eng</t>
        </is>
      </c>
      <c r="P2299" t="inlineStr">
        <is>
          <t>dcu</t>
        </is>
      </c>
      <c r="R2299" t="inlineStr">
        <is>
          <t xml:space="preserve">HQ </t>
        </is>
      </c>
      <c r="S2299" t="n">
        <v>11</v>
      </c>
      <c r="T2299" t="n">
        <v>11</v>
      </c>
      <c r="U2299" t="inlineStr">
        <is>
          <t>2001-02-11</t>
        </is>
      </c>
      <c r="V2299" t="inlineStr">
        <is>
          <t>2001-02-11</t>
        </is>
      </c>
      <c r="W2299" t="inlineStr">
        <is>
          <t>1992-04-08</t>
        </is>
      </c>
      <c r="X2299" t="inlineStr">
        <is>
          <t>1992-04-08</t>
        </is>
      </c>
      <c r="Y2299" t="n">
        <v>227</v>
      </c>
      <c r="Z2299" t="n">
        <v>200</v>
      </c>
      <c r="AA2299" t="n">
        <v>202</v>
      </c>
      <c r="AB2299" t="n">
        <v>2</v>
      </c>
      <c r="AC2299" t="n">
        <v>2</v>
      </c>
      <c r="AD2299" t="n">
        <v>7</v>
      </c>
      <c r="AE2299" t="n">
        <v>7</v>
      </c>
      <c r="AF2299" t="n">
        <v>3</v>
      </c>
      <c r="AG2299" t="n">
        <v>3</v>
      </c>
      <c r="AH2299" t="n">
        <v>1</v>
      </c>
      <c r="AI2299" t="n">
        <v>1</v>
      </c>
      <c r="AJ2299" t="n">
        <v>4</v>
      </c>
      <c r="AK2299" t="n">
        <v>4</v>
      </c>
      <c r="AL2299" t="n">
        <v>1</v>
      </c>
      <c r="AM2299" t="n">
        <v>1</v>
      </c>
      <c r="AN2299" t="n">
        <v>0</v>
      </c>
      <c r="AO2299" t="n">
        <v>0</v>
      </c>
      <c r="AP2299" t="inlineStr">
        <is>
          <t>No</t>
        </is>
      </c>
      <c r="AQ2299" t="inlineStr">
        <is>
          <t>Yes</t>
        </is>
      </c>
      <c r="AR2299">
        <f>HYPERLINK("http://catalog.hathitrust.org/Record/000189788","HathiTrust Record")</f>
        <v/>
      </c>
      <c r="AS2299">
        <f>HYPERLINK("https://creighton-primo.hosted.exlibrisgroup.com/primo-explore/search?tab=default_tab&amp;search_scope=EVERYTHING&amp;vid=01CRU&amp;lang=en_US&amp;offset=0&amp;query=any,contains,991000027369702656","Catalog Record")</f>
        <v/>
      </c>
      <c r="AT2299">
        <f>HYPERLINK("http://www.worldcat.org/oclc/8590184","WorldCat Record")</f>
        <v/>
      </c>
      <c r="AU2299" t="inlineStr">
        <is>
          <t>234541025:eng</t>
        </is>
      </c>
      <c r="AV2299" t="inlineStr">
        <is>
          <t>8590184</t>
        </is>
      </c>
      <c r="AW2299" t="inlineStr">
        <is>
          <t>991000027369702656</t>
        </is>
      </c>
      <c r="AX2299" t="inlineStr">
        <is>
          <t>991000027369702656</t>
        </is>
      </c>
      <c r="AY2299" t="inlineStr">
        <is>
          <t>2272043710002656</t>
        </is>
      </c>
      <c r="AZ2299" t="inlineStr">
        <is>
          <t>BOOK</t>
        </is>
      </c>
      <c r="BB2299" t="inlineStr">
        <is>
          <t>9780819125521</t>
        </is>
      </c>
      <c r="BC2299" t="inlineStr">
        <is>
          <t>32285001056455</t>
        </is>
      </c>
      <c r="BD2299" t="inlineStr">
        <is>
          <t>893626163</t>
        </is>
      </c>
    </row>
    <row r="2300">
      <c r="A2300" t="inlineStr">
        <is>
          <t>No</t>
        </is>
      </c>
      <c r="B2300" t="inlineStr">
        <is>
          <t>HQ763 .B63</t>
        </is>
      </c>
      <c r="C2300" t="inlineStr">
        <is>
          <t>0                      HQ 0763000B  63</t>
        </is>
      </c>
      <c r="D2300" t="inlineStr">
        <is>
          <t>Sociological contributions to family planning research.</t>
        </is>
      </c>
      <c r="F2300" t="inlineStr">
        <is>
          <t>No</t>
        </is>
      </c>
      <c r="G2300" t="inlineStr">
        <is>
          <t>1</t>
        </is>
      </c>
      <c r="H2300" t="inlineStr">
        <is>
          <t>No</t>
        </is>
      </c>
      <c r="I2300" t="inlineStr">
        <is>
          <t>No</t>
        </is>
      </c>
      <c r="J2300" t="inlineStr">
        <is>
          <t>0</t>
        </is>
      </c>
      <c r="K2300" t="inlineStr">
        <is>
          <t>Bogue, Donald J., 1918-2014.</t>
        </is>
      </c>
      <c r="L2300" t="inlineStr">
        <is>
          <t>[Chicago] Community and Family Study Center, University of Chicago [c1967]</t>
        </is>
      </c>
      <c r="M2300" t="inlineStr">
        <is>
          <t>1967</t>
        </is>
      </c>
      <c r="O2300" t="inlineStr">
        <is>
          <t>eng</t>
        </is>
      </c>
      <c r="P2300" t="inlineStr">
        <is>
          <t xml:space="preserve">xx </t>
        </is>
      </c>
      <c r="R2300" t="inlineStr">
        <is>
          <t xml:space="preserve">HQ </t>
        </is>
      </c>
      <c r="S2300" t="n">
        <v>1</v>
      </c>
      <c r="T2300" t="n">
        <v>1</v>
      </c>
      <c r="U2300" t="inlineStr">
        <is>
          <t>2002-01-27</t>
        </is>
      </c>
      <c r="V2300" t="inlineStr">
        <is>
          <t>2002-01-27</t>
        </is>
      </c>
      <c r="W2300" t="inlineStr">
        <is>
          <t>1997-08-11</t>
        </is>
      </c>
      <c r="X2300" t="inlineStr">
        <is>
          <t>1997-08-11</t>
        </is>
      </c>
      <c r="Y2300" t="n">
        <v>157</v>
      </c>
      <c r="Z2300" t="n">
        <v>124</v>
      </c>
      <c r="AA2300" t="n">
        <v>130</v>
      </c>
      <c r="AB2300" t="n">
        <v>1</v>
      </c>
      <c r="AC2300" t="n">
        <v>1</v>
      </c>
      <c r="AD2300" t="n">
        <v>4</v>
      </c>
      <c r="AE2300" t="n">
        <v>4</v>
      </c>
      <c r="AF2300" t="n">
        <v>0</v>
      </c>
      <c r="AG2300" t="n">
        <v>0</v>
      </c>
      <c r="AH2300" t="n">
        <v>1</v>
      </c>
      <c r="AI2300" t="n">
        <v>1</v>
      </c>
      <c r="AJ2300" t="n">
        <v>4</v>
      </c>
      <c r="AK2300" t="n">
        <v>4</v>
      </c>
      <c r="AL2300" t="n">
        <v>0</v>
      </c>
      <c r="AM2300" t="n">
        <v>0</v>
      </c>
      <c r="AN2300" t="n">
        <v>0</v>
      </c>
      <c r="AO2300" t="n">
        <v>0</v>
      </c>
      <c r="AP2300" t="inlineStr">
        <is>
          <t>No</t>
        </is>
      </c>
      <c r="AQ2300" t="inlineStr">
        <is>
          <t>Yes</t>
        </is>
      </c>
      <c r="AR2300">
        <f>HYPERLINK("http://catalog.hathitrust.org/Record/006750009","HathiTrust Record")</f>
        <v/>
      </c>
      <c r="AS2300">
        <f>HYPERLINK("https://creighton-primo.hosted.exlibrisgroup.com/primo-explore/search?tab=default_tab&amp;search_scope=EVERYTHING&amp;vid=01CRU&amp;lang=en_US&amp;offset=0&amp;query=any,contains,991002921159702656","Catalog Record")</f>
        <v/>
      </c>
      <c r="AT2300">
        <f>HYPERLINK("http://www.worldcat.org/oclc/526708","WorldCat Record")</f>
        <v/>
      </c>
      <c r="AU2300" t="inlineStr">
        <is>
          <t>1533557:eng</t>
        </is>
      </c>
      <c r="AV2300" t="inlineStr">
        <is>
          <t>526708</t>
        </is>
      </c>
      <c r="AW2300" t="inlineStr">
        <is>
          <t>991002921159702656</t>
        </is>
      </c>
      <c r="AX2300" t="inlineStr">
        <is>
          <t>991002921159702656</t>
        </is>
      </c>
      <c r="AY2300" t="inlineStr">
        <is>
          <t>2262147820002656</t>
        </is>
      </c>
      <c r="AZ2300" t="inlineStr">
        <is>
          <t>BOOK</t>
        </is>
      </c>
      <c r="BC2300" t="inlineStr">
        <is>
          <t>32285003100020</t>
        </is>
      </c>
      <c r="BD2300" t="inlineStr">
        <is>
          <t>893799170</t>
        </is>
      </c>
    </row>
    <row r="2301">
      <c r="A2301" t="inlineStr">
        <is>
          <t>No</t>
        </is>
      </c>
      <c r="B2301" t="inlineStr">
        <is>
          <t>HQ763.6.U5 C48 1982</t>
        </is>
      </c>
      <c r="C2301" t="inlineStr">
        <is>
          <t>0                      HQ 0763600U  5                  C  48          1982</t>
        </is>
      </c>
      <c r="D2301" t="inlineStr">
        <is>
          <t>The Childbearing decision : fertility attitudes and behavior / [edited by] Greer Litton Fox.</t>
        </is>
      </c>
      <c r="F2301" t="inlineStr">
        <is>
          <t>No</t>
        </is>
      </c>
      <c r="G2301" t="inlineStr">
        <is>
          <t>1</t>
        </is>
      </c>
      <c r="H2301" t="inlineStr">
        <is>
          <t>No</t>
        </is>
      </c>
      <c r="I2301" t="inlineStr">
        <is>
          <t>No</t>
        </is>
      </c>
      <c r="J2301" t="inlineStr">
        <is>
          <t>0</t>
        </is>
      </c>
      <c r="L2301" t="inlineStr">
        <is>
          <t>Beverly Hills, Calif. : Sage Publications, c1982.</t>
        </is>
      </c>
      <c r="M2301" t="inlineStr">
        <is>
          <t>1982</t>
        </is>
      </c>
      <c r="O2301" t="inlineStr">
        <is>
          <t>eng</t>
        </is>
      </c>
      <c r="P2301" t="inlineStr">
        <is>
          <t>cau</t>
        </is>
      </c>
      <c r="Q2301" t="inlineStr">
        <is>
          <t>New perspectives on family</t>
        </is>
      </c>
      <c r="R2301" t="inlineStr">
        <is>
          <t xml:space="preserve">HQ </t>
        </is>
      </c>
      <c r="S2301" t="n">
        <v>1</v>
      </c>
      <c r="T2301" t="n">
        <v>1</v>
      </c>
      <c r="U2301" t="inlineStr">
        <is>
          <t>1993-03-08</t>
        </is>
      </c>
      <c r="V2301" t="inlineStr">
        <is>
          <t>1993-03-08</t>
        </is>
      </c>
      <c r="W2301" t="inlineStr">
        <is>
          <t>1992-11-09</t>
        </is>
      </c>
      <c r="X2301" t="inlineStr">
        <is>
          <t>1992-11-09</t>
        </is>
      </c>
      <c r="Y2301" t="n">
        <v>445</v>
      </c>
      <c r="Z2301" t="n">
        <v>364</v>
      </c>
      <c r="AA2301" t="n">
        <v>370</v>
      </c>
      <c r="AB2301" t="n">
        <v>2</v>
      </c>
      <c r="AC2301" t="n">
        <v>2</v>
      </c>
      <c r="AD2301" t="n">
        <v>14</v>
      </c>
      <c r="AE2301" t="n">
        <v>14</v>
      </c>
      <c r="AF2301" t="n">
        <v>6</v>
      </c>
      <c r="AG2301" t="n">
        <v>6</v>
      </c>
      <c r="AH2301" t="n">
        <v>3</v>
      </c>
      <c r="AI2301" t="n">
        <v>3</v>
      </c>
      <c r="AJ2301" t="n">
        <v>10</v>
      </c>
      <c r="AK2301" t="n">
        <v>10</v>
      </c>
      <c r="AL2301" t="n">
        <v>1</v>
      </c>
      <c r="AM2301" t="n">
        <v>1</v>
      </c>
      <c r="AN2301" t="n">
        <v>0</v>
      </c>
      <c r="AO2301" t="n">
        <v>0</v>
      </c>
      <c r="AP2301" t="inlineStr">
        <is>
          <t>No</t>
        </is>
      </c>
      <c r="AQ2301" t="inlineStr">
        <is>
          <t>Yes</t>
        </is>
      </c>
      <c r="AR2301">
        <f>HYPERLINK("http://catalog.hathitrust.org/Record/000101974","HathiTrust Record")</f>
        <v/>
      </c>
      <c r="AS2301">
        <f>HYPERLINK("https://creighton-primo.hosted.exlibrisgroup.com/primo-explore/search?tab=default_tab&amp;search_scope=EVERYTHING&amp;vid=01CRU&amp;lang=en_US&amp;offset=0&amp;query=any,contains,991005227549702656","Catalog Record")</f>
        <v/>
      </c>
      <c r="AT2301">
        <f>HYPERLINK("http://www.worldcat.org/oclc/8283900","WorldCat Record")</f>
        <v/>
      </c>
      <c r="AU2301" t="inlineStr">
        <is>
          <t>836689056:eng</t>
        </is>
      </c>
      <c r="AV2301" t="inlineStr">
        <is>
          <t>8283900</t>
        </is>
      </c>
      <c r="AW2301" t="inlineStr">
        <is>
          <t>991005227549702656</t>
        </is>
      </c>
      <c r="AX2301" t="inlineStr">
        <is>
          <t>991005227549702656</t>
        </is>
      </c>
      <c r="AY2301" t="inlineStr">
        <is>
          <t>2268417270002656</t>
        </is>
      </c>
      <c r="AZ2301" t="inlineStr">
        <is>
          <t>BOOK</t>
        </is>
      </c>
      <c r="BB2301" t="inlineStr">
        <is>
          <t>9780803901360</t>
        </is>
      </c>
      <c r="BC2301" t="inlineStr">
        <is>
          <t>32285001395077</t>
        </is>
      </c>
      <c r="BD2301" t="inlineStr">
        <is>
          <t>893905324</t>
        </is>
      </c>
    </row>
    <row r="2302">
      <c r="A2302" t="inlineStr">
        <is>
          <t>No</t>
        </is>
      </c>
      <c r="B2302" t="inlineStr">
        <is>
          <t>HQ763.6.U5 M66 1986</t>
        </is>
      </c>
      <c r="C2302" t="inlineStr">
        <is>
          <t>0                      HQ 0763600U  5                  M  66          1986</t>
        </is>
      </c>
      <c r="D2302" t="inlineStr">
        <is>
          <t>Margaret Sanger and the birth control movement : a bibliography, 1911-1984 / by Gloria Moore and Ronald Moore.</t>
        </is>
      </c>
      <c r="F2302" t="inlineStr">
        <is>
          <t>No</t>
        </is>
      </c>
      <c r="G2302" t="inlineStr">
        <is>
          <t>1</t>
        </is>
      </c>
      <c r="H2302" t="inlineStr">
        <is>
          <t>No</t>
        </is>
      </c>
      <c r="I2302" t="inlineStr">
        <is>
          <t>No</t>
        </is>
      </c>
      <c r="J2302" t="inlineStr">
        <is>
          <t>0</t>
        </is>
      </c>
      <c r="K2302" t="inlineStr">
        <is>
          <t>Moore, Gloria, 1932-1985.</t>
        </is>
      </c>
      <c r="L2302" t="inlineStr">
        <is>
          <t>Metuchen, N.J. : Scarecrow Press, 1986.</t>
        </is>
      </c>
      <c r="M2302" t="inlineStr">
        <is>
          <t>1986</t>
        </is>
      </c>
      <c r="O2302" t="inlineStr">
        <is>
          <t>eng</t>
        </is>
      </c>
      <c r="P2302" t="inlineStr">
        <is>
          <t>nju</t>
        </is>
      </c>
      <c r="R2302" t="inlineStr">
        <is>
          <t xml:space="preserve">HQ </t>
        </is>
      </c>
      <c r="S2302" t="n">
        <v>7</v>
      </c>
      <c r="T2302" t="n">
        <v>7</v>
      </c>
      <c r="U2302" t="inlineStr">
        <is>
          <t>1997-03-01</t>
        </is>
      </c>
      <c r="V2302" t="inlineStr">
        <is>
          <t>1997-03-01</t>
        </is>
      </c>
      <c r="W2302" t="inlineStr">
        <is>
          <t>1992-11-09</t>
        </is>
      </c>
      <c r="X2302" t="inlineStr">
        <is>
          <t>1992-11-09</t>
        </is>
      </c>
      <c r="Y2302" t="n">
        <v>397</v>
      </c>
      <c r="Z2302" t="n">
        <v>356</v>
      </c>
      <c r="AA2302" t="n">
        <v>360</v>
      </c>
      <c r="AB2302" t="n">
        <v>4</v>
      </c>
      <c r="AC2302" t="n">
        <v>4</v>
      </c>
      <c r="AD2302" t="n">
        <v>17</v>
      </c>
      <c r="AE2302" t="n">
        <v>17</v>
      </c>
      <c r="AF2302" t="n">
        <v>5</v>
      </c>
      <c r="AG2302" t="n">
        <v>5</v>
      </c>
      <c r="AH2302" t="n">
        <v>4</v>
      </c>
      <c r="AI2302" t="n">
        <v>4</v>
      </c>
      <c r="AJ2302" t="n">
        <v>9</v>
      </c>
      <c r="AK2302" t="n">
        <v>9</v>
      </c>
      <c r="AL2302" t="n">
        <v>3</v>
      </c>
      <c r="AM2302" t="n">
        <v>3</v>
      </c>
      <c r="AN2302" t="n">
        <v>0</v>
      </c>
      <c r="AO2302" t="n">
        <v>0</v>
      </c>
      <c r="AP2302" t="inlineStr">
        <is>
          <t>No</t>
        </is>
      </c>
      <c r="AQ2302" t="inlineStr">
        <is>
          <t>No</t>
        </is>
      </c>
      <c r="AS2302">
        <f>HYPERLINK("https://creighton-primo.hosted.exlibrisgroup.com/primo-explore/search?tab=default_tab&amp;search_scope=EVERYTHING&amp;vid=01CRU&amp;lang=en_US&amp;offset=0&amp;query=any,contains,991000839699702656","Catalog Record")</f>
        <v/>
      </c>
      <c r="AT2302">
        <f>HYPERLINK("http://www.worldcat.org/oclc/13525025","WorldCat Record")</f>
        <v/>
      </c>
      <c r="AU2302" t="inlineStr">
        <is>
          <t>143988432:eng</t>
        </is>
      </c>
      <c r="AV2302" t="inlineStr">
        <is>
          <t>13525025</t>
        </is>
      </c>
      <c r="AW2302" t="inlineStr">
        <is>
          <t>991000839699702656</t>
        </is>
      </c>
      <c r="AX2302" t="inlineStr">
        <is>
          <t>991000839699702656</t>
        </is>
      </c>
      <c r="AY2302" t="inlineStr">
        <is>
          <t>2262476190002656</t>
        </is>
      </c>
      <c r="AZ2302" t="inlineStr">
        <is>
          <t>BOOK</t>
        </is>
      </c>
      <c r="BB2302" t="inlineStr">
        <is>
          <t>9780810819030</t>
        </is>
      </c>
      <c r="BC2302" t="inlineStr">
        <is>
          <t>32285001395085</t>
        </is>
      </c>
      <c r="BD2302" t="inlineStr">
        <is>
          <t>893315287</t>
        </is>
      </c>
    </row>
    <row r="2303">
      <c r="A2303" t="inlineStr">
        <is>
          <t>No</t>
        </is>
      </c>
      <c r="B2303" t="inlineStr">
        <is>
          <t>HQ763.M3 L4</t>
        </is>
      </c>
      <c r="C2303" t="inlineStr">
        <is>
          <t>0                      HQ 0763000M  3                  L  4</t>
        </is>
      </c>
      <c r="D2303" t="inlineStr">
        <is>
          <t>A history of the Malthusian League, 1877-1927 / by Rosanna Ledbetter.</t>
        </is>
      </c>
      <c r="F2303" t="inlineStr">
        <is>
          <t>No</t>
        </is>
      </c>
      <c r="G2303" t="inlineStr">
        <is>
          <t>1</t>
        </is>
      </c>
      <c r="H2303" t="inlineStr">
        <is>
          <t>No</t>
        </is>
      </c>
      <c r="I2303" t="inlineStr">
        <is>
          <t>No</t>
        </is>
      </c>
      <c r="J2303" t="inlineStr">
        <is>
          <t>0</t>
        </is>
      </c>
      <c r="K2303" t="inlineStr">
        <is>
          <t>Ledbetter, Rosanna, 1932-</t>
        </is>
      </c>
      <c r="L2303" t="inlineStr">
        <is>
          <t>Columbus : Ohio State University, c1976.</t>
        </is>
      </c>
      <c r="M2303" t="inlineStr">
        <is>
          <t>1976</t>
        </is>
      </c>
      <c r="O2303" t="inlineStr">
        <is>
          <t>eng</t>
        </is>
      </c>
      <c r="P2303" t="inlineStr">
        <is>
          <t>ohu</t>
        </is>
      </c>
      <c r="R2303" t="inlineStr">
        <is>
          <t xml:space="preserve">HQ </t>
        </is>
      </c>
      <c r="S2303" t="n">
        <v>1</v>
      </c>
      <c r="T2303" t="n">
        <v>1</v>
      </c>
      <c r="U2303" t="inlineStr">
        <is>
          <t>1996-09-03</t>
        </is>
      </c>
      <c r="V2303" t="inlineStr">
        <is>
          <t>1996-09-03</t>
        </is>
      </c>
      <c r="W2303" t="inlineStr">
        <is>
          <t>1996-09-03</t>
        </is>
      </c>
      <c r="X2303" t="inlineStr">
        <is>
          <t>1996-09-03</t>
        </is>
      </c>
      <c r="Y2303" t="n">
        <v>373</v>
      </c>
      <c r="Z2303" t="n">
        <v>283</v>
      </c>
      <c r="AA2303" t="n">
        <v>285</v>
      </c>
      <c r="AB2303" t="n">
        <v>2</v>
      </c>
      <c r="AC2303" t="n">
        <v>2</v>
      </c>
      <c r="AD2303" t="n">
        <v>10</v>
      </c>
      <c r="AE2303" t="n">
        <v>10</v>
      </c>
      <c r="AF2303" t="n">
        <v>1</v>
      </c>
      <c r="AG2303" t="n">
        <v>1</v>
      </c>
      <c r="AH2303" t="n">
        <v>3</v>
      </c>
      <c r="AI2303" t="n">
        <v>3</v>
      </c>
      <c r="AJ2303" t="n">
        <v>7</v>
      </c>
      <c r="AK2303" t="n">
        <v>7</v>
      </c>
      <c r="AL2303" t="n">
        <v>1</v>
      </c>
      <c r="AM2303" t="n">
        <v>1</v>
      </c>
      <c r="AN2303" t="n">
        <v>0</v>
      </c>
      <c r="AO2303" t="n">
        <v>0</v>
      </c>
      <c r="AP2303" t="inlineStr">
        <is>
          <t>No</t>
        </is>
      </c>
      <c r="AQ2303" t="inlineStr">
        <is>
          <t>Yes</t>
        </is>
      </c>
      <c r="AR2303">
        <f>HYPERLINK("http://catalog.hathitrust.org/Record/000722020","HathiTrust Record")</f>
        <v/>
      </c>
      <c r="AS2303">
        <f>HYPERLINK("https://creighton-primo.hosted.exlibrisgroup.com/primo-explore/search?tab=default_tab&amp;search_scope=EVERYTHING&amp;vid=01CRU&amp;lang=en_US&amp;offset=0&amp;query=any,contains,991004026489702656","Catalog Record")</f>
        <v/>
      </c>
      <c r="AT2303">
        <f>HYPERLINK("http://www.worldcat.org/oclc/2137182","WorldCat Record")</f>
        <v/>
      </c>
      <c r="AU2303" t="inlineStr">
        <is>
          <t>475873:eng</t>
        </is>
      </c>
      <c r="AV2303" t="inlineStr">
        <is>
          <t>2137182</t>
        </is>
      </c>
      <c r="AW2303" t="inlineStr">
        <is>
          <t>991004026489702656</t>
        </is>
      </c>
      <c r="AX2303" t="inlineStr">
        <is>
          <t>991004026489702656</t>
        </is>
      </c>
      <c r="AY2303" t="inlineStr">
        <is>
          <t>2267544000002656</t>
        </is>
      </c>
      <c r="AZ2303" t="inlineStr">
        <is>
          <t>BOOK</t>
        </is>
      </c>
      <c r="BB2303" t="inlineStr">
        <is>
          <t>9780814202579</t>
        </is>
      </c>
      <c r="BC2303" t="inlineStr">
        <is>
          <t>32285002305125</t>
        </is>
      </c>
      <c r="BD2303" t="inlineStr">
        <is>
          <t>893228819</t>
        </is>
      </c>
    </row>
    <row r="2304">
      <c r="A2304" t="inlineStr">
        <is>
          <t>No</t>
        </is>
      </c>
      <c r="B2304" t="inlineStr">
        <is>
          <t>HQ764.A2 H87 1992</t>
        </is>
      </c>
      <c r="C2304" t="inlineStr">
        <is>
          <t>0                      HQ 0764000A  2                  H  87          1992</t>
        </is>
      </c>
      <c r="D2304" t="inlineStr">
        <is>
          <t>Motherhood by choice : pioneers in women's health and family planning / Perdita Huston.</t>
        </is>
      </c>
      <c r="F2304" t="inlineStr">
        <is>
          <t>No</t>
        </is>
      </c>
      <c r="G2304" t="inlineStr">
        <is>
          <t>1</t>
        </is>
      </c>
      <c r="H2304" t="inlineStr">
        <is>
          <t>No</t>
        </is>
      </c>
      <c r="I2304" t="inlineStr">
        <is>
          <t>No</t>
        </is>
      </c>
      <c r="J2304" t="inlineStr">
        <is>
          <t>0</t>
        </is>
      </c>
      <c r="K2304" t="inlineStr">
        <is>
          <t>Huston, Perdita, 1936-</t>
        </is>
      </c>
      <c r="L2304" t="inlineStr">
        <is>
          <t>New York : Feminist Press at the City University of New York : Distributed by the Talman Co., 1992.</t>
        </is>
      </c>
      <c r="M2304" t="inlineStr">
        <is>
          <t>1992</t>
        </is>
      </c>
      <c r="O2304" t="inlineStr">
        <is>
          <t>eng</t>
        </is>
      </c>
      <c r="P2304" t="inlineStr">
        <is>
          <t>nyu</t>
        </is>
      </c>
      <c r="R2304" t="inlineStr">
        <is>
          <t xml:space="preserve">HQ </t>
        </is>
      </c>
      <c r="S2304" t="n">
        <v>16</v>
      </c>
      <c r="T2304" t="n">
        <v>16</v>
      </c>
      <c r="U2304" t="inlineStr">
        <is>
          <t>2003-04-01</t>
        </is>
      </c>
      <c r="V2304" t="inlineStr">
        <is>
          <t>2003-04-01</t>
        </is>
      </c>
      <c r="W2304" t="inlineStr">
        <is>
          <t>1995-10-23</t>
        </is>
      </c>
      <c r="X2304" t="inlineStr">
        <is>
          <t>1995-10-23</t>
        </is>
      </c>
      <c r="Y2304" t="n">
        <v>486</v>
      </c>
      <c r="Z2304" t="n">
        <v>431</v>
      </c>
      <c r="AA2304" t="n">
        <v>437</v>
      </c>
      <c r="AB2304" t="n">
        <v>3</v>
      </c>
      <c r="AC2304" t="n">
        <v>3</v>
      </c>
      <c r="AD2304" t="n">
        <v>12</v>
      </c>
      <c r="AE2304" t="n">
        <v>12</v>
      </c>
      <c r="AF2304" t="n">
        <v>2</v>
      </c>
      <c r="AG2304" t="n">
        <v>2</v>
      </c>
      <c r="AH2304" t="n">
        <v>5</v>
      </c>
      <c r="AI2304" t="n">
        <v>5</v>
      </c>
      <c r="AJ2304" t="n">
        <v>4</v>
      </c>
      <c r="AK2304" t="n">
        <v>4</v>
      </c>
      <c r="AL2304" t="n">
        <v>2</v>
      </c>
      <c r="AM2304" t="n">
        <v>2</v>
      </c>
      <c r="AN2304" t="n">
        <v>1</v>
      </c>
      <c r="AO2304" t="n">
        <v>1</v>
      </c>
      <c r="AP2304" t="inlineStr">
        <is>
          <t>No</t>
        </is>
      </c>
      <c r="AQ2304" t="inlineStr">
        <is>
          <t>No</t>
        </is>
      </c>
      <c r="AS2304">
        <f>HYPERLINK("https://creighton-primo.hosted.exlibrisgroup.com/primo-explore/search?tab=default_tab&amp;search_scope=EVERYTHING&amp;vid=01CRU&amp;lang=en_US&amp;offset=0&amp;query=any,contains,991001974089702656","Catalog Record")</f>
        <v/>
      </c>
      <c r="AT2304">
        <f>HYPERLINK("http://www.worldcat.org/oclc/25026445","WorldCat Record")</f>
        <v/>
      </c>
      <c r="AU2304" t="inlineStr">
        <is>
          <t>27186824:eng</t>
        </is>
      </c>
      <c r="AV2304" t="inlineStr">
        <is>
          <t>25026445</t>
        </is>
      </c>
      <c r="AW2304" t="inlineStr">
        <is>
          <t>991001974089702656</t>
        </is>
      </c>
      <c r="AX2304" t="inlineStr">
        <is>
          <t>991001974089702656</t>
        </is>
      </c>
      <c r="AY2304" t="inlineStr">
        <is>
          <t>2262149440002656</t>
        </is>
      </c>
      <c r="AZ2304" t="inlineStr">
        <is>
          <t>BOOK</t>
        </is>
      </c>
      <c r="BB2304" t="inlineStr">
        <is>
          <t>9781558610682</t>
        </is>
      </c>
      <c r="BC2304" t="inlineStr">
        <is>
          <t>32285002068988</t>
        </is>
      </c>
      <c r="BD2304" t="inlineStr">
        <is>
          <t>893791906</t>
        </is>
      </c>
    </row>
    <row r="2305">
      <c r="A2305" t="inlineStr">
        <is>
          <t>No</t>
        </is>
      </c>
      <c r="B2305" t="inlineStr">
        <is>
          <t>HQ764.S3 K45</t>
        </is>
      </c>
      <c r="C2305" t="inlineStr">
        <is>
          <t>0                      HQ 0764000S  3                  K  45</t>
        </is>
      </c>
      <c r="D2305" t="inlineStr">
        <is>
          <t>Birth control in America : the career of Margaret Sanger / [by] David M. Kennedy.</t>
        </is>
      </c>
      <c r="F2305" t="inlineStr">
        <is>
          <t>No</t>
        </is>
      </c>
      <c r="G2305" t="inlineStr">
        <is>
          <t>1</t>
        </is>
      </c>
      <c r="H2305" t="inlineStr">
        <is>
          <t>No</t>
        </is>
      </c>
      <c r="I2305" t="inlineStr">
        <is>
          <t>No</t>
        </is>
      </c>
      <c r="J2305" t="inlineStr">
        <is>
          <t>0</t>
        </is>
      </c>
      <c r="K2305" t="inlineStr">
        <is>
          <t>Kennedy, David M.</t>
        </is>
      </c>
      <c r="L2305" t="inlineStr">
        <is>
          <t>New Haven : Yale University Press, 1970.</t>
        </is>
      </c>
      <c r="M2305" t="inlineStr">
        <is>
          <t>1970</t>
        </is>
      </c>
      <c r="O2305" t="inlineStr">
        <is>
          <t>eng</t>
        </is>
      </c>
      <c r="P2305" t="inlineStr">
        <is>
          <t>ctu</t>
        </is>
      </c>
      <c r="Q2305" t="inlineStr">
        <is>
          <t>Yale publications in American studies ; 18</t>
        </is>
      </c>
      <c r="R2305" t="inlineStr">
        <is>
          <t xml:space="preserve">HQ </t>
        </is>
      </c>
      <c r="S2305" t="n">
        <v>14</v>
      </c>
      <c r="T2305" t="n">
        <v>14</v>
      </c>
      <c r="U2305" t="inlineStr">
        <is>
          <t>2009-12-07</t>
        </is>
      </c>
      <c r="V2305" t="inlineStr">
        <is>
          <t>2009-12-07</t>
        </is>
      </c>
      <c r="W2305" t="inlineStr">
        <is>
          <t>1991-10-18</t>
        </is>
      </c>
      <c r="X2305" t="inlineStr">
        <is>
          <t>1991-10-18</t>
        </is>
      </c>
      <c r="Y2305" t="n">
        <v>1446</v>
      </c>
      <c r="Z2305" t="n">
        <v>1310</v>
      </c>
      <c r="AA2305" t="n">
        <v>1423</v>
      </c>
      <c r="AB2305" t="n">
        <v>16</v>
      </c>
      <c r="AC2305" t="n">
        <v>16</v>
      </c>
      <c r="AD2305" t="n">
        <v>53</v>
      </c>
      <c r="AE2305" t="n">
        <v>58</v>
      </c>
      <c r="AF2305" t="n">
        <v>21</v>
      </c>
      <c r="AG2305" t="n">
        <v>23</v>
      </c>
      <c r="AH2305" t="n">
        <v>10</v>
      </c>
      <c r="AI2305" t="n">
        <v>11</v>
      </c>
      <c r="AJ2305" t="n">
        <v>18</v>
      </c>
      <c r="AK2305" t="n">
        <v>21</v>
      </c>
      <c r="AL2305" t="n">
        <v>12</v>
      </c>
      <c r="AM2305" t="n">
        <v>12</v>
      </c>
      <c r="AN2305" t="n">
        <v>2</v>
      </c>
      <c r="AO2305" t="n">
        <v>2</v>
      </c>
      <c r="AP2305" t="inlineStr">
        <is>
          <t>No</t>
        </is>
      </c>
      <c r="AQ2305" t="inlineStr">
        <is>
          <t>No</t>
        </is>
      </c>
      <c r="AS2305">
        <f>HYPERLINK("https://creighton-primo.hosted.exlibrisgroup.com/primo-explore/search?tab=default_tab&amp;search_scope=EVERYTHING&amp;vid=01CRU&amp;lang=en_US&amp;offset=0&amp;query=any,contains,991000455309702656","Catalog Record")</f>
        <v/>
      </c>
      <c r="AT2305">
        <f>HYPERLINK("http://www.worldcat.org/oclc/78042","WorldCat Record")</f>
        <v/>
      </c>
      <c r="AU2305" t="inlineStr">
        <is>
          <t>434828:eng</t>
        </is>
      </c>
      <c r="AV2305" t="inlineStr">
        <is>
          <t>78042</t>
        </is>
      </c>
      <c r="AW2305" t="inlineStr">
        <is>
          <t>991000455309702656</t>
        </is>
      </c>
      <c r="AX2305" t="inlineStr">
        <is>
          <t>991000455309702656</t>
        </is>
      </c>
      <c r="AY2305" t="inlineStr">
        <is>
          <t>2254702880002656</t>
        </is>
      </c>
      <c r="AZ2305" t="inlineStr">
        <is>
          <t>BOOK</t>
        </is>
      </c>
      <c r="BB2305" t="inlineStr">
        <is>
          <t>9780300012026</t>
        </is>
      </c>
      <c r="BC2305" t="inlineStr">
        <is>
          <t>32285000775014</t>
        </is>
      </c>
      <c r="BD2305" t="inlineStr">
        <is>
          <t>893419466</t>
        </is>
      </c>
    </row>
    <row r="2306">
      <c r="A2306" t="inlineStr">
        <is>
          <t>No</t>
        </is>
      </c>
      <c r="B2306" t="inlineStr">
        <is>
          <t>HQ764.S7 H35 1977</t>
        </is>
      </c>
      <c r="C2306" t="inlineStr">
        <is>
          <t>0                      HQ 0764000S  7                  H  35          1977</t>
        </is>
      </c>
      <c r="D2306" t="inlineStr">
        <is>
          <t>Passionate crusader : the life of Marie Stopes / Ruth Hall.</t>
        </is>
      </c>
      <c r="F2306" t="inlineStr">
        <is>
          <t>No</t>
        </is>
      </c>
      <c r="G2306" t="inlineStr">
        <is>
          <t>1</t>
        </is>
      </c>
      <c r="H2306" t="inlineStr">
        <is>
          <t>No</t>
        </is>
      </c>
      <c r="I2306" t="inlineStr">
        <is>
          <t>No</t>
        </is>
      </c>
      <c r="J2306" t="inlineStr">
        <is>
          <t>0</t>
        </is>
      </c>
      <c r="K2306" t="inlineStr">
        <is>
          <t>Hall, Ruth E.</t>
        </is>
      </c>
      <c r="L2306" t="inlineStr">
        <is>
          <t>New York : Harcourt Brace Jovanovich, c1977.</t>
        </is>
      </c>
      <c r="M2306" t="inlineStr">
        <is>
          <t>1977</t>
        </is>
      </c>
      <c r="N2306" t="inlineStr">
        <is>
          <t>1st American ed.</t>
        </is>
      </c>
      <c r="O2306" t="inlineStr">
        <is>
          <t>eng</t>
        </is>
      </c>
      <c r="P2306" t="inlineStr">
        <is>
          <t>nyu</t>
        </is>
      </c>
      <c r="R2306" t="inlineStr">
        <is>
          <t xml:space="preserve">HQ </t>
        </is>
      </c>
      <c r="S2306" t="n">
        <v>3</v>
      </c>
      <c r="T2306" t="n">
        <v>3</v>
      </c>
      <c r="U2306" t="inlineStr">
        <is>
          <t>1997-12-02</t>
        </is>
      </c>
      <c r="V2306" t="inlineStr">
        <is>
          <t>1997-12-02</t>
        </is>
      </c>
      <c r="W2306" t="inlineStr">
        <is>
          <t>1992-11-09</t>
        </is>
      </c>
      <c r="X2306" t="inlineStr">
        <is>
          <t>1992-11-09</t>
        </is>
      </c>
      <c r="Y2306" t="n">
        <v>560</v>
      </c>
      <c r="Z2306" t="n">
        <v>526</v>
      </c>
      <c r="AA2306" t="n">
        <v>540</v>
      </c>
      <c r="AB2306" t="n">
        <v>3</v>
      </c>
      <c r="AC2306" t="n">
        <v>3</v>
      </c>
      <c r="AD2306" t="n">
        <v>13</v>
      </c>
      <c r="AE2306" t="n">
        <v>14</v>
      </c>
      <c r="AF2306" t="n">
        <v>4</v>
      </c>
      <c r="AG2306" t="n">
        <v>5</v>
      </c>
      <c r="AH2306" t="n">
        <v>2</v>
      </c>
      <c r="AI2306" t="n">
        <v>2</v>
      </c>
      <c r="AJ2306" t="n">
        <v>5</v>
      </c>
      <c r="AK2306" t="n">
        <v>5</v>
      </c>
      <c r="AL2306" t="n">
        <v>2</v>
      </c>
      <c r="AM2306" t="n">
        <v>2</v>
      </c>
      <c r="AN2306" t="n">
        <v>1</v>
      </c>
      <c r="AO2306" t="n">
        <v>1</v>
      </c>
      <c r="AP2306" t="inlineStr">
        <is>
          <t>No</t>
        </is>
      </c>
      <c r="AQ2306" t="inlineStr">
        <is>
          <t>Yes</t>
        </is>
      </c>
      <c r="AR2306">
        <f>HYPERLINK("http://catalog.hathitrust.org/Record/000210437","HathiTrust Record")</f>
        <v/>
      </c>
      <c r="AS2306">
        <f>HYPERLINK("https://creighton-primo.hosted.exlibrisgroup.com/primo-explore/search?tab=default_tab&amp;search_scope=EVERYTHING&amp;vid=01CRU&amp;lang=en_US&amp;offset=0&amp;query=any,contains,991004252349702656","Catalog Record")</f>
        <v/>
      </c>
      <c r="AT2306">
        <f>HYPERLINK("http://www.worldcat.org/oclc/2817903","WorldCat Record")</f>
        <v/>
      </c>
      <c r="AU2306" t="inlineStr">
        <is>
          <t>6219830:eng</t>
        </is>
      </c>
      <c r="AV2306" t="inlineStr">
        <is>
          <t>2817903</t>
        </is>
      </c>
      <c r="AW2306" t="inlineStr">
        <is>
          <t>991004252349702656</t>
        </is>
      </c>
      <c r="AX2306" t="inlineStr">
        <is>
          <t>991004252349702656</t>
        </is>
      </c>
      <c r="AY2306" t="inlineStr">
        <is>
          <t>2261803510002656</t>
        </is>
      </c>
      <c r="AZ2306" t="inlineStr">
        <is>
          <t>BOOK</t>
        </is>
      </c>
      <c r="BB2306" t="inlineStr">
        <is>
          <t>9780151712885</t>
        </is>
      </c>
      <c r="BC2306" t="inlineStr">
        <is>
          <t>32285001395093</t>
        </is>
      </c>
      <c r="BD2306" t="inlineStr">
        <is>
          <t>893788479</t>
        </is>
      </c>
    </row>
    <row r="2307">
      <c r="A2307" t="inlineStr">
        <is>
          <t>No</t>
        </is>
      </c>
      <c r="B2307" t="inlineStr">
        <is>
          <t>HQ766 .B485 1972</t>
        </is>
      </c>
      <c r="C2307" t="inlineStr">
        <is>
          <t>0                      HQ 0766000B  485         1972</t>
        </is>
      </c>
      <c r="D2307" t="inlineStr">
        <is>
          <t>Birth control and morality in nineteenth century America : two discussions.</t>
        </is>
      </c>
      <c r="F2307" t="inlineStr">
        <is>
          <t>No</t>
        </is>
      </c>
      <c r="G2307" t="inlineStr">
        <is>
          <t>1</t>
        </is>
      </c>
      <c r="H2307" t="inlineStr">
        <is>
          <t>No</t>
        </is>
      </c>
      <c r="I2307" t="inlineStr">
        <is>
          <t>No</t>
        </is>
      </c>
      <c r="J2307" t="inlineStr">
        <is>
          <t>0</t>
        </is>
      </c>
      <c r="L2307" t="inlineStr">
        <is>
          <t>New York : Arno Press, 1972.</t>
        </is>
      </c>
      <c r="M2307" t="inlineStr">
        <is>
          <t>1972</t>
        </is>
      </c>
      <c r="O2307" t="inlineStr">
        <is>
          <t>eng</t>
        </is>
      </c>
      <c r="P2307" t="inlineStr">
        <is>
          <t>nyu</t>
        </is>
      </c>
      <c r="Q2307" t="inlineStr">
        <is>
          <t>Family in America</t>
        </is>
      </c>
      <c r="R2307" t="inlineStr">
        <is>
          <t xml:space="preserve">HQ </t>
        </is>
      </c>
      <c r="S2307" t="n">
        <v>3</v>
      </c>
      <c r="T2307" t="n">
        <v>3</v>
      </c>
      <c r="U2307" t="inlineStr">
        <is>
          <t>2007-04-09</t>
        </is>
      </c>
      <c r="V2307" t="inlineStr">
        <is>
          <t>2007-04-09</t>
        </is>
      </c>
      <c r="W2307" t="inlineStr">
        <is>
          <t>1994-04-11</t>
        </is>
      </c>
      <c r="X2307" t="inlineStr">
        <is>
          <t>1994-04-11</t>
        </is>
      </c>
      <c r="Y2307" t="n">
        <v>252</v>
      </c>
      <c r="Z2307" t="n">
        <v>225</v>
      </c>
      <c r="AA2307" t="n">
        <v>233</v>
      </c>
      <c r="AB2307" t="n">
        <v>4</v>
      </c>
      <c r="AC2307" t="n">
        <v>4</v>
      </c>
      <c r="AD2307" t="n">
        <v>9</v>
      </c>
      <c r="AE2307" t="n">
        <v>9</v>
      </c>
      <c r="AF2307" t="n">
        <v>2</v>
      </c>
      <c r="AG2307" t="n">
        <v>2</v>
      </c>
      <c r="AH2307" t="n">
        <v>2</v>
      </c>
      <c r="AI2307" t="n">
        <v>2</v>
      </c>
      <c r="AJ2307" t="n">
        <v>4</v>
      </c>
      <c r="AK2307" t="n">
        <v>4</v>
      </c>
      <c r="AL2307" t="n">
        <v>2</v>
      </c>
      <c r="AM2307" t="n">
        <v>2</v>
      </c>
      <c r="AN2307" t="n">
        <v>0</v>
      </c>
      <c r="AO2307" t="n">
        <v>0</v>
      </c>
      <c r="AP2307" t="inlineStr">
        <is>
          <t>No</t>
        </is>
      </c>
      <c r="AQ2307" t="inlineStr">
        <is>
          <t>Yes</t>
        </is>
      </c>
      <c r="AR2307">
        <f>HYPERLINK("http://catalog.hathitrust.org/Record/000977757","HathiTrust Record")</f>
        <v/>
      </c>
      <c r="AS2307">
        <f>HYPERLINK("https://creighton-primo.hosted.exlibrisgroup.com/primo-explore/search?tab=default_tab&amp;search_scope=EVERYTHING&amp;vid=01CRU&amp;lang=en_US&amp;offset=0&amp;query=any,contains,991002622689702656","Catalog Record")</f>
        <v/>
      </c>
      <c r="AT2307">
        <f>HYPERLINK("http://www.worldcat.org/oclc/380925","WorldCat Record")</f>
        <v/>
      </c>
      <c r="AU2307" t="inlineStr">
        <is>
          <t>1491095:eng</t>
        </is>
      </c>
      <c r="AV2307" t="inlineStr">
        <is>
          <t>380925</t>
        </is>
      </c>
      <c r="AW2307" t="inlineStr">
        <is>
          <t>991002622689702656</t>
        </is>
      </c>
      <c r="AX2307" t="inlineStr">
        <is>
          <t>991002622689702656</t>
        </is>
      </c>
      <c r="AY2307" t="inlineStr">
        <is>
          <t>2261312090002656</t>
        </is>
      </c>
      <c r="AZ2307" t="inlineStr">
        <is>
          <t>BOOK</t>
        </is>
      </c>
      <c r="BB2307" t="inlineStr">
        <is>
          <t>9780405038839</t>
        </is>
      </c>
      <c r="BC2307" t="inlineStr">
        <is>
          <t>32285001886281</t>
        </is>
      </c>
      <c r="BD2307" t="inlineStr">
        <is>
          <t>893347716</t>
        </is>
      </c>
    </row>
    <row r="2308">
      <c r="A2308" t="inlineStr">
        <is>
          <t>No</t>
        </is>
      </c>
      <c r="B2308" t="inlineStr">
        <is>
          <t>HQ766 .C517</t>
        </is>
      </c>
      <c r="C2308" t="inlineStr">
        <is>
          <t>0                      HQ 0766000C  517</t>
        </is>
      </c>
      <c r="D2308" t="inlineStr">
        <is>
          <t>The case for compulsory birth control / by Edgar R. Chasteen.</t>
        </is>
      </c>
      <c r="F2308" t="inlineStr">
        <is>
          <t>No</t>
        </is>
      </c>
      <c r="G2308" t="inlineStr">
        <is>
          <t>1</t>
        </is>
      </c>
      <c r="H2308" t="inlineStr">
        <is>
          <t>No</t>
        </is>
      </c>
      <c r="I2308" t="inlineStr">
        <is>
          <t>No</t>
        </is>
      </c>
      <c r="J2308" t="inlineStr">
        <is>
          <t>0</t>
        </is>
      </c>
      <c r="K2308" t="inlineStr">
        <is>
          <t>Chasteen, Edgar R., 1935-</t>
        </is>
      </c>
      <c r="L2308" t="inlineStr">
        <is>
          <t>Englewood Cliffs, N. J. : Prentice-Hall, [1972]</t>
        </is>
      </c>
      <c r="M2308" t="inlineStr">
        <is>
          <t>1972</t>
        </is>
      </c>
      <c r="N2308" t="inlineStr">
        <is>
          <t>[1st Prism paperback ed.]</t>
        </is>
      </c>
      <c r="O2308" t="inlineStr">
        <is>
          <t>eng</t>
        </is>
      </c>
      <c r="P2308" t="inlineStr">
        <is>
          <t>nju</t>
        </is>
      </c>
      <c r="Q2308" t="inlineStr">
        <is>
          <t>A Prism paperback, P-9</t>
        </is>
      </c>
      <c r="R2308" t="inlineStr">
        <is>
          <t xml:space="preserve">HQ </t>
        </is>
      </c>
      <c r="S2308" t="n">
        <v>4</v>
      </c>
      <c r="T2308" t="n">
        <v>4</v>
      </c>
      <c r="U2308" t="inlineStr">
        <is>
          <t>1997-11-15</t>
        </is>
      </c>
      <c r="V2308" t="inlineStr">
        <is>
          <t>1997-11-15</t>
        </is>
      </c>
      <c r="W2308" t="inlineStr">
        <is>
          <t>1993-09-30</t>
        </is>
      </c>
      <c r="X2308" t="inlineStr">
        <is>
          <t>1993-09-30</t>
        </is>
      </c>
      <c r="Y2308" t="n">
        <v>28</v>
      </c>
      <c r="Z2308" t="n">
        <v>12</v>
      </c>
      <c r="AA2308" t="n">
        <v>650</v>
      </c>
      <c r="AB2308" t="n">
        <v>1</v>
      </c>
      <c r="AC2308" t="n">
        <v>4</v>
      </c>
      <c r="AD2308" t="n">
        <v>0</v>
      </c>
      <c r="AE2308" t="n">
        <v>23</v>
      </c>
      <c r="AF2308" t="n">
        <v>0</v>
      </c>
      <c r="AG2308" t="n">
        <v>6</v>
      </c>
      <c r="AH2308" t="n">
        <v>0</v>
      </c>
      <c r="AI2308" t="n">
        <v>4</v>
      </c>
      <c r="AJ2308" t="n">
        <v>0</v>
      </c>
      <c r="AK2308" t="n">
        <v>8</v>
      </c>
      <c r="AL2308" t="n">
        <v>0</v>
      </c>
      <c r="AM2308" t="n">
        <v>2</v>
      </c>
      <c r="AN2308" t="n">
        <v>0</v>
      </c>
      <c r="AO2308" t="n">
        <v>7</v>
      </c>
      <c r="AP2308" t="inlineStr">
        <is>
          <t>No</t>
        </is>
      </c>
      <c r="AQ2308" t="inlineStr">
        <is>
          <t>No</t>
        </is>
      </c>
      <c r="AS2308">
        <f>HYPERLINK("https://creighton-primo.hosted.exlibrisgroup.com/primo-explore/search?tab=default_tab&amp;search_scope=EVERYTHING&amp;vid=01CRU&amp;lang=en_US&amp;offset=0&amp;query=any,contains,991000912519702656","Catalog Record")</f>
        <v/>
      </c>
      <c r="AT2308">
        <f>HYPERLINK("http://www.worldcat.org/oclc/14140947","WorldCat Record")</f>
        <v/>
      </c>
      <c r="AU2308" t="inlineStr">
        <is>
          <t>1313894:eng</t>
        </is>
      </c>
      <c r="AV2308" t="inlineStr">
        <is>
          <t>14140947</t>
        </is>
      </c>
      <c r="AW2308" t="inlineStr">
        <is>
          <t>991000912519702656</t>
        </is>
      </c>
      <c r="AX2308" t="inlineStr">
        <is>
          <t>991000912519702656</t>
        </is>
      </c>
      <c r="AY2308" t="inlineStr">
        <is>
          <t>2269030690002656</t>
        </is>
      </c>
      <c r="AZ2308" t="inlineStr">
        <is>
          <t>BOOK</t>
        </is>
      </c>
      <c r="BC2308" t="inlineStr">
        <is>
          <t>32285001785335</t>
        </is>
      </c>
      <c r="BD2308" t="inlineStr">
        <is>
          <t>893261654</t>
        </is>
      </c>
    </row>
    <row r="2309">
      <c r="A2309" t="inlineStr">
        <is>
          <t>No</t>
        </is>
      </c>
      <c r="B2309" t="inlineStr">
        <is>
          <t>HQ766 .C9</t>
        </is>
      </c>
      <c r="C2309" t="inlineStr">
        <is>
          <t>0                      HQ 0766000C  9</t>
        </is>
      </c>
      <c r="D2309" t="inlineStr">
        <is>
          <t>Experiments in family planning : lessons from the Developing World / Roberto Cuca and Catherine S. Pierce ; foreword by Bernard Berelson.</t>
        </is>
      </c>
      <c r="F2309" t="inlineStr">
        <is>
          <t>No</t>
        </is>
      </c>
      <c r="G2309" t="inlineStr">
        <is>
          <t>1</t>
        </is>
      </c>
      <c r="H2309" t="inlineStr">
        <is>
          <t>No</t>
        </is>
      </c>
      <c r="I2309" t="inlineStr">
        <is>
          <t>No</t>
        </is>
      </c>
      <c r="J2309" t="inlineStr">
        <is>
          <t>0</t>
        </is>
      </c>
      <c r="K2309" t="inlineStr">
        <is>
          <t>Cuca, Roberto.</t>
        </is>
      </c>
      <c r="L2309" t="inlineStr">
        <is>
          <t>Baltimore ; London : Johns Hopkins University Press for the World Bank, 1977.</t>
        </is>
      </c>
      <c r="M2309" t="inlineStr">
        <is>
          <t>1977</t>
        </is>
      </c>
      <c r="O2309" t="inlineStr">
        <is>
          <t>eng</t>
        </is>
      </c>
      <c r="P2309" t="inlineStr">
        <is>
          <t>enk</t>
        </is>
      </c>
      <c r="R2309" t="inlineStr">
        <is>
          <t xml:space="preserve">HQ </t>
        </is>
      </c>
      <c r="S2309" t="n">
        <v>8</v>
      </c>
      <c r="T2309" t="n">
        <v>8</v>
      </c>
      <c r="U2309" t="inlineStr">
        <is>
          <t>2002-01-27</t>
        </is>
      </c>
      <c r="V2309" t="inlineStr">
        <is>
          <t>2002-01-27</t>
        </is>
      </c>
      <c r="W2309" t="inlineStr">
        <is>
          <t>1992-04-01</t>
        </is>
      </c>
      <c r="X2309" t="inlineStr">
        <is>
          <t>1992-04-01</t>
        </is>
      </c>
      <c r="Y2309" t="n">
        <v>12</v>
      </c>
      <c r="Z2309" t="n">
        <v>2</v>
      </c>
      <c r="AA2309" t="n">
        <v>436</v>
      </c>
      <c r="AB2309" t="n">
        <v>1</v>
      </c>
      <c r="AC2309" t="n">
        <v>3</v>
      </c>
      <c r="AD2309" t="n">
        <v>0</v>
      </c>
      <c r="AE2309" t="n">
        <v>19</v>
      </c>
      <c r="AF2309" t="n">
        <v>0</v>
      </c>
      <c r="AG2309" t="n">
        <v>8</v>
      </c>
      <c r="AH2309" t="n">
        <v>0</v>
      </c>
      <c r="AI2309" t="n">
        <v>6</v>
      </c>
      <c r="AJ2309" t="n">
        <v>0</v>
      </c>
      <c r="AK2309" t="n">
        <v>10</v>
      </c>
      <c r="AL2309" t="n">
        <v>0</v>
      </c>
      <c r="AM2309" t="n">
        <v>2</v>
      </c>
      <c r="AN2309" t="n">
        <v>0</v>
      </c>
      <c r="AO2309" t="n">
        <v>0</v>
      </c>
      <c r="AP2309" t="inlineStr">
        <is>
          <t>No</t>
        </is>
      </c>
      <c r="AQ2309" t="inlineStr">
        <is>
          <t>No</t>
        </is>
      </c>
      <c r="AS2309">
        <f>HYPERLINK("https://creighton-primo.hosted.exlibrisgroup.com/primo-explore/search?tab=default_tab&amp;search_scope=EVERYTHING&amp;vid=01CRU&amp;lang=en_US&amp;offset=0&amp;query=any,contains,991001108629702656","Catalog Record")</f>
        <v/>
      </c>
      <c r="AT2309">
        <f>HYPERLINK("http://www.worldcat.org/oclc/16425203","WorldCat Record")</f>
        <v/>
      </c>
      <c r="AU2309" t="inlineStr">
        <is>
          <t>451870:eng</t>
        </is>
      </c>
      <c r="AV2309" t="inlineStr">
        <is>
          <t>16425203</t>
        </is>
      </c>
      <c r="AW2309" t="inlineStr">
        <is>
          <t>991001108629702656</t>
        </is>
      </c>
      <c r="AX2309" t="inlineStr">
        <is>
          <t>991001108629702656</t>
        </is>
      </c>
      <c r="AY2309" t="inlineStr">
        <is>
          <t>2255365950002656</t>
        </is>
      </c>
      <c r="AZ2309" t="inlineStr">
        <is>
          <t>BOOK</t>
        </is>
      </c>
      <c r="BB2309" t="inlineStr">
        <is>
          <t>9780801820144</t>
        </is>
      </c>
      <c r="BC2309" t="inlineStr">
        <is>
          <t>32285001031326</t>
        </is>
      </c>
      <c r="BD2309" t="inlineStr">
        <is>
          <t>893334054</t>
        </is>
      </c>
    </row>
    <row r="2310">
      <c r="A2310" t="inlineStr">
        <is>
          <t>No</t>
        </is>
      </c>
      <c r="B2310" t="inlineStr">
        <is>
          <t>HQ766 .F2</t>
        </is>
      </c>
      <c r="C2310" t="inlineStr">
        <is>
          <t>0                      HQ 0766000F  2</t>
        </is>
      </c>
      <c r="D2310" t="inlineStr">
        <is>
          <t>The population explosion and Christian responsibility.</t>
        </is>
      </c>
      <c r="F2310" t="inlineStr">
        <is>
          <t>No</t>
        </is>
      </c>
      <c r="G2310" t="inlineStr">
        <is>
          <t>1</t>
        </is>
      </c>
      <c r="H2310" t="inlineStr">
        <is>
          <t>No</t>
        </is>
      </c>
      <c r="I2310" t="inlineStr">
        <is>
          <t>No</t>
        </is>
      </c>
      <c r="J2310" t="inlineStr">
        <is>
          <t>0</t>
        </is>
      </c>
      <c r="K2310" t="inlineStr">
        <is>
          <t>Fagley, Richard M.</t>
        </is>
      </c>
      <c r="L2310" t="inlineStr">
        <is>
          <t>New York, Oxford University Press, 1960.</t>
        </is>
      </c>
      <c r="M2310" t="inlineStr">
        <is>
          <t>1960</t>
        </is>
      </c>
      <c r="O2310" t="inlineStr">
        <is>
          <t>eng</t>
        </is>
      </c>
      <c r="P2310" t="inlineStr">
        <is>
          <t>nyu</t>
        </is>
      </c>
      <c r="R2310" t="inlineStr">
        <is>
          <t xml:space="preserve">HQ </t>
        </is>
      </c>
      <c r="S2310" t="n">
        <v>7</v>
      </c>
      <c r="T2310" t="n">
        <v>7</v>
      </c>
      <c r="U2310" t="inlineStr">
        <is>
          <t>2008-11-23</t>
        </is>
      </c>
      <c r="V2310" t="inlineStr">
        <is>
          <t>2008-11-23</t>
        </is>
      </c>
      <c r="W2310" t="inlineStr">
        <is>
          <t>1997-08-12</t>
        </is>
      </c>
      <c r="X2310" t="inlineStr">
        <is>
          <t>1997-08-12</t>
        </is>
      </c>
      <c r="Y2310" t="n">
        <v>826</v>
      </c>
      <c r="Z2310" t="n">
        <v>690</v>
      </c>
      <c r="AA2310" t="n">
        <v>698</v>
      </c>
      <c r="AB2310" t="n">
        <v>3</v>
      </c>
      <c r="AC2310" t="n">
        <v>3</v>
      </c>
      <c r="AD2310" t="n">
        <v>23</v>
      </c>
      <c r="AE2310" t="n">
        <v>23</v>
      </c>
      <c r="AF2310" t="n">
        <v>11</v>
      </c>
      <c r="AG2310" t="n">
        <v>11</v>
      </c>
      <c r="AH2310" t="n">
        <v>3</v>
      </c>
      <c r="AI2310" t="n">
        <v>3</v>
      </c>
      <c r="AJ2310" t="n">
        <v>13</v>
      </c>
      <c r="AK2310" t="n">
        <v>13</v>
      </c>
      <c r="AL2310" t="n">
        <v>2</v>
      </c>
      <c r="AM2310" t="n">
        <v>2</v>
      </c>
      <c r="AN2310" t="n">
        <v>0</v>
      </c>
      <c r="AO2310" t="n">
        <v>0</v>
      </c>
      <c r="AP2310" t="inlineStr">
        <is>
          <t>No</t>
        </is>
      </c>
      <c r="AQ2310" t="inlineStr">
        <is>
          <t>No</t>
        </is>
      </c>
      <c r="AR2310">
        <f>HYPERLINK("http://catalog.hathitrust.org/Record/001110028","HathiTrust Record")</f>
        <v/>
      </c>
      <c r="AS2310">
        <f>HYPERLINK("https://creighton-primo.hosted.exlibrisgroup.com/primo-explore/search?tab=default_tab&amp;search_scope=EVERYTHING&amp;vid=01CRU&amp;lang=en_US&amp;offset=0&amp;query=any,contains,991002037499702656","Catalog Record")</f>
        <v/>
      </c>
      <c r="AT2310">
        <f>HYPERLINK("http://www.worldcat.org/oclc/260862","WorldCat Record")</f>
        <v/>
      </c>
      <c r="AU2310" t="inlineStr">
        <is>
          <t>1369000:eng</t>
        </is>
      </c>
      <c r="AV2310" t="inlineStr">
        <is>
          <t>260862</t>
        </is>
      </c>
      <c r="AW2310" t="inlineStr">
        <is>
          <t>991002037499702656</t>
        </is>
      </c>
      <c r="AX2310" t="inlineStr">
        <is>
          <t>991002037499702656</t>
        </is>
      </c>
      <c r="AY2310" t="inlineStr">
        <is>
          <t>2262733030002656</t>
        </is>
      </c>
      <c r="AZ2310" t="inlineStr">
        <is>
          <t>BOOK</t>
        </is>
      </c>
      <c r="BC2310" t="inlineStr">
        <is>
          <t>32285003100079</t>
        </is>
      </c>
      <c r="BD2310" t="inlineStr">
        <is>
          <t>893328610</t>
        </is>
      </c>
    </row>
    <row r="2311">
      <c r="A2311" t="inlineStr">
        <is>
          <t>No</t>
        </is>
      </c>
      <c r="B2311" t="inlineStr">
        <is>
          <t>HQ766 .F47</t>
        </is>
      </c>
      <c r="C2311" t="inlineStr">
        <is>
          <t>0                      HQ 0766000F  47</t>
        </is>
      </c>
      <c r="D2311" t="inlineStr">
        <is>
          <t>Fertility and family planning; a world view. S. J. Behrman, Leslie Corsa, Jr., and Ronald Freedman, editors.</t>
        </is>
      </c>
      <c r="F2311" t="inlineStr">
        <is>
          <t>No</t>
        </is>
      </c>
      <c r="G2311" t="inlineStr">
        <is>
          <t>1</t>
        </is>
      </c>
      <c r="H2311" t="inlineStr">
        <is>
          <t>No</t>
        </is>
      </c>
      <c r="I2311" t="inlineStr">
        <is>
          <t>No</t>
        </is>
      </c>
      <c r="J2311" t="inlineStr">
        <is>
          <t>0</t>
        </is>
      </c>
      <c r="L2311" t="inlineStr">
        <is>
          <t>Ann Arbor, University of Michigan Press [1969]</t>
        </is>
      </c>
      <c r="M2311" t="inlineStr">
        <is>
          <t>1969</t>
        </is>
      </c>
      <c r="O2311" t="inlineStr">
        <is>
          <t>eng</t>
        </is>
      </c>
      <c r="P2311" t="inlineStr">
        <is>
          <t>miu</t>
        </is>
      </c>
      <c r="R2311" t="inlineStr">
        <is>
          <t xml:space="preserve">HQ </t>
        </is>
      </c>
      <c r="S2311" t="n">
        <v>3</v>
      </c>
      <c r="T2311" t="n">
        <v>3</v>
      </c>
      <c r="U2311" t="inlineStr">
        <is>
          <t>2005-10-05</t>
        </is>
      </c>
      <c r="V2311" t="inlineStr">
        <is>
          <t>2005-10-05</t>
        </is>
      </c>
      <c r="W2311" t="inlineStr">
        <is>
          <t>1996-09-03</t>
        </is>
      </c>
      <c r="X2311" t="inlineStr">
        <is>
          <t>1996-09-03</t>
        </is>
      </c>
      <c r="Y2311" t="n">
        <v>816</v>
      </c>
      <c r="Z2311" t="n">
        <v>689</v>
      </c>
      <c r="AA2311" t="n">
        <v>719</v>
      </c>
      <c r="AB2311" t="n">
        <v>5</v>
      </c>
      <c r="AC2311" t="n">
        <v>5</v>
      </c>
      <c r="AD2311" t="n">
        <v>31</v>
      </c>
      <c r="AE2311" t="n">
        <v>31</v>
      </c>
      <c r="AF2311" t="n">
        <v>13</v>
      </c>
      <c r="AG2311" t="n">
        <v>13</v>
      </c>
      <c r="AH2311" t="n">
        <v>7</v>
      </c>
      <c r="AI2311" t="n">
        <v>7</v>
      </c>
      <c r="AJ2311" t="n">
        <v>18</v>
      </c>
      <c r="AK2311" t="n">
        <v>18</v>
      </c>
      <c r="AL2311" t="n">
        <v>4</v>
      </c>
      <c r="AM2311" t="n">
        <v>4</v>
      </c>
      <c r="AN2311" t="n">
        <v>0</v>
      </c>
      <c r="AO2311" t="n">
        <v>0</v>
      </c>
      <c r="AP2311" t="inlineStr">
        <is>
          <t>No</t>
        </is>
      </c>
      <c r="AQ2311" t="inlineStr">
        <is>
          <t>Yes</t>
        </is>
      </c>
      <c r="AR2311">
        <f>HYPERLINK("http://catalog.hathitrust.org/Record/001108324","HathiTrust Record")</f>
        <v/>
      </c>
      <c r="AS2311">
        <f>HYPERLINK("https://creighton-primo.hosted.exlibrisgroup.com/primo-explore/search?tab=default_tab&amp;search_scope=EVERYTHING&amp;vid=01CRU&amp;lang=en_US&amp;offset=0&amp;query=any,contains,991005433599702656","Catalog Record")</f>
        <v/>
      </c>
      <c r="AT2311">
        <f>HYPERLINK("http://www.worldcat.org/oclc/1921","WorldCat Record")</f>
        <v/>
      </c>
      <c r="AU2311" t="inlineStr">
        <is>
          <t>1091000974:eng</t>
        </is>
      </c>
      <c r="AV2311" t="inlineStr">
        <is>
          <t>1921</t>
        </is>
      </c>
      <c r="AW2311" t="inlineStr">
        <is>
          <t>991005433599702656</t>
        </is>
      </c>
      <c r="AX2311" t="inlineStr">
        <is>
          <t>991005433599702656</t>
        </is>
      </c>
      <c r="AY2311" t="inlineStr">
        <is>
          <t>2271314550002656</t>
        </is>
      </c>
      <c r="AZ2311" t="inlineStr">
        <is>
          <t>BOOK</t>
        </is>
      </c>
      <c r="BC2311" t="inlineStr">
        <is>
          <t>32285002305117</t>
        </is>
      </c>
      <c r="BD2311" t="inlineStr">
        <is>
          <t>893902722</t>
        </is>
      </c>
    </row>
    <row r="2312">
      <c r="A2312" t="inlineStr">
        <is>
          <t>No</t>
        </is>
      </c>
      <c r="B2312" t="inlineStr">
        <is>
          <t>HQ766 .G6</t>
        </is>
      </c>
      <c r="C2312" t="inlineStr">
        <is>
          <t>0                      HQ 0766000G  6</t>
        </is>
      </c>
      <c r="D2312" t="inlineStr">
        <is>
          <t>Suicide bent : Sangerizing mankind / by David Goldstein.</t>
        </is>
      </c>
      <c r="F2312" t="inlineStr">
        <is>
          <t>No</t>
        </is>
      </c>
      <c r="G2312" t="inlineStr">
        <is>
          <t>1</t>
        </is>
      </c>
      <c r="H2312" t="inlineStr">
        <is>
          <t>No</t>
        </is>
      </c>
      <c r="I2312" t="inlineStr">
        <is>
          <t>No</t>
        </is>
      </c>
      <c r="J2312" t="inlineStr">
        <is>
          <t>0</t>
        </is>
      </c>
      <c r="K2312" t="inlineStr">
        <is>
          <t>Goldstein, David, 1870-1958.</t>
        </is>
      </c>
      <c r="L2312" t="inlineStr">
        <is>
          <t>St. Paul, Minn. : Radio Replies Press, [1945]</t>
        </is>
      </c>
      <c r="M2312" t="inlineStr">
        <is>
          <t>1945</t>
        </is>
      </c>
      <c r="O2312" t="inlineStr">
        <is>
          <t>eng</t>
        </is>
      </c>
      <c r="P2312" t="inlineStr">
        <is>
          <t>mnu</t>
        </is>
      </c>
      <c r="R2312" t="inlineStr">
        <is>
          <t xml:space="preserve">HQ </t>
        </is>
      </c>
      <c r="S2312" t="n">
        <v>6</v>
      </c>
      <c r="T2312" t="n">
        <v>6</v>
      </c>
      <c r="U2312" t="inlineStr">
        <is>
          <t>2006-11-03</t>
        </is>
      </c>
      <c r="V2312" t="inlineStr">
        <is>
          <t>2006-11-03</t>
        </is>
      </c>
      <c r="W2312" t="inlineStr">
        <is>
          <t>1993-09-29</t>
        </is>
      </c>
      <c r="X2312" t="inlineStr">
        <is>
          <t>1993-09-29</t>
        </is>
      </c>
      <c r="Y2312" t="n">
        <v>127</v>
      </c>
      <c r="Z2312" t="n">
        <v>108</v>
      </c>
      <c r="AA2312" t="n">
        <v>109</v>
      </c>
      <c r="AB2312" t="n">
        <v>3</v>
      </c>
      <c r="AC2312" t="n">
        <v>3</v>
      </c>
      <c r="AD2312" t="n">
        <v>11</v>
      </c>
      <c r="AE2312" t="n">
        <v>11</v>
      </c>
      <c r="AF2312" t="n">
        <v>2</v>
      </c>
      <c r="AG2312" t="n">
        <v>2</v>
      </c>
      <c r="AH2312" t="n">
        <v>3</v>
      </c>
      <c r="AI2312" t="n">
        <v>3</v>
      </c>
      <c r="AJ2312" t="n">
        <v>8</v>
      </c>
      <c r="AK2312" t="n">
        <v>8</v>
      </c>
      <c r="AL2312" t="n">
        <v>0</v>
      </c>
      <c r="AM2312" t="n">
        <v>0</v>
      </c>
      <c r="AN2312" t="n">
        <v>0</v>
      </c>
      <c r="AO2312" t="n">
        <v>0</v>
      </c>
      <c r="AP2312" t="inlineStr">
        <is>
          <t>No</t>
        </is>
      </c>
      <c r="AQ2312" t="inlineStr">
        <is>
          <t>Yes</t>
        </is>
      </c>
      <c r="AR2312">
        <f>HYPERLINK("http://catalog.hathitrust.org/Record/007475979","HathiTrust Record")</f>
        <v/>
      </c>
      <c r="AS2312">
        <f>HYPERLINK("https://creighton-primo.hosted.exlibrisgroup.com/primo-explore/search?tab=default_tab&amp;search_scope=EVERYTHING&amp;vid=01CRU&amp;lang=en_US&amp;offset=0&amp;query=any,contains,991001191709702656","Catalog Record")</f>
        <v/>
      </c>
      <c r="AT2312">
        <f>HYPERLINK("http://www.worldcat.org/oclc/191088","WorldCat Record")</f>
        <v/>
      </c>
      <c r="AU2312" t="inlineStr">
        <is>
          <t>1350335:eng</t>
        </is>
      </c>
      <c r="AV2312" t="inlineStr">
        <is>
          <t>191088</t>
        </is>
      </c>
      <c r="AW2312" t="inlineStr">
        <is>
          <t>991001191709702656</t>
        </is>
      </c>
      <c r="AX2312" t="inlineStr">
        <is>
          <t>991001191709702656</t>
        </is>
      </c>
      <c r="AY2312" t="inlineStr">
        <is>
          <t>2259145190002656</t>
        </is>
      </c>
      <c r="AZ2312" t="inlineStr">
        <is>
          <t>BOOK</t>
        </is>
      </c>
      <c r="BC2312" t="inlineStr">
        <is>
          <t>32285001771434</t>
        </is>
      </c>
      <c r="BD2312" t="inlineStr">
        <is>
          <t>893426399</t>
        </is>
      </c>
    </row>
    <row r="2313">
      <c r="A2313" t="inlineStr">
        <is>
          <t>No</t>
        </is>
      </c>
      <c r="B2313" t="inlineStr">
        <is>
          <t>HQ766 .G73 1948</t>
        </is>
      </c>
      <c r="C2313" t="inlineStr">
        <is>
          <t>0                      HQ 0766000G  73          1948</t>
        </is>
      </c>
      <c r="D2313" t="inlineStr">
        <is>
          <t>The "Rhythm" in marriage and Christian morality : Including a discussion of practical cases in married life / by N. Orville Griese.</t>
        </is>
      </c>
      <c r="F2313" t="inlineStr">
        <is>
          <t>No</t>
        </is>
      </c>
      <c r="G2313" t="inlineStr">
        <is>
          <t>1</t>
        </is>
      </c>
      <c r="H2313" t="inlineStr">
        <is>
          <t>No</t>
        </is>
      </c>
      <c r="I2313" t="inlineStr">
        <is>
          <t>No</t>
        </is>
      </c>
      <c r="J2313" t="inlineStr">
        <is>
          <t>0</t>
        </is>
      </c>
      <c r="K2313" t="inlineStr">
        <is>
          <t>Griese, Orville N.</t>
        </is>
      </c>
      <c r="L2313" t="inlineStr">
        <is>
          <t>Westminster, Maryland : Newman Press, 1948, c1944.</t>
        </is>
      </c>
      <c r="M2313" t="inlineStr">
        <is>
          <t>1948</t>
        </is>
      </c>
      <c r="O2313" t="inlineStr">
        <is>
          <t>eng</t>
        </is>
      </c>
      <c r="P2313" t="inlineStr">
        <is>
          <t>mdu</t>
        </is>
      </c>
      <c r="R2313" t="inlineStr">
        <is>
          <t xml:space="preserve">HQ </t>
        </is>
      </c>
      <c r="S2313" t="n">
        <v>9</v>
      </c>
      <c r="T2313" t="n">
        <v>9</v>
      </c>
      <c r="U2313" t="inlineStr">
        <is>
          <t>2002-10-05</t>
        </is>
      </c>
      <c r="V2313" t="inlineStr">
        <is>
          <t>2002-10-05</t>
        </is>
      </c>
      <c r="W2313" t="inlineStr">
        <is>
          <t>1997-08-12</t>
        </is>
      </c>
      <c r="X2313" t="inlineStr">
        <is>
          <t>1997-08-12</t>
        </is>
      </c>
      <c r="Y2313" t="n">
        <v>34</v>
      </c>
      <c r="Z2313" t="n">
        <v>30</v>
      </c>
      <c r="AA2313" t="n">
        <v>75</v>
      </c>
      <c r="AB2313" t="n">
        <v>1</v>
      </c>
      <c r="AC2313" t="n">
        <v>3</v>
      </c>
      <c r="AD2313" t="n">
        <v>9</v>
      </c>
      <c r="AE2313" t="n">
        <v>16</v>
      </c>
      <c r="AF2313" t="n">
        <v>1</v>
      </c>
      <c r="AG2313" t="n">
        <v>4</v>
      </c>
      <c r="AH2313" t="n">
        <v>1</v>
      </c>
      <c r="AI2313" t="n">
        <v>3</v>
      </c>
      <c r="AJ2313" t="n">
        <v>7</v>
      </c>
      <c r="AK2313" t="n">
        <v>12</v>
      </c>
      <c r="AL2313" t="n">
        <v>0</v>
      </c>
      <c r="AM2313" t="n">
        <v>0</v>
      </c>
      <c r="AN2313" t="n">
        <v>0</v>
      </c>
      <c r="AO2313" t="n">
        <v>0</v>
      </c>
      <c r="AP2313" t="inlineStr">
        <is>
          <t>No</t>
        </is>
      </c>
      <c r="AQ2313" t="inlineStr">
        <is>
          <t>No</t>
        </is>
      </c>
      <c r="AS2313">
        <f>HYPERLINK("https://creighton-primo.hosted.exlibrisgroup.com/primo-explore/search?tab=default_tab&amp;search_scope=EVERYTHING&amp;vid=01CRU&amp;lang=en_US&amp;offset=0&amp;query=any,contains,991004629309702656","Catalog Record")</f>
        <v/>
      </c>
      <c r="AT2313">
        <f>HYPERLINK("http://www.worldcat.org/oclc/4359937","WorldCat Record")</f>
        <v/>
      </c>
      <c r="AU2313" t="inlineStr">
        <is>
          <t>134152016:eng</t>
        </is>
      </c>
      <c r="AV2313" t="inlineStr">
        <is>
          <t>4359937</t>
        </is>
      </c>
      <c r="AW2313" t="inlineStr">
        <is>
          <t>991004629309702656</t>
        </is>
      </c>
      <c r="AX2313" t="inlineStr">
        <is>
          <t>991004629309702656</t>
        </is>
      </c>
      <c r="AY2313" t="inlineStr">
        <is>
          <t>2267742430002656</t>
        </is>
      </c>
      <c r="AZ2313" t="inlineStr">
        <is>
          <t>BOOK</t>
        </is>
      </c>
      <c r="BC2313" t="inlineStr">
        <is>
          <t>32285003100087</t>
        </is>
      </c>
      <c r="BD2313" t="inlineStr">
        <is>
          <t>893331844</t>
        </is>
      </c>
    </row>
    <row r="2314">
      <c r="A2314" t="inlineStr">
        <is>
          <t>No</t>
        </is>
      </c>
      <c r="B2314" t="inlineStr">
        <is>
          <t>HQ766 .G82 1950</t>
        </is>
      </c>
      <c r="C2314" t="inlineStr">
        <is>
          <t>0                      HQ 0766000G  82          1950</t>
        </is>
      </c>
      <c r="D2314" t="inlineStr">
        <is>
          <t>Judgment on birth control / by R. de Guchteneere.</t>
        </is>
      </c>
      <c r="F2314" t="inlineStr">
        <is>
          <t>No</t>
        </is>
      </c>
      <c r="G2314" t="inlineStr">
        <is>
          <t>1</t>
        </is>
      </c>
      <c r="H2314" t="inlineStr">
        <is>
          <t>No</t>
        </is>
      </c>
      <c r="I2314" t="inlineStr">
        <is>
          <t>No</t>
        </is>
      </c>
      <c r="J2314" t="inlineStr">
        <is>
          <t>0</t>
        </is>
      </c>
      <c r="K2314" t="inlineStr">
        <is>
          <t>Guchteneere, R. de (Raoul)</t>
        </is>
      </c>
      <c r="L2314" t="inlineStr">
        <is>
          <t>Baltimore : Carroll, 1950.</t>
        </is>
      </c>
      <c r="M2314" t="inlineStr">
        <is>
          <t>1950</t>
        </is>
      </c>
      <c r="O2314" t="inlineStr">
        <is>
          <t>eng</t>
        </is>
      </c>
      <c r="P2314" t="inlineStr">
        <is>
          <t>mdu</t>
        </is>
      </c>
      <c r="R2314" t="inlineStr">
        <is>
          <t xml:space="preserve">HQ </t>
        </is>
      </c>
      <c r="S2314" t="n">
        <v>1</v>
      </c>
      <c r="T2314" t="n">
        <v>1</v>
      </c>
      <c r="U2314" t="inlineStr">
        <is>
          <t>2002-08-28</t>
        </is>
      </c>
      <c r="V2314" t="inlineStr">
        <is>
          <t>2002-08-28</t>
        </is>
      </c>
      <c r="W2314" t="inlineStr">
        <is>
          <t>1993-10-04</t>
        </is>
      </c>
      <c r="X2314" t="inlineStr">
        <is>
          <t>1993-10-04</t>
        </is>
      </c>
      <c r="Y2314" t="n">
        <v>17</v>
      </c>
      <c r="Z2314" t="n">
        <v>16</v>
      </c>
      <c r="AA2314" t="n">
        <v>151</v>
      </c>
      <c r="AB2314" t="n">
        <v>2</v>
      </c>
      <c r="AC2314" t="n">
        <v>3</v>
      </c>
      <c r="AD2314" t="n">
        <v>2</v>
      </c>
      <c r="AE2314" t="n">
        <v>19</v>
      </c>
      <c r="AF2314" t="n">
        <v>0</v>
      </c>
      <c r="AG2314" t="n">
        <v>6</v>
      </c>
      <c r="AH2314" t="n">
        <v>1</v>
      </c>
      <c r="AI2314" t="n">
        <v>4</v>
      </c>
      <c r="AJ2314" t="n">
        <v>2</v>
      </c>
      <c r="AK2314" t="n">
        <v>15</v>
      </c>
      <c r="AL2314" t="n">
        <v>0</v>
      </c>
      <c r="AM2314" t="n">
        <v>0</v>
      </c>
      <c r="AN2314" t="n">
        <v>0</v>
      </c>
      <c r="AO2314" t="n">
        <v>0</v>
      </c>
      <c r="AP2314" t="inlineStr">
        <is>
          <t>No</t>
        </is>
      </c>
      <c r="AQ2314" t="inlineStr">
        <is>
          <t>Yes</t>
        </is>
      </c>
      <c r="AR2314">
        <f>HYPERLINK("http://catalog.hathitrust.org/Record/100923412","HathiTrust Record")</f>
        <v/>
      </c>
      <c r="AS2314">
        <f>HYPERLINK("https://creighton-primo.hosted.exlibrisgroup.com/primo-explore/search?tab=default_tab&amp;search_scope=EVERYTHING&amp;vid=01CRU&amp;lang=en_US&amp;offset=0&amp;query=any,contains,991000563939702656","Catalog Record")</f>
        <v/>
      </c>
      <c r="AT2314">
        <f>HYPERLINK("http://www.worldcat.org/oclc/11612738","WorldCat Record")</f>
        <v/>
      </c>
      <c r="AU2314" t="inlineStr">
        <is>
          <t>4020043537:eng</t>
        </is>
      </c>
      <c r="AV2314" t="inlineStr">
        <is>
          <t>11612738</t>
        </is>
      </c>
      <c r="AW2314" t="inlineStr">
        <is>
          <t>991000563939702656</t>
        </is>
      </c>
      <c r="AX2314" t="inlineStr">
        <is>
          <t>991000563939702656</t>
        </is>
      </c>
      <c r="AY2314" t="inlineStr">
        <is>
          <t>2259926100002656</t>
        </is>
      </c>
      <c r="AZ2314" t="inlineStr">
        <is>
          <t>BOOK</t>
        </is>
      </c>
      <c r="BC2314" t="inlineStr">
        <is>
          <t>32285001785384</t>
        </is>
      </c>
      <c r="BD2314" t="inlineStr">
        <is>
          <t>893897009</t>
        </is>
      </c>
    </row>
    <row r="2315">
      <c r="A2315" t="inlineStr">
        <is>
          <t>No</t>
        </is>
      </c>
      <c r="B2315" t="inlineStr">
        <is>
          <t>HQ766 .H36 1995</t>
        </is>
      </c>
      <c r="C2315" t="inlineStr">
        <is>
          <t>0                      HQ 0766000H  36          1995</t>
        </is>
      </c>
      <c r="D2315" t="inlineStr">
        <is>
          <t>Curbing population growth : an insider's perspective on the population movement / Oscar Harkavy, with commentaries by Ansley J. Coale, Sheldon J. Segal, and Amy Ong Tsui.</t>
        </is>
      </c>
      <c r="F2315" t="inlineStr">
        <is>
          <t>No</t>
        </is>
      </c>
      <c r="G2315" t="inlineStr">
        <is>
          <t>1</t>
        </is>
      </c>
      <c r="H2315" t="inlineStr">
        <is>
          <t>No</t>
        </is>
      </c>
      <c r="I2315" t="inlineStr">
        <is>
          <t>No</t>
        </is>
      </c>
      <c r="J2315" t="inlineStr">
        <is>
          <t>0</t>
        </is>
      </c>
      <c r="K2315" t="inlineStr">
        <is>
          <t>Harkavy, Oscar.</t>
        </is>
      </c>
      <c r="L2315" t="inlineStr">
        <is>
          <t>New York : Plenum Press, c1995.</t>
        </is>
      </c>
      <c r="M2315" t="inlineStr">
        <is>
          <t>1995</t>
        </is>
      </c>
      <c r="O2315" t="inlineStr">
        <is>
          <t>eng</t>
        </is>
      </c>
      <c r="P2315" t="inlineStr">
        <is>
          <t>nyu</t>
        </is>
      </c>
      <c r="Q2315" t="inlineStr">
        <is>
          <t>The Plenum series on demographic methods and population analysis</t>
        </is>
      </c>
      <c r="R2315" t="inlineStr">
        <is>
          <t xml:space="preserve">HQ </t>
        </is>
      </c>
      <c r="S2315" t="n">
        <v>16</v>
      </c>
      <c r="T2315" t="n">
        <v>16</v>
      </c>
      <c r="U2315" t="inlineStr">
        <is>
          <t>2008-02-07</t>
        </is>
      </c>
      <c r="V2315" t="inlineStr">
        <is>
          <t>2008-02-07</t>
        </is>
      </c>
      <c r="W2315" t="inlineStr">
        <is>
          <t>1996-03-29</t>
        </is>
      </c>
      <c r="X2315" t="inlineStr">
        <is>
          <t>1996-03-29</t>
        </is>
      </c>
      <c r="Y2315" t="n">
        <v>326</v>
      </c>
      <c r="Z2315" t="n">
        <v>262</v>
      </c>
      <c r="AA2315" t="n">
        <v>270</v>
      </c>
      <c r="AB2315" t="n">
        <v>2</v>
      </c>
      <c r="AC2315" t="n">
        <v>2</v>
      </c>
      <c r="AD2315" t="n">
        <v>13</v>
      </c>
      <c r="AE2315" t="n">
        <v>15</v>
      </c>
      <c r="AF2315" t="n">
        <v>3</v>
      </c>
      <c r="AG2315" t="n">
        <v>5</v>
      </c>
      <c r="AH2315" t="n">
        <v>4</v>
      </c>
      <c r="AI2315" t="n">
        <v>5</v>
      </c>
      <c r="AJ2315" t="n">
        <v>10</v>
      </c>
      <c r="AK2315" t="n">
        <v>11</v>
      </c>
      <c r="AL2315" t="n">
        <v>1</v>
      </c>
      <c r="AM2315" t="n">
        <v>1</v>
      </c>
      <c r="AN2315" t="n">
        <v>0</v>
      </c>
      <c r="AO2315" t="n">
        <v>0</v>
      </c>
      <c r="AP2315" t="inlineStr">
        <is>
          <t>No</t>
        </is>
      </c>
      <c r="AQ2315" t="inlineStr">
        <is>
          <t>No</t>
        </is>
      </c>
      <c r="AS2315">
        <f>HYPERLINK("https://creighton-primo.hosted.exlibrisgroup.com/primo-explore/search?tab=default_tab&amp;search_scope=EVERYTHING&amp;vid=01CRU&amp;lang=en_US&amp;offset=0&amp;query=any,contains,991002552659702656","Catalog Record")</f>
        <v/>
      </c>
      <c r="AT2315">
        <f>HYPERLINK("http://www.worldcat.org/oclc/33164492","WorldCat Record")</f>
        <v/>
      </c>
      <c r="AU2315" t="inlineStr">
        <is>
          <t>836999200:eng</t>
        </is>
      </c>
      <c r="AV2315" t="inlineStr">
        <is>
          <t>33164492</t>
        </is>
      </c>
      <c r="AW2315" t="inlineStr">
        <is>
          <t>991002552659702656</t>
        </is>
      </c>
      <c r="AX2315" t="inlineStr">
        <is>
          <t>991002552659702656</t>
        </is>
      </c>
      <c r="AY2315" t="inlineStr">
        <is>
          <t>2256587820002656</t>
        </is>
      </c>
      <c r="AZ2315" t="inlineStr">
        <is>
          <t>BOOK</t>
        </is>
      </c>
      <c r="BB2315" t="inlineStr">
        <is>
          <t>9780306450501</t>
        </is>
      </c>
      <c r="BC2315" t="inlineStr">
        <is>
          <t>32285002148558</t>
        </is>
      </c>
      <c r="BD2315" t="inlineStr">
        <is>
          <t>893591485</t>
        </is>
      </c>
    </row>
    <row r="2316">
      <c r="A2316" t="inlineStr">
        <is>
          <t>No</t>
        </is>
      </c>
      <c r="B2316" t="inlineStr">
        <is>
          <t>HQ766 .J325 1983</t>
        </is>
      </c>
      <c r="C2316" t="inlineStr">
        <is>
          <t>0                      HQ 0766000J  325         1983</t>
        </is>
      </c>
      <c r="D2316" t="inlineStr">
        <is>
          <t>Promoting population stabilization : incentives for small families / Judith Jacobsen.</t>
        </is>
      </c>
      <c r="F2316" t="inlineStr">
        <is>
          <t>No</t>
        </is>
      </c>
      <c r="G2316" t="inlineStr">
        <is>
          <t>1</t>
        </is>
      </c>
      <c r="H2316" t="inlineStr">
        <is>
          <t>No</t>
        </is>
      </c>
      <c r="I2316" t="inlineStr">
        <is>
          <t>No</t>
        </is>
      </c>
      <c r="J2316" t="inlineStr">
        <is>
          <t>0</t>
        </is>
      </c>
      <c r="K2316" t="inlineStr">
        <is>
          <t>Jacobsen, Judith.</t>
        </is>
      </c>
      <c r="L2316" t="inlineStr">
        <is>
          <t>Washington, D.C., USA : Worldwatch Institute, c1983.</t>
        </is>
      </c>
      <c r="M2316" t="inlineStr">
        <is>
          <t>1983</t>
        </is>
      </c>
      <c r="O2316" t="inlineStr">
        <is>
          <t>eng</t>
        </is>
      </c>
      <c r="P2316" t="inlineStr">
        <is>
          <t>dcu</t>
        </is>
      </c>
      <c r="Q2316" t="inlineStr">
        <is>
          <t>Worldwatch paper ; 54</t>
        </is>
      </c>
      <c r="R2316" t="inlineStr">
        <is>
          <t xml:space="preserve">HQ </t>
        </is>
      </c>
      <c r="S2316" t="n">
        <v>9</v>
      </c>
      <c r="T2316" t="n">
        <v>9</v>
      </c>
      <c r="U2316" t="inlineStr">
        <is>
          <t>2009-02-16</t>
        </is>
      </c>
      <c r="V2316" t="inlineStr">
        <is>
          <t>2009-02-16</t>
        </is>
      </c>
      <c r="W2316" t="inlineStr">
        <is>
          <t>1992-03-31</t>
        </is>
      </c>
      <c r="X2316" t="inlineStr">
        <is>
          <t>1992-03-31</t>
        </is>
      </c>
      <c r="Y2316" t="n">
        <v>342</v>
      </c>
      <c r="Z2316" t="n">
        <v>285</v>
      </c>
      <c r="AA2316" t="n">
        <v>288</v>
      </c>
      <c r="AB2316" t="n">
        <v>2</v>
      </c>
      <c r="AC2316" t="n">
        <v>2</v>
      </c>
      <c r="AD2316" t="n">
        <v>10</v>
      </c>
      <c r="AE2316" t="n">
        <v>10</v>
      </c>
      <c r="AF2316" t="n">
        <v>5</v>
      </c>
      <c r="AG2316" t="n">
        <v>5</v>
      </c>
      <c r="AH2316" t="n">
        <v>2</v>
      </c>
      <c r="AI2316" t="n">
        <v>2</v>
      </c>
      <c r="AJ2316" t="n">
        <v>6</v>
      </c>
      <c r="AK2316" t="n">
        <v>6</v>
      </c>
      <c r="AL2316" t="n">
        <v>1</v>
      </c>
      <c r="AM2316" t="n">
        <v>1</v>
      </c>
      <c r="AN2316" t="n">
        <v>0</v>
      </c>
      <c r="AO2316" t="n">
        <v>0</v>
      </c>
      <c r="AP2316" t="inlineStr">
        <is>
          <t>No</t>
        </is>
      </c>
      <c r="AQ2316" t="inlineStr">
        <is>
          <t>Yes</t>
        </is>
      </c>
      <c r="AR2316">
        <f>HYPERLINK("http://catalog.hathitrust.org/Record/007117976","HathiTrust Record")</f>
        <v/>
      </c>
      <c r="AS2316">
        <f>HYPERLINK("https://creighton-primo.hosted.exlibrisgroup.com/primo-explore/search?tab=default_tab&amp;search_scope=EVERYTHING&amp;vid=01CRU&amp;lang=en_US&amp;offset=0&amp;query=any,contains,991000238389702656","Catalog Record")</f>
        <v/>
      </c>
      <c r="AT2316">
        <f>HYPERLINK("http://www.worldcat.org/oclc/9680614","WorldCat Record")</f>
        <v/>
      </c>
      <c r="AU2316" t="inlineStr">
        <is>
          <t>196786661:eng</t>
        </is>
      </c>
      <c r="AV2316" t="inlineStr">
        <is>
          <t>9680614</t>
        </is>
      </c>
      <c r="AW2316" t="inlineStr">
        <is>
          <t>991000238389702656</t>
        </is>
      </c>
      <c r="AX2316" t="inlineStr">
        <is>
          <t>991000238389702656</t>
        </is>
      </c>
      <c r="AY2316" t="inlineStr">
        <is>
          <t>2258233070002656</t>
        </is>
      </c>
      <c r="AZ2316" t="inlineStr">
        <is>
          <t>BOOK</t>
        </is>
      </c>
      <c r="BB2316" t="inlineStr">
        <is>
          <t>9780916468538</t>
        </is>
      </c>
      <c r="BC2316" t="inlineStr">
        <is>
          <t>32285001031318</t>
        </is>
      </c>
      <c r="BD2316" t="inlineStr">
        <is>
          <t>893502361</t>
        </is>
      </c>
    </row>
    <row r="2317">
      <c r="A2317" t="inlineStr">
        <is>
          <t>No</t>
        </is>
      </c>
      <c r="B2317" t="inlineStr">
        <is>
          <t>HQ766 .J33 1987</t>
        </is>
      </c>
      <c r="C2317" t="inlineStr">
        <is>
          <t>0                      HQ 0766000J  33          1987</t>
        </is>
      </c>
      <c r="D2317" t="inlineStr">
        <is>
          <t>Planning the global family / Jodi L. Jacobson.</t>
        </is>
      </c>
      <c r="F2317" t="inlineStr">
        <is>
          <t>No</t>
        </is>
      </c>
      <c r="G2317" t="inlineStr">
        <is>
          <t>1</t>
        </is>
      </c>
      <c r="H2317" t="inlineStr">
        <is>
          <t>No</t>
        </is>
      </c>
      <c r="I2317" t="inlineStr">
        <is>
          <t>No</t>
        </is>
      </c>
      <c r="J2317" t="inlineStr">
        <is>
          <t>0</t>
        </is>
      </c>
      <c r="K2317" t="inlineStr">
        <is>
          <t>Jacobson, Jodi L.</t>
        </is>
      </c>
      <c r="L2317" t="inlineStr">
        <is>
          <t>Washington, D.C. : Worldwatch Institute, 1987.</t>
        </is>
      </c>
      <c r="M2317" t="inlineStr">
        <is>
          <t>1987</t>
        </is>
      </c>
      <c r="O2317" t="inlineStr">
        <is>
          <t>eng</t>
        </is>
      </c>
      <c r="P2317" t="inlineStr">
        <is>
          <t>dcu</t>
        </is>
      </c>
      <c r="Q2317" t="inlineStr">
        <is>
          <t>Worldwatch paper ; 80</t>
        </is>
      </c>
      <c r="R2317" t="inlineStr">
        <is>
          <t xml:space="preserve">HQ </t>
        </is>
      </c>
      <c r="S2317" t="n">
        <v>9</v>
      </c>
      <c r="T2317" t="n">
        <v>9</v>
      </c>
      <c r="U2317" t="inlineStr">
        <is>
          <t>1994-04-04</t>
        </is>
      </c>
      <c r="V2317" t="inlineStr">
        <is>
          <t>1994-04-04</t>
        </is>
      </c>
      <c r="W2317" t="inlineStr">
        <is>
          <t>1991-12-09</t>
        </is>
      </c>
      <c r="X2317" t="inlineStr">
        <is>
          <t>1991-12-09</t>
        </is>
      </c>
      <c r="Y2317" t="n">
        <v>436</v>
      </c>
      <c r="Z2317" t="n">
        <v>360</v>
      </c>
      <c r="AA2317" t="n">
        <v>363</v>
      </c>
      <c r="AB2317" t="n">
        <v>3</v>
      </c>
      <c r="AC2317" t="n">
        <v>3</v>
      </c>
      <c r="AD2317" t="n">
        <v>18</v>
      </c>
      <c r="AE2317" t="n">
        <v>18</v>
      </c>
      <c r="AF2317" t="n">
        <v>7</v>
      </c>
      <c r="AG2317" t="n">
        <v>7</v>
      </c>
      <c r="AH2317" t="n">
        <v>3</v>
      </c>
      <c r="AI2317" t="n">
        <v>3</v>
      </c>
      <c r="AJ2317" t="n">
        <v>8</v>
      </c>
      <c r="AK2317" t="n">
        <v>8</v>
      </c>
      <c r="AL2317" t="n">
        <v>2</v>
      </c>
      <c r="AM2317" t="n">
        <v>2</v>
      </c>
      <c r="AN2317" t="n">
        <v>2</v>
      </c>
      <c r="AO2317" t="n">
        <v>2</v>
      </c>
      <c r="AP2317" t="inlineStr">
        <is>
          <t>No</t>
        </is>
      </c>
      <c r="AQ2317" t="inlineStr">
        <is>
          <t>Yes</t>
        </is>
      </c>
      <c r="AR2317">
        <f>HYPERLINK("http://catalog.hathitrust.org/Record/000845116","HathiTrust Record")</f>
        <v/>
      </c>
      <c r="AS2317">
        <f>HYPERLINK("https://creighton-primo.hosted.exlibrisgroup.com/primo-explore/search?tab=default_tab&amp;search_scope=EVERYTHING&amp;vid=01CRU&amp;lang=en_US&amp;offset=0&amp;query=any,contains,991001195709702656","Catalog Record")</f>
        <v/>
      </c>
      <c r="AT2317">
        <f>HYPERLINK("http://www.worldcat.org/oclc/17282721","WorldCat Record")</f>
        <v/>
      </c>
      <c r="AU2317" t="inlineStr">
        <is>
          <t>15912213:eng</t>
        </is>
      </c>
      <c r="AV2317" t="inlineStr">
        <is>
          <t>17282721</t>
        </is>
      </c>
      <c r="AW2317" t="inlineStr">
        <is>
          <t>991001195709702656</t>
        </is>
      </c>
      <c r="AX2317" t="inlineStr">
        <is>
          <t>991001195709702656</t>
        </is>
      </c>
      <c r="AY2317" t="inlineStr">
        <is>
          <t>2268921960002656</t>
        </is>
      </c>
      <c r="AZ2317" t="inlineStr">
        <is>
          <t>BOOK</t>
        </is>
      </c>
      <c r="BB2317" t="inlineStr">
        <is>
          <t>9780916468811</t>
        </is>
      </c>
      <c r="BC2317" t="inlineStr">
        <is>
          <t>32285000872944</t>
        </is>
      </c>
      <c r="BD2317" t="inlineStr">
        <is>
          <t>893426406</t>
        </is>
      </c>
    </row>
    <row r="2318">
      <c r="A2318" t="inlineStr">
        <is>
          <t>No</t>
        </is>
      </c>
      <c r="B2318" t="inlineStr">
        <is>
          <t>HQ766 .K24 1985</t>
        </is>
      </c>
      <c r="C2318" t="inlineStr">
        <is>
          <t>0                      HQ 0766000K  24          1985</t>
        </is>
      </c>
      <c r="D2318" t="inlineStr">
        <is>
          <t>The politics of sex and religion : a case history in the development of doctrine, 1962-1984 / Robert Blair Kaiser.</t>
        </is>
      </c>
      <c r="F2318" t="inlineStr">
        <is>
          <t>No</t>
        </is>
      </c>
      <c r="G2318" t="inlineStr">
        <is>
          <t>1</t>
        </is>
      </c>
      <c r="H2318" t="inlineStr">
        <is>
          <t>No</t>
        </is>
      </c>
      <c r="I2318" t="inlineStr">
        <is>
          <t>No</t>
        </is>
      </c>
      <c r="J2318" t="inlineStr">
        <is>
          <t>0</t>
        </is>
      </c>
      <c r="K2318" t="inlineStr">
        <is>
          <t>Kaiser, Robert Blair.</t>
        </is>
      </c>
      <c r="L2318" t="inlineStr">
        <is>
          <t>Kansas City, Mo. : Leaven Press, c1985.</t>
        </is>
      </c>
      <c r="M2318" t="inlineStr">
        <is>
          <t>1985</t>
        </is>
      </c>
      <c r="O2318" t="inlineStr">
        <is>
          <t>eng</t>
        </is>
      </c>
      <c r="P2318" t="inlineStr">
        <is>
          <t>mou</t>
        </is>
      </c>
      <c r="R2318" t="inlineStr">
        <is>
          <t xml:space="preserve">HQ </t>
        </is>
      </c>
      <c r="S2318" t="n">
        <v>22</v>
      </c>
      <c r="T2318" t="n">
        <v>22</v>
      </c>
      <c r="U2318" t="inlineStr">
        <is>
          <t>2005-09-12</t>
        </is>
      </c>
      <c r="V2318" t="inlineStr">
        <is>
          <t>2005-09-12</t>
        </is>
      </c>
      <c r="W2318" t="inlineStr">
        <is>
          <t>1990-05-01</t>
        </is>
      </c>
      <c r="X2318" t="inlineStr">
        <is>
          <t>1990-05-01</t>
        </is>
      </c>
      <c r="Y2318" t="n">
        <v>259</v>
      </c>
      <c r="Z2318" t="n">
        <v>228</v>
      </c>
      <c r="AA2318" t="n">
        <v>230</v>
      </c>
      <c r="AB2318" t="n">
        <v>3</v>
      </c>
      <c r="AC2318" t="n">
        <v>3</v>
      </c>
      <c r="AD2318" t="n">
        <v>21</v>
      </c>
      <c r="AE2318" t="n">
        <v>21</v>
      </c>
      <c r="AF2318" t="n">
        <v>6</v>
      </c>
      <c r="AG2318" t="n">
        <v>6</v>
      </c>
      <c r="AH2318" t="n">
        <v>4</v>
      </c>
      <c r="AI2318" t="n">
        <v>4</v>
      </c>
      <c r="AJ2318" t="n">
        <v>14</v>
      </c>
      <c r="AK2318" t="n">
        <v>14</v>
      </c>
      <c r="AL2318" t="n">
        <v>1</v>
      </c>
      <c r="AM2318" t="n">
        <v>1</v>
      </c>
      <c r="AN2318" t="n">
        <v>0</v>
      </c>
      <c r="AO2318" t="n">
        <v>0</v>
      </c>
      <c r="AP2318" t="inlineStr">
        <is>
          <t>No</t>
        </is>
      </c>
      <c r="AQ2318" t="inlineStr">
        <is>
          <t>Yes</t>
        </is>
      </c>
      <c r="AR2318">
        <f>HYPERLINK("http://catalog.hathitrust.org/Record/000382766","HathiTrust Record")</f>
        <v/>
      </c>
      <c r="AS2318">
        <f>HYPERLINK("https://creighton-primo.hosted.exlibrisgroup.com/primo-explore/search?tab=default_tab&amp;search_scope=EVERYTHING&amp;vid=01CRU&amp;lang=en_US&amp;offset=0&amp;query=any,contains,991000627269702656","Catalog Record")</f>
        <v/>
      </c>
      <c r="AT2318">
        <f>HYPERLINK("http://www.worldcat.org/oclc/12044900","WorldCat Record")</f>
        <v/>
      </c>
      <c r="AU2318" t="inlineStr">
        <is>
          <t>889324787:eng</t>
        </is>
      </c>
      <c r="AV2318" t="inlineStr">
        <is>
          <t>12044900</t>
        </is>
      </c>
      <c r="AW2318" t="inlineStr">
        <is>
          <t>991000627269702656</t>
        </is>
      </c>
      <c r="AX2318" t="inlineStr">
        <is>
          <t>991000627269702656</t>
        </is>
      </c>
      <c r="AY2318" t="inlineStr">
        <is>
          <t>2258428570002656</t>
        </is>
      </c>
      <c r="AZ2318" t="inlineStr">
        <is>
          <t>BOOK</t>
        </is>
      </c>
      <c r="BB2318" t="inlineStr">
        <is>
          <t>9780934134163</t>
        </is>
      </c>
      <c r="BC2318" t="inlineStr">
        <is>
          <t>32285000147024</t>
        </is>
      </c>
      <c r="BD2318" t="inlineStr">
        <is>
          <t>893419639</t>
        </is>
      </c>
    </row>
    <row r="2319">
      <c r="A2319" t="inlineStr">
        <is>
          <t>No</t>
        </is>
      </c>
      <c r="B2319" t="inlineStr">
        <is>
          <t>HQ766 .O99 1982</t>
        </is>
      </c>
      <c r="C2319" t="inlineStr">
        <is>
          <t>0                      HQ 0766000O  99          1982</t>
        </is>
      </c>
      <c r="D2319" t="inlineStr">
        <is>
          <t>The Ovulation method of natural family planning : a standarized, case management approach to teaching : Book one / Thomas W. Hilgers ... [et al.].</t>
        </is>
      </c>
      <c r="F2319" t="inlineStr">
        <is>
          <t>No</t>
        </is>
      </c>
      <c r="G2319" t="inlineStr">
        <is>
          <t>1</t>
        </is>
      </c>
      <c r="H2319" t="inlineStr">
        <is>
          <t>Yes</t>
        </is>
      </c>
      <c r="I2319" t="inlineStr">
        <is>
          <t>No</t>
        </is>
      </c>
      <c r="J2319" t="inlineStr">
        <is>
          <t>0</t>
        </is>
      </c>
      <c r="L2319" t="inlineStr">
        <is>
          <t>Omaha : Creighton University Natural Family Planning Education and Research Center, c1982.</t>
        </is>
      </c>
      <c r="M2319" t="inlineStr">
        <is>
          <t>1982</t>
        </is>
      </c>
      <c r="O2319" t="inlineStr">
        <is>
          <t>eng</t>
        </is>
      </c>
      <c r="P2319" t="inlineStr">
        <is>
          <t>neu</t>
        </is>
      </c>
      <c r="R2319" t="inlineStr">
        <is>
          <t xml:space="preserve">HQ </t>
        </is>
      </c>
      <c r="S2319" t="n">
        <v>6</v>
      </c>
      <c r="T2319" t="n">
        <v>10</v>
      </c>
      <c r="U2319" t="inlineStr">
        <is>
          <t>1997-04-15</t>
        </is>
      </c>
      <c r="V2319" t="inlineStr">
        <is>
          <t>1998-03-20</t>
        </is>
      </c>
      <c r="W2319" t="inlineStr">
        <is>
          <t>1992-04-15</t>
        </is>
      </c>
      <c r="X2319" t="inlineStr">
        <is>
          <t>1992-04-15</t>
        </is>
      </c>
      <c r="Y2319" t="n">
        <v>17</v>
      </c>
      <c r="Z2319" t="n">
        <v>17</v>
      </c>
      <c r="AA2319" t="n">
        <v>17</v>
      </c>
      <c r="AB2319" t="n">
        <v>3</v>
      </c>
      <c r="AC2319" t="n">
        <v>3</v>
      </c>
      <c r="AD2319" t="n">
        <v>2</v>
      </c>
      <c r="AE2319" t="n">
        <v>2</v>
      </c>
      <c r="AF2319" t="n">
        <v>0</v>
      </c>
      <c r="AG2319" t="n">
        <v>0</v>
      </c>
      <c r="AH2319" t="n">
        <v>0</v>
      </c>
      <c r="AI2319" t="n">
        <v>0</v>
      </c>
      <c r="AJ2319" t="n">
        <v>1</v>
      </c>
      <c r="AK2319" t="n">
        <v>1</v>
      </c>
      <c r="AL2319" t="n">
        <v>1</v>
      </c>
      <c r="AM2319" t="n">
        <v>1</v>
      </c>
      <c r="AN2319" t="n">
        <v>0</v>
      </c>
      <c r="AO2319" t="n">
        <v>0</v>
      </c>
      <c r="AP2319" t="inlineStr">
        <is>
          <t>No</t>
        </is>
      </c>
      <c r="AQ2319" t="inlineStr">
        <is>
          <t>No</t>
        </is>
      </c>
      <c r="AS2319">
        <f>HYPERLINK("https://creighton-primo.hosted.exlibrisgroup.com/primo-explore/search?tab=default_tab&amp;search_scope=EVERYTHING&amp;vid=01CRU&amp;lang=en_US&amp;offset=0&amp;query=any,contains,991001759749702656","Catalog Record")</f>
        <v/>
      </c>
      <c r="AT2319">
        <f>HYPERLINK("http://www.worldcat.org/oclc/9126473","WorldCat Record")</f>
        <v/>
      </c>
      <c r="AU2319" t="inlineStr">
        <is>
          <t>1203395246:eng</t>
        </is>
      </c>
      <c r="AV2319" t="inlineStr">
        <is>
          <t>9126473</t>
        </is>
      </c>
      <c r="AW2319" t="inlineStr">
        <is>
          <t>991001759749702656</t>
        </is>
      </c>
      <c r="AX2319" t="inlineStr">
        <is>
          <t>991001759749702656</t>
        </is>
      </c>
      <c r="AY2319" t="inlineStr">
        <is>
          <t>2268234210002656</t>
        </is>
      </c>
      <c r="AZ2319" t="inlineStr">
        <is>
          <t>BOOK</t>
        </is>
      </c>
      <c r="BC2319" t="inlineStr">
        <is>
          <t>32285001063048</t>
        </is>
      </c>
      <c r="BD2319" t="inlineStr">
        <is>
          <t>893232233</t>
        </is>
      </c>
    </row>
    <row r="2320">
      <c r="A2320" t="inlineStr">
        <is>
          <t>No</t>
        </is>
      </c>
      <c r="B2320" t="inlineStr">
        <is>
          <t>HQ766 .P53 1982</t>
        </is>
      </c>
      <c r="C2320" t="inlineStr">
        <is>
          <t>0                      HQ 0766000P  53          1982</t>
        </is>
      </c>
      <c r="D2320" t="inlineStr">
        <is>
          <t>The Picture dictionary of the ovulation method and other assorted teaching aids : a natural family planning resource book / by Thomas W. Hilgers ... [et al.].</t>
        </is>
      </c>
      <c r="F2320" t="inlineStr">
        <is>
          <t>No</t>
        </is>
      </c>
      <c r="G2320" t="inlineStr">
        <is>
          <t>1</t>
        </is>
      </c>
      <c r="H2320" t="inlineStr">
        <is>
          <t>Yes</t>
        </is>
      </c>
      <c r="I2320" t="inlineStr">
        <is>
          <t>No</t>
        </is>
      </c>
      <c r="J2320" t="inlineStr">
        <is>
          <t>0</t>
        </is>
      </c>
      <c r="L2320" t="inlineStr">
        <is>
          <t>Omaha : Creighton University Natural Family Planning Education and Research Center, c1982.</t>
        </is>
      </c>
      <c r="M2320" t="inlineStr">
        <is>
          <t>1982</t>
        </is>
      </c>
      <c r="O2320" t="inlineStr">
        <is>
          <t>eng</t>
        </is>
      </c>
      <c r="P2320" t="inlineStr">
        <is>
          <t>neu</t>
        </is>
      </c>
      <c r="R2320" t="inlineStr">
        <is>
          <t xml:space="preserve">HQ </t>
        </is>
      </c>
      <c r="S2320" t="n">
        <v>6</v>
      </c>
      <c r="T2320" t="n">
        <v>8</v>
      </c>
      <c r="U2320" t="inlineStr">
        <is>
          <t>1995-10-05</t>
        </is>
      </c>
      <c r="V2320" t="inlineStr">
        <is>
          <t>1997-06-01</t>
        </is>
      </c>
      <c r="W2320" t="inlineStr">
        <is>
          <t>1992-11-09</t>
        </is>
      </c>
      <c r="X2320" t="inlineStr">
        <is>
          <t>1992-11-09</t>
        </is>
      </c>
      <c r="Y2320" t="n">
        <v>15</v>
      </c>
      <c r="Z2320" t="n">
        <v>15</v>
      </c>
      <c r="AA2320" t="n">
        <v>15</v>
      </c>
      <c r="AB2320" t="n">
        <v>3</v>
      </c>
      <c r="AC2320" t="n">
        <v>3</v>
      </c>
      <c r="AD2320" t="n">
        <v>3</v>
      </c>
      <c r="AE2320" t="n">
        <v>3</v>
      </c>
      <c r="AF2320" t="n">
        <v>0</v>
      </c>
      <c r="AG2320" t="n">
        <v>0</v>
      </c>
      <c r="AH2320" t="n">
        <v>0</v>
      </c>
      <c r="AI2320" t="n">
        <v>0</v>
      </c>
      <c r="AJ2320" t="n">
        <v>2</v>
      </c>
      <c r="AK2320" t="n">
        <v>2</v>
      </c>
      <c r="AL2320" t="n">
        <v>1</v>
      </c>
      <c r="AM2320" t="n">
        <v>1</v>
      </c>
      <c r="AN2320" t="n">
        <v>0</v>
      </c>
      <c r="AO2320" t="n">
        <v>0</v>
      </c>
      <c r="AP2320" t="inlineStr">
        <is>
          <t>No</t>
        </is>
      </c>
      <c r="AQ2320" t="inlineStr">
        <is>
          <t>No</t>
        </is>
      </c>
      <c r="AS2320">
        <f>HYPERLINK("https://creighton-primo.hosted.exlibrisgroup.com/primo-explore/search?tab=default_tab&amp;search_scope=EVERYTHING&amp;vid=01CRU&amp;lang=en_US&amp;offset=0&amp;query=any,contains,991001759789702656","Catalog Record")</f>
        <v/>
      </c>
      <c r="AT2320">
        <f>HYPERLINK("http://www.worldcat.org/oclc/9127052","WorldCat Record")</f>
        <v/>
      </c>
      <c r="AU2320" t="inlineStr">
        <is>
          <t>43404647:eng</t>
        </is>
      </c>
      <c r="AV2320" t="inlineStr">
        <is>
          <t>9127052</t>
        </is>
      </c>
      <c r="AW2320" t="inlineStr">
        <is>
          <t>991001759789702656</t>
        </is>
      </c>
      <c r="AX2320" t="inlineStr">
        <is>
          <t>991001759789702656</t>
        </is>
      </c>
      <c r="AY2320" t="inlineStr">
        <is>
          <t>2266556670002656</t>
        </is>
      </c>
      <c r="AZ2320" t="inlineStr">
        <is>
          <t>BOOK</t>
        </is>
      </c>
      <c r="BC2320" t="inlineStr">
        <is>
          <t>32285001395119</t>
        </is>
      </c>
      <c r="BD2320" t="inlineStr">
        <is>
          <t>893426826</t>
        </is>
      </c>
    </row>
    <row r="2321">
      <c r="A2321" t="inlineStr">
        <is>
          <t>No</t>
        </is>
      </c>
      <c r="B2321" t="inlineStr">
        <is>
          <t>HQ766 .P6368</t>
        </is>
      </c>
      <c r="C2321" t="inlineStr">
        <is>
          <t>0                      HQ 0766000P  6368</t>
        </is>
      </c>
      <c r="D2321" t="inlineStr">
        <is>
          <t>Incentives and compensations in birth planning.</t>
        </is>
      </c>
      <c r="F2321" t="inlineStr">
        <is>
          <t>No</t>
        </is>
      </c>
      <c r="G2321" t="inlineStr">
        <is>
          <t>1</t>
        </is>
      </c>
      <c r="H2321" t="inlineStr">
        <is>
          <t>No</t>
        </is>
      </c>
      <c r="I2321" t="inlineStr">
        <is>
          <t>No</t>
        </is>
      </c>
      <c r="J2321" t="inlineStr">
        <is>
          <t>0</t>
        </is>
      </c>
      <c r="K2321" t="inlineStr">
        <is>
          <t>Pohlman, Edward, 1933-</t>
        </is>
      </c>
      <c r="L2321" t="inlineStr">
        <is>
          <t>[Chapel Hill] : Carolina Population Center, 1971.</t>
        </is>
      </c>
      <c r="M2321" t="inlineStr">
        <is>
          <t>1971</t>
        </is>
      </c>
      <c r="O2321" t="inlineStr">
        <is>
          <t>eng</t>
        </is>
      </c>
      <c r="P2321" t="inlineStr">
        <is>
          <t>ncu</t>
        </is>
      </c>
      <c r="Q2321" t="inlineStr">
        <is>
          <t>Carolina Population Center. Monograph 11</t>
        </is>
      </c>
      <c r="R2321" t="inlineStr">
        <is>
          <t xml:space="preserve">HQ </t>
        </is>
      </c>
      <c r="S2321" t="n">
        <v>4</v>
      </c>
      <c r="T2321" t="n">
        <v>4</v>
      </c>
      <c r="U2321" t="inlineStr">
        <is>
          <t>2008-12-09</t>
        </is>
      </c>
      <c r="V2321" t="inlineStr">
        <is>
          <t>2008-12-09</t>
        </is>
      </c>
      <c r="W2321" t="inlineStr">
        <is>
          <t>1992-12-17</t>
        </is>
      </c>
      <c r="X2321" t="inlineStr">
        <is>
          <t>1992-12-17</t>
        </is>
      </c>
      <c r="Y2321" t="n">
        <v>156</v>
      </c>
      <c r="Z2321" t="n">
        <v>136</v>
      </c>
      <c r="AA2321" t="n">
        <v>137</v>
      </c>
      <c r="AB2321" t="n">
        <v>2</v>
      </c>
      <c r="AC2321" t="n">
        <v>2</v>
      </c>
      <c r="AD2321" t="n">
        <v>6</v>
      </c>
      <c r="AE2321" t="n">
        <v>6</v>
      </c>
      <c r="AF2321" t="n">
        <v>0</v>
      </c>
      <c r="AG2321" t="n">
        <v>0</v>
      </c>
      <c r="AH2321" t="n">
        <v>2</v>
      </c>
      <c r="AI2321" t="n">
        <v>2</v>
      </c>
      <c r="AJ2321" t="n">
        <v>4</v>
      </c>
      <c r="AK2321" t="n">
        <v>4</v>
      </c>
      <c r="AL2321" t="n">
        <v>1</v>
      </c>
      <c r="AM2321" t="n">
        <v>1</v>
      </c>
      <c r="AN2321" t="n">
        <v>0</v>
      </c>
      <c r="AO2321" t="n">
        <v>0</v>
      </c>
      <c r="AP2321" t="inlineStr">
        <is>
          <t>No</t>
        </is>
      </c>
      <c r="AQ2321" t="inlineStr">
        <is>
          <t>No</t>
        </is>
      </c>
      <c r="AS2321">
        <f>HYPERLINK("https://creighton-primo.hosted.exlibrisgroup.com/primo-explore/search?tab=default_tab&amp;search_scope=EVERYTHING&amp;vid=01CRU&amp;lang=en_US&amp;offset=0&amp;query=any,contains,991000905709702656","Catalog Record")</f>
        <v/>
      </c>
      <c r="AT2321">
        <f>HYPERLINK("http://www.worldcat.org/oclc/157022","WorldCat Record")</f>
        <v/>
      </c>
      <c r="AU2321" t="inlineStr">
        <is>
          <t>1192314:eng</t>
        </is>
      </c>
      <c r="AV2321" t="inlineStr">
        <is>
          <t>157022</t>
        </is>
      </c>
      <c r="AW2321" t="inlineStr">
        <is>
          <t>991000905709702656</t>
        </is>
      </c>
      <c r="AX2321" t="inlineStr">
        <is>
          <t>991000905709702656</t>
        </is>
      </c>
      <c r="AY2321" t="inlineStr">
        <is>
          <t>2255692120002656</t>
        </is>
      </c>
      <c r="AZ2321" t="inlineStr">
        <is>
          <t>BOOK</t>
        </is>
      </c>
      <c r="BC2321" t="inlineStr">
        <is>
          <t>32285001443646</t>
        </is>
      </c>
      <c r="BD2321" t="inlineStr">
        <is>
          <t>893589849</t>
        </is>
      </c>
    </row>
    <row r="2322">
      <c r="A2322" t="inlineStr">
        <is>
          <t>No</t>
        </is>
      </c>
      <c r="B2322" t="inlineStr">
        <is>
          <t>HQ766 .P676</t>
        </is>
      </c>
      <c r="C2322" t="inlineStr">
        <is>
          <t>0                      HQ 0766000P  676</t>
        </is>
      </c>
      <c r="D2322" t="inlineStr">
        <is>
          <t>New concepts in contraception / edited by Malcolm Potts and Clive Wood.</t>
        </is>
      </c>
      <c r="F2322" t="inlineStr">
        <is>
          <t>No</t>
        </is>
      </c>
      <c r="G2322" t="inlineStr">
        <is>
          <t>1</t>
        </is>
      </c>
      <c r="H2322" t="inlineStr">
        <is>
          <t>No</t>
        </is>
      </c>
      <c r="I2322" t="inlineStr">
        <is>
          <t>No</t>
        </is>
      </c>
      <c r="J2322" t="inlineStr">
        <is>
          <t>0</t>
        </is>
      </c>
      <c r="K2322" t="inlineStr">
        <is>
          <t>Potts, Malcolm.</t>
        </is>
      </c>
      <c r="L2322" t="inlineStr">
        <is>
          <t>Baltimore : University Park Press, [1972]</t>
        </is>
      </c>
      <c r="M2322" t="inlineStr">
        <is>
          <t>1972</t>
        </is>
      </c>
      <c r="O2322" t="inlineStr">
        <is>
          <t>eng</t>
        </is>
      </c>
      <c r="P2322" t="inlineStr">
        <is>
          <t>mdu</t>
        </is>
      </c>
      <c r="R2322" t="inlineStr">
        <is>
          <t xml:space="preserve">HQ </t>
        </is>
      </c>
      <c r="S2322" t="n">
        <v>3</v>
      </c>
      <c r="T2322" t="n">
        <v>3</v>
      </c>
      <c r="U2322" t="inlineStr">
        <is>
          <t>2009-12-07</t>
        </is>
      </c>
      <c r="V2322" t="inlineStr">
        <is>
          <t>2009-12-07</t>
        </is>
      </c>
      <c r="W2322" t="inlineStr">
        <is>
          <t>1993-09-17</t>
        </is>
      </c>
      <c r="X2322" t="inlineStr">
        <is>
          <t>1993-09-17</t>
        </is>
      </c>
      <c r="Y2322" t="n">
        <v>256</v>
      </c>
      <c r="Z2322" t="n">
        <v>221</v>
      </c>
      <c r="AA2322" t="n">
        <v>246</v>
      </c>
      <c r="AB2322" t="n">
        <v>2</v>
      </c>
      <c r="AC2322" t="n">
        <v>3</v>
      </c>
      <c r="AD2322" t="n">
        <v>7</v>
      </c>
      <c r="AE2322" t="n">
        <v>7</v>
      </c>
      <c r="AF2322" t="n">
        <v>2</v>
      </c>
      <c r="AG2322" t="n">
        <v>2</v>
      </c>
      <c r="AH2322" t="n">
        <v>2</v>
      </c>
      <c r="AI2322" t="n">
        <v>2</v>
      </c>
      <c r="AJ2322" t="n">
        <v>4</v>
      </c>
      <c r="AK2322" t="n">
        <v>4</v>
      </c>
      <c r="AL2322" t="n">
        <v>1</v>
      </c>
      <c r="AM2322" t="n">
        <v>1</v>
      </c>
      <c r="AN2322" t="n">
        <v>0</v>
      </c>
      <c r="AO2322" t="n">
        <v>0</v>
      </c>
      <c r="AP2322" t="inlineStr">
        <is>
          <t>No</t>
        </is>
      </c>
      <c r="AQ2322" t="inlineStr">
        <is>
          <t>Yes</t>
        </is>
      </c>
      <c r="AR2322">
        <f>HYPERLINK("http://catalog.hathitrust.org/Record/000004729","HathiTrust Record")</f>
        <v/>
      </c>
      <c r="AS2322">
        <f>HYPERLINK("https://creighton-primo.hosted.exlibrisgroup.com/primo-explore/search?tab=default_tab&amp;search_scope=EVERYTHING&amp;vid=01CRU&amp;lang=en_US&amp;offset=0&amp;query=any,contains,991002383639702656","Catalog Record")</f>
        <v/>
      </c>
      <c r="AT2322">
        <f>HYPERLINK("http://www.worldcat.org/oclc/328994","WorldCat Record")</f>
        <v/>
      </c>
      <c r="AU2322" t="inlineStr">
        <is>
          <t>1423427:eng</t>
        </is>
      </c>
      <c r="AV2322" t="inlineStr">
        <is>
          <t>328994</t>
        </is>
      </c>
      <c r="AW2322" t="inlineStr">
        <is>
          <t>991002383639702656</t>
        </is>
      </c>
      <c r="AX2322" t="inlineStr">
        <is>
          <t>991002383639702656</t>
        </is>
      </c>
      <c r="AY2322" t="inlineStr">
        <is>
          <t>2271390980002656</t>
        </is>
      </c>
      <c r="AZ2322" t="inlineStr">
        <is>
          <t>BOOK</t>
        </is>
      </c>
      <c r="BB2322" t="inlineStr">
        <is>
          <t>9780839107408</t>
        </is>
      </c>
      <c r="BC2322" t="inlineStr">
        <is>
          <t>32285001770519</t>
        </is>
      </c>
      <c r="BD2322" t="inlineStr">
        <is>
          <t>893898691</t>
        </is>
      </c>
    </row>
    <row r="2323">
      <c r="A2323" t="inlineStr">
        <is>
          <t>No</t>
        </is>
      </c>
      <c r="B2323" t="inlineStr">
        <is>
          <t>HQ766 .P679 1989</t>
        </is>
      </c>
      <c r="C2323" t="inlineStr">
        <is>
          <t>0                      HQ 0766000P  679         1989</t>
        </is>
      </c>
      <c r="D2323" t="inlineStr">
        <is>
          <t>Pregnancy, contraception, and family planning services in industrialized countries : a study of the Alan Guttmacher Institute / Elise F. Jones ... [et al.].</t>
        </is>
      </c>
      <c r="F2323" t="inlineStr">
        <is>
          <t>No</t>
        </is>
      </c>
      <c r="G2323" t="inlineStr">
        <is>
          <t>1</t>
        </is>
      </c>
      <c r="H2323" t="inlineStr">
        <is>
          <t>No</t>
        </is>
      </c>
      <c r="I2323" t="inlineStr">
        <is>
          <t>No</t>
        </is>
      </c>
      <c r="J2323" t="inlineStr">
        <is>
          <t>0</t>
        </is>
      </c>
      <c r="L2323" t="inlineStr">
        <is>
          <t>New Haven : Yale University Press, c1989.</t>
        </is>
      </c>
      <c r="M2323" t="inlineStr">
        <is>
          <t>1989</t>
        </is>
      </c>
      <c r="O2323" t="inlineStr">
        <is>
          <t>eng</t>
        </is>
      </c>
      <c r="P2323" t="inlineStr">
        <is>
          <t>ctu</t>
        </is>
      </c>
      <c r="R2323" t="inlineStr">
        <is>
          <t xml:space="preserve">HQ </t>
        </is>
      </c>
      <c r="S2323" t="n">
        <v>9</v>
      </c>
      <c r="T2323" t="n">
        <v>9</v>
      </c>
      <c r="U2323" t="inlineStr">
        <is>
          <t>2009-12-07</t>
        </is>
      </c>
      <c r="V2323" t="inlineStr">
        <is>
          <t>2009-12-07</t>
        </is>
      </c>
      <c r="W2323" t="inlineStr">
        <is>
          <t>1990-04-17</t>
        </is>
      </c>
      <c r="X2323" t="inlineStr">
        <is>
          <t>1990-04-17</t>
        </is>
      </c>
      <c r="Y2323" t="n">
        <v>553</v>
      </c>
      <c r="Z2323" t="n">
        <v>485</v>
      </c>
      <c r="AA2323" t="n">
        <v>651</v>
      </c>
      <c r="AB2323" t="n">
        <v>5</v>
      </c>
      <c r="AC2323" t="n">
        <v>5</v>
      </c>
      <c r="AD2323" t="n">
        <v>29</v>
      </c>
      <c r="AE2323" t="n">
        <v>35</v>
      </c>
      <c r="AF2323" t="n">
        <v>11</v>
      </c>
      <c r="AG2323" t="n">
        <v>16</v>
      </c>
      <c r="AH2323" t="n">
        <v>7</v>
      </c>
      <c r="AI2323" t="n">
        <v>9</v>
      </c>
      <c r="AJ2323" t="n">
        <v>14</v>
      </c>
      <c r="AK2323" t="n">
        <v>14</v>
      </c>
      <c r="AL2323" t="n">
        <v>4</v>
      </c>
      <c r="AM2323" t="n">
        <v>4</v>
      </c>
      <c r="AN2323" t="n">
        <v>1</v>
      </c>
      <c r="AO2323" t="n">
        <v>1</v>
      </c>
      <c r="AP2323" t="inlineStr">
        <is>
          <t>No</t>
        </is>
      </c>
      <c r="AQ2323" t="inlineStr">
        <is>
          <t>No</t>
        </is>
      </c>
      <c r="AS2323">
        <f>HYPERLINK("https://creighton-primo.hosted.exlibrisgroup.com/primo-explore/search?tab=default_tab&amp;search_scope=EVERYTHING&amp;vid=01CRU&amp;lang=en_US&amp;offset=0&amp;query=any,contains,991001442759702656","Catalog Record")</f>
        <v/>
      </c>
      <c r="AT2323">
        <f>HYPERLINK("http://www.worldcat.org/oclc/19264959","WorldCat Record")</f>
        <v/>
      </c>
      <c r="AU2323" t="inlineStr">
        <is>
          <t>836843729:eng</t>
        </is>
      </c>
      <c r="AV2323" t="inlineStr">
        <is>
          <t>19264959</t>
        </is>
      </c>
      <c r="AW2323" t="inlineStr">
        <is>
          <t>991001442759702656</t>
        </is>
      </c>
      <c r="AX2323" t="inlineStr">
        <is>
          <t>991001442759702656</t>
        </is>
      </c>
      <c r="AY2323" t="inlineStr">
        <is>
          <t>2262907670002656</t>
        </is>
      </c>
      <c r="AZ2323" t="inlineStr">
        <is>
          <t>BOOK</t>
        </is>
      </c>
      <c r="BB2323" t="inlineStr">
        <is>
          <t>9780300044744</t>
        </is>
      </c>
      <c r="BC2323" t="inlineStr">
        <is>
          <t>32285000102458</t>
        </is>
      </c>
      <c r="BD2323" t="inlineStr">
        <is>
          <t>893590369</t>
        </is>
      </c>
    </row>
    <row r="2324">
      <c r="A2324" t="inlineStr">
        <is>
          <t>No</t>
        </is>
      </c>
      <c r="B2324" t="inlineStr">
        <is>
          <t>HQ766 .R45 1981</t>
        </is>
      </c>
      <c r="C2324" t="inlineStr">
        <is>
          <t>0                      HQ 0766000R  45          1981</t>
        </is>
      </c>
      <c r="D2324" t="inlineStr">
        <is>
          <t>Relevant issues in natural family planning / compiled by Thomas W. Hilgers.</t>
        </is>
      </c>
      <c r="F2324" t="inlineStr">
        <is>
          <t>No</t>
        </is>
      </c>
      <c r="G2324" t="inlineStr">
        <is>
          <t>1</t>
        </is>
      </c>
      <c r="H2324" t="inlineStr">
        <is>
          <t>Yes</t>
        </is>
      </c>
      <c r="I2324" t="inlineStr">
        <is>
          <t>No</t>
        </is>
      </c>
      <c r="J2324" t="inlineStr">
        <is>
          <t>0</t>
        </is>
      </c>
      <c r="L2324" t="inlineStr">
        <is>
          <t>Omaha : Creighton University Natural Family Planning Education and Research Center, [1981]</t>
        </is>
      </c>
      <c r="M2324" t="inlineStr">
        <is>
          <t>1981</t>
        </is>
      </c>
      <c r="O2324" t="inlineStr">
        <is>
          <t>eng</t>
        </is>
      </c>
      <c r="P2324" t="inlineStr">
        <is>
          <t>neu</t>
        </is>
      </c>
      <c r="R2324" t="inlineStr">
        <is>
          <t xml:space="preserve">HQ </t>
        </is>
      </c>
      <c r="S2324" t="n">
        <v>8</v>
      </c>
      <c r="T2324" t="n">
        <v>13</v>
      </c>
      <c r="U2324" t="inlineStr">
        <is>
          <t>2002-10-05</t>
        </is>
      </c>
      <c r="V2324" t="inlineStr">
        <is>
          <t>2007-11-26</t>
        </is>
      </c>
      <c r="W2324" t="inlineStr">
        <is>
          <t>1992-11-09</t>
        </is>
      </c>
      <c r="X2324" t="inlineStr">
        <is>
          <t>1992-11-09</t>
        </is>
      </c>
      <c r="Y2324" t="n">
        <v>7</v>
      </c>
      <c r="Z2324" t="n">
        <v>7</v>
      </c>
      <c r="AA2324" t="n">
        <v>7</v>
      </c>
      <c r="AB2324" t="n">
        <v>4</v>
      </c>
      <c r="AC2324" t="n">
        <v>4</v>
      </c>
      <c r="AD2324" t="n">
        <v>1</v>
      </c>
      <c r="AE2324" t="n">
        <v>1</v>
      </c>
      <c r="AF2324" t="n">
        <v>0</v>
      </c>
      <c r="AG2324" t="n">
        <v>0</v>
      </c>
      <c r="AH2324" t="n">
        <v>0</v>
      </c>
      <c r="AI2324" t="n">
        <v>0</v>
      </c>
      <c r="AJ2324" t="n">
        <v>0</v>
      </c>
      <c r="AK2324" t="n">
        <v>0</v>
      </c>
      <c r="AL2324" t="n">
        <v>1</v>
      </c>
      <c r="AM2324" t="n">
        <v>1</v>
      </c>
      <c r="AN2324" t="n">
        <v>0</v>
      </c>
      <c r="AO2324" t="n">
        <v>0</v>
      </c>
      <c r="AP2324" t="inlineStr">
        <is>
          <t>No</t>
        </is>
      </c>
      <c r="AQ2324" t="inlineStr">
        <is>
          <t>No</t>
        </is>
      </c>
      <c r="AS2324">
        <f>HYPERLINK("https://creighton-primo.hosted.exlibrisgroup.com/primo-explore/search?tab=default_tab&amp;search_scope=EVERYTHING&amp;vid=01CRU&amp;lang=en_US&amp;offset=0&amp;query=any,contains,991001759829702656","Catalog Record")</f>
        <v/>
      </c>
      <c r="AT2324">
        <f>HYPERLINK("http://www.worldcat.org/oclc/9126394","WorldCat Record")</f>
        <v/>
      </c>
      <c r="AU2324" t="inlineStr">
        <is>
          <t>14453502:eng</t>
        </is>
      </c>
      <c r="AV2324" t="inlineStr">
        <is>
          <t>9126394</t>
        </is>
      </c>
      <c r="AW2324" t="inlineStr">
        <is>
          <t>991001759829702656</t>
        </is>
      </c>
      <c r="AX2324" t="inlineStr">
        <is>
          <t>991001759829702656</t>
        </is>
      </c>
      <c r="AY2324" t="inlineStr">
        <is>
          <t>2268549380002656</t>
        </is>
      </c>
      <c r="AZ2324" t="inlineStr">
        <is>
          <t>BOOK</t>
        </is>
      </c>
      <c r="BC2324" t="inlineStr">
        <is>
          <t>32285001395127</t>
        </is>
      </c>
      <c r="BD2324" t="inlineStr">
        <is>
          <t>893891809</t>
        </is>
      </c>
    </row>
    <row r="2325">
      <c r="A2325" t="inlineStr">
        <is>
          <t>No</t>
        </is>
      </c>
      <c r="B2325" t="inlineStr">
        <is>
          <t>HQ766 .R92</t>
        </is>
      </c>
      <c r="C2325" t="inlineStr">
        <is>
          <t>0                      HQ 0766000R  92</t>
        </is>
      </c>
      <c r="D2325" t="inlineStr">
        <is>
          <t>Family limitation; modern medical observations on the use of the "safe period." Foreword by Alan Keenan.</t>
        </is>
      </c>
      <c r="F2325" t="inlineStr">
        <is>
          <t>No</t>
        </is>
      </c>
      <c r="G2325" t="inlineStr">
        <is>
          <t>1</t>
        </is>
      </c>
      <c r="H2325" t="inlineStr">
        <is>
          <t>No</t>
        </is>
      </c>
      <c r="I2325" t="inlineStr">
        <is>
          <t>No</t>
        </is>
      </c>
      <c r="J2325" t="inlineStr">
        <is>
          <t>0</t>
        </is>
      </c>
      <c r="K2325" t="inlineStr">
        <is>
          <t>Ryan, J. S. (John Sprott)</t>
        </is>
      </c>
      <c r="L2325" t="inlineStr">
        <is>
          <t>New York, Sheed &amp; Ward, 1956.</t>
        </is>
      </c>
      <c r="M2325" t="inlineStr">
        <is>
          <t>1956</t>
        </is>
      </c>
      <c r="O2325" t="inlineStr">
        <is>
          <t>eng</t>
        </is>
      </c>
      <c r="P2325" t="inlineStr">
        <is>
          <t>nyu</t>
        </is>
      </c>
      <c r="R2325" t="inlineStr">
        <is>
          <t xml:space="preserve">HQ </t>
        </is>
      </c>
      <c r="S2325" t="n">
        <v>1</v>
      </c>
      <c r="T2325" t="n">
        <v>1</v>
      </c>
      <c r="U2325" t="inlineStr">
        <is>
          <t>2002-09-13</t>
        </is>
      </c>
      <c r="V2325" t="inlineStr">
        <is>
          <t>2002-09-13</t>
        </is>
      </c>
      <c r="W2325" t="inlineStr">
        <is>
          <t>1997-08-12</t>
        </is>
      </c>
      <c r="X2325" t="inlineStr">
        <is>
          <t>1997-08-12</t>
        </is>
      </c>
      <c r="Y2325" t="n">
        <v>21</v>
      </c>
      <c r="Z2325" t="n">
        <v>18</v>
      </c>
      <c r="AA2325" t="n">
        <v>24</v>
      </c>
      <c r="AB2325" t="n">
        <v>1</v>
      </c>
      <c r="AC2325" t="n">
        <v>1</v>
      </c>
      <c r="AD2325" t="n">
        <v>3</v>
      </c>
      <c r="AE2325" t="n">
        <v>4</v>
      </c>
      <c r="AF2325" t="n">
        <v>0</v>
      </c>
      <c r="AG2325" t="n">
        <v>0</v>
      </c>
      <c r="AH2325" t="n">
        <v>0</v>
      </c>
      <c r="AI2325" t="n">
        <v>0</v>
      </c>
      <c r="AJ2325" t="n">
        <v>3</v>
      </c>
      <c r="AK2325" t="n">
        <v>4</v>
      </c>
      <c r="AL2325" t="n">
        <v>0</v>
      </c>
      <c r="AM2325" t="n">
        <v>0</v>
      </c>
      <c r="AN2325" t="n">
        <v>0</v>
      </c>
      <c r="AO2325" t="n">
        <v>0</v>
      </c>
      <c r="AP2325" t="inlineStr">
        <is>
          <t>No</t>
        </is>
      </c>
      <c r="AQ2325" t="inlineStr">
        <is>
          <t>No</t>
        </is>
      </c>
      <c r="AS2325">
        <f>HYPERLINK("https://creighton-primo.hosted.exlibrisgroup.com/primo-explore/search?tab=default_tab&amp;search_scope=EVERYTHING&amp;vid=01CRU&amp;lang=en_US&amp;offset=0&amp;query=any,contains,991004862359702656","Catalog Record")</f>
        <v/>
      </c>
      <c r="AT2325">
        <f>HYPERLINK("http://www.worldcat.org/oclc/5711501","WorldCat Record")</f>
        <v/>
      </c>
      <c r="AU2325" t="inlineStr">
        <is>
          <t>2865950699:eng</t>
        </is>
      </c>
      <c r="AV2325" t="inlineStr">
        <is>
          <t>5711501</t>
        </is>
      </c>
      <c r="AW2325" t="inlineStr">
        <is>
          <t>991004862359702656</t>
        </is>
      </c>
      <c r="AX2325" t="inlineStr">
        <is>
          <t>991004862359702656</t>
        </is>
      </c>
      <c r="AY2325" t="inlineStr">
        <is>
          <t>2254818770002656</t>
        </is>
      </c>
      <c r="AZ2325" t="inlineStr">
        <is>
          <t>BOOK</t>
        </is>
      </c>
      <c r="BC2325" t="inlineStr">
        <is>
          <t>32285003100103</t>
        </is>
      </c>
      <c r="BD2325" t="inlineStr">
        <is>
          <t>893319730</t>
        </is>
      </c>
    </row>
    <row r="2326">
      <c r="A2326" t="inlineStr">
        <is>
          <t>No</t>
        </is>
      </c>
      <c r="B2326" t="inlineStr">
        <is>
          <t>HQ766 .S33 2003</t>
        </is>
      </c>
      <c r="C2326" t="inlineStr">
        <is>
          <t>0                      HQ 0766000S  33          2003</t>
        </is>
      </c>
      <c r="D2326" t="inlineStr">
        <is>
          <t>The pivot of civilization / Margaret Sanger ; with an introduction by H.G. Wells ; foreword by Peter C. Engelman.</t>
        </is>
      </c>
      <c r="F2326" t="inlineStr">
        <is>
          <t>No</t>
        </is>
      </c>
      <c r="G2326" t="inlineStr">
        <is>
          <t>1</t>
        </is>
      </c>
      <c r="H2326" t="inlineStr">
        <is>
          <t>No</t>
        </is>
      </c>
      <c r="I2326" t="inlineStr">
        <is>
          <t>No</t>
        </is>
      </c>
      <c r="J2326" t="inlineStr">
        <is>
          <t>0</t>
        </is>
      </c>
      <c r="K2326" t="inlineStr">
        <is>
          <t>Sanger, Margaret, 1879-1966.</t>
        </is>
      </c>
      <c r="L2326" t="inlineStr">
        <is>
          <t>Amherst, N.Y. : Humanity Books, 2003.</t>
        </is>
      </c>
      <c r="M2326" t="inlineStr">
        <is>
          <t>2003</t>
        </is>
      </c>
      <c r="O2326" t="inlineStr">
        <is>
          <t>eng</t>
        </is>
      </c>
      <c r="P2326" t="inlineStr">
        <is>
          <t>nyu</t>
        </is>
      </c>
      <c r="Q2326" t="inlineStr">
        <is>
          <t>Classics in women's studies</t>
        </is>
      </c>
      <c r="R2326" t="inlineStr">
        <is>
          <t xml:space="preserve">HQ </t>
        </is>
      </c>
      <c r="S2326" t="n">
        <v>1</v>
      </c>
      <c r="T2326" t="n">
        <v>1</v>
      </c>
      <c r="U2326" t="inlineStr">
        <is>
          <t>2005-01-04</t>
        </is>
      </c>
      <c r="V2326" t="inlineStr">
        <is>
          <t>2005-01-04</t>
        </is>
      </c>
      <c r="W2326" t="inlineStr">
        <is>
          <t>2005-01-04</t>
        </is>
      </c>
      <c r="X2326" t="inlineStr">
        <is>
          <t>2005-01-04</t>
        </is>
      </c>
      <c r="Y2326" t="n">
        <v>167</v>
      </c>
      <c r="Z2326" t="n">
        <v>157</v>
      </c>
      <c r="AA2326" t="n">
        <v>1770</v>
      </c>
      <c r="AB2326" t="n">
        <v>2</v>
      </c>
      <c r="AC2326" t="n">
        <v>21</v>
      </c>
      <c r="AD2326" t="n">
        <v>11</v>
      </c>
      <c r="AE2326" t="n">
        <v>54</v>
      </c>
      <c r="AF2326" t="n">
        <v>4</v>
      </c>
      <c r="AG2326" t="n">
        <v>20</v>
      </c>
      <c r="AH2326" t="n">
        <v>5</v>
      </c>
      <c r="AI2326" t="n">
        <v>11</v>
      </c>
      <c r="AJ2326" t="n">
        <v>4</v>
      </c>
      <c r="AK2326" t="n">
        <v>18</v>
      </c>
      <c r="AL2326" t="n">
        <v>1</v>
      </c>
      <c r="AM2326" t="n">
        <v>14</v>
      </c>
      <c r="AN2326" t="n">
        <v>0</v>
      </c>
      <c r="AO2326" t="n">
        <v>1</v>
      </c>
      <c r="AP2326" t="inlineStr">
        <is>
          <t>No</t>
        </is>
      </c>
      <c r="AQ2326" t="inlineStr">
        <is>
          <t>Yes</t>
        </is>
      </c>
      <c r="AR2326">
        <f>HYPERLINK("http://catalog.hathitrust.org/Record/012240243","HathiTrust Record")</f>
        <v/>
      </c>
      <c r="AS2326">
        <f>HYPERLINK("https://creighton-primo.hosted.exlibrisgroup.com/primo-explore/search?tab=default_tab&amp;search_scope=EVERYTHING&amp;vid=01CRU&amp;lang=en_US&amp;offset=0&amp;query=any,contains,991004413829702656","Catalog Record")</f>
        <v/>
      </c>
      <c r="AT2326">
        <f>HYPERLINK("http://www.worldcat.org/oclc/50773321","WorldCat Record")</f>
        <v/>
      </c>
      <c r="AU2326" t="inlineStr">
        <is>
          <t>939782:eng</t>
        </is>
      </c>
      <c r="AV2326" t="inlineStr">
        <is>
          <t>50773321</t>
        </is>
      </c>
      <c r="AW2326" t="inlineStr">
        <is>
          <t>991004413829702656</t>
        </is>
      </c>
      <c r="AX2326" t="inlineStr">
        <is>
          <t>991004413829702656</t>
        </is>
      </c>
      <c r="AY2326" t="inlineStr">
        <is>
          <t>2263116910002656</t>
        </is>
      </c>
      <c r="AZ2326" t="inlineStr">
        <is>
          <t>BOOK</t>
        </is>
      </c>
      <c r="BB2326" t="inlineStr">
        <is>
          <t>9781591020585</t>
        </is>
      </c>
      <c r="BC2326" t="inlineStr">
        <is>
          <t>32285005018378</t>
        </is>
      </c>
      <c r="BD2326" t="inlineStr">
        <is>
          <t>893417605</t>
        </is>
      </c>
    </row>
    <row r="2327">
      <c r="A2327" t="inlineStr">
        <is>
          <t>No</t>
        </is>
      </c>
      <c r="B2327" t="inlineStr">
        <is>
          <t>HQ766 .S84 1980</t>
        </is>
      </c>
      <c r="C2327" t="inlineStr">
        <is>
          <t>0                      HQ 0766000S  84          1980</t>
        </is>
      </c>
      <c r="D2327" t="inlineStr">
        <is>
          <t>Men and family planning / Bruce Stokes.</t>
        </is>
      </c>
      <c r="F2327" t="inlineStr">
        <is>
          <t>No</t>
        </is>
      </c>
      <c r="G2327" t="inlineStr">
        <is>
          <t>1</t>
        </is>
      </c>
      <c r="H2327" t="inlineStr">
        <is>
          <t>No</t>
        </is>
      </c>
      <c r="I2327" t="inlineStr">
        <is>
          <t>No</t>
        </is>
      </c>
      <c r="J2327" t="inlineStr">
        <is>
          <t>0</t>
        </is>
      </c>
      <c r="K2327" t="inlineStr">
        <is>
          <t>Stokes, Bruce.</t>
        </is>
      </c>
      <c r="L2327" t="inlineStr">
        <is>
          <t>[Washington, D. C.] : Worldwatch Institute, 1980.</t>
        </is>
      </c>
      <c r="M2327" t="inlineStr">
        <is>
          <t>1980</t>
        </is>
      </c>
      <c r="O2327" t="inlineStr">
        <is>
          <t>eng</t>
        </is>
      </c>
      <c r="P2327" t="inlineStr">
        <is>
          <t>dcu</t>
        </is>
      </c>
      <c r="Q2327" t="inlineStr">
        <is>
          <t>Worldwatch paper ; 41</t>
        </is>
      </c>
      <c r="R2327" t="inlineStr">
        <is>
          <t xml:space="preserve">HQ </t>
        </is>
      </c>
      <c r="S2327" t="n">
        <v>2</v>
      </c>
      <c r="T2327" t="n">
        <v>2</v>
      </c>
      <c r="U2327" t="inlineStr">
        <is>
          <t>1994-04-04</t>
        </is>
      </c>
      <c r="V2327" t="inlineStr">
        <is>
          <t>1994-04-04</t>
        </is>
      </c>
      <c r="W2327" t="inlineStr">
        <is>
          <t>1992-11-09</t>
        </is>
      </c>
      <c r="X2327" t="inlineStr">
        <is>
          <t>1992-11-09</t>
        </is>
      </c>
      <c r="Y2327" t="n">
        <v>342</v>
      </c>
      <c r="Z2327" t="n">
        <v>291</v>
      </c>
      <c r="AA2327" t="n">
        <v>292</v>
      </c>
      <c r="AB2327" t="n">
        <v>2</v>
      </c>
      <c r="AC2327" t="n">
        <v>2</v>
      </c>
      <c r="AD2327" t="n">
        <v>11</v>
      </c>
      <c r="AE2327" t="n">
        <v>11</v>
      </c>
      <c r="AF2327" t="n">
        <v>4</v>
      </c>
      <c r="AG2327" t="n">
        <v>4</v>
      </c>
      <c r="AH2327" t="n">
        <v>3</v>
      </c>
      <c r="AI2327" t="n">
        <v>3</v>
      </c>
      <c r="AJ2327" t="n">
        <v>7</v>
      </c>
      <c r="AK2327" t="n">
        <v>7</v>
      </c>
      <c r="AL2327" t="n">
        <v>1</v>
      </c>
      <c r="AM2327" t="n">
        <v>1</v>
      </c>
      <c r="AN2327" t="n">
        <v>0</v>
      </c>
      <c r="AO2327" t="n">
        <v>0</v>
      </c>
      <c r="AP2327" t="inlineStr">
        <is>
          <t>No</t>
        </is>
      </c>
      <c r="AQ2327" t="inlineStr">
        <is>
          <t>No</t>
        </is>
      </c>
      <c r="AS2327">
        <f>HYPERLINK("https://creighton-primo.hosted.exlibrisgroup.com/primo-explore/search?tab=default_tab&amp;search_scope=EVERYTHING&amp;vid=01CRU&amp;lang=en_US&amp;offset=0&amp;query=any,contains,991005074179702656","Catalog Record")</f>
        <v/>
      </c>
      <c r="AT2327">
        <f>HYPERLINK("http://www.worldcat.org/oclc/7083011","WorldCat Record")</f>
        <v/>
      </c>
      <c r="AU2327" t="inlineStr">
        <is>
          <t>560975:eng</t>
        </is>
      </c>
      <c r="AV2327" t="inlineStr">
        <is>
          <t>7083011</t>
        </is>
      </c>
      <c r="AW2327" t="inlineStr">
        <is>
          <t>991005074179702656</t>
        </is>
      </c>
      <c r="AX2327" t="inlineStr">
        <is>
          <t>991005074179702656</t>
        </is>
      </c>
      <c r="AY2327" t="inlineStr">
        <is>
          <t>2267016020002656</t>
        </is>
      </c>
      <c r="AZ2327" t="inlineStr">
        <is>
          <t>BOOK</t>
        </is>
      </c>
      <c r="BB2327" t="inlineStr">
        <is>
          <t>9780916468408</t>
        </is>
      </c>
      <c r="BC2327" t="inlineStr">
        <is>
          <t>32285001395135</t>
        </is>
      </c>
      <c r="BD2327" t="inlineStr">
        <is>
          <t>893424508</t>
        </is>
      </c>
    </row>
    <row r="2328">
      <c r="A2328" t="inlineStr">
        <is>
          <t>No</t>
        </is>
      </c>
      <c r="B2328" t="inlineStr">
        <is>
          <t>HQ766 .W7413</t>
        </is>
      </c>
      <c r="C2328" t="inlineStr">
        <is>
          <t>0                      HQ 0766000W  7413</t>
        </is>
      </c>
      <c r="D2328" t="inlineStr">
        <is>
          <t>Children : choice or chance.</t>
        </is>
      </c>
      <c r="F2328" t="inlineStr">
        <is>
          <t>No</t>
        </is>
      </c>
      <c r="G2328" t="inlineStr">
        <is>
          <t>1</t>
        </is>
      </c>
      <c r="H2328" t="inlineStr">
        <is>
          <t>No</t>
        </is>
      </c>
      <c r="I2328" t="inlineStr">
        <is>
          <t>No</t>
        </is>
      </c>
      <c r="J2328" t="inlineStr">
        <is>
          <t>0</t>
        </is>
      </c>
      <c r="K2328" t="inlineStr">
        <is>
          <t>Wrage, Karl Horst.</t>
        </is>
      </c>
      <c r="L2328" t="inlineStr">
        <is>
          <t>Philadelphia : Fortress Press, [1969]</t>
        </is>
      </c>
      <c r="M2328" t="inlineStr">
        <is>
          <t>1969</t>
        </is>
      </c>
      <c r="O2328" t="inlineStr">
        <is>
          <t>eng</t>
        </is>
      </c>
      <c r="P2328" t="inlineStr">
        <is>
          <t>pau</t>
        </is>
      </c>
      <c r="R2328" t="inlineStr">
        <is>
          <t xml:space="preserve">HQ </t>
        </is>
      </c>
      <c r="S2328" t="n">
        <v>1</v>
      </c>
      <c r="T2328" t="n">
        <v>1</v>
      </c>
      <c r="U2328" t="inlineStr">
        <is>
          <t>2002-10-05</t>
        </is>
      </c>
      <c r="V2328" t="inlineStr">
        <is>
          <t>2002-10-05</t>
        </is>
      </c>
      <c r="W2328" t="inlineStr">
        <is>
          <t>1993-09-30</t>
        </is>
      </c>
      <c r="X2328" t="inlineStr">
        <is>
          <t>1993-09-30</t>
        </is>
      </c>
      <c r="Y2328" t="n">
        <v>141</v>
      </c>
      <c r="Z2328" t="n">
        <v>123</v>
      </c>
      <c r="AA2328" t="n">
        <v>127</v>
      </c>
      <c r="AB2328" t="n">
        <v>3</v>
      </c>
      <c r="AC2328" t="n">
        <v>3</v>
      </c>
      <c r="AD2328" t="n">
        <v>5</v>
      </c>
      <c r="AE2328" t="n">
        <v>5</v>
      </c>
      <c r="AF2328" t="n">
        <v>0</v>
      </c>
      <c r="AG2328" t="n">
        <v>0</v>
      </c>
      <c r="AH2328" t="n">
        <v>0</v>
      </c>
      <c r="AI2328" t="n">
        <v>0</v>
      </c>
      <c r="AJ2328" t="n">
        <v>3</v>
      </c>
      <c r="AK2328" t="n">
        <v>3</v>
      </c>
      <c r="AL2328" t="n">
        <v>2</v>
      </c>
      <c r="AM2328" t="n">
        <v>2</v>
      </c>
      <c r="AN2328" t="n">
        <v>0</v>
      </c>
      <c r="AO2328" t="n">
        <v>0</v>
      </c>
      <c r="AP2328" t="inlineStr">
        <is>
          <t>No</t>
        </is>
      </c>
      <c r="AQ2328" t="inlineStr">
        <is>
          <t>Yes</t>
        </is>
      </c>
      <c r="AR2328">
        <f>HYPERLINK("http://catalog.hathitrust.org/Record/009806725","HathiTrust Record")</f>
        <v/>
      </c>
      <c r="AS2328">
        <f>HYPERLINK("https://creighton-primo.hosted.exlibrisgroup.com/primo-explore/search?tab=default_tab&amp;search_scope=EVERYTHING&amp;vid=01CRU&amp;lang=en_US&amp;offset=0&amp;query=any,contains,991005437219702656","Catalog Record")</f>
        <v/>
      </c>
      <c r="AT2328">
        <f>HYPERLINK("http://www.worldcat.org/oclc/5112","WorldCat Record")</f>
        <v/>
      </c>
      <c r="AU2328" t="inlineStr">
        <is>
          <t>5090909633:eng</t>
        </is>
      </c>
      <c r="AV2328" t="inlineStr">
        <is>
          <t>5112</t>
        </is>
      </c>
      <c r="AW2328" t="inlineStr">
        <is>
          <t>991005437219702656</t>
        </is>
      </c>
      <c r="AX2328" t="inlineStr">
        <is>
          <t>991005437219702656</t>
        </is>
      </c>
      <c r="AY2328" t="inlineStr">
        <is>
          <t>2264569900002656</t>
        </is>
      </c>
      <c r="AZ2328" t="inlineStr">
        <is>
          <t>BOOK</t>
        </is>
      </c>
      <c r="BC2328" t="inlineStr">
        <is>
          <t>32285001772234</t>
        </is>
      </c>
      <c r="BD2328" t="inlineStr">
        <is>
          <t>893777483</t>
        </is>
      </c>
    </row>
    <row r="2329">
      <c r="A2329" t="inlineStr">
        <is>
          <t>No</t>
        </is>
      </c>
      <c r="B2329" t="inlineStr">
        <is>
          <t>HQ766.15 .C64 1996</t>
        </is>
      </c>
      <c r="C2329" t="inlineStr">
        <is>
          <t>0                      HQ 0766150C  64          1996</t>
        </is>
      </c>
      <c r="D2329" t="inlineStr">
        <is>
          <t>Coerced contraception? : moral and policy challenges of long-acting birth control / edited by Ellen H. Moskowitz, Bruce Jennings.</t>
        </is>
      </c>
      <c r="F2329" t="inlineStr">
        <is>
          <t>No</t>
        </is>
      </c>
      <c r="G2329" t="inlineStr">
        <is>
          <t>1</t>
        </is>
      </c>
      <c r="H2329" t="inlineStr">
        <is>
          <t>No</t>
        </is>
      </c>
      <c r="I2329" t="inlineStr">
        <is>
          <t>No</t>
        </is>
      </c>
      <c r="J2329" t="inlineStr">
        <is>
          <t>0</t>
        </is>
      </c>
      <c r="L2329" t="inlineStr">
        <is>
          <t>Washington, D.C. : Georgetown University Press, c1996.</t>
        </is>
      </c>
      <c r="M2329" t="inlineStr">
        <is>
          <t>1996</t>
        </is>
      </c>
      <c r="O2329" t="inlineStr">
        <is>
          <t>eng</t>
        </is>
      </c>
      <c r="P2329" t="inlineStr">
        <is>
          <t>dcu</t>
        </is>
      </c>
      <c r="Q2329" t="inlineStr">
        <is>
          <t>Hastings Center studies in ethics</t>
        </is>
      </c>
      <c r="R2329" t="inlineStr">
        <is>
          <t xml:space="preserve">HQ </t>
        </is>
      </c>
      <c r="S2329" t="n">
        <v>12</v>
      </c>
      <c r="T2329" t="n">
        <v>12</v>
      </c>
      <c r="U2329" t="inlineStr">
        <is>
          <t>2003-04-01</t>
        </is>
      </c>
      <c r="V2329" t="inlineStr">
        <is>
          <t>2003-04-01</t>
        </is>
      </c>
      <c r="W2329" t="inlineStr">
        <is>
          <t>1996-10-30</t>
        </is>
      </c>
      <c r="X2329" t="inlineStr">
        <is>
          <t>1996-10-30</t>
        </is>
      </c>
      <c r="Y2329" t="n">
        <v>383</v>
      </c>
      <c r="Z2329" t="n">
        <v>331</v>
      </c>
      <c r="AA2329" t="n">
        <v>336</v>
      </c>
      <c r="AB2329" t="n">
        <v>3</v>
      </c>
      <c r="AC2329" t="n">
        <v>3</v>
      </c>
      <c r="AD2329" t="n">
        <v>21</v>
      </c>
      <c r="AE2329" t="n">
        <v>21</v>
      </c>
      <c r="AF2329" t="n">
        <v>8</v>
      </c>
      <c r="AG2329" t="n">
        <v>8</v>
      </c>
      <c r="AH2329" t="n">
        <v>5</v>
      </c>
      <c r="AI2329" t="n">
        <v>5</v>
      </c>
      <c r="AJ2329" t="n">
        <v>10</v>
      </c>
      <c r="AK2329" t="n">
        <v>10</v>
      </c>
      <c r="AL2329" t="n">
        <v>2</v>
      </c>
      <c r="AM2329" t="n">
        <v>2</v>
      </c>
      <c r="AN2329" t="n">
        <v>2</v>
      </c>
      <c r="AO2329" t="n">
        <v>2</v>
      </c>
      <c r="AP2329" t="inlineStr">
        <is>
          <t>No</t>
        </is>
      </c>
      <c r="AQ2329" t="inlineStr">
        <is>
          <t>Yes</t>
        </is>
      </c>
      <c r="AR2329">
        <f>HYPERLINK("http://catalog.hathitrust.org/Record/003097926","HathiTrust Record")</f>
        <v/>
      </c>
      <c r="AS2329">
        <f>HYPERLINK("https://creighton-primo.hosted.exlibrisgroup.com/primo-explore/search?tab=default_tab&amp;search_scope=EVERYTHING&amp;vid=01CRU&amp;lang=en_US&amp;offset=0&amp;query=any,contains,991002618999702656","Catalog Record")</f>
        <v/>
      </c>
      <c r="AT2329">
        <f>HYPERLINK("http://www.worldcat.org/oclc/34321290","WorldCat Record")</f>
        <v/>
      </c>
      <c r="AU2329" t="inlineStr">
        <is>
          <t>889962751:eng</t>
        </is>
      </c>
      <c r="AV2329" t="inlineStr">
        <is>
          <t>34321290</t>
        </is>
      </c>
      <c r="AW2329" t="inlineStr">
        <is>
          <t>991002618999702656</t>
        </is>
      </c>
      <c r="AX2329" t="inlineStr">
        <is>
          <t>991002618999702656</t>
        </is>
      </c>
      <c r="AY2329" t="inlineStr">
        <is>
          <t>2257185490002656</t>
        </is>
      </c>
      <c r="AZ2329" t="inlineStr">
        <is>
          <t>BOOK</t>
        </is>
      </c>
      <c r="BB2329" t="inlineStr">
        <is>
          <t>9780878406241</t>
        </is>
      </c>
      <c r="BC2329" t="inlineStr">
        <is>
          <t>32285002379526</t>
        </is>
      </c>
      <c r="BD2329" t="inlineStr">
        <is>
          <t>893591565</t>
        </is>
      </c>
    </row>
    <row r="2330">
      <c r="A2330" t="inlineStr">
        <is>
          <t>No</t>
        </is>
      </c>
      <c r="B2330" t="inlineStr">
        <is>
          <t>HQ766.15 .H65 1996</t>
        </is>
      </c>
      <c r="C2330" t="inlineStr">
        <is>
          <t>0                      HQ 0766150H  65          1996</t>
        </is>
      </c>
      <c r="D2330" t="inlineStr">
        <is>
          <t>Ending the explosion : population policies and ethics for a humane future / by William G. Hollingsworth.</t>
        </is>
      </c>
      <c r="F2330" t="inlineStr">
        <is>
          <t>No</t>
        </is>
      </c>
      <c r="G2330" t="inlineStr">
        <is>
          <t>1</t>
        </is>
      </c>
      <c r="H2330" t="inlineStr">
        <is>
          <t>No</t>
        </is>
      </c>
      <c r="I2330" t="inlineStr">
        <is>
          <t>No</t>
        </is>
      </c>
      <c r="J2330" t="inlineStr">
        <is>
          <t>0</t>
        </is>
      </c>
      <c r="K2330" t="inlineStr">
        <is>
          <t>Hollingsworth, William G., 1937-</t>
        </is>
      </c>
      <c r="L2330" t="inlineStr">
        <is>
          <t>Santa Ana, Calif. : Seven Locks Press, c1996.</t>
        </is>
      </c>
      <c r="M2330" t="inlineStr">
        <is>
          <t>1996</t>
        </is>
      </c>
      <c r="O2330" t="inlineStr">
        <is>
          <t>eng</t>
        </is>
      </c>
      <c r="P2330" t="inlineStr">
        <is>
          <t>cau</t>
        </is>
      </c>
      <c r="R2330" t="inlineStr">
        <is>
          <t xml:space="preserve">HQ </t>
        </is>
      </c>
      <c r="S2330" t="n">
        <v>20</v>
      </c>
      <c r="T2330" t="n">
        <v>20</v>
      </c>
      <c r="U2330" t="inlineStr">
        <is>
          <t>2008-02-07</t>
        </is>
      </c>
      <c r="V2330" t="inlineStr">
        <is>
          <t>2008-02-07</t>
        </is>
      </c>
      <c r="W2330" t="inlineStr">
        <is>
          <t>1997-08-22</t>
        </is>
      </c>
      <c r="X2330" t="inlineStr">
        <is>
          <t>1997-08-22</t>
        </is>
      </c>
      <c r="Y2330" t="n">
        <v>429</v>
      </c>
      <c r="Z2330" t="n">
        <v>384</v>
      </c>
      <c r="AA2330" t="n">
        <v>386</v>
      </c>
      <c r="AB2330" t="n">
        <v>3</v>
      </c>
      <c r="AC2330" t="n">
        <v>3</v>
      </c>
      <c r="AD2330" t="n">
        <v>17</v>
      </c>
      <c r="AE2330" t="n">
        <v>17</v>
      </c>
      <c r="AF2330" t="n">
        <v>3</v>
      </c>
      <c r="AG2330" t="n">
        <v>3</v>
      </c>
      <c r="AH2330" t="n">
        <v>6</v>
      </c>
      <c r="AI2330" t="n">
        <v>6</v>
      </c>
      <c r="AJ2330" t="n">
        <v>9</v>
      </c>
      <c r="AK2330" t="n">
        <v>9</v>
      </c>
      <c r="AL2330" t="n">
        <v>2</v>
      </c>
      <c r="AM2330" t="n">
        <v>2</v>
      </c>
      <c r="AN2330" t="n">
        <v>1</v>
      </c>
      <c r="AO2330" t="n">
        <v>1</v>
      </c>
      <c r="AP2330" t="inlineStr">
        <is>
          <t>No</t>
        </is>
      </c>
      <c r="AQ2330" t="inlineStr">
        <is>
          <t>Yes</t>
        </is>
      </c>
      <c r="AR2330">
        <f>HYPERLINK("http://catalog.hathitrust.org/Record/003082466","HathiTrust Record")</f>
        <v/>
      </c>
      <c r="AS2330">
        <f>HYPERLINK("https://creighton-primo.hosted.exlibrisgroup.com/primo-explore/search?tab=default_tab&amp;search_scope=EVERYTHING&amp;vid=01CRU&amp;lang=en_US&amp;offset=0&amp;query=any,contains,991002630169702656","Catalog Record")</f>
        <v/>
      </c>
      <c r="AT2330">
        <f>HYPERLINK("http://www.worldcat.org/oclc/34475758","WorldCat Record")</f>
        <v/>
      </c>
      <c r="AU2330" t="inlineStr">
        <is>
          <t>39878390:eng</t>
        </is>
      </c>
      <c r="AV2330" t="inlineStr">
        <is>
          <t>34475758</t>
        </is>
      </c>
      <c r="AW2330" t="inlineStr">
        <is>
          <t>991002630169702656</t>
        </is>
      </c>
      <c r="AX2330" t="inlineStr">
        <is>
          <t>991002630169702656</t>
        </is>
      </c>
      <c r="AY2330" t="inlineStr">
        <is>
          <t>2262197570002656</t>
        </is>
      </c>
      <c r="AZ2330" t="inlineStr">
        <is>
          <t>BOOK</t>
        </is>
      </c>
      <c r="BB2330" t="inlineStr">
        <is>
          <t>9780929765426</t>
        </is>
      </c>
      <c r="BC2330" t="inlineStr">
        <is>
          <t>32285003001574</t>
        </is>
      </c>
      <c r="BD2330" t="inlineStr">
        <is>
          <t>893347729</t>
        </is>
      </c>
    </row>
    <row r="2331">
      <c r="A2331" t="inlineStr">
        <is>
          <t>No</t>
        </is>
      </c>
      <c r="B2331" t="inlineStr">
        <is>
          <t>HQ766.15 .W46 2005</t>
        </is>
      </c>
      <c r="C2331" t="inlineStr">
        <is>
          <t>0                      HQ 0766150W  46          2005</t>
        </is>
      </c>
      <c r="D2331" t="inlineStr">
        <is>
          <t>Where human rights begin : health, sexuality, and women in the new millennium / edited by Wendy Chavkin, Ellen Chesler.</t>
        </is>
      </c>
      <c r="F2331" t="inlineStr">
        <is>
          <t>No</t>
        </is>
      </c>
      <c r="G2331" t="inlineStr">
        <is>
          <t>1</t>
        </is>
      </c>
      <c r="H2331" t="inlineStr">
        <is>
          <t>No</t>
        </is>
      </c>
      <c r="I2331" t="inlineStr">
        <is>
          <t>No</t>
        </is>
      </c>
      <c r="J2331" t="inlineStr">
        <is>
          <t>0</t>
        </is>
      </c>
      <c r="L2331" t="inlineStr">
        <is>
          <t>New Brunswick, N.J. : Rutgers University Press, c2005.</t>
        </is>
      </c>
      <c r="M2331" t="inlineStr">
        <is>
          <t>2005</t>
        </is>
      </c>
      <c r="O2331" t="inlineStr">
        <is>
          <t>eng</t>
        </is>
      </c>
      <c r="P2331" t="inlineStr">
        <is>
          <t>nju</t>
        </is>
      </c>
      <c r="R2331" t="inlineStr">
        <is>
          <t xml:space="preserve">HQ </t>
        </is>
      </c>
      <c r="S2331" t="n">
        <v>4</v>
      </c>
      <c r="T2331" t="n">
        <v>4</v>
      </c>
      <c r="U2331" t="inlineStr">
        <is>
          <t>2009-06-30</t>
        </is>
      </c>
      <c r="V2331" t="inlineStr">
        <is>
          <t>2009-06-30</t>
        </is>
      </c>
      <c r="W2331" t="inlineStr">
        <is>
          <t>2006-07-13</t>
        </is>
      </c>
      <c r="X2331" t="inlineStr">
        <is>
          <t>2006-07-13</t>
        </is>
      </c>
      <c r="Y2331" t="n">
        <v>606</v>
      </c>
      <c r="Z2331" t="n">
        <v>518</v>
      </c>
      <c r="AA2331" t="n">
        <v>680</v>
      </c>
      <c r="AB2331" t="n">
        <v>3</v>
      </c>
      <c r="AC2331" t="n">
        <v>3</v>
      </c>
      <c r="AD2331" t="n">
        <v>29</v>
      </c>
      <c r="AE2331" t="n">
        <v>36</v>
      </c>
      <c r="AF2331" t="n">
        <v>12</v>
      </c>
      <c r="AG2331" t="n">
        <v>17</v>
      </c>
      <c r="AH2331" t="n">
        <v>8</v>
      </c>
      <c r="AI2331" t="n">
        <v>9</v>
      </c>
      <c r="AJ2331" t="n">
        <v>10</v>
      </c>
      <c r="AK2331" t="n">
        <v>14</v>
      </c>
      <c r="AL2331" t="n">
        <v>2</v>
      </c>
      <c r="AM2331" t="n">
        <v>2</v>
      </c>
      <c r="AN2331" t="n">
        <v>2</v>
      </c>
      <c r="AO2331" t="n">
        <v>2</v>
      </c>
      <c r="AP2331" t="inlineStr">
        <is>
          <t>No</t>
        </is>
      </c>
      <c r="AQ2331" t="inlineStr">
        <is>
          <t>No</t>
        </is>
      </c>
      <c r="AS2331">
        <f>HYPERLINK("https://creighton-primo.hosted.exlibrisgroup.com/primo-explore/search?tab=default_tab&amp;search_scope=EVERYTHING&amp;vid=01CRU&amp;lang=en_US&amp;offset=0&amp;query=any,contains,991004839109702656","Catalog Record")</f>
        <v/>
      </c>
      <c r="AT2331">
        <f>HYPERLINK("http://www.worldcat.org/oclc/57691632","WorldCat Record")</f>
        <v/>
      </c>
      <c r="AU2331" t="inlineStr">
        <is>
          <t>905889314:eng</t>
        </is>
      </c>
      <c r="AV2331" t="inlineStr">
        <is>
          <t>57691632</t>
        </is>
      </c>
      <c r="AW2331" t="inlineStr">
        <is>
          <t>991004839109702656</t>
        </is>
      </c>
      <c r="AX2331" t="inlineStr">
        <is>
          <t>991004839109702656</t>
        </is>
      </c>
      <c r="AY2331" t="inlineStr">
        <is>
          <t>2268701250002656</t>
        </is>
      </c>
      <c r="AZ2331" t="inlineStr">
        <is>
          <t>BOOK</t>
        </is>
      </c>
      <c r="BB2331" t="inlineStr">
        <is>
          <t>9780813536569</t>
        </is>
      </c>
      <c r="BC2331" t="inlineStr">
        <is>
          <t>32285005194757</t>
        </is>
      </c>
      <c r="BD2331" t="inlineStr">
        <is>
          <t>893501013</t>
        </is>
      </c>
    </row>
    <row r="2332">
      <c r="A2332" t="inlineStr">
        <is>
          <t>No</t>
        </is>
      </c>
      <c r="B2332" t="inlineStr">
        <is>
          <t>HQ766.2 .B57 1991</t>
        </is>
      </c>
      <c r="C2332" t="inlineStr">
        <is>
          <t>0                      HQ 0766200B  57          1991</t>
        </is>
      </c>
      <c r="D2332" t="inlineStr">
        <is>
          <t>Bishops on birth control : a chronicle of obstruction / Catholics for a Free Choice.</t>
        </is>
      </c>
      <c r="F2332" t="inlineStr">
        <is>
          <t>No</t>
        </is>
      </c>
      <c r="G2332" t="inlineStr">
        <is>
          <t>1</t>
        </is>
      </c>
      <c r="H2332" t="inlineStr">
        <is>
          <t>No</t>
        </is>
      </c>
      <c r="I2332" t="inlineStr">
        <is>
          <t>No</t>
        </is>
      </c>
      <c r="J2332" t="inlineStr">
        <is>
          <t>0</t>
        </is>
      </c>
      <c r="L2332" t="inlineStr">
        <is>
          <t>Washington, D.C. (1436 U St., N.W., Suite 301, Washington 20009) : Catholics for a Free Choice, c1991.</t>
        </is>
      </c>
      <c r="M2332" t="inlineStr">
        <is>
          <t>1991</t>
        </is>
      </c>
      <c r="O2332" t="inlineStr">
        <is>
          <t>eng</t>
        </is>
      </c>
      <c r="P2332" t="inlineStr">
        <is>
          <t>dcu</t>
        </is>
      </c>
      <c r="Q2332" t="inlineStr">
        <is>
          <t>Powerful conceptions: a series on bishops and birth control</t>
        </is>
      </c>
      <c r="R2332" t="inlineStr">
        <is>
          <t xml:space="preserve">HQ </t>
        </is>
      </c>
      <c r="S2332" t="n">
        <v>19</v>
      </c>
      <c r="T2332" t="n">
        <v>19</v>
      </c>
      <c r="U2332" t="inlineStr">
        <is>
          <t>2003-04-06</t>
        </is>
      </c>
      <c r="V2332" t="inlineStr">
        <is>
          <t>2003-04-06</t>
        </is>
      </c>
      <c r="W2332" t="inlineStr">
        <is>
          <t>1993-01-05</t>
        </is>
      </c>
      <c r="X2332" t="inlineStr">
        <is>
          <t>1993-01-05</t>
        </is>
      </c>
      <c r="Y2332" t="n">
        <v>17</v>
      </c>
      <c r="Z2332" t="n">
        <v>17</v>
      </c>
      <c r="AA2332" t="n">
        <v>17</v>
      </c>
      <c r="AB2332" t="n">
        <v>1</v>
      </c>
      <c r="AC2332" t="n">
        <v>1</v>
      </c>
      <c r="AD2332" t="n">
        <v>0</v>
      </c>
      <c r="AE2332" t="n">
        <v>0</v>
      </c>
      <c r="AF2332" t="n">
        <v>0</v>
      </c>
      <c r="AG2332" t="n">
        <v>0</v>
      </c>
      <c r="AH2332" t="n">
        <v>0</v>
      </c>
      <c r="AI2332" t="n">
        <v>0</v>
      </c>
      <c r="AJ2332" t="n">
        <v>0</v>
      </c>
      <c r="AK2332" t="n">
        <v>0</v>
      </c>
      <c r="AL2332" t="n">
        <v>0</v>
      </c>
      <c r="AM2332" t="n">
        <v>0</v>
      </c>
      <c r="AN2332" t="n">
        <v>0</v>
      </c>
      <c r="AO2332" t="n">
        <v>0</v>
      </c>
      <c r="AP2332" t="inlineStr">
        <is>
          <t>No</t>
        </is>
      </c>
      <c r="AQ2332" t="inlineStr">
        <is>
          <t>No</t>
        </is>
      </c>
      <c r="AS2332">
        <f>HYPERLINK("https://creighton-primo.hosted.exlibrisgroup.com/primo-explore/search?tab=default_tab&amp;search_scope=EVERYTHING&amp;vid=01CRU&amp;lang=en_US&amp;offset=0&amp;query=any,contains,991002033629702656","Catalog Record")</f>
        <v/>
      </c>
      <c r="AT2332">
        <f>HYPERLINK("http://www.worldcat.org/oclc/25902620","WorldCat Record")</f>
        <v/>
      </c>
      <c r="AU2332" t="inlineStr">
        <is>
          <t>28446277:eng</t>
        </is>
      </c>
      <c r="AV2332" t="inlineStr">
        <is>
          <t>25902620</t>
        </is>
      </c>
      <c r="AW2332" t="inlineStr">
        <is>
          <t>991002033629702656</t>
        </is>
      </c>
      <c r="AX2332" t="inlineStr">
        <is>
          <t>991002033629702656</t>
        </is>
      </c>
      <c r="AY2332" t="inlineStr">
        <is>
          <t>2270121560002656</t>
        </is>
      </c>
      <c r="AZ2332" t="inlineStr">
        <is>
          <t>BOOK</t>
        </is>
      </c>
      <c r="BB2332" t="inlineStr">
        <is>
          <t>9780915365197</t>
        </is>
      </c>
      <c r="BC2332" t="inlineStr">
        <is>
          <t>32285001467876</t>
        </is>
      </c>
      <c r="BD2332" t="inlineStr">
        <is>
          <t>893603129</t>
        </is>
      </c>
    </row>
    <row r="2333">
      <c r="A2333" t="inlineStr">
        <is>
          <t>No</t>
        </is>
      </c>
      <c r="B2333" t="inlineStr">
        <is>
          <t>HQ766.2 .M34 1982</t>
        </is>
      </c>
      <c r="C2333" t="inlineStr">
        <is>
          <t>0                      HQ 0766200M  34          1982</t>
        </is>
      </c>
      <c r="D2333" t="inlineStr">
        <is>
          <t>In good conscience : abortion and moral necessity / David Mall.</t>
        </is>
      </c>
      <c r="F2333" t="inlineStr">
        <is>
          <t>No</t>
        </is>
      </c>
      <c r="G2333" t="inlineStr">
        <is>
          <t>1</t>
        </is>
      </c>
      <c r="H2333" t="inlineStr">
        <is>
          <t>No</t>
        </is>
      </c>
      <c r="I2333" t="inlineStr">
        <is>
          <t>No</t>
        </is>
      </c>
      <c r="J2333" t="inlineStr">
        <is>
          <t>0</t>
        </is>
      </c>
      <c r="K2333" t="inlineStr">
        <is>
          <t>Mall, David.</t>
        </is>
      </c>
      <c r="L2333" t="inlineStr">
        <is>
          <t>Libertyville, Ill. : Kairos Books, c1982.</t>
        </is>
      </c>
      <c r="M2333" t="inlineStr">
        <is>
          <t>1982</t>
        </is>
      </c>
      <c r="O2333" t="inlineStr">
        <is>
          <t>eng</t>
        </is>
      </c>
      <c r="P2333" t="inlineStr">
        <is>
          <t>ilu</t>
        </is>
      </c>
      <c r="R2333" t="inlineStr">
        <is>
          <t xml:space="preserve">HQ </t>
        </is>
      </c>
      <c r="S2333" t="n">
        <v>5</v>
      </c>
      <c r="T2333" t="n">
        <v>5</v>
      </c>
      <c r="U2333" t="inlineStr">
        <is>
          <t>2000-04-10</t>
        </is>
      </c>
      <c r="V2333" t="inlineStr">
        <is>
          <t>2000-04-10</t>
        </is>
      </c>
      <c r="W2333" t="inlineStr">
        <is>
          <t>1992-11-10</t>
        </is>
      </c>
      <c r="X2333" t="inlineStr">
        <is>
          <t>1992-11-10</t>
        </is>
      </c>
      <c r="Y2333" t="n">
        <v>208</v>
      </c>
      <c r="Z2333" t="n">
        <v>196</v>
      </c>
      <c r="AA2333" t="n">
        <v>197</v>
      </c>
      <c r="AB2333" t="n">
        <v>4</v>
      </c>
      <c r="AC2333" t="n">
        <v>4</v>
      </c>
      <c r="AD2333" t="n">
        <v>19</v>
      </c>
      <c r="AE2333" t="n">
        <v>19</v>
      </c>
      <c r="AF2333" t="n">
        <v>4</v>
      </c>
      <c r="AG2333" t="n">
        <v>4</v>
      </c>
      <c r="AH2333" t="n">
        <v>3</v>
      </c>
      <c r="AI2333" t="n">
        <v>3</v>
      </c>
      <c r="AJ2333" t="n">
        <v>12</v>
      </c>
      <c r="AK2333" t="n">
        <v>12</v>
      </c>
      <c r="AL2333" t="n">
        <v>2</v>
      </c>
      <c r="AM2333" t="n">
        <v>2</v>
      </c>
      <c r="AN2333" t="n">
        <v>4</v>
      </c>
      <c r="AO2333" t="n">
        <v>4</v>
      </c>
      <c r="AP2333" t="inlineStr">
        <is>
          <t>No</t>
        </is>
      </c>
      <c r="AQ2333" t="inlineStr">
        <is>
          <t>Yes</t>
        </is>
      </c>
      <c r="AR2333">
        <f>HYPERLINK("http://catalog.hathitrust.org/Record/007572484","HathiTrust Record")</f>
        <v/>
      </c>
      <c r="AS2333">
        <f>HYPERLINK("https://creighton-primo.hosted.exlibrisgroup.com/primo-explore/search?tab=default_tab&amp;search_scope=EVERYTHING&amp;vid=01CRU&amp;lang=en_US&amp;offset=0&amp;query=any,contains,991005249979702656","Catalog Record")</f>
        <v/>
      </c>
      <c r="AT2333">
        <f>HYPERLINK("http://www.worldcat.org/oclc/8477621","WorldCat Record")</f>
        <v/>
      </c>
      <c r="AU2333" t="inlineStr">
        <is>
          <t>31822570:eng</t>
        </is>
      </c>
      <c r="AV2333" t="inlineStr">
        <is>
          <t>8477621</t>
        </is>
      </c>
      <c r="AW2333" t="inlineStr">
        <is>
          <t>991005249979702656</t>
        </is>
      </c>
      <c r="AX2333" t="inlineStr">
        <is>
          <t>991005249979702656</t>
        </is>
      </c>
      <c r="AY2333" t="inlineStr">
        <is>
          <t>2254765390002656</t>
        </is>
      </c>
      <c r="AZ2333" t="inlineStr">
        <is>
          <t>BOOK</t>
        </is>
      </c>
      <c r="BB2333" t="inlineStr">
        <is>
          <t>9780960841004</t>
        </is>
      </c>
      <c r="BC2333" t="inlineStr">
        <is>
          <t>32285001395150</t>
        </is>
      </c>
      <c r="BD2333" t="inlineStr">
        <is>
          <t>893520712</t>
        </is>
      </c>
    </row>
    <row r="2334">
      <c r="A2334" t="inlineStr">
        <is>
          <t>No</t>
        </is>
      </c>
      <c r="B2334" t="inlineStr">
        <is>
          <t>HQ766.2 .P83 1991</t>
        </is>
      </c>
      <c r="C2334" t="inlineStr">
        <is>
          <t>0                      HQ 0766200P  83          1991</t>
        </is>
      </c>
      <c r="D2334" t="inlineStr">
        <is>
          <t>Public perceptions : the bishops lobby / Catholics for a Free Choice.</t>
        </is>
      </c>
      <c r="F2334" t="inlineStr">
        <is>
          <t>No</t>
        </is>
      </c>
      <c r="G2334" t="inlineStr">
        <is>
          <t>1</t>
        </is>
      </c>
      <c r="H2334" t="inlineStr">
        <is>
          <t>No</t>
        </is>
      </c>
      <c r="I2334" t="inlineStr">
        <is>
          <t>No</t>
        </is>
      </c>
      <c r="J2334" t="inlineStr">
        <is>
          <t>0</t>
        </is>
      </c>
      <c r="L2334" t="inlineStr">
        <is>
          <t>Washington, D.C. (1436 U St., N.W., Suite 301, Washington 20009) : Catholics for a Free Choice, c1991.</t>
        </is>
      </c>
      <c r="M2334" t="inlineStr">
        <is>
          <t>1991</t>
        </is>
      </c>
      <c r="O2334" t="inlineStr">
        <is>
          <t>eng</t>
        </is>
      </c>
      <c r="P2334" t="inlineStr">
        <is>
          <t>dcu</t>
        </is>
      </c>
      <c r="Q2334" t="inlineStr">
        <is>
          <t>Powerful conceptions: a series on bishops and birth control</t>
        </is>
      </c>
      <c r="R2334" t="inlineStr">
        <is>
          <t xml:space="preserve">HQ </t>
        </is>
      </c>
      <c r="S2334" t="n">
        <v>7</v>
      </c>
      <c r="T2334" t="n">
        <v>7</v>
      </c>
      <c r="U2334" t="inlineStr">
        <is>
          <t>2002-08-28</t>
        </is>
      </c>
      <c r="V2334" t="inlineStr">
        <is>
          <t>2002-08-28</t>
        </is>
      </c>
      <c r="W2334" t="inlineStr">
        <is>
          <t>1993-01-05</t>
        </is>
      </c>
      <c r="X2334" t="inlineStr">
        <is>
          <t>1993-01-05</t>
        </is>
      </c>
      <c r="Y2334" t="n">
        <v>8</v>
      </c>
      <c r="Z2334" t="n">
        <v>8</v>
      </c>
      <c r="AA2334" t="n">
        <v>8</v>
      </c>
      <c r="AB2334" t="n">
        <v>1</v>
      </c>
      <c r="AC2334" t="n">
        <v>1</v>
      </c>
      <c r="AD2334" t="n">
        <v>0</v>
      </c>
      <c r="AE2334" t="n">
        <v>0</v>
      </c>
      <c r="AF2334" t="n">
        <v>0</v>
      </c>
      <c r="AG2334" t="n">
        <v>0</v>
      </c>
      <c r="AH2334" t="n">
        <v>0</v>
      </c>
      <c r="AI2334" t="n">
        <v>0</v>
      </c>
      <c r="AJ2334" t="n">
        <v>0</v>
      </c>
      <c r="AK2334" t="n">
        <v>0</v>
      </c>
      <c r="AL2334" t="n">
        <v>0</v>
      </c>
      <c r="AM2334" t="n">
        <v>0</v>
      </c>
      <c r="AN2334" t="n">
        <v>0</v>
      </c>
      <c r="AO2334" t="n">
        <v>0</v>
      </c>
      <c r="AP2334" t="inlineStr">
        <is>
          <t>No</t>
        </is>
      </c>
      <c r="AQ2334" t="inlineStr">
        <is>
          <t>No</t>
        </is>
      </c>
      <c r="AS2334">
        <f>HYPERLINK("https://creighton-primo.hosted.exlibrisgroup.com/primo-explore/search?tab=default_tab&amp;search_scope=EVERYTHING&amp;vid=01CRU&amp;lang=en_US&amp;offset=0&amp;query=any,contains,991002033609702656","Catalog Record")</f>
        <v/>
      </c>
      <c r="AT2334">
        <f>HYPERLINK("http://www.worldcat.org/oclc/25902560","WorldCat Record")</f>
        <v/>
      </c>
      <c r="AU2334" t="inlineStr">
        <is>
          <t>28445890:eng</t>
        </is>
      </c>
      <c r="AV2334" t="inlineStr">
        <is>
          <t>25902560</t>
        </is>
      </c>
      <c r="AW2334" t="inlineStr">
        <is>
          <t>991002033609702656</t>
        </is>
      </c>
      <c r="AX2334" t="inlineStr">
        <is>
          <t>991002033609702656</t>
        </is>
      </c>
      <c r="AY2334" t="inlineStr">
        <is>
          <t>2270258640002656</t>
        </is>
      </c>
      <c r="AZ2334" t="inlineStr">
        <is>
          <t>BOOK</t>
        </is>
      </c>
      <c r="BB2334" t="inlineStr">
        <is>
          <t>9780915365180</t>
        </is>
      </c>
      <c r="BC2334" t="inlineStr">
        <is>
          <t>32285001467892</t>
        </is>
      </c>
      <c r="BD2334" t="inlineStr">
        <is>
          <t>893262047</t>
        </is>
      </c>
    </row>
    <row r="2335">
      <c r="A2335" t="inlineStr">
        <is>
          <t>No</t>
        </is>
      </c>
      <c r="B2335" t="inlineStr">
        <is>
          <t>HQ766.25 .K45 1987</t>
        </is>
      </c>
      <c r="C2335" t="inlineStr">
        <is>
          <t>0                      HQ 0766250K  45          1987</t>
        </is>
      </c>
      <c r="D2335" t="inlineStr">
        <is>
          <t>Life and love : towards a Christian dialogue on bioethical questions / Kevin T. Kelly.</t>
        </is>
      </c>
      <c r="F2335" t="inlineStr">
        <is>
          <t>No</t>
        </is>
      </c>
      <c r="G2335" t="inlineStr">
        <is>
          <t>1</t>
        </is>
      </c>
      <c r="H2335" t="inlineStr">
        <is>
          <t>No</t>
        </is>
      </c>
      <c r="I2335" t="inlineStr">
        <is>
          <t>No</t>
        </is>
      </c>
      <c r="J2335" t="inlineStr">
        <is>
          <t>0</t>
        </is>
      </c>
      <c r="K2335" t="inlineStr">
        <is>
          <t>Kelly, Kevin T.</t>
        </is>
      </c>
      <c r="L2335" t="inlineStr">
        <is>
          <t>London : Collins, 1987.</t>
        </is>
      </c>
      <c r="M2335" t="inlineStr">
        <is>
          <t>1987</t>
        </is>
      </c>
      <c r="O2335" t="inlineStr">
        <is>
          <t>eng</t>
        </is>
      </c>
      <c r="P2335" t="inlineStr">
        <is>
          <t>enk</t>
        </is>
      </c>
      <c r="R2335" t="inlineStr">
        <is>
          <t xml:space="preserve">HQ </t>
        </is>
      </c>
      <c r="S2335" t="n">
        <v>13</v>
      </c>
      <c r="T2335" t="n">
        <v>13</v>
      </c>
      <c r="U2335" t="inlineStr">
        <is>
          <t>2004-11-22</t>
        </is>
      </c>
      <c r="V2335" t="inlineStr">
        <is>
          <t>2004-11-22</t>
        </is>
      </c>
      <c r="W2335" t="inlineStr">
        <is>
          <t>1990-12-17</t>
        </is>
      </c>
      <c r="X2335" t="inlineStr">
        <is>
          <t>1990-12-17</t>
        </is>
      </c>
      <c r="Y2335" t="n">
        <v>177</v>
      </c>
      <c r="Z2335" t="n">
        <v>106</v>
      </c>
      <c r="AA2335" t="n">
        <v>106</v>
      </c>
      <c r="AB2335" t="n">
        <v>1</v>
      </c>
      <c r="AC2335" t="n">
        <v>1</v>
      </c>
      <c r="AD2335" t="n">
        <v>5</v>
      </c>
      <c r="AE2335" t="n">
        <v>5</v>
      </c>
      <c r="AF2335" t="n">
        <v>1</v>
      </c>
      <c r="AG2335" t="n">
        <v>1</v>
      </c>
      <c r="AH2335" t="n">
        <v>1</v>
      </c>
      <c r="AI2335" t="n">
        <v>1</v>
      </c>
      <c r="AJ2335" t="n">
        <v>4</v>
      </c>
      <c r="AK2335" t="n">
        <v>4</v>
      </c>
      <c r="AL2335" t="n">
        <v>0</v>
      </c>
      <c r="AM2335" t="n">
        <v>0</v>
      </c>
      <c r="AN2335" t="n">
        <v>0</v>
      </c>
      <c r="AO2335" t="n">
        <v>0</v>
      </c>
      <c r="AP2335" t="inlineStr">
        <is>
          <t>No</t>
        </is>
      </c>
      <c r="AQ2335" t="inlineStr">
        <is>
          <t>No</t>
        </is>
      </c>
      <c r="AS2335">
        <f>HYPERLINK("https://creighton-primo.hosted.exlibrisgroup.com/primo-explore/search?tab=default_tab&amp;search_scope=EVERYTHING&amp;vid=01CRU&amp;lang=en_US&amp;offset=0&amp;query=any,contains,991001080679702656","Catalog Record")</f>
        <v/>
      </c>
      <c r="AT2335">
        <f>HYPERLINK("http://www.worldcat.org/oclc/23941368","WorldCat Record")</f>
        <v/>
      </c>
      <c r="AU2335" t="inlineStr">
        <is>
          <t>143790148:eng</t>
        </is>
      </c>
      <c r="AV2335" t="inlineStr">
        <is>
          <t>23941368</t>
        </is>
      </c>
      <c r="AW2335" t="inlineStr">
        <is>
          <t>991001080679702656</t>
        </is>
      </c>
      <c r="AX2335" t="inlineStr">
        <is>
          <t>991001080679702656</t>
        </is>
      </c>
      <c r="AY2335" t="inlineStr">
        <is>
          <t>2257510880002656</t>
        </is>
      </c>
      <c r="AZ2335" t="inlineStr">
        <is>
          <t>BOOK</t>
        </is>
      </c>
      <c r="BB2335" t="inlineStr">
        <is>
          <t>9780005999684</t>
        </is>
      </c>
      <c r="BC2335" t="inlineStr">
        <is>
          <t>32285000359843</t>
        </is>
      </c>
      <c r="BD2335" t="inlineStr">
        <is>
          <t>893778541</t>
        </is>
      </c>
    </row>
    <row r="2336">
      <c r="A2336" t="inlineStr">
        <is>
          <t>No</t>
        </is>
      </c>
      <c r="B2336" t="inlineStr">
        <is>
          <t>HQ766.3 .C27</t>
        </is>
      </c>
      <c r="C2336" t="inlineStr">
        <is>
          <t>0                      HQ 0766300C  27</t>
        </is>
      </c>
      <c r="D2336" t="inlineStr">
        <is>
          <t>The Catholic case for contraception / edited by Daniel Callahan.</t>
        </is>
      </c>
      <c r="F2336" t="inlineStr">
        <is>
          <t>No</t>
        </is>
      </c>
      <c r="G2336" t="inlineStr">
        <is>
          <t>1</t>
        </is>
      </c>
      <c r="H2336" t="inlineStr">
        <is>
          <t>Yes</t>
        </is>
      </c>
      <c r="I2336" t="inlineStr">
        <is>
          <t>No</t>
        </is>
      </c>
      <c r="J2336" t="inlineStr">
        <is>
          <t>0</t>
        </is>
      </c>
      <c r="K2336" t="inlineStr">
        <is>
          <t>Callahan, Daniel, 1930-2019 compiler.</t>
        </is>
      </c>
      <c r="L2336" t="inlineStr">
        <is>
          <t>[New York] : Macmillan, [1969]</t>
        </is>
      </c>
      <c r="M2336" t="inlineStr">
        <is>
          <t>1969</t>
        </is>
      </c>
      <c r="O2336" t="inlineStr">
        <is>
          <t>eng</t>
        </is>
      </c>
      <c r="P2336" t="inlineStr">
        <is>
          <t>nyu</t>
        </is>
      </c>
      <c r="R2336" t="inlineStr">
        <is>
          <t xml:space="preserve">HQ </t>
        </is>
      </c>
      <c r="S2336" t="n">
        <v>22</v>
      </c>
      <c r="T2336" t="n">
        <v>48</v>
      </c>
      <c r="U2336" t="inlineStr">
        <is>
          <t>2009-11-09</t>
        </is>
      </c>
      <c r="V2336" t="inlineStr">
        <is>
          <t>2009-11-09</t>
        </is>
      </c>
      <c r="W2336" t="inlineStr">
        <is>
          <t>1993-04-26</t>
        </is>
      </c>
      <c r="X2336" t="inlineStr">
        <is>
          <t>1993-04-26</t>
        </is>
      </c>
      <c r="Y2336" t="n">
        <v>449</v>
      </c>
      <c r="Z2336" t="n">
        <v>405</v>
      </c>
      <c r="AA2336" t="n">
        <v>423</v>
      </c>
      <c r="AB2336" t="n">
        <v>4</v>
      </c>
      <c r="AC2336" t="n">
        <v>4</v>
      </c>
      <c r="AD2336" t="n">
        <v>32</v>
      </c>
      <c r="AE2336" t="n">
        <v>33</v>
      </c>
      <c r="AF2336" t="n">
        <v>11</v>
      </c>
      <c r="AG2336" t="n">
        <v>11</v>
      </c>
      <c r="AH2336" t="n">
        <v>8</v>
      </c>
      <c r="AI2336" t="n">
        <v>8</v>
      </c>
      <c r="AJ2336" t="n">
        <v>20</v>
      </c>
      <c r="AK2336" t="n">
        <v>21</v>
      </c>
      <c r="AL2336" t="n">
        <v>2</v>
      </c>
      <c r="AM2336" t="n">
        <v>2</v>
      </c>
      <c r="AN2336" t="n">
        <v>0</v>
      </c>
      <c r="AO2336" t="n">
        <v>0</v>
      </c>
      <c r="AP2336" t="inlineStr">
        <is>
          <t>No</t>
        </is>
      </c>
      <c r="AQ2336" t="inlineStr">
        <is>
          <t>No</t>
        </is>
      </c>
      <c r="AS2336">
        <f>HYPERLINK("https://creighton-primo.hosted.exlibrisgroup.com/primo-explore/search?tab=default_tab&amp;search_scope=EVERYTHING&amp;vid=01CRU&amp;lang=en_US&amp;offset=0&amp;query=any,contains,991001766559702656","Catalog Record")</f>
        <v/>
      </c>
      <c r="AT2336">
        <f>HYPERLINK("http://www.worldcat.org/oclc/181545","WorldCat Record")</f>
        <v/>
      </c>
      <c r="AU2336" t="inlineStr">
        <is>
          <t>1198388:eng</t>
        </is>
      </c>
      <c r="AV2336" t="inlineStr">
        <is>
          <t>181545</t>
        </is>
      </c>
      <c r="AW2336" t="inlineStr">
        <is>
          <t>991001766559702656</t>
        </is>
      </c>
      <c r="AX2336" t="inlineStr">
        <is>
          <t>991001766559702656</t>
        </is>
      </c>
      <c r="AY2336" t="inlineStr">
        <is>
          <t>2272629670002656</t>
        </is>
      </c>
      <c r="AZ2336" t="inlineStr">
        <is>
          <t>BOOK</t>
        </is>
      </c>
      <c r="BC2336" t="inlineStr">
        <is>
          <t>32285001625549</t>
        </is>
      </c>
      <c r="BD2336" t="inlineStr">
        <is>
          <t>893516471</t>
        </is>
      </c>
    </row>
    <row r="2337">
      <c r="A2337" t="inlineStr">
        <is>
          <t>No</t>
        </is>
      </c>
      <c r="B2337" t="inlineStr">
        <is>
          <t>HQ766.3 .C33 1968</t>
        </is>
      </c>
      <c r="C2337" t="inlineStr">
        <is>
          <t>0                      HQ 0766300C  33          1968</t>
        </is>
      </c>
      <c r="D2337" t="inlineStr">
        <is>
          <t>Litterae encyclicae De propagatione humanae prolis recte ordinanda ... / Pauli VI Pont. Max.</t>
        </is>
      </c>
      <c r="F2337" t="inlineStr">
        <is>
          <t>No</t>
        </is>
      </c>
      <c r="G2337" t="inlineStr">
        <is>
          <t>1</t>
        </is>
      </c>
      <c r="H2337" t="inlineStr">
        <is>
          <t>No</t>
        </is>
      </c>
      <c r="I2337" t="inlineStr">
        <is>
          <t>No</t>
        </is>
      </c>
      <c r="J2337" t="inlineStr">
        <is>
          <t>0</t>
        </is>
      </c>
      <c r="K2337" t="inlineStr">
        <is>
          <t>Catholic Church. Pope (1963-1978 : Paul VI).</t>
        </is>
      </c>
      <c r="L2337" t="inlineStr">
        <is>
          <t>Romae (Italy) : Typis Polyglottis Vaticanis, 1968.</t>
        </is>
      </c>
      <c r="M2337" t="inlineStr">
        <is>
          <t>1968</t>
        </is>
      </c>
      <c r="O2337" t="inlineStr">
        <is>
          <t>lat</t>
        </is>
      </c>
      <c r="P2337" t="inlineStr">
        <is>
          <t xml:space="preserve">it </t>
        </is>
      </c>
      <c r="R2337" t="inlineStr">
        <is>
          <t xml:space="preserve">HQ </t>
        </is>
      </c>
      <c r="S2337" t="n">
        <v>6</v>
      </c>
      <c r="T2337" t="n">
        <v>6</v>
      </c>
      <c r="U2337" t="inlineStr">
        <is>
          <t>2005-09-14</t>
        </is>
      </c>
      <c r="V2337" t="inlineStr">
        <is>
          <t>2005-09-14</t>
        </is>
      </c>
      <c r="W2337" t="inlineStr">
        <is>
          <t>1993-11-18</t>
        </is>
      </c>
      <c r="X2337" t="inlineStr">
        <is>
          <t>1993-11-18</t>
        </is>
      </c>
      <c r="Y2337" t="n">
        <v>11</v>
      </c>
      <c r="Z2337" t="n">
        <v>10</v>
      </c>
      <c r="AA2337" t="n">
        <v>10</v>
      </c>
      <c r="AB2337" t="n">
        <v>1</v>
      </c>
      <c r="AC2337" t="n">
        <v>1</v>
      </c>
      <c r="AD2337" t="n">
        <v>0</v>
      </c>
      <c r="AE2337" t="n">
        <v>0</v>
      </c>
      <c r="AF2337" t="n">
        <v>0</v>
      </c>
      <c r="AG2337" t="n">
        <v>0</v>
      </c>
      <c r="AH2337" t="n">
        <v>0</v>
      </c>
      <c r="AI2337" t="n">
        <v>0</v>
      </c>
      <c r="AJ2337" t="n">
        <v>0</v>
      </c>
      <c r="AK2337" t="n">
        <v>0</v>
      </c>
      <c r="AL2337" t="n">
        <v>0</v>
      </c>
      <c r="AM2337" t="n">
        <v>0</v>
      </c>
      <c r="AN2337" t="n">
        <v>0</v>
      </c>
      <c r="AO2337" t="n">
        <v>0</v>
      </c>
      <c r="AP2337" t="inlineStr">
        <is>
          <t>No</t>
        </is>
      </c>
      <c r="AQ2337" t="inlineStr">
        <is>
          <t>No</t>
        </is>
      </c>
      <c r="AS2337">
        <f>HYPERLINK("https://creighton-primo.hosted.exlibrisgroup.com/primo-explore/search?tab=default_tab&amp;search_scope=EVERYTHING&amp;vid=01CRU&amp;lang=en_US&amp;offset=0&amp;query=any,contains,991005107459702656","Catalog Record")</f>
        <v/>
      </c>
      <c r="AT2337">
        <f>HYPERLINK("http://www.worldcat.org/oclc/7356404","WorldCat Record")</f>
        <v/>
      </c>
      <c r="AU2337" t="inlineStr">
        <is>
          <t>5619057694:lat</t>
        </is>
      </c>
      <c r="AV2337" t="inlineStr">
        <is>
          <t>7356404</t>
        </is>
      </c>
      <c r="AW2337" t="inlineStr">
        <is>
          <t>991005107459702656</t>
        </is>
      </c>
      <c r="AX2337" t="inlineStr">
        <is>
          <t>991005107459702656</t>
        </is>
      </c>
      <c r="AY2337" t="inlineStr">
        <is>
          <t>2255708440002656</t>
        </is>
      </c>
      <c r="AZ2337" t="inlineStr">
        <is>
          <t>BOOK</t>
        </is>
      </c>
      <c r="BC2337" t="inlineStr">
        <is>
          <t>32285001799906</t>
        </is>
      </c>
      <c r="BD2337" t="inlineStr">
        <is>
          <t>893895887</t>
        </is>
      </c>
    </row>
    <row r="2338">
      <c r="A2338" t="inlineStr">
        <is>
          <t>No</t>
        </is>
      </c>
      <c r="B2338" t="inlineStr">
        <is>
          <t>HQ766.3 .C38 1999</t>
        </is>
      </c>
      <c r="C2338" t="inlineStr">
        <is>
          <t>0                      HQ 0766300C  38          1999</t>
        </is>
      </c>
      <c r="D2338" t="inlineStr">
        <is>
          <t>Catholics and Cairo : a common language.</t>
        </is>
      </c>
      <c r="F2338" t="inlineStr">
        <is>
          <t>No</t>
        </is>
      </c>
      <c r="G2338" t="inlineStr">
        <is>
          <t>1</t>
        </is>
      </c>
      <c r="H2338" t="inlineStr">
        <is>
          <t>No</t>
        </is>
      </c>
      <c r="I2338" t="inlineStr">
        <is>
          <t>No</t>
        </is>
      </c>
      <c r="J2338" t="inlineStr">
        <is>
          <t>0</t>
        </is>
      </c>
      <c r="L2338" t="inlineStr">
        <is>
          <t>Washington, DC : Catholic Voices, 1999.</t>
        </is>
      </c>
      <c r="M2338" t="inlineStr">
        <is>
          <t>1999</t>
        </is>
      </c>
      <c r="O2338" t="inlineStr">
        <is>
          <t>eng</t>
        </is>
      </c>
      <c r="P2338" t="inlineStr">
        <is>
          <t>dcu</t>
        </is>
      </c>
      <c r="R2338" t="inlineStr">
        <is>
          <t xml:space="preserve">HQ </t>
        </is>
      </c>
      <c r="S2338" t="n">
        <v>3</v>
      </c>
      <c r="T2338" t="n">
        <v>3</v>
      </c>
      <c r="U2338" t="inlineStr">
        <is>
          <t>2003-04-28</t>
        </is>
      </c>
      <c r="V2338" t="inlineStr">
        <is>
          <t>2003-04-28</t>
        </is>
      </c>
      <c r="W2338" t="inlineStr">
        <is>
          <t>1999-07-13</t>
        </is>
      </c>
      <c r="X2338" t="inlineStr">
        <is>
          <t>1999-07-13</t>
        </is>
      </c>
      <c r="Y2338" t="n">
        <v>110</v>
      </c>
      <c r="Z2338" t="n">
        <v>110</v>
      </c>
      <c r="AA2338" t="n">
        <v>111</v>
      </c>
      <c r="AB2338" t="n">
        <v>1</v>
      </c>
      <c r="AC2338" t="n">
        <v>1</v>
      </c>
      <c r="AD2338" t="n">
        <v>16</v>
      </c>
      <c r="AE2338" t="n">
        <v>16</v>
      </c>
      <c r="AF2338" t="n">
        <v>6</v>
      </c>
      <c r="AG2338" t="n">
        <v>6</v>
      </c>
      <c r="AH2338" t="n">
        <v>2</v>
      </c>
      <c r="AI2338" t="n">
        <v>2</v>
      </c>
      <c r="AJ2338" t="n">
        <v>11</v>
      </c>
      <c r="AK2338" t="n">
        <v>11</v>
      </c>
      <c r="AL2338" t="n">
        <v>0</v>
      </c>
      <c r="AM2338" t="n">
        <v>0</v>
      </c>
      <c r="AN2338" t="n">
        <v>0</v>
      </c>
      <c r="AO2338" t="n">
        <v>0</v>
      </c>
      <c r="AP2338" t="inlineStr">
        <is>
          <t>No</t>
        </is>
      </c>
      <c r="AQ2338" t="inlineStr">
        <is>
          <t>No</t>
        </is>
      </c>
      <c r="AS2338">
        <f>HYPERLINK("https://creighton-primo.hosted.exlibrisgroup.com/primo-explore/search?tab=default_tab&amp;search_scope=EVERYTHING&amp;vid=01CRU&amp;lang=en_US&amp;offset=0&amp;query=any,contains,991003036139702656","Catalog Record")</f>
        <v/>
      </c>
      <c r="AT2338">
        <f>HYPERLINK("http://www.worldcat.org/oclc/50591205","WorldCat Record")</f>
        <v/>
      </c>
      <c r="AU2338" t="inlineStr">
        <is>
          <t>6634848:eng</t>
        </is>
      </c>
      <c r="AV2338" t="inlineStr">
        <is>
          <t>50591205</t>
        </is>
      </c>
      <c r="AW2338" t="inlineStr">
        <is>
          <t>991003036139702656</t>
        </is>
      </c>
      <c r="AX2338" t="inlineStr">
        <is>
          <t>991003036139702656</t>
        </is>
      </c>
      <c r="AY2338" t="inlineStr">
        <is>
          <t>2262120430002656</t>
        </is>
      </c>
      <c r="AZ2338" t="inlineStr">
        <is>
          <t>BOOK</t>
        </is>
      </c>
      <c r="BC2338" t="inlineStr">
        <is>
          <t>32285003578134</t>
        </is>
      </c>
      <c r="BD2338" t="inlineStr">
        <is>
          <t>893604372</t>
        </is>
      </c>
    </row>
    <row r="2339">
      <c r="A2339" t="inlineStr">
        <is>
          <t>No</t>
        </is>
      </c>
      <c r="B2339" t="inlineStr">
        <is>
          <t>HQ766.3 .C6</t>
        </is>
      </c>
      <c r="C2339" t="inlineStr">
        <is>
          <t>0                      HQ 0766300C  6</t>
        </is>
      </c>
      <c r="D2339" t="inlineStr">
        <is>
          <t>Contraception and holiness : the Catholic predicament / introduced by Thomas D. Roberts.</t>
        </is>
      </c>
      <c r="F2339" t="inlineStr">
        <is>
          <t>No</t>
        </is>
      </c>
      <c r="G2339" t="inlineStr">
        <is>
          <t>1</t>
        </is>
      </c>
      <c r="H2339" t="inlineStr">
        <is>
          <t>No</t>
        </is>
      </c>
      <c r="I2339" t="inlineStr">
        <is>
          <t>No</t>
        </is>
      </c>
      <c r="J2339" t="inlineStr">
        <is>
          <t>0</t>
        </is>
      </c>
      <c r="L2339" t="inlineStr">
        <is>
          <t>[New York] Herder and Herder [1964]</t>
        </is>
      </c>
      <c r="M2339" t="inlineStr">
        <is>
          <t>1964</t>
        </is>
      </c>
      <c r="O2339" t="inlineStr">
        <is>
          <t>eng</t>
        </is>
      </c>
      <c r="P2339" t="inlineStr">
        <is>
          <t>nyu</t>
        </is>
      </c>
      <c r="R2339" t="inlineStr">
        <is>
          <t xml:space="preserve">HQ </t>
        </is>
      </c>
      <c r="S2339" t="n">
        <v>14</v>
      </c>
      <c r="T2339" t="n">
        <v>14</v>
      </c>
      <c r="U2339" t="inlineStr">
        <is>
          <t>2007-12-03</t>
        </is>
      </c>
      <c r="V2339" t="inlineStr">
        <is>
          <t>2007-12-03</t>
        </is>
      </c>
      <c r="W2339" t="inlineStr">
        <is>
          <t>1997-03-04</t>
        </is>
      </c>
      <c r="X2339" t="inlineStr">
        <is>
          <t>1997-03-04</t>
        </is>
      </c>
      <c r="Y2339" t="n">
        <v>359</v>
      </c>
      <c r="Z2339" t="n">
        <v>322</v>
      </c>
      <c r="AA2339" t="n">
        <v>346</v>
      </c>
      <c r="AB2339" t="n">
        <v>4</v>
      </c>
      <c r="AC2339" t="n">
        <v>4</v>
      </c>
      <c r="AD2339" t="n">
        <v>31</v>
      </c>
      <c r="AE2339" t="n">
        <v>31</v>
      </c>
      <c r="AF2339" t="n">
        <v>9</v>
      </c>
      <c r="AG2339" t="n">
        <v>9</v>
      </c>
      <c r="AH2339" t="n">
        <v>9</v>
      </c>
      <c r="AI2339" t="n">
        <v>9</v>
      </c>
      <c r="AJ2339" t="n">
        <v>23</v>
      </c>
      <c r="AK2339" t="n">
        <v>23</v>
      </c>
      <c r="AL2339" t="n">
        <v>1</v>
      </c>
      <c r="AM2339" t="n">
        <v>1</v>
      </c>
      <c r="AN2339" t="n">
        <v>0</v>
      </c>
      <c r="AO2339" t="n">
        <v>0</v>
      </c>
      <c r="AP2339" t="inlineStr">
        <is>
          <t>No</t>
        </is>
      </c>
      <c r="AQ2339" t="inlineStr">
        <is>
          <t>Yes</t>
        </is>
      </c>
      <c r="AR2339">
        <f>HYPERLINK("http://catalog.hathitrust.org/Record/000977793","HathiTrust Record")</f>
        <v/>
      </c>
      <c r="AS2339">
        <f>HYPERLINK("https://creighton-primo.hosted.exlibrisgroup.com/primo-explore/search?tab=default_tab&amp;search_scope=EVERYTHING&amp;vid=01CRU&amp;lang=en_US&amp;offset=0&amp;query=any,contains,991002034339702656","Catalog Record")</f>
        <v/>
      </c>
      <c r="AT2339">
        <f>HYPERLINK("http://www.worldcat.org/oclc/260511","WorldCat Record")</f>
        <v/>
      </c>
      <c r="AU2339" t="inlineStr">
        <is>
          <t>49391959:eng</t>
        </is>
      </c>
      <c r="AV2339" t="inlineStr">
        <is>
          <t>260511</t>
        </is>
      </c>
      <c r="AW2339" t="inlineStr">
        <is>
          <t>991002034339702656</t>
        </is>
      </c>
      <c r="AX2339" t="inlineStr">
        <is>
          <t>991002034339702656</t>
        </is>
      </c>
      <c r="AY2339" t="inlineStr">
        <is>
          <t>2262506610002656</t>
        </is>
      </c>
      <c r="AZ2339" t="inlineStr">
        <is>
          <t>BOOK</t>
        </is>
      </c>
      <c r="BC2339" t="inlineStr">
        <is>
          <t>32285002463932</t>
        </is>
      </c>
      <c r="BD2339" t="inlineStr">
        <is>
          <t>893433411</t>
        </is>
      </c>
    </row>
    <row r="2340">
      <c r="A2340" t="inlineStr">
        <is>
          <t>No</t>
        </is>
      </c>
      <c r="B2340" t="inlineStr">
        <is>
          <t>HQ766.3 .D47 1969</t>
        </is>
      </c>
      <c r="C2340" t="inlineStr">
        <is>
          <t>0                      HQ 0766300D  47          1969</t>
        </is>
      </c>
      <c r="D2340" t="inlineStr">
        <is>
          <t>Honest love and human life : is the Pope right about contraception?</t>
        </is>
      </c>
      <c r="F2340" t="inlineStr">
        <is>
          <t>No</t>
        </is>
      </c>
      <c r="G2340" t="inlineStr">
        <is>
          <t>1</t>
        </is>
      </c>
      <c r="H2340" t="inlineStr">
        <is>
          <t>No</t>
        </is>
      </c>
      <c r="I2340" t="inlineStr">
        <is>
          <t>No</t>
        </is>
      </c>
      <c r="J2340" t="inlineStr">
        <is>
          <t>0</t>
        </is>
      </c>
      <c r="K2340" t="inlineStr">
        <is>
          <t>Derrick, Christopher, 1921-</t>
        </is>
      </c>
      <c r="L2340" t="inlineStr">
        <is>
          <t>New York : Coward-McCann, [1969]</t>
        </is>
      </c>
      <c r="M2340" t="inlineStr">
        <is>
          <t>1969</t>
        </is>
      </c>
      <c r="N2340" t="inlineStr">
        <is>
          <t>[1st American ed.]</t>
        </is>
      </c>
      <c r="O2340" t="inlineStr">
        <is>
          <t>eng</t>
        </is>
      </c>
      <c r="P2340" t="inlineStr">
        <is>
          <t>nyu</t>
        </is>
      </c>
      <c r="R2340" t="inlineStr">
        <is>
          <t xml:space="preserve">HQ </t>
        </is>
      </c>
      <c r="S2340" t="n">
        <v>11</v>
      </c>
      <c r="T2340" t="n">
        <v>11</v>
      </c>
      <c r="U2340" t="inlineStr">
        <is>
          <t>2005-07-05</t>
        </is>
      </c>
      <c r="V2340" t="inlineStr">
        <is>
          <t>2005-07-05</t>
        </is>
      </c>
      <c r="W2340" t="inlineStr">
        <is>
          <t>1990-12-13</t>
        </is>
      </c>
      <c r="X2340" t="inlineStr">
        <is>
          <t>1990-12-13</t>
        </is>
      </c>
      <c r="Y2340" t="n">
        <v>138</v>
      </c>
      <c r="Z2340" t="n">
        <v>137</v>
      </c>
      <c r="AA2340" t="n">
        <v>188</v>
      </c>
      <c r="AB2340" t="n">
        <v>4</v>
      </c>
      <c r="AC2340" t="n">
        <v>4</v>
      </c>
      <c r="AD2340" t="n">
        <v>18</v>
      </c>
      <c r="AE2340" t="n">
        <v>20</v>
      </c>
      <c r="AF2340" t="n">
        <v>7</v>
      </c>
      <c r="AG2340" t="n">
        <v>7</v>
      </c>
      <c r="AH2340" t="n">
        <v>5</v>
      </c>
      <c r="AI2340" t="n">
        <v>7</v>
      </c>
      <c r="AJ2340" t="n">
        <v>12</v>
      </c>
      <c r="AK2340" t="n">
        <v>13</v>
      </c>
      <c r="AL2340" t="n">
        <v>1</v>
      </c>
      <c r="AM2340" t="n">
        <v>1</v>
      </c>
      <c r="AN2340" t="n">
        <v>0</v>
      </c>
      <c r="AO2340" t="n">
        <v>0</v>
      </c>
      <c r="AP2340" t="inlineStr">
        <is>
          <t>No</t>
        </is>
      </c>
      <c r="AQ2340" t="inlineStr">
        <is>
          <t>No</t>
        </is>
      </c>
      <c r="AR2340">
        <f>HYPERLINK("http://catalog.hathitrust.org/Record/010826980","HathiTrust Record")</f>
        <v/>
      </c>
      <c r="AS2340">
        <f>HYPERLINK("https://creighton-primo.hosted.exlibrisgroup.com/primo-explore/search?tab=default_tab&amp;search_scope=EVERYTHING&amp;vid=01CRU&amp;lang=en_US&amp;offset=0&amp;query=any,contains,991000463149702656","Catalog Record")</f>
        <v/>
      </c>
      <c r="AT2340">
        <f>HYPERLINK("http://www.worldcat.org/oclc/78743","WorldCat Record")</f>
        <v/>
      </c>
      <c r="AU2340" t="inlineStr">
        <is>
          <t>1256061:eng</t>
        </is>
      </c>
      <c r="AV2340" t="inlineStr">
        <is>
          <t>78743</t>
        </is>
      </c>
      <c r="AW2340" t="inlineStr">
        <is>
          <t>991000463149702656</t>
        </is>
      </c>
      <c r="AX2340" t="inlineStr">
        <is>
          <t>991000463149702656</t>
        </is>
      </c>
      <c r="AY2340" t="inlineStr">
        <is>
          <t>2254989080002656</t>
        </is>
      </c>
      <c r="AZ2340" t="inlineStr">
        <is>
          <t>BOOK</t>
        </is>
      </c>
      <c r="BC2340" t="inlineStr">
        <is>
          <t>32285000425404</t>
        </is>
      </c>
      <c r="BD2340" t="inlineStr">
        <is>
          <t>893528067</t>
        </is>
      </c>
    </row>
    <row r="2341">
      <c r="A2341" t="inlineStr">
        <is>
          <t>No</t>
        </is>
      </c>
      <c r="B2341" t="inlineStr">
        <is>
          <t>HQ766.3 .D56 2000</t>
        </is>
      </c>
      <c r="C2341" t="inlineStr">
        <is>
          <t>0                      HQ 0766300D  56          2000</t>
        </is>
      </c>
      <c r="D2341" t="inlineStr">
        <is>
          <t>National Conference of Catholic Bishops' standards for diocesan natural family planning ministry / Diocesan Development Program for Natural Family Planning, Committee for Pro-Life Activities, National Conference of Catholic Bishops.</t>
        </is>
      </c>
      <c r="F2341" t="inlineStr">
        <is>
          <t>No</t>
        </is>
      </c>
      <c r="G2341" t="inlineStr">
        <is>
          <t>1</t>
        </is>
      </c>
      <c r="H2341" t="inlineStr">
        <is>
          <t>No</t>
        </is>
      </c>
      <c r="I2341" t="inlineStr">
        <is>
          <t>No</t>
        </is>
      </c>
      <c r="J2341" t="inlineStr">
        <is>
          <t>0</t>
        </is>
      </c>
      <c r="K2341" t="inlineStr">
        <is>
          <t>Diocesan Development Program for Natural Family Planning.</t>
        </is>
      </c>
      <c r="L2341" t="inlineStr">
        <is>
          <t>Washington, D.C. : United States Catholic Conference, c2000.</t>
        </is>
      </c>
      <c r="M2341" t="inlineStr">
        <is>
          <t>2000</t>
        </is>
      </c>
      <c r="N2341" t="inlineStr">
        <is>
          <t>Jubilee ed.</t>
        </is>
      </c>
      <c r="O2341" t="inlineStr">
        <is>
          <t>eng</t>
        </is>
      </c>
      <c r="P2341" t="inlineStr">
        <is>
          <t>dcu</t>
        </is>
      </c>
      <c r="Q2341" t="inlineStr">
        <is>
          <t>Publication (United States Catholic Conference) ; no. 5-357</t>
        </is>
      </c>
      <c r="R2341" t="inlineStr">
        <is>
          <t xml:space="preserve">HQ </t>
        </is>
      </c>
      <c r="S2341" t="n">
        <v>8</v>
      </c>
      <c r="T2341" t="n">
        <v>8</v>
      </c>
      <c r="U2341" t="inlineStr">
        <is>
          <t>2007-11-26</t>
        </is>
      </c>
      <c r="V2341" t="inlineStr">
        <is>
          <t>2007-11-26</t>
        </is>
      </c>
      <c r="W2341" t="inlineStr">
        <is>
          <t>2000-11-28</t>
        </is>
      </c>
      <c r="X2341" t="inlineStr">
        <is>
          <t>2000-11-28</t>
        </is>
      </c>
      <c r="Y2341" t="n">
        <v>67</v>
      </c>
      <c r="Z2341" t="n">
        <v>64</v>
      </c>
      <c r="AA2341" t="n">
        <v>64</v>
      </c>
      <c r="AB2341" t="n">
        <v>1</v>
      </c>
      <c r="AC2341" t="n">
        <v>1</v>
      </c>
      <c r="AD2341" t="n">
        <v>12</v>
      </c>
      <c r="AE2341" t="n">
        <v>12</v>
      </c>
      <c r="AF2341" t="n">
        <v>3</v>
      </c>
      <c r="AG2341" t="n">
        <v>3</v>
      </c>
      <c r="AH2341" t="n">
        <v>3</v>
      </c>
      <c r="AI2341" t="n">
        <v>3</v>
      </c>
      <c r="AJ2341" t="n">
        <v>9</v>
      </c>
      <c r="AK2341" t="n">
        <v>9</v>
      </c>
      <c r="AL2341" t="n">
        <v>0</v>
      </c>
      <c r="AM2341" t="n">
        <v>0</v>
      </c>
      <c r="AN2341" t="n">
        <v>0</v>
      </c>
      <c r="AO2341" t="n">
        <v>0</v>
      </c>
      <c r="AP2341" t="inlineStr">
        <is>
          <t>No</t>
        </is>
      </c>
      <c r="AQ2341" t="inlineStr">
        <is>
          <t>No</t>
        </is>
      </c>
      <c r="AS2341">
        <f>HYPERLINK("https://creighton-primo.hosted.exlibrisgroup.com/primo-explore/search?tab=default_tab&amp;search_scope=EVERYTHING&amp;vid=01CRU&amp;lang=en_US&amp;offset=0&amp;query=any,contains,991003356929702656","Catalog Record")</f>
        <v/>
      </c>
      <c r="AT2341">
        <f>HYPERLINK("http://www.worldcat.org/oclc/45403261","WorldCat Record")</f>
        <v/>
      </c>
      <c r="AU2341" t="inlineStr">
        <is>
          <t>3858359035:eng</t>
        </is>
      </c>
      <c r="AV2341" t="inlineStr">
        <is>
          <t>45403261</t>
        </is>
      </c>
      <c r="AW2341" t="inlineStr">
        <is>
          <t>991003356929702656</t>
        </is>
      </c>
      <c r="AX2341" t="inlineStr">
        <is>
          <t>991003356929702656</t>
        </is>
      </c>
      <c r="AY2341" t="inlineStr">
        <is>
          <t>2269427890002656</t>
        </is>
      </c>
      <c r="AZ2341" t="inlineStr">
        <is>
          <t>BOOK</t>
        </is>
      </c>
      <c r="BB2341" t="inlineStr">
        <is>
          <t>9781574553574</t>
        </is>
      </c>
      <c r="BC2341" t="inlineStr">
        <is>
          <t>32285004267489</t>
        </is>
      </c>
      <c r="BD2341" t="inlineStr">
        <is>
          <t>893505500</t>
        </is>
      </c>
    </row>
    <row r="2342">
      <c r="A2342" t="inlineStr">
        <is>
          <t>No</t>
        </is>
      </c>
      <c r="B2342" t="inlineStr">
        <is>
          <t>HQ766.3 .D57 2001</t>
        </is>
      </c>
      <c r="C2342" t="inlineStr">
        <is>
          <t>0                      HQ 0766300D  57          2001</t>
        </is>
      </c>
      <c r="D2342" t="inlineStr">
        <is>
          <t>Standards for diocesan natural family planning ministry / [approved by the] Administrative Committee of the United States Conference of Catholic Bishops.</t>
        </is>
      </c>
      <c r="F2342" t="inlineStr">
        <is>
          <t>No</t>
        </is>
      </c>
      <c r="G2342" t="inlineStr">
        <is>
          <t>1</t>
        </is>
      </c>
      <c r="H2342" t="inlineStr">
        <is>
          <t>No</t>
        </is>
      </c>
      <c r="I2342" t="inlineStr">
        <is>
          <t>No</t>
        </is>
      </c>
      <c r="J2342" t="inlineStr">
        <is>
          <t>0</t>
        </is>
      </c>
      <c r="K2342" t="inlineStr">
        <is>
          <t>Diocesan Development Program for Natural Family Planning.</t>
        </is>
      </c>
      <c r="L2342" t="inlineStr">
        <is>
          <t>Washington, D.C. : The Conference, c2001.</t>
        </is>
      </c>
      <c r="M2342" t="inlineStr">
        <is>
          <t>2001</t>
        </is>
      </c>
      <c r="O2342" t="inlineStr">
        <is>
          <t>eng</t>
        </is>
      </c>
      <c r="P2342" t="inlineStr">
        <is>
          <t>dcu</t>
        </is>
      </c>
      <c r="Q2342" t="inlineStr">
        <is>
          <t>Publication (United States Conference of Catholic Bishops) ; no. 5-438</t>
        </is>
      </c>
      <c r="R2342" t="inlineStr">
        <is>
          <t xml:space="preserve">HQ </t>
        </is>
      </c>
      <c r="S2342" t="n">
        <v>10</v>
      </c>
      <c r="T2342" t="n">
        <v>10</v>
      </c>
      <c r="U2342" t="inlineStr">
        <is>
          <t>2007-11-26</t>
        </is>
      </c>
      <c r="V2342" t="inlineStr">
        <is>
          <t>2007-11-26</t>
        </is>
      </c>
      <c r="W2342" t="inlineStr">
        <is>
          <t>2001-08-30</t>
        </is>
      </c>
      <c r="X2342" t="inlineStr">
        <is>
          <t>2001-08-30</t>
        </is>
      </c>
      <c r="Y2342" t="n">
        <v>70</v>
      </c>
      <c r="Z2342" t="n">
        <v>68</v>
      </c>
      <c r="AA2342" t="n">
        <v>69</v>
      </c>
      <c r="AB2342" t="n">
        <v>1</v>
      </c>
      <c r="AC2342" t="n">
        <v>1</v>
      </c>
      <c r="AD2342" t="n">
        <v>12</v>
      </c>
      <c r="AE2342" t="n">
        <v>12</v>
      </c>
      <c r="AF2342" t="n">
        <v>1</v>
      </c>
      <c r="AG2342" t="n">
        <v>1</v>
      </c>
      <c r="AH2342" t="n">
        <v>4</v>
      </c>
      <c r="AI2342" t="n">
        <v>4</v>
      </c>
      <c r="AJ2342" t="n">
        <v>8</v>
      </c>
      <c r="AK2342" t="n">
        <v>8</v>
      </c>
      <c r="AL2342" t="n">
        <v>0</v>
      </c>
      <c r="AM2342" t="n">
        <v>0</v>
      </c>
      <c r="AN2342" t="n">
        <v>0</v>
      </c>
      <c r="AO2342" t="n">
        <v>0</v>
      </c>
      <c r="AP2342" t="inlineStr">
        <is>
          <t>No</t>
        </is>
      </c>
      <c r="AQ2342" t="inlineStr">
        <is>
          <t>No</t>
        </is>
      </c>
      <c r="AS2342">
        <f>HYPERLINK("https://creighton-primo.hosted.exlibrisgroup.com/primo-explore/search?tab=default_tab&amp;search_scope=EVERYTHING&amp;vid=01CRU&amp;lang=en_US&amp;offset=0&amp;query=any,contains,991003615319702656","Catalog Record")</f>
        <v/>
      </c>
      <c r="AT2342">
        <f>HYPERLINK("http://www.worldcat.org/oclc/47851718","WorldCat Record")</f>
        <v/>
      </c>
      <c r="AU2342" t="inlineStr">
        <is>
          <t>36465679:eng</t>
        </is>
      </c>
      <c r="AV2342" t="inlineStr">
        <is>
          <t>47851718</t>
        </is>
      </c>
      <c r="AW2342" t="inlineStr">
        <is>
          <t>991003615319702656</t>
        </is>
      </c>
      <c r="AX2342" t="inlineStr">
        <is>
          <t>991003615319702656</t>
        </is>
      </c>
      <c r="AY2342" t="inlineStr">
        <is>
          <t>2259114280002656</t>
        </is>
      </c>
      <c r="AZ2342" t="inlineStr">
        <is>
          <t>BOOK</t>
        </is>
      </c>
      <c r="BB2342" t="inlineStr">
        <is>
          <t>9781574554380</t>
        </is>
      </c>
      <c r="BC2342" t="inlineStr">
        <is>
          <t>32285004383468</t>
        </is>
      </c>
      <c r="BD2342" t="inlineStr">
        <is>
          <t>893499477</t>
        </is>
      </c>
    </row>
    <row r="2343">
      <c r="A2343" t="inlineStr">
        <is>
          <t>No</t>
        </is>
      </c>
      <c r="B2343" t="inlineStr">
        <is>
          <t>HQ766.3 .E96 1991</t>
        </is>
      </c>
      <c r="C2343" t="inlineStr">
        <is>
          <t>0                      HQ 0766300E  96          1991</t>
        </is>
      </c>
      <c r="D2343" t="inlineStr">
        <is>
          <t>The Evolution of an earthly code : contraception in Catholic doctrine / Catholics for a Free Choice.</t>
        </is>
      </c>
      <c r="F2343" t="inlineStr">
        <is>
          <t>No</t>
        </is>
      </c>
      <c r="G2343" t="inlineStr">
        <is>
          <t>1</t>
        </is>
      </c>
      <c r="H2343" t="inlineStr">
        <is>
          <t>No</t>
        </is>
      </c>
      <c r="I2343" t="inlineStr">
        <is>
          <t>No</t>
        </is>
      </c>
      <c r="J2343" t="inlineStr">
        <is>
          <t>0</t>
        </is>
      </c>
      <c r="L2343" t="inlineStr">
        <is>
          <t>Washington, D.C. (1436 U St., N.W., Suite 301, Washington 20009) : Catholics for a Free Choice, c1991.</t>
        </is>
      </c>
      <c r="M2343" t="inlineStr">
        <is>
          <t>1991</t>
        </is>
      </c>
      <c r="O2343" t="inlineStr">
        <is>
          <t>eng</t>
        </is>
      </c>
      <c r="P2343" t="inlineStr">
        <is>
          <t>dcu</t>
        </is>
      </c>
      <c r="Q2343" t="inlineStr">
        <is>
          <t>Powerful conceptions: a series on bishops and birth control</t>
        </is>
      </c>
      <c r="R2343" t="inlineStr">
        <is>
          <t xml:space="preserve">HQ </t>
        </is>
      </c>
      <c r="S2343" t="n">
        <v>30</v>
      </c>
      <c r="T2343" t="n">
        <v>30</v>
      </c>
      <c r="U2343" t="inlineStr">
        <is>
          <t>2009-11-09</t>
        </is>
      </c>
      <c r="V2343" t="inlineStr">
        <is>
          <t>2009-11-09</t>
        </is>
      </c>
      <c r="W2343" t="inlineStr">
        <is>
          <t>1993-01-05</t>
        </is>
      </c>
      <c r="X2343" t="inlineStr">
        <is>
          <t>1993-01-05</t>
        </is>
      </c>
      <c r="Y2343" t="n">
        <v>83</v>
      </c>
      <c r="Z2343" t="n">
        <v>83</v>
      </c>
      <c r="AA2343" t="n">
        <v>83</v>
      </c>
      <c r="AB2343" t="n">
        <v>1</v>
      </c>
      <c r="AC2343" t="n">
        <v>1</v>
      </c>
      <c r="AD2343" t="n">
        <v>11</v>
      </c>
      <c r="AE2343" t="n">
        <v>11</v>
      </c>
      <c r="AF2343" t="n">
        <v>4</v>
      </c>
      <c r="AG2343" t="n">
        <v>4</v>
      </c>
      <c r="AH2343" t="n">
        <v>3</v>
      </c>
      <c r="AI2343" t="n">
        <v>3</v>
      </c>
      <c r="AJ2343" t="n">
        <v>7</v>
      </c>
      <c r="AK2343" t="n">
        <v>7</v>
      </c>
      <c r="AL2343" t="n">
        <v>0</v>
      </c>
      <c r="AM2343" t="n">
        <v>0</v>
      </c>
      <c r="AN2343" t="n">
        <v>1</v>
      </c>
      <c r="AO2343" t="n">
        <v>1</v>
      </c>
      <c r="AP2343" t="inlineStr">
        <is>
          <t>No</t>
        </is>
      </c>
      <c r="AQ2343" t="inlineStr">
        <is>
          <t>No</t>
        </is>
      </c>
      <c r="AS2343">
        <f>HYPERLINK("https://creighton-primo.hosted.exlibrisgroup.com/primo-explore/search?tab=default_tab&amp;search_scope=EVERYTHING&amp;vid=01CRU&amp;lang=en_US&amp;offset=0&amp;query=any,contains,991002075619702656","Catalog Record")</f>
        <v/>
      </c>
      <c r="AT2343">
        <f>HYPERLINK("http://www.worldcat.org/oclc/30039383","WorldCat Record")</f>
        <v/>
      </c>
      <c r="AU2343" t="inlineStr">
        <is>
          <t>38453286:eng</t>
        </is>
      </c>
      <c r="AV2343" t="inlineStr">
        <is>
          <t>30039383</t>
        </is>
      </c>
      <c r="AW2343" t="inlineStr">
        <is>
          <t>991002075619702656</t>
        </is>
      </c>
      <c r="AX2343" t="inlineStr">
        <is>
          <t>991002075619702656</t>
        </is>
      </c>
      <c r="AY2343" t="inlineStr">
        <is>
          <t>2271003000002656</t>
        </is>
      </c>
      <c r="AZ2343" t="inlineStr">
        <is>
          <t>BOOK</t>
        </is>
      </c>
      <c r="BB2343" t="inlineStr">
        <is>
          <t>9780915365210</t>
        </is>
      </c>
      <c r="BC2343" t="inlineStr">
        <is>
          <t>32285001467884</t>
        </is>
      </c>
      <c r="BD2343" t="inlineStr">
        <is>
          <t>893347075</t>
        </is>
      </c>
    </row>
    <row r="2344">
      <c r="A2344" t="inlineStr">
        <is>
          <t>No</t>
        </is>
      </c>
      <c r="B2344" t="inlineStr">
        <is>
          <t>HQ766.3 .J66</t>
        </is>
      </c>
      <c r="C2344" t="inlineStr">
        <is>
          <t>0                      HQ 0766300J  66</t>
        </is>
      </c>
      <c r="D2344" t="inlineStr">
        <is>
          <t>The meaning of contraception.</t>
        </is>
      </c>
      <c r="F2344" t="inlineStr">
        <is>
          <t>No</t>
        </is>
      </c>
      <c r="G2344" t="inlineStr">
        <is>
          <t>1</t>
        </is>
      </c>
      <c r="H2344" t="inlineStr">
        <is>
          <t>No</t>
        </is>
      </c>
      <c r="I2344" t="inlineStr">
        <is>
          <t>No</t>
        </is>
      </c>
      <c r="J2344" t="inlineStr">
        <is>
          <t>0</t>
        </is>
      </c>
      <c r="K2344" t="inlineStr">
        <is>
          <t>Joyce, Mary Rosera.</t>
        </is>
      </c>
      <c r="L2344" t="inlineStr">
        <is>
          <t>Staten Island, N.Y. : Alba House, [1970]</t>
        </is>
      </c>
      <c r="M2344" t="inlineStr">
        <is>
          <t>1970</t>
        </is>
      </c>
      <c r="O2344" t="inlineStr">
        <is>
          <t>eng</t>
        </is>
      </c>
      <c r="P2344" t="inlineStr">
        <is>
          <t>nyu</t>
        </is>
      </c>
      <c r="R2344" t="inlineStr">
        <is>
          <t xml:space="preserve">HQ </t>
        </is>
      </c>
      <c r="S2344" t="n">
        <v>22</v>
      </c>
      <c r="T2344" t="n">
        <v>22</v>
      </c>
      <c r="U2344" t="inlineStr">
        <is>
          <t>2007-12-07</t>
        </is>
      </c>
      <c r="V2344" t="inlineStr">
        <is>
          <t>2007-12-07</t>
        </is>
      </c>
      <c r="W2344" t="inlineStr">
        <is>
          <t>1990-02-20</t>
        </is>
      </c>
      <c r="X2344" t="inlineStr">
        <is>
          <t>1990-02-20</t>
        </is>
      </c>
      <c r="Y2344" t="n">
        <v>110</v>
      </c>
      <c r="Z2344" t="n">
        <v>96</v>
      </c>
      <c r="AA2344" t="n">
        <v>103</v>
      </c>
      <c r="AB2344" t="n">
        <v>1</v>
      </c>
      <c r="AC2344" t="n">
        <v>1</v>
      </c>
      <c r="AD2344" t="n">
        <v>20</v>
      </c>
      <c r="AE2344" t="n">
        <v>20</v>
      </c>
      <c r="AF2344" t="n">
        <v>5</v>
      </c>
      <c r="AG2344" t="n">
        <v>5</v>
      </c>
      <c r="AH2344" t="n">
        <v>6</v>
      </c>
      <c r="AI2344" t="n">
        <v>6</v>
      </c>
      <c r="AJ2344" t="n">
        <v>16</v>
      </c>
      <c r="AK2344" t="n">
        <v>16</v>
      </c>
      <c r="AL2344" t="n">
        <v>0</v>
      </c>
      <c r="AM2344" t="n">
        <v>0</v>
      </c>
      <c r="AN2344" t="n">
        <v>0</v>
      </c>
      <c r="AO2344" t="n">
        <v>0</v>
      </c>
      <c r="AP2344" t="inlineStr">
        <is>
          <t>No</t>
        </is>
      </c>
      <c r="AQ2344" t="inlineStr">
        <is>
          <t>No</t>
        </is>
      </c>
      <c r="AS2344">
        <f>HYPERLINK("https://creighton-primo.hosted.exlibrisgroup.com/primo-explore/search?tab=default_tab&amp;search_scope=EVERYTHING&amp;vid=01CRU&amp;lang=en_US&amp;offset=0&amp;query=any,contains,991000510009702656","Catalog Record")</f>
        <v/>
      </c>
      <c r="AT2344">
        <f>HYPERLINK("http://www.worldcat.org/oclc/83147","WorldCat Record")</f>
        <v/>
      </c>
      <c r="AU2344" t="inlineStr">
        <is>
          <t>1270854:eng</t>
        </is>
      </c>
      <c r="AV2344" t="inlineStr">
        <is>
          <t>83147</t>
        </is>
      </c>
      <c r="AW2344" t="inlineStr">
        <is>
          <t>991000510009702656</t>
        </is>
      </c>
      <c r="AX2344" t="inlineStr">
        <is>
          <t>991000510009702656</t>
        </is>
      </c>
      <c r="AY2344" t="inlineStr">
        <is>
          <t>2272375470002656</t>
        </is>
      </c>
      <c r="AZ2344" t="inlineStr">
        <is>
          <t>BOOK</t>
        </is>
      </c>
      <c r="BB2344" t="inlineStr">
        <is>
          <t>9780818901652</t>
        </is>
      </c>
      <c r="BC2344" t="inlineStr">
        <is>
          <t>32285000043926</t>
        </is>
      </c>
      <c r="BD2344" t="inlineStr">
        <is>
          <t>893796730</t>
        </is>
      </c>
    </row>
    <row r="2345">
      <c r="A2345" t="inlineStr">
        <is>
          <t>No</t>
        </is>
      </c>
      <c r="B2345" t="inlineStr">
        <is>
          <t>HQ766.3 .O 2.</t>
        </is>
      </c>
      <c r="C2345" t="inlineStr">
        <is>
          <t>0                      HQ 0766300                                                           .O 2.</t>
        </is>
      </c>
      <c r="D2345" t="inlineStr">
        <is>
          <t>Family planning in an exploding population [compiled] by John A. O'Brien.</t>
        </is>
      </c>
      <c r="F2345" t="inlineStr">
        <is>
          <t>No</t>
        </is>
      </c>
      <c r="G2345" t="inlineStr">
        <is>
          <t>1</t>
        </is>
      </c>
      <c r="H2345" t="inlineStr">
        <is>
          <t>No</t>
        </is>
      </c>
      <c r="I2345" t="inlineStr">
        <is>
          <t>No</t>
        </is>
      </c>
      <c r="J2345" t="inlineStr">
        <is>
          <t>0</t>
        </is>
      </c>
      <c r="K2345" t="inlineStr">
        <is>
          <t>O'Brien, John A. (John Anthony), 1893-1980 compiler.</t>
        </is>
      </c>
      <c r="L2345" t="inlineStr">
        <is>
          <t>New York, Hawthorn Books [1968]</t>
        </is>
      </c>
      <c r="M2345" t="inlineStr">
        <is>
          <t>1968</t>
        </is>
      </c>
      <c r="N2345" t="inlineStr">
        <is>
          <t>[1st ed.]</t>
        </is>
      </c>
      <c r="O2345" t="inlineStr">
        <is>
          <t>eng</t>
        </is>
      </c>
      <c r="P2345" t="inlineStr">
        <is>
          <t>nyu</t>
        </is>
      </c>
      <c r="R2345" t="inlineStr">
        <is>
          <t xml:space="preserve">HQ </t>
        </is>
      </c>
      <c r="S2345" t="n">
        <v>11</v>
      </c>
      <c r="T2345" t="n">
        <v>11</v>
      </c>
      <c r="U2345" t="inlineStr">
        <is>
          <t>2004-10-07</t>
        </is>
      </c>
      <c r="V2345" t="inlineStr">
        <is>
          <t>2004-10-07</t>
        </is>
      </c>
      <c r="W2345" t="inlineStr">
        <is>
          <t>1997-08-12</t>
        </is>
      </c>
      <c r="X2345" t="inlineStr">
        <is>
          <t>1997-08-12</t>
        </is>
      </c>
      <c r="Y2345" t="n">
        <v>679</v>
      </c>
      <c r="Z2345" t="n">
        <v>631</v>
      </c>
      <c r="AA2345" t="n">
        <v>638</v>
      </c>
      <c r="AB2345" t="n">
        <v>5</v>
      </c>
      <c r="AC2345" t="n">
        <v>5</v>
      </c>
      <c r="AD2345" t="n">
        <v>38</v>
      </c>
      <c r="AE2345" t="n">
        <v>38</v>
      </c>
      <c r="AF2345" t="n">
        <v>16</v>
      </c>
      <c r="AG2345" t="n">
        <v>16</v>
      </c>
      <c r="AH2345" t="n">
        <v>8</v>
      </c>
      <c r="AI2345" t="n">
        <v>8</v>
      </c>
      <c r="AJ2345" t="n">
        <v>22</v>
      </c>
      <c r="AK2345" t="n">
        <v>22</v>
      </c>
      <c r="AL2345" t="n">
        <v>3</v>
      </c>
      <c r="AM2345" t="n">
        <v>3</v>
      </c>
      <c r="AN2345" t="n">
        <v>1</v>
      </c>
      <c r="AO2345" t="n">
        <v>1</v>
      </c>
      <c r="AP2345" t="inlineStr">
        <is>
          <t>No</t>
        </is>
      </c>
      <c r="AQ2345" t="inlineStr">
        <is>
          <t>Yes</t>
        </is>
      </c>
      <c r="AR2345">
        <f>HYPERLINK("http://catalog.hathitrust.org/Record/001110039","HathiTrust Record")</f>
        <v/>
      </c>
      <c r="AS2345">
        <f>HYPERLINK("https://creighton-primo.hosted.exlibrisgroup.com/primo-explore/search?tab=default_tab&amp;search_scope=EVERYTHING&amp;vid=01CRU&amp;lang=en_US&amp;offset=0&amp;query=any,contains,991001024769702656","Catalog Record")</f>
        <v/>
      </c>
      <c r="AT2345">
        <f>HYPERLINK("http://www.worldcat.org/oclc/174459","WorldCat Record")</f>
        <v/>
      </c>
      <c r="AU2345" t="inlineStr">
        <is>
          <t>1305794:eng</t>
        </is>
      </c>
      <c r="AV2345" t="inlineStr">
        <is>
          <t>174459</t>
        </is>
      </c>
      <c r="AW2345" t="inlineStr">
        <is>
          <t>991001024769702656</t>
        </is>
      </c>
      <c r="AX2345" t="inlineStr">
        <is>
          <t>991001024769702656</t>
        </is>
      </c>
      <c r="AY2345" t="inlineStr">
        <is>
          <t>2266513000002656</t>
        </is>
      </c>
      <c r="AZ2345" t="inlineStr">
        <is>
          <t>BOOK</t>
        </is>
      </c>
      <c r="BC2345" t="inlineStr">
        <is>
          <t>32285003100178</t>
        </is>
      </c>
      <c r="BD2345" t="inlineStr">
        <is>
          <t>893496765</t>
        </is>
      </c>
    </row>
    <row r="2346">
      <c r="A2346" t="inlineStr">
        <is>
          <t>No</t>
        </is>
      </c>
      <c r="B2346" t="inlineStr">
        <is>
          <t>HQ766.3 .P49 1998</t>
        </is>
      </c>
      <c r="C2346" t="inlineStr">
        <is>
          <t>0                      HQ 0766300P  49          1998</t>
        </is>
      </c>
      <c r="D2346" t="inlineStr">
        <is>
          <t>Physicians healed : personal, inspiring and compelling stories of fifteen courageous physicians who do not prescribe contraception / edited by Cleta Hartman.</t>
        </is>
      </c>
      <c r="F2346" t="inlineStr">
        <is>
          <t>No</t>
        </is>
      </c>
      <c r="G2346" t="inlineStr">
        <is>
          <t>1</t>
        </is>
      </c>
      <c r="H2346" t="inlineStr">
        <is>
          <t>No</t>
        </is>
      </c>
      <c r="I2346" t="inlineStr">
        <is>
          <t>No</t>
        </is>
      </c>
      <c r="J2346" t="inlineStr">
        <is>
          <t>0</t>
        </is>
      </c>
      <c r="L2346" t="inlineStr">
        <is>
          <t>Dayton, OH : One More Soul, c1998.</t>
        </is>
      </c>
      <c r="M2346" t="inlineStr">
        <is>
          <t>1998</t>
        </is>
      </c>
      <c r="O2346" t="inlineStr">
        <is>
          <t>eng</t>
        </is>
      </c>
      <c r="P2346" t="inlineStr">
        <is>
          <t>ohu</t>
        </is>
      </c>
      <c r="R2346" t="inlineStr">
        <is>
          <t xml:space="preserve">HQ </t>
        </is>
      </c>
      <c r="S2346" t="n">
        <v>4</v>
      </c>
      <c r="T2346" t="n">
        <v>4</v>
      </c>
      <c r="U2346" t="inlineStr">
        <is>
          <t>2003-10-16</t>
        </is>
      </c>
      <c r="V2346" t="inlineStr">
        <is>
          <t>2003-10-16</t>
        </is>
      </c>
      <c r="W2346" t="inlineStr">
        <is>
          <t>2002-08-06</t>
        </is>
      </c>
      <c r="X2346" t="inlineStr">
        <is>
          <t>2002-08-06</t>
        </is>
      </c>
      <c r="Y2346" t="n">
        <v>36</v>
      </c>
      <c r="Z2346" t="n">
        <v>36</v>
      </c>
      <c r="AA2346" t="n">
        <v>36</v>
      </c>
      <c r="AB2346" t="n">
        <v>2</v>
      </c>
      <c r="AC2346" t="n">
        <v>2</v>
      </c>
      <c r="AD2346" t="n">
        <v>2</v>
      </c>
      <c r="AE2346" t="n">
        <v>2</v>
      </c>
      <c r="AF2346" t="n">
        <v>0</v>
      </c>
      <c r="AG2346" t="n">
        <v>0</v>
      </c>
      <c r="AH2346" t="n">
        <v>0</v>
      </c>
      <c r="AI2346" t="n">
        <v>0</v>
      </c>
      <c r="AJ2346" t="n">
        <v>2</v>
      </c>
      <c r="AK2346" t="n">
        <v>2</v>
      </c>
      <c r="AL2346" t="n">
        <v>0</v>
      </c>
      <c r="AM2346" t="n">
        <v>0</v>
      </c>
      <c r="AN2346" t="n">
        <v>0</v>
      </c>
      <c r="AO2346" t="n">
        <v>0</v>
      </c>
      <c r="AP2346" t="inlineStr">
        <is>
          <t>No</t>
        </is>
      </c>
      <c r="AQ2346" t="inlineStr">
        <is>
          <t>No</t>
        </is>
      </c>
      <c r="AS2346">
        <f>HYPERLINK("https://creighton-primo.hosted.exlibrisgroup.com/primo-explore/search?tab=default_tab&amp;search_scope=EVERYTHING&amp;vid=01CRU&amp;lang=en_US&amp;offset=0&amp;query=any,contains,991003852769702656","Catalog Record")</f>
        <v/>
      </c>
      <c r="AT2346">
        <f>HYPERLINK("http://www.worldcat.org/oclc/42920730","WorldCat Record")</f>
        <v/>
      </c>
      <c r="AU2346" t="inlineStr">
        <is>
          <t>27950988:eng</t>
        </is>
      </c>
      <c r="AV2346" t="inlineStr">
        <is>
          <t>42920730</t>
        </is>
      </c>
      <c r="AW2346" t="inlineStr">
        <is>
          <t>991003852769702656</t>
        </is>
      </c>
      <c r="AX2346" t="inlineStr">
        <is>
          <t>991003852769702656</t>
        </is>
      </c>
      <c r="AY2346" t="inlineStr">
        <is>
          <t>2259094490002656</t>
        </is>
      </c>
      <c r="AZ2346" t="inlineStr">
        <is>
          <t>BOOK</t>
        </is>
      </c>
      <c r="BB2346" t="inlineStr">
        <is>
          <t>9780966977707</t>
        </is>
      </c>
      <c r="BC2346" t="inlineStr">
        <is>
          <t>32285004642244</t>
        </is>
      </c>
      <c r="BD2346" t="inlineStr">
        <is>
          <t>893330897</t>
        </is>
      </c>
    </row>
    <row r="2347">
      <c r="A2347" t="inlineStr">
        <is>
          <t>No</t>
        </is>
      </c>
      <c r="B2347" t="inlineStr">
        <is>
          <t>HQ766.3 .P9 1964</t>
        </is>
      </c>
      <c r="C2347" t="inlineStr">
        <is>
          <t>0                      HQ 0766300P  9           1964</t>
        </is>
      </c>
      <c r="D2347" t="inlineStr">
        <is>
          <t>The pill and birth regulation : the Catholic debate, including statements, articles, and letters from the Pope, bishops, priests, and married and unmarried laity / edited and introduced by Leo Pyle.</t>
        </is>
      </c>
      <c r="F2347" t="inlineStr">
        <is>
          <t>No</t>
        </is>
      </c>
      <c r="G2347" t="inlineStr">
        <is>
          <t>1</t>
        </is>
      </c>
      <c r="H2347" t="inlineStr">
        <is>
          <t>No</t>
        </is>
      </c>
      <c r="I2347" t="inlineStr">
        <is>
          <t>No</t>
        </is>
      </c>
      <c r="J2347" t="inlineStr">
        <is>
          <t>0</t>
        </is>
      </c>
      <c r="K2347" t="inlineStr">
        <is>
          <t>Pyle, Leo editor.</t>
        </is>
      </c>
      <c r="L2347" t="inlineStr">
        <is>
          <t>Baltimore : Helicon Press, [1964]</t>
        </is>
      </c>
      <c r="M2347" t="inlineStr">
        <is>
          <t>1964</t>
        </is>
      </c>
      <c r="O2347" t="inlineStr">
        <is>
          <t>eng</t>
        </is>
      </c>
      <c r="P2347" t="inlineStr">
        <is>
          <t>mdu</t>
        </is>
      </c>
      <c r="Q2347" t="inlineStr">
        <is>
          <t>A Hellcon paperbook</t>
        </is>
      </c>
      <c r="R2347" t="inlineStr">
        <is>
          <t xml:space="preserve">HQ </t>
        </is>
      </c>
      <c r="S2347" t="n">
        <v>10</v>
      </c>
      <c r="T2347" t="n">
        <v>10</v>
      </c>
      <c r="U2347" t="inlineStr">
        <is>
          <t>2010-02-02</t>
        </is>
      </c>
      <c r="V2347" t="inlineStr">
        <is>
          <t>2010-02-02</t>
        </is>
      </c>
      <c r="W2347" t="inlineStr">
        <is>
          <t>1994-05-04</t>
        </is>
      </c>
      <c r="X2347" t="inlineStr">
        <is>
          <t>1994-05-04</t>
        </is>
      </c>
      <c r="Y2347" t="n">
        <v>187</v>
      </c>
      <c r="Z2347" t="n">
        <v>169</v>
      </c>
      <c r="AA2347" t="n">
        <v>193</v>
      </c>
      <c r="AB2347" t="n">
        <v>1</v>
      </c>
      <c r="AC2347" t="n">
        <v>1</v>
      </c>
      <c r="AD2347" t="n">
        <v>20</v>
      </c>
      <c r="AE2347" t="n">
        <v>22</v>
      </c>
      <c r="AF2347" t="n">
        <v>7</v>
      </c>
      <c r="AG2347" t="n">
        <v>7</v>
      </c>
      <c r="AH2347" t="n">
        <v>6</v>
      </c>
      <c r="AI2347" t="n">
        <v>6</v>
      </c>
      <c r="AJ2347" t="n">
        <v>13</v>
      </c>
      <c r="AK2347" t="n">
        <v>15</v>
      </c>
      <c r="AL2347" t="n">
        <v>0</v>
      </c>
      <c r="AM2347" t="n">
        <v>0</v>
      </c>
      <c r="AN2347" t="n">
        <v>0</v>
      </c>
      <c r="AO2347" t="n">
        <v>0</v>
      </c>
      <c r="AP2347" t="inlineStr">
        <is>
          <t>No</t>
        </is>
      </c>
      <c r="AQ2347" t="inlineStr">
        <is>
          <t>Yes</t>
        </is>
      </c>
      <c r="AR2347">
        <f>HYPERLINK("http://catalog.hathitrust.org/Record/000977805","HathiTrust Record")</f>
        <v/>
      </c>
      <c r="AS2347">
        <f>HYPERLINK("https://creighton-primo.hosted.exlibrisgroup.com/primo-explore/search?tab=default_tab&amp;search_scope=EVERYTHING&amp;vid=01CRU&amp;lang=en_US&amp;offset=0&amp;query=any,contains,991003574559702656","Catalog Record")</f>
        <v/>
      </c>
      <c r="AT2347">
        <f>HYPERLINK("http://www.worldcat.org/oclc/1151410","WorldCat Record")</f>
        <v/>
      </c>
      <c r="AU2347" t="inlineStr">
        <is>
          <t>908986690:eng</t>
        </is>
      </c>
      <c r="AV2347" t="inlineStr">
        <is>
          <t>1151410</t>
        </is>
      </c>
      <c r="AW2347" t="inlineStr">
        <is>
          <t>991003574559702656</t>
        </is>
      </c>
      <c r="AX2347" t="inlineStr">
        <is>
          <t>991003574559702656</t>
        </is>
      </c>
      <c r="AY2347" t="inlineStr">
        <is>
          <t>2267967380002656</t>
        </is>
      </c>
      <c r="AZ2347" t="inlineStr">
        <is>
          <t>BOOK</t>
        </is>
      </c>
      <c r="BC2347" t="inlineStr">
        <is>
          <t>32285005571244</t>
        </is>
      </c>
      <c r="BD2347" t="inlineStr">
        <is>
          <t>893717812</t>
        </is>
      </c>
    </row>
    <row r="2348">
      <c r="A2348" t="inlineStr">
        <is>
          <t>No</t>
        </is>
      </c>
      <c r="B2348" t="inlineStr">
        <is>
          <t>HQ766.3 .R433</t>
        </is>
      </c>
      <c r="C2348" t="inlineStr">
        <is>
          <t>0                      HQ 0766300R  433</t>
        </is>
      </c>
      <c r="D2348" t="inlineStr">
        <is>
          <t>A reader in natural family planning: report on international conferences / edited by Anthony Zimmerman.</t>
        </is>
      </c>
      <c r="F2348" t="inlineStr">
        <is>
          <t>No</t>
        </is>
      </c>
      <c r="G2348" t="inlineStr">
        <is>
          <t>1</t>
        </is>
      </c>
      <c r="H2348" t="inlineStr">
        <is>
          <t>No</t>
        </is>
      </c>
      <c r="I2348" t="inlineStr">
        <is>
          <t>No</t>
        </is>
      </c>
      <c r="J2348" t="inlineStr">
        <is>
          <t>0</t>
        </is>
      </c>
      <c r="L2348" t="inlineStr">
        <is>
          <t>Collegeville, Minnesota : Human Life Center, St. John's University, c1978.</t>
        </is>
      </c>
      <c r="M2348" t="inlineStr">
        <is>
          <t>1978</t>
        </is>
      </c>
      <c r="N2348" t="inlineStr">
        <is>
          <t>2d ed., no. 1</t>
        </is>
      </c>
      <c r="O2348" t="inlineStr">
        <is>
          <t>eng</t>
        </is>
      </c>
      <c r="P2348" t="inlineStr">
        <is>
          <t>mnu</t>
        </is>
      </c>
      <c r="Q2348" t="inlineStr">
        <is>
          <t>Natural Family Planning Symposium. Report on international conferences no.1</t>
        </is>
      </c>
      <c r="R2348" t="inlineStr">
        <is>
          <t xml:space="preserve">HQ </t>
        </is>
      </c>
      <c r="S2348" t="n">
        <v>8</v>
      </c>
      <c r="T2348" t="n">
        <v>8</v>
      </c>
      <c r="U2348" t="inlineStr">
        <is>
          <t>2007-11-26</t>
        </is>
      </c>
      <c r="V2348" t="inlineStr">
        <is>
          <t>2007-11-26</t>
        </is>
      </c>
      <c r="W2348" t="inlineStr">
        <is>
          <t>1992-11-10</t>
        </is>
      </c>
      <c r="X2348" t="inlineStr">
        <is>
          <t>1992-11-10</t>
        </is>
      </c>
      <c r="Y2348" t="n">
        <v>138</v>
      </c>
      <c r="Z2348" t="n">
        <v>119</v>
      </c>
      <c r="AA2348" t="n">
        <v>129</v>
      </c>
      <c r="AB2348" t="n">
        <v>3</v>
      </c>
      <c r="AC2348" t="n">
        <v>3</v>
      </c>
      <c r="AD2348" t="n">
        <v>19</v>
      </c>
      <c r="AE2348" t="n">
        <v>21</v>
      </c>
      <c r="AF2348" t="n">
        <v>6</v>
      </c>
      <c r="AG2348" t="n">
        <v>6</v>
      </c>
      <c r="AH2348" t="n">
        <v>5</v>
      </c>
      <c r="AI2348" t="n">
        <v>5</v>
      </c>
      <c r="AJ2348" t="n">
        <v>14</v>
      </c>
      <c r="AK2348" t="n">
        <v>16</v>
      </c>
      <c r="AL2348" t="n">
        <v>1</v>
      </c>
      <c r="AM2348" t="n">
        <v>1</v>
      </c>
      <c r="AN2348" t="n">
        <v>0</v>
      </c>
      <c r="AO2348" t="n">
        <v>0</v>
      </c>
      <c r="AP2348" t="inlineStr">
        <is>
          <t>No</t>
        </is>
      </c>
      <c r="AQ2348" t="inlineStr">
        <is>
          <t>Yes</t>
        </is>
      </c>
      <c r="AR2348">
        <f>HYPERLINK("http://catalog.hathitrust.org/Record/007056709","HathiTrust Record")</f>
        <v/>
      </c>
      <c r="AS2348">
        <f>HYPERLINK("https://creighton-primo.hosted.exlibrisgroup.com/primo-explore/search?tab=default_tab&amp;search_scope=EVERYTHING&amp;vid=01CRU&amp;lang=en_US&amp;offset=0&amp;query=any,contains,991004753429702656","Catalog Record")</f>
        <v/>
      </c>
      <c r="AT2348">
        <f>HYPERLINK("http://www.worldcat.org/oclc/4952232","WorldCat Record")</f>
        <v/>
      </c>
      <c r="AU2348" t="inlineStr">
        <is>
          <t>15123558:eng</t>
        </is>
      </c>
      <c r="AV2348" t="inlineStr">
        <is>
          <t>4952232</t>
        </is>
      </c>
      <c r="AW2348" t="inlineStr">
        <is>
          <t>991004753429702656</t>
        </is>
      </c>
      <c r="AX2348" t="inlineStr">
        <is>
          <t>991004753429702656</t>
        </is>
      </c>
      <c r="AY2348" t="inlineStr">
        <is>
          <t>2259055610002656</t>
        </is>
      </c>
      <c r="AZ2348" t="inlineStr">
        <is>
          <t>BOOK</t>
        </is>
      </c>
      <c r="BC2348" t="inlineStr">
        <is>
          <t>32285001395168</t>
        </is>
      </c>
      <c r="BD2348" t="inlineStr">
        <is>
          <t>893870069</t>
        </is>
      </c>
    </row>
    <row r="2349">
      <c r="A2349" t="inlineStr">
        <is>
          <t>No</t>
        </is>
      </c>
      <c r="B2349" t="inlineStr">
        <is>
          <t>HQ766.3 .S245</t>
        </is>
      </c>
      <c r="C2349" t="inlineStr">
        <is>
          <t>0                      HQ 0766300S  245</t>
        </is>
      </c>
      <c r="D2349" t="inlineStr">
        <is>
          <t>The agonising choice : birth control, religion, and the law.</t>
        </is>
      </c>
      <c r="F2349" t="inlineStr">
        <is>
          <t>No</t>
        </is>
      </c>
      <c r="G2349" t="inlineStr">
        <is>
          <t>1</t>
        </is>
      </c>
      <c r="H2349" t="inlineStr">
        <is>
          <t>No</t>
        </is>
      </c>
      <c r="I2349" t="inlineStr">
        <is>
          <t>No</t>
        </is>
      </c>
      <c r="J2349" t="inlineStr">
        <is>
          <t>0</t>
        </is>
      </c>
      <c r="K2349" t="inlineStr">
        <is>
          <t>St. John-Stevas, Norman.</t>
        </is>
      </c>
      <c r="L2349" t="inlineStr">
        <is>
          <t>Bloomington : Indiana University Press, [1971]</t>
        </is>
      </c>
      <c r="M2349" t="inlineStr">
        <is>
          <t>1971</t>
        </is>
      </c>
      <c r="O2349" t="inlineStr">
        <is>
          <t>eng</t>
        </is>
      </c>
      <c r="P2349" t="inlineStr">
        <is>
          <t>inu</t>
        </is>
      </c>
      <c r="R2349" t="inlineStr">
        <is>
          <t xml:space="preserve">HQ </t>
        </is>
      </c>
      <c r="S2349" t="n">
        <v>20</v>
      </c>
      <c r="T2349" t="n">
        <v>20</v>
      </c>
      <c r="U2349" t="inlineStr">
        <is>
          <t>2009-11-23</t>
        </is>
      </c>
      <c r="V2349" t="inlineStr">
        <is>
          <t>2009-11-23</t>
        </is>
      </c>
      <c r="W2349" t="inlineStr">
        <is>
          <t>1993-11-29</t>
        </is>
      </c>
      <c r="X2349" t="inlineStr">
        <is>
          <t>1993-11-29</t>
        </is>
      </c>
      <c r="Y2349" t="n">
        <v>560</v>
      </c>
      <c r="Z2349" t="n">
        <v>517</v>
      </c>
      <c r="AA2349" t="n">
        <v>595</v>
      </c>
      <c r="AB2349" t="n">
        <v>3</v>
      </c>
      <c r="AC2349" t="n">
        <v>4</v>
      </c>
      <c r="AD2349" t="n">
        <v>35</v>
      </c>
      <c r="AE2349" t="n">
        <v>39</v>
      </c>
      <c r="AF2349" t="n">
        <v>12</v>
      </c>
      <c r="AG2349" t="n">
        <v>12</v>
      </c>
      <c r="AH2349" t="n">
        <v>7</v>
      </c>
      <c r="AI2349" t="n">
        <v>9</v>
      </c>
      <c r="AJ2349" t="n">
        <v>16</v>
      </c>
      <c r="AK2349" t="n">
        <v>19</v>
      </c>
      <c r="AL2349" t="n">
        <v>1</v>
      </c>
      <c r="AM2349" t="n">
        <v>2</v>
      </c>
      <c r="AN2349" t="n">
        <v>8</v>
      </c>
      <c r="AO2349" t="n">
        <v>8</v>
      </c>
      <c r="AP2349" t="inlineStr">
        <is>
          <t>No</t>
        </is>
      </c>
      <c r="AQ2349" t="inlineStr">
        <is>
          <t>Yes</t>
        </is>
      </c>
      <c r="AR2349">
        <f>HYPERLINK("http://catalog.hathitrust.org/Record/004398327","HathiTrust Record")</f>
        <v/>
      </c>
      <c r="AS2349">
        <f>HYPERLINK("https://creighton-primo.hosted.exlibrisgroup.com/primo-explore/search?tab=default_tab&amp;search_scope=EVERYTHING&amp;vid=01CRU&amp;lang=en_US&amp;offset=0&amp;query=any,contains,991001227109702656","Catalog Record")</f>
        <v/>
      </c>
      <c r="AT2349">
        <f>HYPERLINK("http://www.worldcat.org/oclc/200190","WorldCat Record")</f>
        <v/>
      </c>
      <c r="AU2349" t="inlineStr">
        <is>
          <t>496016189:eng</t>
        </is>
      </c>
      <c r="AV2349" t="inlineStr">
        <is>
          <t>200190</t>
        </is>
      </c>
      <c r="AW2349" t="inlineStr">
        <is>
          <t>991001227109702656</t>
        </is>
      </c>
      <c r="AX2349" t="inlineStr">
        <is>
          <t>991001227109702656</t>
        </is>
      </c>
      <c r="AY2349" t="inlineStr">
        <is>
          <t>2257585210002656</t>
        </is>
      </c>
      <c r="AZ2349" t="inlineStr">
        <is>
          <t>BOOK</t>
        </is>
      </c>
      <c r="BB2349" t="inlineStr">
        <is>
          <t>9780253100603</t>
        </is>
      </c>
      <c r="BC2349" t="inlineStr">
        <is>
          <t>32285001813939</t>
        </is>
      </c>
      <c r="BD2349" t="inlineStr">
        <is>
          <t>893414080</t>
        </is>
      </c>
    </row>
    <row r="2350">
      <c r="A2350" t="inlineStr">
        <is>
          <t>No</t>
        </is>
      </c>
      <c r="B2350" t="inlineStr">
        <is>
          <t>HQ766.3 .S53</t>
        </is>
      </c>
      <c r="C2350" t="inlineStr">
        <is>
          <t>0                      HQ 0766300S  53</t>
        </is>
      </c>
      <c r="D2350" t="inlineStr">
        <is>
          <t>The lively debate : response to Humanae vitae / by William H. Shannon.</t>
        </is>
      </c>
      <c r="F2350" t="inlineStr">
        <is>
          <t>No</t>
        </is>
      </c>
      <c r="G2350" t="inlineStr">
        <is>
          <t>1</t>
        </is>
      </c>
      <c r="H2350" t="inlineStr">
        <is>
          <t>No</t>
        </is>
      </c>
      <c r="I2350" t="inlineStr">
        <is>
          <t>No</t>
        </is>
      </c>
      <c r="J2350" t="inlineStr">
        <is>
          <t>0</t>
        </is>
      </c>
      <c r="K2350" t="inlineStr">
        <is>
          <t>Shannon, William H. (William Henry), 1917-2012.</t>
        </is>
      </c>
      <c r="L2350" t="inlineStr">
        <is>
          <t>New York : Sheed &amp; Ward, [1970]</t>
        </is>
      </c>
      <c r="M2350" t="inlineStr">
        <is>
          <t>1970</t>
        </is>
      </c>
      <c r="O2350" t="inlineStr">
        <is>
          <t>eng</t>
        </is>
      </c>
      <c r="P2350" t="inlineStr">
        <is>
          <t>nyu</t>
        </is>
      </c>
      <c r="Q2350" t="inlineStr">
        <is>
          <t>A Search book</t>
        </is>
      </c>
      <c r="R2350" t="inlineStr">
        <is>
          <t xml:space="preserve">HQ </t>
        </is>
      </c>
      <c r="S2350" t="n">
        <v>15</v>
      </c>
      <c r="T2350" t="n">
        <v>15</v>
      </c>
      <c r="U2350" t="inlineStr">
        <is>
          <t>2007-12-01</t>
        </is>
      </c>
      <c r="V2350" t="inlineStr">
        <is>
          <t>2007-12-01</t>
        </is>
      </c>
      <c r="W2350" t="inlineStr">
        <is>
          <t>1995-03-28</t>
        </is>
      </c>
      <c r="X2350" t="inlineStr">
        <is>
          <t>1995-03-28</t>
        </is>
      </c>
      <c r="Y2350" t="n">
        <v>340</v>
      </c>
      <c r="Z2350" t="n">
        <v>309</v>
      </c>
      <c r="AA2350" t="n">
        <v>311</v>
      </c>
      <c r="AB2350" t="n">
        <v>3</v>
      </c>
      <c r="AC2350" t="n">
        <v>3</v>
      </c>
      <c r="AD2350" t="n">
        <v>26</v>
      </c>
      <c r="AE2350" t="n">
        <v>26</v>
      </c>
      <c r="AF2350" t="n">
        <v>9</v>
      </c>
      <c r="AG2350" t="n">
        <v>9</v>
      </c>
      <c r="AH2350" t="n">
        <v>9</v>
      </c>
      <c r="AI2350" t="n">
        <v>9</v>
      </c>
      <c r="AJ2350" t="n">
        <v>15</v>
      </c>
      <c r="AK2350" t="n">
        <v>15</v>
      </c>
      <c r="AL2350" t="n">
        <v>1</v>
      </c>
      <c r="AM2350" t="n">
        <v>1</v>
      </c>
      <c r="AN2350" t="n">
        <v>0</v>
      </c>
      <c r="AO2350" t="n">
        <v>0</v>
      </c>
      <c r="AP2350" t="inlineStr">
        <is>
          <t>No</t>
        </is>
      </c>
      <c r="AQ2350" t="inlineStr">
        <is>
          <t>Yes</t>
        </is>
      </c>
      <c r="AR2350">
        <f>HYPERLINK("http://catalog.hathitrust.org/Record/000977807","HathiTrust Record")</f>
        <v/>
      </c>
      <c r="AS2350">
        <f>HYPERLINK("https://creighton-primo.hosted.exlibrisgroup.com/primo-explore/search?tab=default_tab&amp;search_scope=EVERYTHING&amp;vid=01CRU&amp;lang=en_US&amp;offset=0&amp;query=any,contains,991000206609702656","Catalog Record")</f>
        <v/>
      </c>
      <c r="AT2350">
        <f>HYPERLINK("http://www.worldcat.org/oclc/65339","WorldCat Record")</f>
        <v/>
      </c>
      <c r="AU2350" t="inlineStr">
        <is>
          <t>233374405:eng</t>
        </is>
      </c>
      <c r="AV2350" t="inlineStr">
        <is>
          <t>65339</t>
        </is>
      </c>
      <c r="AW2350" t="inlineStr">
        <is>
          <t>991000206609702656</t>
        </is>
      </c>
      <c r="AX2350" t="inlineStr">
        <is>
          <t>991000206609702656</t>
        </is>
      </c>
      <c r="AY2350" t="inlineStr">
        <is>
          <t>2259244080002656</t>
        </is>
      </c>
      <c r="AZ2350" t="inlineStr">
        <is>
          <t>BOOK</t>
        </is>
      </c>
      <c r="BB2350" t="inlineStr">
        <is>
          <t>9780836203400</t>
        </is>
      </c>
      <c r="BC2350" t="inlineStr">
        <is>
          <t>32285002014248</t>
        </is>
      </c>
      <c r="BD2350" t="inlineStr">
        <is>
          <t>893425529</t>
        </is>
      </c>
    </row>
    <row r="2351">
      <c r="A2351" t="inlineStr">
        <is>
          <t>No</t>
        </is>
      </c>
      <c r="B2351" t="inlineStr">
        <is>
          <t>HQ766.3 .S96 1968</t>
        </is>
      </c>
      <c r="C2351" t="inlineStr">
        <is>
          <t>0                      HQ 0766300S  96          1968</t>
        </is>
      </c>
      <c r="D2351" t="inlineStr">
        <is>
          <t>Birth control and the Christian : a Protestant symposium on the control of human reproduction / edited by Walter O. Spitzer and Carlyle L. Saylor.</t>
        </is>
      </c>
      <c r="F2351" t="inlineStr">
        <is>
          <t>No</t>
        </is>
      </c>
      <c r="G2351" t="inlineStr">
        <is>
          <t>1</t>
        </is>
      </c>
      <c r="H2351" t="inlineStr">
        <is>
          <t>Yes</t>
        </is>
      </c>
      <c r="I2351" t="inlineStr">
        <is>
          <t>No</t>
        </is>
      </c>
      <c r="J2351" t="inlineStr">
        <is>
          <t>0</t>
        </is>
      </c>
      <c r="K2351" t="inlineStr">
        <is>
          <t>Symposium on the Control of Human Reproduction (1968 : Portsmouth, N.H.)</t>
        </is>
      </c>
      <c r="L2351" t="inlineStr">
        <is>
          <t>Wheaton, Ill. : Tyndale House, [1969]</t>
        </is>
      </c>
      <c r="M2351" t="inlineStr">
        <is>
          <t>1969</t>
        </is>
      </c>
      <c r="O2351" t="inlineStr">
        <is>
          <t>eng</t>
        </is>
      </c>
      <c r="P2351" t="inlineStr">
        <is>
          <t>ilu</t>
        </is>
      </c>
      <c r="R2351" t="inlineStr">
        <is>
          <t xml:space="preserve">HQ </t>
        </is>
      </c>
      <c r="S2351" t="n">
        <v>27</v>
      </c>
      <c r="T2351" t="n">
        <v>30</v>
      </c>
      <c r="U2351" t="inlineStr">
        <is>
          <t>2007-12-03</t>
        </is>
      </c>
      <c r="V2351" t="inlineStr">
        <is>
          <t>2007-12-03</t>
        </is>
      </c>
      <c r="W2351" t="inlineStr">
        <is>
          <t>1995-04-11</t>
        </is>
      </c>
      <c r="X2351" t="inlineStr">
        <is>
          <t>1995-04-11</t>
        </is>
      </c>
      <c r="Y2351" t="n">
        <v>359</v>
      </c>
      <c r="Z2351" t="n">
        <v>296</v>
      </c>
      <c r="AA2351" t="n">
        <v>297</v>
      </c>
      <c r="AB2351" t="n">
        <v>2</v>
      </c>
      <c r="AC2351" t="n">
        <v>2</v>
      </c>
      <c r="AD2351" t="n">
        <v>9</v>
      </c>
      <c r="AE2351" t="n">
        <v>9</v>
      </c>
      <c r="AF2351" t="n">
        <v>4</v>
      </c>
      <c r="AG2351" t="n">
        <v>4</v>
      </c>
      <c r="AH2351" t="n">
        <v>2</v>
      </c>
      <c r="AI2351" t="n">
        <v>2</v>
      </c>
      <c r="AJ2351" t="n">
        <v>6</v>
      </c>
      <c r="AK2351" t="n">
        <v>6</v>
      </c>
      <c r="AL2351" t="n">
        <v>0</v>
      </c>
      <c r="AM2351" t="n">
        <v>0</v>
      </c>
      <c r="AN2351" t="n">
        <v>0</v>
      </c>
      <c r="AO2351" t="n">
        <v>0</v>
      </c>
      <c r="AP2351" t="inlineStr">
        <is>
          <t>No</t>
        </is>
      </c>
      <c r="AQ2351" t="inlineStr">
        <is>
          <t>Yes</t>
        </is>
      </c>
      <c r="AR2351">
        <f>HYPERLINK("http://catalog.hathitrust.org/Record/000977809","HathiTrust Record")</f>
        <v/>
      </c>
      <c r="AS2351">
        <f>HYPERLINK("https://creighton-primo.hosted.exlibrisgroup.com/primo-explore/search?tab=default_tab&amp;search_scope=EVERYTHING&amp;vid=01CRU&amp;lang=en_US&amp;offset=0&amp;query=any,contains,991001766649702656","Catalog Record")</f>
        <v/>
      </c>
      <c r="AT2351">
        <f>HYPERLINK("http://www.worldcat.org/oclc/16711","WorldCat Record")</f>
        <v/>
      </c>
      <c r="AU2351" t="inlineStr">
        <is>
          <t>1139314:eng</t>
        </is>
      </c>
      <c r="AV2351" t="inlineStr">
        <is>
          <t>16711</t>
        </is>
      </c>
      <c r="AW2351" t="inlineStr">
        <is>
          <t>991001766649702656</t>
        </is>
      </c>
      <c r="AX2351" t="inlineStr">
        <is>
          <t>991001766649702656</t>
        </is>
      </c>
      <c r="AY2351" t="inlineStr">
        <is>
          <t>2271524040002656</t>
        </is>
      </c>
      <c r="AZ2351" t="inlineStr">
        <is>
          <t>BOOK</t>
        </is>
      </c>
      <c r="BC2351" t="inlineStr">
        <is>
          <t>32285002026572</t>
        </is>
      </c>
      <c r="BD2351" t="inlineStr">
        <is>
          <t>893885523</t>
        </is>
      </c>
    </row>
    <row r="2352">
      <c r="A2352" t="inlineStr">
        <is>
          <t>No</t>
        </is>
      </c>
      <c r="B2352" t="inlineStr">
        <is>
          <t>HQ766.3 .V313 1968b</t>
        </is>
      </c>
      <c r="C2352" t="inlineStr">
        <is>
          <t>0                      HQ 0766300V  313         1968b</t>
        </is>
      </c>
      <c r="D2352" t="inlineStr">
        <is>
          <t>Controversy; the birth control debate, 1958-1968. With an introd. by Gregory Baum. Translated by Dorothy White.</t>
        </is>
      </c>
      <c r="F2352" t="inlineStr">
        <is>
          <t>No</t>
        </is>
      </c>
      <c r="G2352" t="inlineStr">
        <is>
          <t>1</t>
        </is>
      </c>
      <c r="H2352" t="inlineStr">
        <is>
          <t>No</t>
        </is>
      </c>
      <c r="I2352" t="inlineStr">
        <is>
          <t>No</t>
        </is>
      </c>
      <c r="J2352" t="inlineStr">
        <is>
          <t>0</t>
        </is>
      </c>
      <c r="K2352" t="inlineStr">
        <is>
          <t>Valsecchi, Ambrogio, 1930-</t>
        </is>
      </c>
      <c r="L2352" t="inlineStr">
        <is>
          <t>London, G. Chapman, 1968.</t>
        </is>
      </c>
      <c r="M2352" t="inlineStr">
        <is>
          <t>1968</t>
        </is>
      </c>
      <c r="O2352" t="inlineStr">
        <is>
          <t>eng</t>
        </is>
      </c>
      <c r="P2352" t="inlineStr">
        <is>
          <t>enk</t>
        </is>
      </c>
      <c r="R2352" t="inlineStr">
        <is>
          <t xml:space="preserve">HQ </t>
        </is>
      </c>
      <c r="S2352" t="n">
        <v>9</v>
      </c>
      <c r="T2352" t="n">
        <v>9</v>
      </c>
      <c r="U2352" t="inlineStr">
        <is>
          <t>2007-12-07</t>
        </is>
      </c>
      <c r="V2352" t="inlineStr">
        <is>
          <t>2007-12-07</t>
        </is>
      </c>
      <c r="W2352" t="inlineStr">
        <is>
          <t>1997-08-12</t>
        </is>
      </c>
      <c r="X2352" t="inlineStr">
        <is>
          <t>1997-08-12</t>
        </is>
      </c>
      <c r="Y2352" t="n">
        <v>95</v>
      </c>
      <c r="Z2352" t="n">
        <v>66</v>
      </c>
      <c r="AA2352" t="n">
        <v>221</v>
      </c>
      <c r="AB2352" t="n">
        <v>1</v>
      </c>
      <c r="AC2352" t="n">
        <v>2</v>
      </c>
      <c r="AD2352" t="n">
        <v>4</v>
      </c>
      <c r="AE2352" t="n">
        <v>19</v>
      </c>
      <c r="AF2352" t="n">
        <v>2</v>
      </c>
      <c r="AG2352" t="n">
        <v>3</v>
      </c>
      <c r="AH2352" t="n">
        <v>2</v>
      </c>
      <c r="AI2352" t="n">
        <v>7</v>
      </c>
      <c r="AJ2352" t="n">
        <v>1</v>
      </c>
      <c r="AK2352" t="n">
        <v>14</v>
      </c>
      <c r="AL2352" t="n">
        <v>0</v>
      </c>
      <c r="AM2352" t="n">
        <v>0</v>
      </c>
      <c r="AN2352" t="n">
        <v>0</v>
      </c>
      <c r="AO2352" t="n">
        <v>0</v>
      </c>
      <c r="AP2352" t="inlineStr">
        <is>
          <t>No</t>
        </is>
      </c>
      <c r="AQ2352" t="inlineStr">
        <is>
          <t>No</t>
        </is>
      </c>
      <c r="AS2352">
        <f>HYPERLINK("https://creighton-primo.hosted.exlibrisgroup.com/primo-explore/search?tab=default_tab&amp;search_scope=EVERYTHING&amp;vid=01CRU&amp;lang=en_US&amp;offset=0&amp;query=any,contains,991000058109702656","Catalog Record")</f>
        <v/>
      </c>
      <c r="AT2352">
        <f>HYPERLINK("http://www.worldcat.org/oclc/23958","WorldCat Record")</f>
        <v/>
      </c>
      <c r="AU2352" t="inlineStr">
        <is>
          <t>377183060:eng</t>
        </is>
      </c>
      <c r="AV2352" t="inlineStr">
        <is>
          <t>23958</t>
        </is>
      </c>
      <c r="AW2352" t="inlineStr">
        <is>
          <t>991000058109702656</t>
        </is>
      </c>
      <c r="AX2352" t="inlineStr">
        <is>
          <t>991000058109702656</t>
        </is>
      </c>
      <c r="AY2352" t="inlineStr">
        <is>
          <t>2267786300002656</t>
        </is>
      </c>
      <c r="AZ2352" t="inlineStr">
        <is>
          <t>BOOK</t>
        </is>
      </c>
      <c r="BB2352" t="inlineStr">
        <is>
          <t>9780225273656</t>
        </is>
      </c>
      <c r="BC2352" t="inlineStr">
        <is>
          <t>32285003100186</t>
        </is>
      </c>
      <c r="BD2352" t="inlineStr">
        <is>
          <t>893865039</t>
        </is>
      </c>
    </row>
    <row r="2353">
      <c r="A2353" t="inlineStr">
        <is>
          <t>No</t>
        </is>
      </c>
      <c r="B2353" t="inlineStr">
        <is>
          <t>HQ766.5.C6 C452 1985</t>
        </is>
      </c>
      <c r="C2353" t="inlineStr">
        <is>
          <t>0                      HQ 0766500C  6                  C  452         1985</t>
        </is>
      </c>
      <c r="D2353" t="inlineStr">
        <is>
          <t>China's one-child family policy / edited by Elisabeth Croll, Delia Davin, and Penny Kane.</t>
        </is>
      </c>
      <c r="F2353" t="inlineStr">
        <is>
          <t>No</t>
        </is>
      </c>
      <c r="G2353" t="inlineStr">
        <is>
          <t>1</t>
        </is>
      </c>
      <c r="H2353" t="inlineStr">
        <is>
          <t>No</t>
        </is>
      </c>
      <c r="I2353" t="inlineStr">
        <is>
          <t>No</t>
        </is>
      </c>
      <c r="J2353" t="inlineStr">
        <is>
          <t>0</t>
        </is>
      </c>
      <c r="L2353" t="inlineStr">
        <is>
          <t>New York : St. Martin's Press, 1985.</t>
        </is>
      </c>
      <c r="M2353" t="inlineStr">
        <is>
          <t>1985</t>
        </is>
      </c>
      <c r="O2353" t="inlineStr">
        <is>
          <t>eng</t>
        </is>
      </c>
      <c r="P2353" t="inlineStr">
        <is>
          <t>nyu</t>
        </is>
      </c>
      <c r="R2353" t="inlineStr">
        <is>
          <t xml:space="preserve">HQ </t>
        </is>
      </c>
      <c r="S2353" t="n">
        <v>41</v>
      </c>
      <c r="T2353" t="n">
        <v>41</v>
      </c>
      <c r="U2353" t="inlineStr">
        <is>
          <t>2009-09-27</t>
        </is>
      </c>
      <c r="V2353" t="inlineStr">
        <is>
          <t>2009-09-27</t>
        </is>
      </c>
      <c r="W2353" t="inlineStr">
        <is>
          <t>1991-12-09</t>
        </is>
      </c>
      <c r="X2353" t="inlineStr">
        <is>
          <t>1991-12-09</t>
        </is>
      </c>
      <c r="Y2353" t="n">
        <v>454</v>
      </c>
      <c r="Z2353" t="n">
        <v>418</v>
      </c>
      <c r="AA2353" t="n">
        <v>470</v>
      </c>
      <c r="AB2353" t="n">
        <v>2</v>
      </c>
      <c r="AC2353" t="n">
        <v>4</v>
      </c>
      <c r="AD2353" t="n">
        <v>17</v>
      </c>
      <c r="AE2353" t="n">
        <v>22</v>
      </c>
      <c r="AF2353" t="n">
        <v>6</v>
      </c>
      <c r="AG2353" t="n">
        <v>7</v>
      </c>
      <c r="AH2353" t="n">
        <v>6</v>
      </c>
      <c r="AI2353" t="n">
        <v>6</v>
      </c>
      <c r="AJ2353" t="n">
        <v>9</v>
      </c>
      <c r="AK2353" t="n">
        <v>12</v>
      </c>
      <c r="AL2353" t="n">
        <v>1</v>
      </c>
      <c r="AM2353" t="n">
        <v>3</v>
      </c>
      <c r="AN2353" t="n">
        <v>0</v>
      </c>
      <c r="AO2353" t="n">
        <v>0</v>
      </c>
      <c r="AP2353" t="inlineStr">
        <is>
          <t>No</t>
        </is>
      </c>
      <c r="AQ2353" t="inlineStr">
        <is>
          <t>No</t>
        </is>
      </c>
      <c r="AS2353">
        <f>HYPERLINK("https://creighton-primo.hosted.exlibrisgroup.com/primo-explore/search?tab=default_tab&amp;search_scope=EVERYTHING&amp;vid=01CRU&amp;lang=en_US&amp;offset=0&amp;query=any,contains,991000554619702656","Catalog Record")</f>
        <v/>
      </c>
      <c r="AT2353">
        <f>HYPERLINK("http://www.worldcat.org/oclc/11550168","WorldCat Record")</f>
        <v/>
      </c>
      <c r="AU2353" t="inlineStr">
        <is>
          <t>761783265:eng</t>
        </is>
      </c>
      <c r="AV2353" t="inlineStr">
        <is>
          <t>11550168</t>
        </is>
      </c>
      <c r="AW2353" t="inlineStr">
        <is>
          <t>991000554619702656</t>
        </is>
      </c>
      <c r="AX2353" t="inlineStr">
        <is>
          <t>991000554619702656</t>
        </is>
      </c>
      <c r="AY2353" t="inlineStr">
        <is>
          <t>2260098990002656</t>
        </is>
      </c>
      <c r="AZ2353" t="inlineStr">
        <is>
          <t>BOOK</t>
        </is>
      </c>
      <c r="BB2353" t="inlineStr">
        <is>
          <t>9780312133566</t>
        </is>
      </c>
      <c r="BC2353" t="inlineStr">
        <is>
          <t>32285000839604</t>
        </is>
      </c>
      <c r="BD2353" t="inlineStr">
        <is>
          <t>893608036</t>
        </is>
      </c>
    </row>
    <row r="2354">
      <c r="A2354" t="inlineStr">
        <is>
          <t>No</t>
        </is>
      </c>
      <c r="B2354" t="inlineStr">
        <is>
          <t>HQ766.5.C6 C453</t>
        </is>
      </c>
      <c r="C2354" t="inlineStr">
        <is>
          <t>0                      HQ 0766500C  6                  C  453</t>
        </is>
      </c>
      <c r="D2354" t="inlineStr">
        <is>
          <t>Chinese approaches to family planning / translated by Robert Dunn ; edited with an introd. by Leo A. Orleans.</t>
        </is>
      </c>
      <c r="F2354" t="inlineStr">
        <is>
          <t>No</t>
        </is>
      </c>
      <c r="G2354" t="inlineStr">
        <is>
          <t>1</t>
        </is>
      </c>
      <c r="H2354" t="inlineStr">
        <is>
          <t>No</t>
        </is>
      </c>
      <c r="I2354" t="inlineStr">
        <is>
          <t>No</t>
        </is>
      </c>
      <c r="J2354" t="inlineStr">
        <is>
          <t>0</t>
        </is>
      </c>
      <c r="L2354" t="inlineStr">
        <is>
          <t>White Plains, N.Y. : M. E. Sharpe, c1979.</t>
        </is>
      </c>
      <c r="M2354" t="inlineStr">
        <is>
          <t>1979</t>
        </is>
      </c>
      <c r="O2354" t="inlineStr">
        <is>
          <t>eng</t>
        </is>
      </c>
      <c r="P2354" t="inlineStr">
        <is>
          <t>nyu</t>
        </is>
      </c>
      <c r="Q2354" t="inlineStr">
        <is>
          <t>The China book project</t>
        </is>
      </c>
      <c r="R2354" t="inlineStr">
        <is>
          <t xml:space="preserve">HQ </t>
        </is>
      </c>
      <c r="S2354" t="n">
        <v>25</v>
      </c>
      <c r="T2354" t="n">
        <v>25</v>
      </c>
      <c r="U2354" t="inlineStr">
        <is>
          <t>2008-11-23</t>
        </is>
      </c>
      <c r="V2354" t="inlineStr">
        <is>
          <t>2008-11-23</t>
        </is>
      </c>
      <c r="W2354" t="inlineStr">
        <is>
          <t>1992-04-22</t>
        </is>
      </c>
      <c r="X2354" t="inlineStr">
        <is>
          <t>1992-04-22</t>
        </is>
      </c>
      <c r="Y2354" t="n">
        <v>326</v>
      </c>
      <c r="Z2354" t="n">
        <v>252</v>
      </c>
      <c r="AA2354" t="n">
        <v>268</v>
      </c>
      <c r="AB2354" t="n">
        <v>2</v>
      </c>
      <c r="AC2354" t="n">
        <v>2</v>
      </c>
      <c r="AD2354" t="n">
        <v>7</v>
      </c>
      <c r="AE2354" t="n">
        <v>7</v>
      </c>
      <c r="AF2354" t="n">
        <v>3</v>
      </c>
      <c r="AG2354" t="n">
        <v>3</v>
      </c>
      <c r="AH2354" t="n">
        <v>1</v>
      </c>
      <c r="AI2354" t="n">
        <v>1</v>
      </c>
      <c r="AJ2354" t="n">
        <v>3</v>
      </c>
      <c r="AK2354" t="n">
        <v>3</v>
      </c>
      <c r="AL2354" t="n">
        <v>1</v>
      </c>
      <c r="AM2354" t="n">
        <v>1</v>
      </c>
      <c r="AN2354" t="n">
        <v>0</v>
      </c>
      <c r="AO2354" t="n">
        <v>0</v>
      </c>
      <c r="AP2354" t="inlineStr">
        <is>
          <t>No</t>
        </is>
      </c>
      <c r="AQ2354" t="inlineStr">
        <is>
          <t>Yes</t>
        </is>
      </c>
      <c r="AR2354">
        <f>HYPERLINK("http://catalog.hathitrust.org/Record/000094219","HathiTrust Record")</f>
        <v/>
      </c>
      <c r="AS2354">
        <f>HYPERLINK("https://creighton-primo.hosted.exlibrisgroup.com/primo-explore/search?tab=default_tab&amp;search_scope=EVERYTHING&amp;vid=01CRU&amp;lang=en_US&amp;offset=0&amp;query=any,contains,991004872219702656","Catalog Record")</f>
        <v/>
      </c>
      <c r="AT2354">
        <f>HYPERLINK("http://www.worldcat.org/oclc/5764326","WorldCat Record")</f>
        <v/>
      </c>
      <c r="AU2354" t="inlineStr">
        <is>
          <t>54347182:eng</t>
        </is>
      </c>
      <c r="AV2354" t="inlineStr">
        <is>
          <t>5764326</t>
        </is>
      </c>
      <c r="AW2354" t="inlineStr">
        <is>
          <t>991004872219702656</t>
        </is>
      </c>
      <c r="AX2354" t="inlineStr">
        <is>
          <t>991004872219702656</t>
        </is>
      </c>
      <c r="AY2354" t="inlineStr">
        <is>
          <t>2269922040002656</t>
        </is>
      </c>
      <c r="AZ2354" t="inlineStr">
        <is>
          <t>BOOK</t>
        </is>
      </c>
      <c r="BB2354" t="inlineStr">
        <is>
          <t>9780873321396</t>
        </is>
      </c>
      <c r="BC2354" t="inlineStr">
        <is>
          <t>32285001064517</t>
        </is>
      </c>
      <c r="BD2354" t="inlineStr">
        <is>
          <t>893325898</t>
        </is>
      </c>
    </row>
    <row r="2355">
      <c r="A2355" t="inlineStr">
        <is>
          <t>No</t>
        </is>
      </c>
      <c r="B2355" t="inlineStr">
        <is>
          <t>HQ766.5.C6 M67 1994</t>
        </is>
      </c>
      <c r="C2355" t="inlineStr">
        <is>
          <t>0                      HQ 0766500C  6                  M  67          1994</t>
        </is>
      </c>
      <c r="D2355" t="inlineStr">
        <is>
          <t>A mother's ordeal : one woman's fight against China's one-child policy / Steven W. Mosher.</t>
        </is>
      </c>
      <c r="F2355" t="inlineStr">
        <is>
          <t>No</t>
        </is>
      </c>
      <c r="G2355" t="inlineStr">
        <is>
          <t>1</t>
        </is>
      </c>
      <c r="H2355" t="inlineStr">
        <is>
          <t>No</t>
        </is>
      </c>
      <c r="I2355" t="inlineStr">
        <is>
          <t>No</t>
        </is>
      </c>
      <c r="J2355" t="inlineStr">
        <is>
          <t>0</t>
        </is>
      </c>
      <c r="K2355" t="inlineStr">
        <is>
          <t>Mosher, Steven W.</t>
        </is>
      </c>
      <c r="L2355" t="inlineStr">
        <is>
          <t>New York : HarperPerennial, 1994.</t>
        </is>
      </c>
      <c r="M2355" t="inlineStr">
        <is>
          <t>1994</t>
        </is>
      </c>
      <c r="N2355" t="inlineStr">
        <is>
          <t>1st HarperPerennial ed.</t>
        </is>
      </c>
      <c r="O2355" t="inlineStr">
        <is>
          <t>eng</t>
        </is>
      </c>
      <c r="P2355" t="inlineStr">
        <is>
          <t>nyu</t>
        </is>
      </c>
      <c r="R2355" t="inlineStr">
        <is>
          <t xml:space="preserve">HQ </t>
        </is>
      </c>
      <c r="S2355" t="n">
        <v>27</v>
      </c>
      <c r="T2355" t="n">
        <v>27</v>
      </c>
      <c r="U2355" t="inlineStr">
        <is>
          <t>2008-11-23</t>
        </is>
      </c>
      <c r="V2355" t="inlineStr">
        <is>
          <t>2008-11-23</t>
        </is>
      </c>
      <c r="W2355" t="inlineStr">
        <is>
          <t>1996-04-15</t>
        </is>
      </c>
      <c r="X2355" t="inlineStr">
        <is>
          <t>1996-04-15</t>
        </is>
      </c>
      <c r="Y2355" t="n">
        <v>147</v>
      </c>
      <c r="Z2355" t="n">
        <v>125</v>
      </c>
      <c r="AA2355" t="n">
        <v>683</v>
      </c>
      <c r="AB2355" t="n">
        <v>3</v>
      </c>
      <c r="AC2355" t="n">
        <v>7</v>
      </c>
      <c r="AD2355" t="n">
        <v>4</v>
      </c>
      <c r="AE2355" t="n">
        <v>15</v>
      </c>
      <c r="AF2355" t="n">
        <v>2</v>
      </c>
      <c r="AG2355" t="n">
        <v>6</v>
      </c>
      <c r="AH2355" t="n">
        <v>2</v>
      </c>
      <c r="AI2355" t="n">
        <v>5</v>
      </c>
      <c r="AJ2355" t="n">
        <v>2</v>
      </c>
      <c r="AK2355" t="n">
        <v>8</v>
      </c>
      <c r="AL2355" t="n">
        <v>0</v>
      </c>
      <c r="AM2355" t="n">
        <v>1</v>
      </c>
      <c r="AN2355" t="n">
        <v>0</v>
      </c>
      <c r="AO2355" t="n">
        <v>1</v>
      </c>
      <c r="AP2355" t="inlineStr">
        <is>
          <t>No</t>
        </is>
      </c>
      <c r="AQ2355" t="inlineStr">
        <is>
          <t>No</t>
        </is>
      </c>
      <c r="AS2355">
        <f>HYPERLINK("https://creighton-primo.hosted.exlibrisgroup.com/primo-explore/search?tab=default_tab&amp;search_scope=EVERYTHING&amp;vid=01CRU&amp;lang=en_US&amp;offset=0&amp;query=any,contains,991002314579702656","Catalog Record")</f>
        <v/>
      </c>
      <c r="AT2355">
        <f>HYPERLINK("http://www.worldcat.org/oclc/30035087","WorldCat Record")</f>
        <v/>
      </c>
      <c r="AU2355" t="inlineStr">
        <is>
          <t>1939311810:eng</t>
        </is>
      </c>
      <c r="AV2355" t="inlineStr">
        <is>
          <t>30035087</t>
        </is>
      </c>
      <c r="AW2355" t="inlineStr">
        <is>
          <t>991002314579702656</t>
        </is>
      </c>
      <c r="AX2355" t="inlineStr">
        <is>
          <t>991002314579702656</t>
        </is>
      </c>
      <c r="AY2355" t="inlineStr">
        <is>
          <t>2271576740002656</t>
        </is>
      </c>
      <c r="AZ2355" t="inlineStr">
        <is>
          <t>BOOK</t>
        </is>
      </c>
      <c r="BB2355" t="inlineStr">
        <is>
          <t>9780060976149</t>
        </is>
      </c>
      <c r="BC2355" t="inlineStr">
        <is>
          <t>32285002152832</t>
        </is>
      </c>
      <c r="BD2355" t="inlineStr">
        <is>
          <t>893408951</t>
        </is>
      </c>
    </row>
    <row r="2356">
      <c r="A2356" t="inlineStr">
        <is>
          <t>No</t>
        </is>
      </c>
      <c r="B2356" t="inlineStr">
        <is>
          <t>HQ766.5.D44 D46 1989</t>
        </is>
      </c>
      <c r="C2356" t="inlineStr">
        <is>
          <t>0                      HQ 0766500D  44                 D  46          1989</t>
        </is>
      </c>
      <c r="D2356" t="inlineStr">
        <is>
          <t>Demographic and programmatic consequences of contraceptive innovations / edited by Sheldon J. Segal, Amy O. Tsui, and Susan M. Rogers.</t>
        </is>
      </c>
      <c r="F2356" t="inlineStr">
        <is>
          <t>No</t>
        </is>
      </c>
      <c r="G2356" t="inlineStr">
        <is>
          <t>1</t>
        </is>
      </c>
      <c r="H2356" t="inlineStr">
        <is>
          <t>No</t>
        </is>
      </c>
      <c r="I2356" t="inlineStr">
        <is>
          <t>No</t>
        </is>
      </c>
      <c r="J2356" t="inlineStr">
        <is>
          <t>0</t>
        </is>
      </c>
      <c r="L2356" t="inlineStr">
        <is>
          <t>New York : Plenum Press, c1989.</t>
        </is>
      </c>
      <c r="M2356" t="inlineStr">
        <is>
          <t>1989</t>
        </is>
      </c>
      <c r="O2356" t="inlineStr">
        <is>
          <t>eng</t>
        </is>
      </c>
      <c r="P2356" t="inlineStr">
        <is>
          <t>nyu</t>
        </is>
      </c>
      <c r="Q2356" t="inlineStr">
        <is>
          <t>Reproductive biology</t>
        </is>
      </c>
      <c r="R2356" t="inlineStr">
        <is>
          <t xml:space="preserve">HQ </t>
        </is>
      </c>
      <c r="S2356" t="n">
        <v>35</v>
      </c>
      <c r="T2356" t="n">
        <v>35</v>
      </c>
      <c r="U2356" t="inlineStr">
        <is>
          <t>2008-01-07</t>
        </is>
      </c>
      <c r="V2356" t="inlineStr">
        <is>
          <t>2008-01-07</t>
        </is>
      </c>
      <c r="W2356" t="inlineStr">
        <is>
          <t>1990-12-17</t>
        </is>
      </c>
      <c r="X2356" t="inlineStr">
        <is>
          <t>1990-12-17</t>
        </is>
      </c>
      <c r="Y2356" t="n">
        <v>190</v>
      </c>
      <c r="Z2356" t="n">
        <v>149</v>
      </c>
      <c r="AA2356" t="n">
        <v>168</v>
      </c>
      <c r="AB2356" t="n">
        <v>2</v>
      </c>
      <c r="AC2356" t="n">
        <v>2</v>
      </c>
      <c r="AD2356" t="n">
        <v>7</v>
      </c>
      <c r="AE2356" t="n">
        <v>7</v>
      </c>
      <c r="AF2356" t="n">
        <v>2</v>
      </c>
      <c r="AG2356" t="n">
        <v>2</v>
      </c>
      <c r="AH2356" t="n">
        <v>1</v>
      </c>
      <c r="AI2356" t="n">
        <v>1</v>
      </c>
      <c r="AJ2356" t="n">
        <v>4</v>
      </c>
      <c r="AK2356" t="n">
        <v>4</v>
      </c>
      <c r="AL2356" t="n">
        <v>1</v>
      </c>
      <c r="AM2356" t="n">
        <v>1</v>
      </c>
      <c r="AN2356" t="n">
        <v>0</v>
      </c>
      <c r="AO2356" t="n">
        <v>0</v>
      </c>
      <c r="AP2356" t="inlineStr">
        <is>
          <t>No</t>
        </is>
      </c>
      <c r="AQ2356" t="inlineStr">
        <is>
          <t>No</t>
        </is>
      </c>
      <c r="AS2356">
        <f>HYPERLINK("https://creighton-primo.hosted.exlibrisgroup.com/primo-explore/search?tab=default_tab&amp;search_scope=EVERYTHING&amp;vid=01CRU&amp;lang=en_US&amp;offset=0&amp;query=any,contains,991001573669702656","Catalog Record")</f>
        <v/>
      </c>
      <c r="AT2356">
        <f>HYPERLINK("http://www.worldcat.org/oclc/20418300","WorldCat Record")</f>
        <v/>
      </c>
      <c r="AU2356" t="inlineStr">
        <is>
          <t>365262963:eng</t>
        </is>
      </c>
      <c r="AV2356" t="inlineStr">
        <is>
          <t>20418300</t>
        </is>
      </c>
      <c r="AW2356" t="inlineStr">
        <is>
          <t>991001573669702656</t>
        </is>
      </c>
      <c r="AX2356" t="inlineStr">
        <is>
          <t>991001573669702656</t>
        </is>
      </c>
      <c r="AY2356" t="inlineStr">
        <is>
          <t>2263767900002656</t>
        </is>
      </c>
      <c r="AZ2356" t="inlineStr">
        <is>
          <t>BOOK</t>
        </is>
      </c>
      <c r="BB2356" t="inlineStr">
        <is>
          <t>9780306433849</t>
        </is>
      </c>
      <c r="BC2356" t="inlineStr">
        <is>
          <t>32285000359744</t>
        </is>
      </c>
      <c r="BD2356" t="inlineStr">
        <is>
          <t>893522647</t>
        </is>
      </c>
    </row>
    <row r="2357">
      <c r="A2357" t="inlineStr">
        <is>
          <t>No</t>
        </is>
      </c>
      <c r="B2357" t="inlineStr">
        <is>
          <t>HQ766.5.G7 F57 2006</t>
        </is>
      </c>
      <c r="C2357" t="inlineStr">
        <is>
          <t>0                      HQ 0766500G  7                  F  57          2006</t>
        </is>
      </c>
      <c r="D2357" t="inlineStr">
        <is>
          <t>Birth control, sex and marriage in Britain, 1918-1960 / Kate Fisher.</t>
        </is>
      </c>
      <c r="F2357" t="inlineStr">
        <is>
          <t>No</t>
        </is>
      </c>
      <c r="G2357" t="inlineStr">
        <is>
          <t>1</t>
        </is>
      </c>
      <c r="H2357" t="inlineStr">
        <is>
          <t>No</t>
        </is>
      </c>
      <c r="I2357" t="inlineStr">
        <is>
          <t>No</t>
        </is>
      </c>
      <c r="J2357" t="inlineStr">
        <is>
          <t>0</t>
        </is>
      </c>
      <c r="K2357" t="inlineStr">
        <is>
          <t>Fisher, Kate.</t>
        </is>
      </c>
      <c r="L2357" t="inlineStr">
        <is>
          <t>Oxford ; New York : Oxford University Press, 2006.</t>
        </is>
      </c>
      <c r="M2357" t="inlineStr">
        <is>
          <t>2006</t>
        </is>
      </c>
      <c r="O2357" t="inlineStr">
        <is>
          <t>eng</t>
        </is>
      </c>
      <c r="P2357" t="inlineStr">
        <is>
          <t>enk</t>
        </is>
      </c>
      <c r="R2357" t="inlineStr">
        <is>
          <t xml:space="preserve">HQ </t>
        </is>
      </c>
      <c r="S2357" t="n">
        <v>2</v>
      </c>
      <c r="T2357" t="n">
        <v>2</v>
      </c>
      <c r="U2357" t="inlineStr">
        <is>
          <t>2008-02-12</t>
        </is>
      </c>
      <c r="V2357" t="inlineStr">
        <is>
          <t>2008-02-12</t>
        </is>
      </c>
      <c r="W2357" t="inlineStr">
        <is>
          <t>2007-11-08</t>
        </is>
      </c>
      <c r="X2357" t="inlineStr">
        <is>
          <t>2007-11-08</t>
        </is>
      </c>
      <c r="Y2357" t="n">
        <v>342</v>
      </c>
      <c r="Z2357" t="n">
        <v>242</v>
      </c>
      <c r="AA2357" t="n">
        <v>326</v>
      </c>
      <c r="AB2357" t="n">
        <v>4</v>
      </c>
      <c r="AC2357" t="n">
        <v>4</v>
      </c>
      <c r="AD2357" t="n">
        <v>13</v>
      </c>
      <c r="AE2357" t="n">
        <v>18</v>
      </c>
      <c r="AF2357" t="n">
        <v>5</v>
      </c>
      <c r="AG2357" t="n">
        <v>7</v>
      </c>
      <c r="AH2357" t="n">
        <v>2</v>
      </c>
      <c r="AI2357" t="n">
        <v>6</v>
      </c>
      <c r="AJ2357" t="n">
        <v>3</v>
      </c>
      <c r="AK2357" t="n">
        <v>5</v>
      </c>
      <c r="AL2357" t="n">
        <v>3</v>
      </c>
      <c r="AM2357" t="n">
        <v>3</v>
      </c>
      <c r="AN2357" t="n">
        <v>1</v>
      </c>
      <c r="AO2357" t="n">
        <v>1</v>
      </c>
      <c r="AP2357" t="inlineStr">
        <is>
          <t>No</t>
        </is>
      </c>
      <c r="AQ2357" t="inlineStr">
        <is>
          <t>Yes</t>
        </is>
      </c>
      <c r="AR2357">
        <f>HYPERLINK("http://catalog.hathitrust.org/Record/005283537","HathiTrust Record")</f>
        <v/>
      </c>
      <c r="AS2357">
        <f>HYPERLINK("https://creighton-primo.hosted.exlibrisgroup.com/primo-explore/search?tab=default_tab&amp;search_scope=EVERYTHING&amp;vid=01CRU&amp;lang=en_US&amp;offset=0&amp;query=any,contains,991005135369702656","Catalog Record")</f>
        <v/>
      </c>
      <c r="AT2357">
        <f>HYPERLINK("http://www.worldcat.org/oclc/63395769","WorldCat Record")</f>
        <v/>
      </c>
      <c r="AU2357" t="inlineStr">
        <is>
          <t>47557411:eng</t>
        </is>
      </c>
      <c r="AV2357" t="inlineStr">
        <is>
          <t>63395769</t>
        </is>
      </c>
      <c r="AW2357" t="inlineStr">
        <is>
          <t>991005135369702656</t>
        </is>
      </c>
      <c r="AX2357" t="inlineStr">
        <is>
          <t>991005135369702656</t>
        </is>
      </c>
      <c r="AY2357" t="inlineStr">
        <is>
          <t>2261978340002656</t>
        </is>
      </c>
      <c r="AZ2357" t="inlineStr">
        <is>
          <t>BOOK</t>
        </is>
      </c>
      <c r="BB2357" t="inlineStr">
        <is>
          <t>9780199267361</t>
        </is>
      </c>
      <c r="BC2357" t="inlineStr">
        <is>
          <t>32285005366256</t>
        </is>
      </c>
      <c r="BD2357" t="inlineStr">
        <is>
          <t>893889727</t>
        </is>
      </c>
    </row>
    <row r="2358">
      <c r="A2358" t="inlineStr">
        <is>
          <t>No</t>
        </is>
      </c>
      <c r="B2358" t="inlineStr">
        <is>
          <t>HQ766.5.G7 S64 1982</t>
        </is>
      </c>
      <c r="C2358" t="inlineStr">
        <is>
          <t>0                      HQ 0766500G  7                  S  64          1982</t>
        </is>
      </c>
      <c r="D2358" t="inlineStr">
        <is>
          <t>Birth control and the population question in England, 1877-1930 / Richard Allen Soloway.</t>
        </is>
      </c>
      <c r="F2358" t="inlineStr">
        <is>
          <t>No</t>
        </is>
      </c>
      <c r="G2358" t="inlineStr">
        <is>
          <t>1</t>
        </is>
      </c>
      <c r="H2358" t="inlineStr">
        <is>
          <t>No</t>
        </is>
      </c>
      <c r="I2358" t="inlineStr">
        <is>
          <t>No</t>
        </is>
      </c>
      <c r="J2358" t="inlineStr">
        <is>
          <t>0</t>
        </is>
      </c>
      <c r="K2358" t="inlineStr">
        <is>
          <t>Soloway, R. A.</t>
        </is>
      </c>
      <c r="L2358" t="inlineStr">
        <is>
          <t>Chapel Hill : University of North Carolina Press, c1982.</t>
        </is>
      </c>
      <c r="M2358" t="inlineStr">
        <is>
          <t>1982</t>
        </is>
      </c>
      <c r="O2358" t="inlineStr">
        <is>
          <t>eng</t>
        </is>
      </c>
      <c r="P2358" t="inlineStr">
        <is>
          <t>ncu</t>
        </is>
      </c>
      <c r="R2358" t="inlineStr">
        <is>
          <t xml:space="preserve">HQ </t>
        </is>
      </c>
      <c r="S2358" t="n">
        <v>2</v>
      </c>
      <c r="T2358" t="n">
        <v>2</v>
      </c>
      <c r="U2358" t="inlineStr">
        <is>
          <t>2010-12-10</t>
        </is>
      </c>
      <c r="V2358" t="inlineStr">
        <is>
          <t>2010-12-10</t>
        </is>
      </c>
      <c r="W2358" t="inlineStr">
        <is>
          <t>1992-03-17</t>
        </is>
      </c>
      <c r="X2358" t="inlineStr">
        <is>
          <t>1992-03-17</t>
        </is>
      </c>
      <c r="Y2358" t="n">
        <v>518</v>
      </c>
      <c r="Z2358" t="n">
        <v>398</v>
      </c>
      <c r="AA2358" t="n">
        <v>416</v>
      </c>
      <c r="AB2358" t="n">
        <v>4</v>
      </c>
      <c r="AC2358" t="n">
        <v>5</v>
      </c>
      <c r="AD2358" t="n">
        <v>20</v>
      </c>
      <c r="AE2358" t="n">
        <v>22</v>
      </c>
      <c r="AF2358" t="n">
        <v>7</v>
      </c>
      <c r="AG2358" t="n">
        <v>8</v>
      </c>
      <c r="AH2358" t="n">
        <v>6</v>
      </c>
      <c r="AI2358" t="n">
        <v>7</v>
      </c>
      <c r="AJ2358" t="n">
        <v>12</v>
      </c>
      <c r="AK2358" t="n">
        <v>12</v>
      </c>
      <c r="AL2358" t="n">
        <v>2</v>
      </c>
      <c r="AM2358" t="n">
        <v>3</v>
      </c>
      <c r="AN2358" t="n">
        <v>0</v>
      </c>
      <c r="AO2358" t="n">
        <v>0</v>
      </c>
      <c r="AP2358" t="inlineStr">
        <is>
          <t>No</t>
        </is>
      </c>
      <c r="AQ2358" t="inlineStr">
        <is>
          <t>Yes</t>
        </is>
      </c>
      <c r="AR2358">
        <f>HYPERLINK("http://catalog.hathitrust.org/Record/000764280","HathiTrust Record")</f>
        <v/>
      </c>
      <c r="AS2358">
        <f>HYPERLINK("https://creighton-primo.hosted.exlibrisgroup.com/primo-explore/search?tab=default_tab&amp;search_scope=EVERYTHING&amp;vid=01CRU&amp;lang=en_US&amp;offset=0&amp;query=any,contains,991005159419702656","Catalog Record")</f>
        <v/>
      </c>
      <c r="AT2358">
        <f>HYPERLINK("http://www.worldcat.org/oclc/7773575","WorldCat Record")</f>
        <v/>
      </c>
      <c r="AU2358" t="inlineStr">
        <is>
          <t>465459:eng</t>
        </is>
      </c>
      <c r="AV2358" t="inlineStr">
        <is>
          <t>7773575</t>
        </is>
      </c>
      <c r="AW2358" t="inlineStr">
        <is>
          <t>991005159419702656</t>
        </is>
      </c>
      <c r="AX2358" t="inlineStr">
        <is>
          <t>991005159419702656</t>
        </is>
      </c>
      <c r="AY2358" t="inlineStr">
        <is>
          <t>2269021610002656</t>
        </is>
      </c>
      <c r="AZ2358" t="inlineStr">
        <is>
          <t>BOOK</t>
        </is>
      </c>
      <c r="BB2358" t="inlineStr">
        <is>
          <t>9780807815045</t>
        </is>
      </c>
      <c r="BC2358" t="inlineStr">
        <is>
          <t>32285001013126</t>
        </is>
      </c>
      <c r="BD2358" t="inlineStr">
        <is>
          <t>893248457</t>
        </is>
      </c>
    </row>
    <row r="2359">
      <c r="A2359" t="inlineStr">
        <is>
          <t>No</t>
        </is>
      </c>
      <c r="B2359" t="inlineStr">
        <is>
          <t>HQ766.5.L3 F41 1992</t>
        </is>
      </c>
      <c r="C2359" t="inlineStr">
        <is>
          <t>0                      HQ 0766500L  3                  F  41          1992</t>
        </is>
      </c>
      <c r="D2359" t="inlineStr">
        <is>
          <t>Fertility &amp; family planning in Latin America : challenges of the 1990s : chartbook.</t>
        </is>
      </c>
      <c r="F2359" t="inlineStr">
        <is>
          <t>No</t>
        </is>
      </c>
      <c r="G2359" t="inlineStr">
        <is>
          <t>1</t>
        </is>
      </c>
      <c r="H2359" t="inlineStr">
        <is>
          <t>No</t>
        </is>
      </c>
      <c r="I2359" t="inlineStr">
        <is>
          <t>No</t>
        </is>
      </c>
      <c r="J2359" t="inlineStr">
        <is>
          <t>0</t>
        </is>
      </c>
      <c r="L2359" t="inlineStr">
        <is>
          <t>Washington, D.C. : International Programs of the Population Reference Bureau, [1992]</t>
        </is>
      </c>
      <c r="M2359" t="inlineStr">
        <is>
          <t>1992</t>
        </is>
      </c>
      <c r="O2359" t="inlineStr">
        <is>
          <t>eng</t>
        </is>
      </c>
      <c r="P2359" t="inlineStr">
        <is>
          <t>dcu</t>
        </is>
      </c>
      <c r="R2359" t="inlineStr">
        <is>
          <t xml:space="preserve">HQ </t>
        </is>
      </c>
      <c r="S2359" t="n">
        <v>4</v>
      </c>
      <c r="T2359" t="n">
        <v>4</v>
      </c>
      <c r="U2359" t="inlineStr">
        <is>
          <t>2000-05-19</t>
        </is>
      </c>
      <c r="V2359" t="inlineStr">
        <is>
          <t>2000-05-19</t>
        </is>
      </c>
      <c r="W2359" t="inlineStr">
        <is>
          <t>1999-03-01</t>
        </is>
      </c>
      <c r="X2359" t="inlineStr">
        <is>
          <t>1999-03-01</t>
        </is>
      </c>
      <c r="Y2359" t="n">
        <v>22</v>
      </c>
      <c r="Z2359" t="n">
        <v>19</v>
      </c>
      <c r="AA2359" t="n">
        <v>19</v>
      </c>
      <c r="AB2359" t="n">
        <v>1</v>
      </c>
      <c r="AC2359" t="n">
        <v>1</v>
      </c>
      <c r="AD2359" t="n">
        <v>1</v>
      </c>
      <c r="AE2359" t="n">
        <v>1</v>
      </c>
      <c r="AF2359" t="n">
        <v>0</v>
      </c>
      <c r="AG2359" t="n">
        <v>0</v>
      </c>
      <c r="AH2359" t="n">
        <v>1</v>
      </c>
      <c r="AI2359" t="n">
        <v>1</v>
      </c>
      <c r="AJ2359" t="n">
        <v>1</v>
      </c>
      <c r="AK2359" t="n">
        <v>1</v>
      </c>
      <c r="AL2359" t="n">
        <v>0</v>
      </c>
      <c r="AM2359" t="n">
        <v>0</v>
      </c>
      <c r="AN2359" t="n">
        <v>0</v>
      </c>
      <c r="AO2359" t="n">
        <v>0</v>
      </c>
      <c r="AP2359" t="inlineStr">
        <is>
          <t>No</t>
        </is>
      </c>
      <c r="AQ2359" t="inlineStr">
        <is>
          <t>No</t>
        </is>
      </c>
      <c r="AS2359">
        <f>HYPERLINK("https://creighton-primo.hosted.exlibrisgroup.com/primo-explore/search?tab=default_tab&amp;search_scope=EVERYTHING&amp;vid=01CRU&amp;lang=en_US&amp;offset=0&amp;query=any,contains,991005418779702656","Catalog Record")</f>
        <v/>
      </c>
      <c r="AT2359">
        <f>HYPERLINK("http://www.worldcat.org/oclc/30134255","WorldCat Record")</f>
        <v/>
      </c>
      <c r="AU2359" t="inlineStr">
        <is>
          <t>32311656:eng</t>
        </is>
      </c>
      <c r="AV2359" t="inlineStr">
        <is>
          <t>30134255</t>
        </is>
      </c>
      <c r="AW2359" t="inlineStr">
        <is>
          <t>991005418779702656</t>
        </is>
      </c>
      <c r="AX2359" t="inlineStr">
        <is>
          <t>991005418779702656</t>
        </is>
      </c>
      <c r="AY2359" t="inlineStr">
        <is>
          <t>2270822560002656</t>
        </is>
      </c>
      <c r="AZ2359" t="inlineStr">
        <is>
          <t>BOOK</t>
        </is>
      </c>
      <c r="BC2359" t="inlineStr">
        <is>
          <t>32285003527867</t>
        </is>
      </c>
      <c r="BD2359" t="inlineStr">
        <is>
          <t>893425134</t>
        </is>
      </c>
    </row>
    <row r="2360">
      <c r="A2360" t="inlineStr">
        <is>
          <t>No</t>
        </is>
      </c>
      <c r="B2360" t="inlineStr">
        <is>
          <t>HQ766.5.U5 B76 1994</t>
        </is>
      </c>
      <c r="C2360" t="inlineStr">
        <is>
          <t>0                      HQ 0766500U  5                  B  76          1994</t>
        </is>
      </c>
      <c r="D2360" t="inlineStr">
        <is>
          <t>Contraception and abortion in nineteenth-century America / Janet Farrell Brodie.</t>
        </is>
      </c>
      <c r="F2360" t="inlineStr">
        <is>
          <t>No</t>
        </is>
      </c>
      <c r="G2360" t="inlineStr">
        <is>
          <t>1</t>
        </is>
      </c>
      <c r="H2360" t="inlineStr">
        <is>
          <t>No</t>
        </is>
      </c>
      <c r="I2360" t="inlineStr">
        <is>
          <t>No</t>
        </is>
      </c>
      <c r="J2360" t="inlineStr">
        <is>
          <t>0</t>
        </is>
      </c>
      <c r="K2360" t="inlineStr">
        <is>
          <t>Brodie, Janet Farrell.</t>
        </is>
      </c>
      <c r="L2360" t="inlineStr">
        <is>
          <t>Ithaca : Cornell University Press, 1994.</t>
        </is>
      </c>
      <c r="M2360" t="inlineStr">
        <is>
          <t>1994</t>
        </is>
      </c>
      <c r="O2360" t="inlineStr">
        <is>
          <t>eng</t>
        </is>
      </c>
      <c r="P2360" t="inlineStr">
        <is>
          <t>nyu</t>
        </is>
      </c>
      <c r="R2360" t="inlineStr">
        <is>
          <t xml:space="preserve">HQ </t>
        </is>
      </c>
      <c r="S2360" t="n">
        <v>21</v>
      </c>
      <c r="T2360" t="n">
        <v>21</v>
      </c>
      <c r="U2360" t="inlineStr">
        <is>
          <t>2007-12-03</t>
        </is>
      </c>
      <c r="V2360" t="inlineStr">
        <is>
          <t>2007-12-03</t>
        </is>
      </c>
      <c r="W2360" t="inlineStr">
        <is>
          <t>1995-03-01</t>
        </is>
      </c>
      <c r="X2360" t="inlineStr">
        <is>
          <t>1995-03-01</t>
        </is>
      </c>
      <c r="Y2360" t="n">
        <v>1177</v>
      </c>
      <c r="Z2360" t="n">
        <v>1056</v>
      </c>
      <c r="AA2360" t="n">
        <v>1142</v>
      </c>
      <c r="AB2360" t="n">
        <v>11</v>
      </c>
      <c r="AC2360" t="n">
        <v>12</v>
      </c>
      <c r="AD2360" t="n">
        <v>43</v>
      </c>
      <c r="AE2360" t="n">
        <v>46</v>
      </c>
      <c r="AF2360" t="n">
        <v>14</v>
      </c>
      <c r="AG2360" t="n">
        <v>16</v>
      </c>
      <c r="AH2360" t="n">
        <v>7</v>
      </c>
      <c r="AI2360" t="n">
        <v>7</v>
      </c>
      <c r="AJ2360" t="n">
        <v>19</v>
      </c>
      <c r="AK2360" t="n">
        <v>20</v>
      </c>
      <c r="AL2360" t="n">
        <v>10</v>
      </c>
      <c r="AM2360" t="n">
        <v>10</v>
      </c>
      <c r="AN2360" t="n">
        <v>4</v>
      </c>
      <c r="AO2360" t="n">
        <v>4</v>
      </c>
      <c r="AP2360" t="inlineStr">
        <is>
          <t>No</t>
        </is>
      </c>
      <c r="AQ2360" t="inlineStr">
        <is>
          <t>Yes</t>
        </is>
      </c>
      <c r="AR2360">
        <f>HYPERLINK("http://catalog.hathitrust.org/Record/002871115","HathiTrust Record")</f>
        <v/>
      </c>
      <c r="AS2360">
        <f>HYPERLINK("https://creighton-primo.hosted.exlibrisgroup.com/primo-explore/search?tab=default_tab&amp;search_scope=EVERYTHING&amp;vid=01CRU&amp;lang=en_US&amp;offset=0&amp;query=any,contains,991002228789702656","Catalog Record")</f>
        <v/>
      </c>
      <c r="AT2360">
        <f>HYPERLINK("http://www.worldcat.org/oclc/28710767","WorldCat Record")</f>
        <v/>
      </c>
      <c r="AU2360" t="inlineStr">
        <is>
          <t>1055945:eng</t>
        </is>
      </c>
      <c r="AV2360" t="inlineStr">
        <is>
          <t>28710767</t>
        </is>
      </c>
      <c r="AW2360" t="inlineStr">
        <is>
          <t>991002228789702656</t>
        </is>
      </c>
      <c r="AX2360" t="inlineStr">
        <is>
          <t>991002228789702656</t>
        </is>
      </c>
      <c r="AY2360" t="inlineStr">
        <is>
          <t>2262917760002656</t>
        </is>
      </c>
      <c r="AZ2360" t="inlineStr">
        <is>
          <t>BOOK</t>
        </is>
      </c>
      <c r="BB2360" t="inlineStr">
        <is>
          <t>9780801428494</t>
        </is>
      </c>
      <c r="BC2360" t="inlineStr">
        <is>
          <t>32285002000874</t>
        </is>
      </c>
      <c r="BD2360" t="inlineStr">
        <is>
          <t>893609608</t>
        </is>
      </c>
    </row>
    <row r="2361">
      <c r="A2361" t="inlineStr">
        <is>
          <t>No</t>
        </is>
      </c>
      <c r="B2361" t="inlineStr">
        <is>
          <t>HQ766.5.U5 C56 1997</t>
        </is>
      </c>
      <c r="C2361" t="inlineStr">
        <is>
          <t>0                      HQ 0766500U  5                  C  56          1997</t>
        </is>
      </c>
      <c r="D2361" t="inlineStr">
        <is>
          <t>Controlling reproduction : an American history / edited by Andrea Tone.</t>
        </is>
      </c>
      <c r="F2361" t="inlineStr">
        <is>
          <t>No</t>
        </is>
      </c>
      <c r="G2361" t="inlineStr">
        <is>
          <t>1</t>
        </is>
      </c>
      <c r="H2361" t="inlineStr">
        <is>
          <t>No</t>
        </is>
      </c>
      <c r="I2361" t="inlineStr">
        <is>
          <t>No</t>
        </is>
      </c>
      <c r="J2361" t="inlineStr">
        <is>
          <t>0</t>
        </is>
      </c>
      <c r="L2361" t="inlineStr">
        <is>
          <t>Wilmington, Del. : SR Books, 1997.</t>
        </is>
      </c>
      <c r="M2361" t="inlineStr">
        <is>
          <t>1997</t>
        </is>
      </c>
      <c r="O2361" t="inlineStr">
        <is>
          <t>eng</t>
        </is>
      </c>
      <c r="P2361" t="inlineStr">
        <is>
          <t>deu</t>
        </is>
      </c>
      <c r="Q2361" t="inlineStr">
        <is>
          <t>Worlds of women ; no. 2</t>
        </is>
      </c>
      <c r="R2361" t="inlineStr">
        <is>
          <t xml:space="preserve">HQ </t>
        </is>
      </c>
      <c r="S2361" t="n">
        <v>8</v>
      </c>
      <c r="T2361" t="n">
        <v>8</v>
      </c>
      <c r="U2361" t="inlineStr">
        <is>
          <t>2007-02-28</t>
        </is>
      </c>
      <c r="V2361" t="inlineStr">
        <is>
          <t>2007-02-28</t>
        </is>
      </c>
      <c r="W2361" t="inlineStr">
        <is>
          <t>1999-12-09</t>
        </is>
      </c>
      <c r="X2361" t="inlineStr">
        <is>
          <t>1999-12-09</t>
        </is>
      </c>
      <c r="Y2361" t="n">
        <v>522</v>
      </c>
      <c r="Z2361" t="n">
        <v>475</v>
      </c>
      <c r="AA2361" t="n">
        <v>496</v>
      </c>
      <c r="AB2361" t="n">
        <v>4</v>
      </c>
      <c r="AC2361" t="n">
        <v>4</v>
      </c>
      <c r="AD2361" t="n">
        <v>28</v>
      </c>
      <c r="AE2361" t="n">
        <v>29</v>
      </c>
      <c r="AF2361" t="n">
        <v>12</v>
      </c>
      <c r="AG2361" t="n">
        <v>13</v>
      </c>
      <c r="AH2361" t="n">
        <v>7</v>
      </c>
      <c r="AI2361" t="n">
        <v>8</v>
      </c>
      <c r="AJ2361" t="n">
        <v>14</v>
      </c>
      <c r="AK2361" t="n">
        <v>14</v>
      </c>
      <c r="AL2361" t="n">
        <v>3</v>
      </c>
      <c r="AM2361" t="n">
        <v>3</v>
      </c>
      <c r="AN2361" t="n">
        <v>0</v>
      </c>
      <c r="AO2361" t="n">
        <v>0</v>
      </c>
      <c r="AP2361" t="inlineStr">
        <is>
          <t>No</t>
        </is>
      </c>
      <c r="AQ2361" t="inlineStr">
        <is>
          <t>Yes</t>
        </is>
      </c>
      <c r="AR2361">
        <f>HYPERLINK("http://catalog.hathitrust.org/Record/003139866","HathiTrust Record")</f>
        <v/>
      </c>
      <c r="AS2361">
        <f>HYPERLINK("https://creighton-primo.hosted.exlibrisgroup.com/primo-explore/search?tab=default_tab&amp;search_scope=EVERYTHING&amp;vid=01CRU&amp;lang=en_US&amp;offset=0&amp;query=any,contains,991002661389702656","Catalog Record")</f>
        <v/>
      </c>
      <c r="AT2361">
        <f>HYPERLINK("http://www.worldcat.org/oclc/34782632","WorldCat Record")</f>
        <v/>
      </c>
      <c r="AU2361" t="inlineStr">
        <is>
          <t>891519083:eng</t>
        </is>
      </c>
      <c r="AV2361" t="inlineStr">
        <is>
          <t>34782632</t>
        </is>
      </c>
      <c r="AW2361" t="inlineStr">
        <is>
          <t>991002661389702656</t>
        </is>
      </c>
      <c r="AX2361" t="inlineStr">
        <is>
          <t>991002661389702656</t>
        </is>
      </c>
      <c r="AY2361" t="inlineStr">
        <is>
          <t>2255495300002656</t>
        </is>
      </c>
      <c r="AZ2361" t="inlineStr">
        <is>
          <t>BOOK</t>
        </is>
      </c>
      <c r="BB2361" t="inlineStr">
        <is>
          <t>9780842025744</t>
        </is>
      </c>
      <c r="BC2361" t="inlineStr">
        <is>
          <t>32285003631974</t>
        </is>
      </c>
      <c r="BD2361" t="inlineStr">
        <is>
          <t>893691851</t>
        </is>
      </c>
    </row>
    <row r="2362">
      <c r="A2362" t="inlineStr">
        <is>
          <t>No</t>
        </is>
      </c>
      <c r="B2362" t="inlineStr">
        <is>
          <t>HQ766.5.U5 G67 1990</t>
        </is>
      </c>
      <c r="C2362" t="inlineStr">
        <is>
          <t>0                      HQ 0766500U  5                  G  67          1990</t>
        </is>
      </c>
      <c r="D2362" t="inlineStr">
        <is>
          <t>Woman's body, woman's right : birth control in America / Linda Gordon.</t>
        </is>
      </c>
      <c r="F2362" t="inlineStr">
        <is>
          <t>No</t>
        </is>
      </c>
      <c r="G2362" t="inlineStr">
        <is>
          <t>1</t>
        </is>
      </c>
      <c r="H2362" t="inlineStr">
        <is>
          <t>No</t>
        </is>
      </c>
      <c r="I2362" t="inlineStr">
        <is>
          <t>No</t>
        </is>
      </c>
      <c r="J2362" t="inlineStr">
        <is>
          <t>0</t>
        </is>
      </c>
      <c r="K2362" t="inlineStr">
        <is>
          <t>Gordon, Linda.</t>
        </is>
      </c>
      <c r="L2362" t="inlineStr">
        <is>
          <t>New York : Penguin, 1990.</t>
        </is>
      </c>
      <c r="M2362" t="inlineStr">
        <is>
          <t>1990</t>
        </is>
      </c>
      <c r="N2362" t="inlineStr">
        <is>
          <t>Rev. and updated.</t>
        </is>
      </c>
      <c r="O2362" t="inlineStr">
        <is>
          <t>eng</t>
        </is>
      </c>
      <c r="P2362" t="inlineStr">
        <is>
          <t>nyu</t>
        </is>
      </c>
      <c r="R2362" t="inlineStr">
        <is>
          <t xml:space="preserve">HQ </t>
        </is>
      </c>
      <c r="S2362" t="n">
        <v>19</v>
      </c>
      <c r="T2362" t="n">
        <v>19</v>
      </c>
      <c r="U2362" t="inlineStr">
        <is>
          <t>2009-10-05</t>
        </is>
      </c>
      <c r="V2362" t="inlineStr">
        <is>
          <t>2009-10-05</t>
        </is>
      </c>
      <c r="W2362" t="inlineStr">
        <is>
          <t>1990-10-12</t>
        </is>
      </c>
      <c r="X2362" t="inlineStr">
        <is>
          <t>1990-10-12</t>
        </is>
      </c>
      <c r="Y2362" t="n">
        <v>446</v>
      </c>
      <c r="Z2362" t="n">
        <v>393</v>
      </c>
      <c r="AA2362" t="n">
        <v>1370</v>
      </c>
      <c r="AB2362" t="n">
        <v>5</v>
      </c>
      <c r="AC2362" t="n">
        <v>11</v>
      </c>
      <c r="AD2362" t="n">
        <v>17</v>
      </c>
      <c r="AE2362" t="n">
        <v>57</v>
      </c>
      <c r="AF2362" t="n">
        <v>10</v>
      </c>
      <c r="AG2362" t="n">
        <v>23</v>
      </c>
      <c r="AH2362" t="n">
        <v>3</v>
      </c>
      <c r="AI2362" t="n">
        <v>9</v>
      </c>
      <c r="AJ2362" t="n">
        <v>5</v>
      </c>
      <c r="AK2362" t="n">
        <v>22</v>
      </c>
      <c r="AL2362" t="n">
        <v>4</v>
      </c>
      <c r="AM2362" t="n">
        <v>8</v>
      </c>
      <c r="AN2362" t="n">
        <v>1</v>
      </c>
      <c r="AO2362" t="n">
        <v>8</v>
      </c>
      <c r="AP2362" t="inlineStr">
        <is>
          <t>No</t>
        </is>
      </c>
      <c r="AQ2362" t="inlineStr">
        <is>
          <t>Yes</t>
        </is>
      </c>
      <c r="AR2362">
        <f>HYPERLINK("http://catalog.hathitrust.org/Record/007108553","HathiTrust Record")</f>
        <v/>
      </c>
      <c r="AS2362">
        <f>HYPERLINK("https://creighton-primo.hosted.exlibrisgroup.com/primo-explore/search?tab=default_tab&amp;search_scope=EVERYTHING&amp;vid=01CRU&amp;lang=en_US&amp;offset=0&amp;query=any,contains,991001559159702656","Catalog Record")</f>
        <v/>
      </c>
      <c r="AT2362">
        <f>HYPERLINK("http://www.worldcat.org/oclc/20295838","WorldCat Record")</f>
        <v/>
      </c>
      <c r="AU2362" t="inlineStr">
        <is>
          <t>4829675:eng</t>
        </is>
      </c>
      <c r="AV2362" t="inlineStr">
        <is>
          <t>20295838</t>
        </is>
      </c>
      <c r="AW2362" t="inlineStr">
        <is>
          <t>991001559159702656</t>
        </is>
      </c>
      <c r="AX2362" t="inlineStr">
        <is>
          <t>991001559159702656</t>
        </is>
      </c>
      <c r="AY2362" t="inlineStr">
        <is>
          <t>2261793470002656</t>
        </is>
      </c>
      <c r="AZ2362" t="inlineStr">
        <is>
          <t>BOOK</t>
        </is>
      </c>
      <c r="BB2362" t="inlineStr">
        <is>
          <t>9780140046830</t>
        </is>
      </c>
      <c r="BC2362" t="inlineStr">
        <is>
          <t>32285000310218</t>
        </is>
      </c>
      <c r="BD2362" t="inlineStr">
        <is>
          <t>893315855</t>
        </is>
      </c>
    </row>
    <row r="2363">
      <c r="A2363" t="inlineStr">
        <is>
          <t>No</t>
        </is>
      </c>
      <c r="B2363" t="inlineStr">
        <is>
          <t>HQ766.5.U5 H38 1991</t>
        </is>
      </c>
      <c r="C2363" t="inlineStr">
        <is>
          <t>0                      HQ 0766500U  5                  H  38          1991</t>
        </is>
      </c>
      <c r="D2363" t="inlineStr">
        <is>
          <t>Preventing pregnancy, protecting health : a new look at birth control choices in the United States / by Susan Harlap, Kathryn Kost and Jacqueline Darroch Forrest.</t>
        </is>
      </c>
      <c r="F2363" t="inlineStr">
        <is>
          <t>No</t>
        </is>
      </c>
      <c r="G2363" t="inlineStr">
        <is>
          <t>1</t>
        </is>
      </c>
      <c r="H2363" t="inlineStr">
        <is>
          <t>No</t>
        </is>
      </c>
      <c r="I2363" t="inlineStr">
        <is>
          <t>No</t>
        </is>
      </c>
      <c r="J2363" t="inlineStr">
        <is>
          <t>0</t>
        </is>
      </c>
      <c r="K2363" t="inlineStr">
        <is>
          <t>Harlap, Susan.</t>
        </is>
      </c>
      <c r="L2363" t="inlineStr">
        <is>
          <t>New York : Alan Guttmacher Institute, c1991.</t>
        </is>
      </c>
      <c r="M2363" t="inlineStr">
        <is>
          <t>1991</t>
        </is>
      </c>
      <c r="O2363" t="inlineStr">
        <is>
          <t>eng</t>
        </is>
      </c>
      <c r="P2363" t="inlineStr">
        <is>
          <t>nyu</t>
        </is>
      </c>
      <c r="R2363" t="inlineStr">
        <is>
          <t xml:space="preserve">HQ </t>
        </is>
      </c>
      <c r="S2363" t="n">
        <v>18</v>
      </c>
      <c r="T2363" t="n">
        <v>18</v>
      </c>
      <c r="U2363" t="inlineStr">
        <is>
          <t>2007-02-28</t>
        </is>
      </c>
      <c r="V2363" t="inlineStr">
        <is>
          <t>2007-02-28</t>
        </is>
      </c>
      <c r="W2363" t="inlineStr">
        <is>
          <t>1992-06-11</t>
        </is>
      </c>
      <c r="X2363" t="inlineStr">
        <is>
          <t>1992-06-11</t>
        </is>
      </c>
      <c r="Y2363" t="n">
        <v>153</v>
      </c>
      <c r="Z2363" t="n">
        <v>145</v>
      </c>
      <c r="AA2363" t="n">
        <v>145</v>
      </c>
      <c r="AB2363" t="n">
        <v>2</v>
      </c>
      <c r="AC2363" t="n">
        <v>2</v>
      </c>
      <c r="AD2363" t="n">
        <v>4</v>
      </c>
      <c r="AE2363" t="n">
        <v>4</v>
      </c>
      <c r="AF2363" t="n">
        <v>0</v>
      </c>
      <c r="AG2363" t="n">
        <v>0</v>
      </c>
      <c r="AH2363" t="n">
        <v>1</v>
      </c>
      <c r="AI2363" t="n">
        <v>1</v>
      </c>
      <c r="AJ2363" t="n">
        <v>1</v>
      </c>
      <c r="AK2363" t="n">
        <v>1</v>
      </c>
      <c r="AL2363" t="n">
        <v>1</v>
      </c>
      <c r="AM2363" t="n">
        <v>1</v>
      </c>
      <c r="AN2363" t="n">
        <v>1</v>
      </c>
      <c r="AO2363" t="n">
        <v>1</v>
      </c>
      <c r="AP2363" t="inlineStr">
        <is>
          <t>No</t>
        </is>
      </c>
      <c r="AQ2363" t="inlineStr">
        <is>
          <t>No</t>
        </is>
      </c>
      <c r="AS2363">
        <f>HYPERLINK("https://creighton-primo.hosted.exlibrisgroup.com/primo-explore/search?tab=default_tab&amp;search_scope=EVERYTHING&amp;vid=01CRU&amp;lang=en_US&amp;offset=0&amp;query=any,contains,991001899119702656","Catalog Record")</f>
        <v/>
      </c>
      <c r="AT2363">
        <f>HYPERLINK("http://www.worldcat.org/oclc/23979985","WorldCat Record")</f>
        <v/>
      </c>
      <c r="AU2363" t="inlineStr">
        <is>
          <t>25452161:eng</t>
        </is>
      </c>
      <c r="AV2363" t="inlineStr">
        <is>
          <t>23979985</t>
        </is>
      </c>
      <c r="AW2363" t="inlineStr">
        <is>
          <t>991001899119702656</t>
        </is>
      </c>
      <c r="AX2363" t="inlineStr">
        <is>
          <t>991001899119702656</t>
        </is>
      </c>
      <c r="AY2363" t="inlineStr">
        <is>
          <t>2272646520002656</t>
        </is>
      </c>
      <c r="AZ2363" t="inlineStr">
        <is>
          <t>BOOK</t>
        </is>
      </c>
      <c r="BB2363" t="inlineStr">
        <is>
          <t>9780939253210</t>
        </is>
      </c>
      <c r="BC2363" t="inlineStr">
        <is>
          <t>32285004287990</t>
        </is>
      </c>
      <c r="BD2363" t="inlineStr">
        <is>
          <t>893439523</t>
        </is>
      </c>
    </row>
    <row r="2364">
      <c r="A2364" t="inlineStr">
        <is>
          <t>No</t>
        </is>
      </c>
      <c r="B2364" t="inlineStr">
        <is>
          <t>HQ766.5.U5 H67 1993</t>
        </is>
      </c>
      <c r="C2364" t="inlineStr">
        <is>
          <t>0                      HQ 0766500U  5                  H  67          1993</t>
        </is>
      </c>
      <c r="D2364" t="inlineStr">
        <is>
          <t>Our choices : women's personal decisions about abortion / Sumi Hoshiko.</t>
        </is>
      </c>
      <c r="F2364" t="inlineStr">
        <is>
          <t>No</t>
        </is>
      </c>
      <c r="G2364" t="inlineStr">
        <is>
          <t>1</t>
        </is>
      </c>
      <c r="H2364" t="inlineStr">
        <is>
          <t>No</t>
        </is>
      </c>
      <c r="I2364" t="inlineStr">
        <is>
          <t>Yes</t>
        </is>
      </c>
      <c r="J2364" t="inlineStr">
        <is>
          <t>0</t>
        </is>
      </c>
      <c r="K2364" t="inlineStr">
        <is>
          <t>Hoshiko, Sumi.</t>
        </is>
      </c>
      <c r="L2364" t="inlineStr">
        <is>
          <t>New York : Harrington Park Press, c1993.</t>
        </is>
      </c>
      <c r="M2364" t="inlineStr">
        <is>
          <t>1993</t>
        </is>
      </c>
      <c r="O2364" t="inlineStr">
        <is>
          <t>eng</t>
        </is>
      </c>
      <c r="P2364" t="inlineStr">
        <is>
          <t>nyu</t>
        </is>
      </c>
      <c r="Q2364" t="inlineStr">
        <is>
          <t>Haworth innovations in feminist studies</t>
        </is>
      </c>
      <c r="R2364" t="inlineStr">
        <is>
          <t xml:space="preserve">HQ </t>
        </is>
      </c>
      <c r="S2364" t="n">
        <v>12</v>
      </c>
      <c r="T2364" t="n">
        <v>12</v>
      </c>
      <c r="U2364" t="inlineStr">
        <is>
          <t>2001-10-30</t>
        </is>
      </c>
      <c r="V2364" t="inlineStr">
        <is>
          <t>2001-10-30</t>
        </is>
      </c>
      <c r="W2364" t="inlineStr">
        <is>
          <t>1995-05-10</t>
        </is>
      </c>
      <c r="X2364" t="inlineStr">
        <is>
          <t>1995-05-10</t>
        </is>
      </c>
      <c r="Y2364" t="n">
        <v>142</v>
      </c>
      <c r="Z2364" t="n">
        <v>121</v>
      </c>
      <c r="AA2364" t="n">
        <v>334</v>
      </c>
      <c r="AB2364" t="n">
        <v>2</v>
      </c>
      <c r="AC2364" t="n">
        <v>3</v>
      </c>
      <c r="AD2364" t="n">
        <v>6</v>
      </c>
      <c r="AE2364" t="n">
        <v>18</v>
      </c>
      <c r="AF2364" t="n">
        <v>2</v>
      </c>
      <c r="AG2364" t="n">
        <v>5</v>
      </c>
      <c r="AH2364" t="n">
        <v>1</v>
      </c>
      <c r="AI2364" t="n">
        <v>3</v>
      </c>
      <c r="AJ2364" t="n">
        <v>3</v>
      </c>
      <c r="AK2364" t="n">
        <v>9</v>
      </c>
      <c r="AL2364" t="n">
        <v>1</v>
      </c>
      <c r="AM2364" t="n">
        <v>2</v>
      </c>
      <c r="AN2364" t="n">
        <v>0</v>
      </c>
      <c r="AO2364" t="n">
        <v>3</v>
      </c>
      <c r="AP2364" t="inlineStr">
        <is>
          <t>No</t>
        </is>
      </c>
      <c r="AQ2364" t="inlineStr">
        <is>
          <t>No</t>
        </is>
      </c>
      <c r="AS2364">
        <f>HYPERLINK("https://creighton-primo.hosted.exlibrisgroup.com/primo-explore/search?tab=default_tab&amp;search_scope=EVERYTHING&amp;vid=01CRU&amp;lang=en_US&amp;offset=0&amp;query=any,contains,991002037219702656","Catalog Record")</f>
        <v/>
      </c>
      <c r="AT2364">
        <f>HYPERLINK("http://www.worldcat.org/oclc/25965838","WorldCat Record")</f>
        <v/>
      </c>
      <c r="AU2364" t="inlineStr">
        <is>
          <t>936761:eng</t>
        </is>
      </c>
      <c r="AV2364" t="inlineStr">
        <is>
          <t>25965838</t>
        </is>
      </c>
      <c r="AW2364" t="inlineStr">
        <is>
          <t>991002037219702656</t>
        </is>
      </c>
      <c r="AX2364" t="inlineStr">
        <is>
          <t>991002037219702656</t>
        </is>
      </c>
      <c r="AY2364" t="inlineStr">
        <is>
          <t>2258439540002656</t>
        </is>
      </c>
      <c r="AZ2364" t="inlineStr">
        <is>
          <t>BOOK</t>
        </is>
      </c>
      <c r="BB2364" t="inlineStr">
        <is>
          <t>9781560230250</t>
        </is>
      </c>
      <c r="BC2364" t="inlineStr">
        <is>
          <t>32285002038569</t>
        </is>
      </c>
      <c r="BD2364" t="inlineStr">
        <is>
          <t>893408617</t>
        </is>
      </c>
    </row>
    <row r="2365">
      <c r="A2365" t="inlineStr">
        <is>
          <t>No</t>
        </is>
      </c>
      <c r="B2365" t="inlineStr">
        <is>
          <t>HQ766.5.U5 H68 1993</t>
        </is>
      </c>
      <c r="C2365" t="inlineStr">
        <is>
          <t>0                      HQ 0766500U  5                  H  68          1993</t>
        </is>
      </c>
      <c r="D2365" t="inlineStr">
        <is>
          <t>Our choices : women's personal decisions about abortion / Sumi Hoshiko.</t>
        </is>
      </c>
      <c r="F2365" t="inlineStr">
        <is>
          <t>No</t>
        </is>
      </c>
      <c r="G2365" t="inlineStr">
        <is>
          <t>1</t>
        </is>
      </c>
      <c r="H2365" t="inlineStr">
        <is>
          <t>No</t>
        </is>
      </c>
      <c r="I2365" t="inlineStr">
        <is>
          <t>Yes</t>
        </is>
      </c>
      <c r="J2365" t="inlineStr">
        <is>
          <t>0</t>
        </is>
      </c>
      <c r="K2365" t="inlineStr">
        <is>
          <t>Hoshiko, Sumi.</t>
        </is>
      </c>
      <c r="L2365" t="inlineStr">
        <is>
          <t>New York : Haworth Press, c1993.</t>
        </is>
      </c>
      <c r="M2365" t="inlineStr">
        <is>
          <t>1993</t>
        </is>
      </c>
      <c r="O2365" t="inlineStr">
        <is>
          <t>eng</t>
        </is>
      </c>
      <c r="P2365" t="inlineStr">
        <is>
          <t>nyu</t>
        </is>
      </c>
      <c r="Q2365" t="inlineStr">
        <is>
          <t>Haworth innovations in feminist studies</t>
        </is>
      </c>
      <c r="R2365" t="inlineStr">
        <is>
          <t xml:space="preserve">HQ </t>
        </is>
      </c>
      <c r="S2365" t="n">
        <v>11</v>
      </c>
      <c r="T2365" t="n">
        <v>11</v>
      </c>
      <c r="U2365" t="inlineStr">
        <is>
          <t>2009-06-24</t>
        </is>
      </c>
      <c r="V2365" t="inlineStr">
        <is>
          <t>2009-06-24</t>
        </is>
      </c>
      <c r="W2365" t="inlineStr">
        <is>
          <t>1994-07-06</t>
        </is>
      </c>
      <c r="X2365" t="inlineStr">
        <is>
          <t>1994-07-06</t>
        </is>
      </c>
      <c r="Y2365" t="n">
        <v>228</v>
      </c>
      <c r="Z2365" t="n">
        <v>199</v>
      </c>
      <c r="AA2365" t="n">
        <v>334</v>
      </c>
      <c r="AB2365" t="n">
        <v>2</v>
      </c>
      <c r="AC2365" t="n">
        <v>3</v>
      </c>
      <c r="AD2365" t="n">
        <v>12</v>
      </c>
      <c r="AE2365" t="n">
        <v>18</v>
      </c>
      <c r="AF2365" t="n">
        <v>3</v>
      </c>
      <c r="AG2365" t="n">
        <v>5</v>
      </c>
      <c r="AH2365" t="n">
        <v>2</v>
      </c>
      <c r="AI2365" t="n">
        <v>3</v>
      </c>
      <c r="AJ2365" t="n">
        <v>6</v>
      </c>
      <c r="AK2365" t="n">
        <v>9</v>
      </c>
      <c r="AL2365" t="n">
        <v>1</v>
      </c>
      <c r="AM2365" t="n">
        <v>2</v>
      </c>
      <c r="AN2365" t="n">
        <v>3</v>
      </c>
      <c r="AO2365" t="n">
        <v>3</v>
      </c>
      <c r="AP2365" t="inlineStr">
        <is>
          <t>No</t>
        </is>
      </c>
      <c r="AQ2365" t="inlineStr">
        <is>
          <t>No</t>
        </is>
      </c>
      <c r="AS2365">
        <f>HYPERLINK("https://creighton-primo.hosted.exlibrisgroup.com/primo-explore/search?tab=default_tab&amp;search_scope=EVERYTHING&amp;vid=01CRU&amp;lang=en_US&amp;offset=0&amp;query=any,contains,991002038949702656","Catalog Record")</f>
        <v/>
      </c>
      <c r="AT2365">
        <f>HYPERLINK("http://www.worldcat.org/oclc/26013090","WorldCat Record")</f>
        <v/>
      </c>
      <c r="AU2365" t="inlineStr">
        <is>
          <t>936761:eng</t>
        </is>
      </c>
      <c r="AV2365" t="inlineStr">
        <is>
          <t>26013090</t>
        </is>
      </c>
      <c r="AW2365" t="inlineStr">
        <is>
          <t>991002038949702656</t>
        </is>
      </c>
      <c r="AX2365" t="inlineStr">
        <is>
          <t>991002038949702656</t>
        </is>
      </c>
      <c r="AY2365" t="inlineStr">
        <is>
          <t>2258316250002656</t>
        </is>
      </c>
      <c r="AZ2365" t="inlineStr">
        <is>
          <t>BOOK</t>
        </is>
      </c>
      <c r="BB2365" t="inlineStr">
        <is>
          <t>9781560243335</t>
        </is>
      </c>
      <c r="BC2365" t="inlineStr">
        <is>
          <t>32285001931038</t>
        </is>
      </c>
      <c r="BD2365" t="inlineStr">
        <is>
          <t>893866726</t>
        </is>
      </c>
    </row>
    <row r="2366">
      <c r="A2366" t="inlineStr">
        <is>
          <t>No</t>
        </is>
      </c>
      <c r="B2366" t="inlineStr">
        <is>
          <t>HQ766.5.U5 J625 1986</t>
        </is>
      </c>
      <c r="C2366" t="inlineStr">
        <is>
          <t>0                      HQ 0766500U  5                  J  625         1986</t>
        </is>
      </c>
      <c r="D2366" t="inlineStr">
        <is>
          <t>The regulation of sexuality : experiences of family planning workers / Carole Joffe.</t>
        </is>
      </c>
      <c r="F2366" t="inlineStr">
        <is>
          <t>No</t>
        </is>
      </c>
      <c r="G2366" t="inlineStr">
        <is>
          <t>1</t>
        </is>
      </c>
      <c r="H2366" t="inlineStr">
        <is>
          <t>No</t>
        </is>
      </c>
      <c r="I2366" t="inlineStr">
        <is>
          <t>No</t>
        </is>
      </c>
      <c r="J2366" t="inlineStr">
        <is>
          <t>0</t>
        </is>
      </c>
      <c r="K2366" t="inlineStr">
        <is>
          <t>Joffe, Carole E.</t>
        </is>
      </c>
      <c r="L2366" t="inlineStr">
        <is>
          <t>Philadelphia : Temple University Press, 1986.</t>
        </is>
      </c>
      <c r="M2366" t="inlineStr">
        <is>
          <t>1986</t>
        </is>
      </c>
      <c r="O2366" t="inlineStr">
        <is>
          <t>eng</t>
        </is>
      </c>
      <c r="P2366" t="inlineStr">
        <is>
          <t>pau</t>
        </is>
      </c>
      <c r="Q2366" t="inlineStr">
        <is>
          <t>Health, society, and policy</t>
        </is>
      </c>
      <c r="R2366" t="inlineStr">
        <is>
          <t xml:space="preserve">HQ </t>
        </is>
      </c>
      <c r="S2366" t="n">
        <v>3</v>
      </c>
      <c r="T2366" t="n">
        <v>3</v>
      </c>
      <c r="U2366" t="inlineStr">
        <is>
          <t>1999-11-28</t>
        </is>
      </c>
      <c r="V2366" t="inlineStr">
        <is>
          <t>1999-11-28</t>
        </is>
      </c>
      <c r="W2366" t="inlineStr">
        <is>
          <t>1992-04-28</t>
        </is>
      </c>
      <c r="X2366" t="inlineStr">
        <is>
          <t>1992-04-28</t>
        </is>
      </c>
      <c r="Y2366" t="n">
        <v>541</v>
      </c>
      <c r="Z2366" t="n">
        <v>494</v>
      </c>
      <c r="AA2366" t="n">
        <v>685</v>
      </c>
      <c r="AB2366" t="n">
        <v>4</v>
      </c>
      <c r="AC2366" t="n">
        <v>4</v>
      </c>
      <c r="AD2366" t="n">
        <v>24</v>
      </c>
      <c r="AE2366" t="n">
        <v>33</v>
      </c>
      <c r="AF2366" t="n">
        <v>6</v>
      </c>
      <c r="AG2366" t="n">
        <v>12</v>
      </c>
      <c r="AH2366" t="n">
        <v>5</v>
      </c>
      <c r="AI2366" t="n">
        <v>7</v>
      </c>
      <c r="AJ2366" t="n">
        <v>10</v>
      </c>
      <c r="AK2366" t="n">
        <v>13</v>
      </c>
      <c r="AL2366" t="n">
        <v>3</v>
      </c>
      <c r="AM2366" t="n">
        <v>3</v>
      </c>
      <c r="AN2366" t="n">
        <v>5</v>
      </c>
      <c r="AO2366" t="n">
        <v>5</v>
      </c>
      <c r="AP2366" t="inlineStr">
        <is>
          <t>No</t>
        </is>
      </c>
      <c r="AQ2366" t="inlineStr">
        <is>
          <t>No</t>
        </is>
      </c>
      <c r="AS2366">
        <f>HYPERLINK("https://creighton-primo.hosted.exlibrisgroup.com/primo-explore/search?tab=default_tab&amp;search_scope=EVERYTHING&amp;vid=01CRU&amp;lang=en_US&amp;offset=0&amp;query=any,contains,991000830839702656","Catalog Record")</f>
        <v/>
      </c>
      <c r="AT2366">
        <f>HYPERLINK("http://www.worldcat.org/oclc/13455284","WorldCat Record")</f>
        <v/>
      </c>
      <c r="AU2366" t="inlineStr">
        <is>
          <t>6823812:eng</t>
        </is>
      </c>
      <c r="AV2366" t="inlineStr">
        <is>
          <t>13455284</t>
        </is>
      </c>
      <c r="AW2366" t="inlineStr">
        <is>
          <t>991000830839702656</t>
        </is>
      </c>
      <c r="AX2366" t="inlineStr">
        <is>
          <t>991000830839702656</t>
        </is>
      </c>
      <c r="AY2366" t="inlineStr">
        <is>
          <t>2263710870002656</t>
        </is>
      </c>
      <c r="AZ2366" t="inlineStr">
        <is>
          <t>BOOK</t>
        </is>
      </c>
      <c r="BB2366" t="inlineStr">
        <is>
          <t>9780877224235</t>
        </is>
      </c>
      <c r="BC2366" t="inlineStr">
        <is>
          <t>32285001090058</t>
        </is>
      </c>
      <c r="BD2366" t="inlineStr">
        <is>
          <t>893589776</t>
        </is>
      </c>
    </row>
    <row r="2367">
      <c r="A2367" t="inlineStr">
        <is>
          <t>No</t>
        </is>
      </c>
      <c r="B2367" t="inlineStr">
        <is>
          <t>HQ766.5.U5 K6</t>
        </is>
      </c>
      <c r="C2367" t="inlineStr">
        <is>
          <t>0                      HQ 0766500U  5                  K  6</t>
        </is>
      </c>
      <c r="D2367" t="inlineStr">
        <is>
          <t>Birth control in practice : analysis of ten thousand case histories of the Birth Control Clinical Research Bureau / text and tables by Marie E. Kopp. With a foreword by Adolf Meyer.</t>
        </is>
      </c>
      <c r="F2367" t="inlineStr">
        <is>
          <t>No</t>
        </is>
      </c>
      <c r="G2367" t="inlineStr">
        <is>
          <t>1</t>
        </is>
      </c>
      <c r="H2367" t="inlineStr">
        <is>
          <t>No</t>
        </is>
      </c>
      <c r="I2367" t="inlineStr">
        <is>
          <t>No</t>
        </is>
      </c>
      <c r="J2367" t="inlineStr">
        <is>
          <t>0</t>
        </is>
      </c>
      <c r="K2367" t="inlineStr">
        <is>
          <t>Kopp, Marie E. (Marie Elizabeth), 1888-</t>
        </is>
      </c>
      <c r="L2367" t="inlineStr">
        <is>
          <t>New York : Arno Press, 1972 [c1933]</t>
        </is>
      </c>
      <c r="M2367" t="inlineStr">
        <is>
          <t>1972</t>
        </is>
      </c>
      <c r="O2367" t="inlineStr">
        <is>
          <t>eng</t>
        </is>
      </c>
      <c r="P2367" t="inlineStr">
        <is>
          <t>nyu</t>
        </is>
      </c>
      <c r="Q2367" t="inlineStr">
        <is>
          <t>Family in America</t>
        </is>
      </c>
      <c r="R2367" t="inlineStr">
        <is>
          <t xml:space="preserve">HQ </t>
        </is>
      </c>
      <c r="S2367" t="n">
        <v>11</v>
      </c>
      <c r="T2367" t="n">
        <v>11</v>
      </c>
      <c r="U2367" t="inlineStr">
        <is>
          <t>2009-12-07</t>
        </is>
      </c>
      <c r="V2367" t="inlineStr">
        <is>
          <t>2009-12-07</t>
        </is>
      </c>
      <c r="W2367" t="inlineStr">
        <is>
          <t>1990-03-12</t>
        </is>
      </c>
      <c r="X2367" t="inlineStr">
        <is>
          <t>1990-03-12</t>
        </is>
      </c>
      <c r="Y2367" t="n">
        <v>226</v>
      </c>
      <c r="Z2367" t="n">
        <v>204</v>
      </c>
      <c r="AA2367" t="n">
        <v>261</v>
      </c>
      <c r="AB2367" t="n">
        <v>4</v>
      </c>
      <c r="AC2367" t="n">
        <v>4</v>
      </c>
      <c r="AD2367" t="n">
        <v>7</v>
      </c>
      <c r="AE2367" t="n">
        <v>7</v>
      </c>
      <c r="AF2367" t="n">
        <v>1</v>
      </c>
      <c r="AG2367" t="n">
        <v>1</v>
      </c>
      <c r="AH2367" t="n">
        <v>2</v>
      </c>
      <c r="AI2367" t="n">
        <v>2</v>
      </c>
      <c r="AJ2367" t="n">
        <v>3</v>
      </c>
      <c r="AK2367" t="n">
        <v>3</v>
      </c>
      <c r="AL2367" t="n">
        <v>2</v>
      </c>
      <c r="AM2367" t="n">
        <v>2</v>
      </c>
      <c r="AN2367" t="n">
        <v>0</v>
      </c>
      <c r="AO2367" t="n">
        <v>0</v>
      </c>
      <c r="AP2367" t="inlineStr">
        <is>
          <t>Yes</t>
        </is>
      </c>
      <c r="AQ2367" t="inlineStr">
        <is>
          <t>No</t>
        </is>
      </c>
      <c r="AR2367">
        <f>HYPERLINK("http://catalog.hathitrust.org/Record/102071324","HathiTrust Record")</f>
        <v/>
      </c>
      <c r="AS2367">
        <f>HYPERLINK("https://creighton-primo.hosted.exlibrisgroup.com/primo-explore/search?tab=default_tab&amp;search_scope=EVERYTHING&amp;vid=01CRU&amp;lang=en_US&amp;offset=0&amp;query=any,contains,991002495439702656","Catalog Record")</f>
        <v/>
      </c>
      <c r="AT2367">
        <f>HYPERLINK("http://www.worldcat.org/oclc/363694","WorldCat Record")</f>
        <v/>
      </c>
      <c r="AU2367" t="inlineStr">
        <is>
          <t>111713943:eng</t>
        </is>
      </c>
      <c r="AV2367" t="inlineStr">
        <is>
          <t>363694</t>
        </is>
      </c>
      <c r="AW2367" t="inlineStr">
        <is>
          <t>991002495439702656</t>
        </is>
      </c>
      <c r="AX2367" t="inlineStr">
        <is>
          <t>991002495439702656</t>
        </is>
      </c>
      <c r="AY2367" t="inlineStr">
        <is>
          <t>2261952160002656</t>
        </is>
      </c>
      <c r="AZ2367" t="inlineStr">
        <is>
          <t>BOOK</t>
        </is>
      </c>
      <c r="BB2367" t="inlineStr">
        <is>
          <t>9780405038679</t>
        </is>
      </c>
      <c r="BC2367" t="inlineStr">
        <is>
          <t>32285000081678</t>
        </is>
      </c>
      <c r="BD2367" t="inlineStr">
        <is>
          <t>893603663</t>
        </is>
      </c>
    </row>
    <row r="2368">
      <c r="A2368" t="inlineStr">
        <is>
          <t>No</t>
        </is>
      </c>
      <c r="B2368" t="inlineStr">
        <is>
          <t>HQ766.5.U5 L57</t>
        </is>
      </c>
      <c r="C2368" t="inlineStr">
        <is>
          <t>0                      HQ 0766500U  5                  L  57</t>
        </is>
      </c>
      <c r="D2368" t="inlineStr">
        <is>
          <t>The politics of population control / Thomas B. Littlewood.</t>
        </is>
      </c>
      <c r="F2368" t="inlineStr">
        <is>
          <t>No</t>
        </is>
      </c>
      <c r="G2368" t="inlineStr">
        <is>
          <t>1</t>
        </is>
      </c>
      <c r="H2368" t="inlineStr">
        <is>
          <t>No</t>
        </is>
      </c>
      <c r="I2368" t="inlineStr">
        <is>
          <t>No</t>
        </is>
      </c>
      <c r="J2368" t="inlineStr">
        <is>
          <t>0</t>
        </is>
      </c>
      <c r="K2368" t="inlineStr">
        <is>
          <t>Littlewood, Thomas B.</t>
        </is>
      </c>
      <c r="L2368" t="inlineStr">
        <is>
          <t>Notre Dame, Indiana : University of Notre Dame Press, c1977.</t>
        </is>
      </c>
      <c r="M2368" t="inlineStr">
        <is>
          <t>1977</t>
        </is>
      </c>
      <c r="O2368" t="inlineStr">
        <is>
          <t>eng</t>
        </is>
      </c>
      <c r="P2368" t="inlineStr">
        <is>
          <t>inu</t>
        </is>
      </c>
      <c r="R2368" t="inlineStr">
        <is>
          <t xml:space="preserve">HQ </t>
        </is>
      </c>
      <c r="S2368" t="n">
        <v>20</v>
      </c>
      <c r="T2368" t="n">
        <v>20</v>
      </c>
      <c r="U2368" t="inlineStr">
        <is>
          <t>1999-03-27</t>
        </is>
      </c>
      <c r="V2368" t="inlineStr">
        <is>
          <t>1999-03-27</t>
        </is>
      </c>
      <c r="W2368" t="inlineStr">
        <is>
          <t>1992-04-29</t>
        </is>
      </c>
      <c r="X2368" t="inlineStr">
        <is>
          <t>1992-04-29</t>
        </is>
      </c>
      <c r="Y2368" t="n">
        <v>665</v>
      </c>
      <c r="Z2368" t="n">
        <v>577</v>
      </c>
      <c r="AA2368" t="n">
        <v>579</v>
      </c>
      <c r="AB2368" t="n">
        <v>3</v>
      </c>
      <c r="AC2368" t="n">
        <v>3</v>
      </c>
      <c r="AD2368" t="n">
        <v>23</v>
      </c>
      <c r="AE2368" t="n">
        <v>23</v>
      </c>
      <c r="AF2368" t="n">
        <v>8</v>
      </c>
      <c r="AG2368" t="n">
        <v>8</v>
      </c>
      <c r="AH2368" t="n">
        <v>6</v>
      </c>
      <c r="AI2368" t="n">
        <v>6</v>
      </c>
      <c r="AJ2368" t="n">
        <v>12</v>
      </c>
      <c r="AK2368" t="n">
        <v>12</v>
      </c>
      <c r="AL2368" t="n">
        <v>2</v>
      </c>
      <c r="AM2368" t="n">
        <v>2</v>
      </c>
      <c r="AN2368" t="n">
        <v>1</v>
      </c>
      <c r="AO2368" t="n">
        <v>1</v>
      </c>
      <c r="AP2368" t="inlineStr">
        <is>
          <t>No</t>
        </is>
      </c>
      <c r="AQ2368" t="inlineStr">
        <is>
          <t>Yes</t>
        </is>
      </c>
      <c r="AR2368">
        <f>HYPERLINK("http://catalog.hathitrust.org/Record/000017554","HathiTrust Record")</f>
        <v/>
      </c>
      <c r="AS2368">
        <f>HYPERLINK("https://creighton-primo.hosted.exlibrisgroup.com/primo-explore/search?tab=default_tab&amp;search_scope=EVERYTHING&amp;vid=01CRU&amp;lang=en_US&amp;offset=0&amp;query=any,contains,991004305769702656","Catalog Record")</f>
        <v/>
      </c>
      <c r="AT2368">
        <f>HYPERLINK("http://www.worldcat.org/oclc/2983718","WorldCat Record")</f>
        <v/>
      </c>
      <c r="AU2368" t="inlineStr">
        <is>
          <t>430657:eng</t>
        </is>
      </c>
      <c r="AV2368" t="inlineStr">
        <is>
          <t>2983718</t>
        </is>
      </c>
      <c r="AW2368" t="inlineStr">
        <is>
          <t>991004305769702656</t>
        </is>
      </c>
      <c r="AX2368" t="inlineStr">
        <is>
          <t>991004305769702656</t>
        </is>
      </c>
      <c r="AY2368" t="inlineStr">
        <is>
          <t>2261073170002656</t>
        </is>
      </c>
      <c r="AZ2368" t="inlineStr">
        <is>
          <t>BOOK</t>
        </is>
      </c>
      <c r="BB2368" t="inlineStr">
        <is>
          <t>9780268015237</t>
        </is>
      </c>
      <c r="BC2368" t="inlineStr">
        <is>
          <t>32285001103950</t>
        </is>
      </c>
      <c r="BD2368" t="inlineStr">
        <is>
          <t>893349847</t>
        </is>
      </c>
    </row>
    <row r="2369">
      <c r="A2369" t="inlineStr">
        <is>
          <t>No</t>
        </is>
      </c>
      <c r="B2369" t="inlineStr">
        <is>
          <t>HQ766.5.U5 L84</t>
        </is>
      </c>
      <c r="C2369" t="inlineStr">
        <is>
          <t>0                      HQ 0766500U  5                  L  84</t>
        </is>
      </c>
      <c r="D2369" t="inlineStr">
        <is>
          <t>Taking chances : abortion and the decision not to contracept / Kristin Luker.</t>
        </is>
      </c>
      <c r="F2369" t="inlineStr">
        <is>
          <t>No</t>
        </is>
      </c>
      <c r="G2369" t="inlineStr">
        <is>
          <t>1</t>
        </is>
      </c>
      <c r="H2369" t="inlineStr">
        <is>
          <t>No</t>
        </is>
      </c>
      <c r="I2369" t="inlineStr">
        <is>
          <t>No</t>
        </is>
      </c>
      <c r="J2369" t="inlineStr">
        <is>
          <t>0</t>
        </is>
      </c>
      <c r="K2369" t="inlineStr">
        <is>
          <t>Luker, Kristin.</t>
        </is>
      </c>
      <c r="L2369" t="inlineStr">
        <is>
          <t>Berkeley : University of California Press, c1975.</t>
        </is>
      </c>
      <c r="M2369" t="inlineStr">
        <is>
          <t>1975</t>
        </is>
      </c>
      <c r="O2369" t="inlineStr">
        <is>
          <t>eng</t>
        </is>
      </c>
      <c r="P2369" t="inlineStr">
        <is>
          <t>cau</t>
        </is>
      </c>
      <c r="R2369" t="inlineStr">
        <is>
          <t xml:space="preserve">HQ </t>
        </is>
      </c>
      <c r="S2369" t="n">
        <v>7</v>
      </c>
      <c r="T2369" t="n">
        <v>7</v>
      </c>
      <c r="U2369" t="inlineStr">
        <is>
          <t>2000-09-27</t>
        </is>
      </c>
      <c r="V2369" t="inlineStr">
        <is>
          <t>2000-09-27</t>
        </is>
      </c>
      <c r="W2369" t="inlineStr">
        <is>
          <t>1997-08-12</t>
        </is>
      </c>
      <c r="X2369" t="inlineStr">
        <is>
          <t>1997-08-12</t>
        </is>
      </c>
      <c r="Y2369" t="n">
        <v>647</v>
      </c>
      <c r="Z2369" t="n">
        <v>552</v>
      </c>
      <c r="AA2369" t="n">
        <v>664</v>
      </c>
      <c r="AB2369" t="n">
        <v>3</v>
      </c>
      <c r="AC2369" t="n">
        <v>3</v>
      </c>
      <c r="AD2369" t="n">
        <v>22</v>
      </c>
      <c r="AE2369" t="n">
        <v>25</v>
      </c>
      <c r="AF2369" t="n">
        <v>12</v>
      </c>
      <c r="AG2369" t="n">
        <v>13</v>
      </c>
      <c r="AH2369" t="n">
        <v>3</v>
      </c>
      <c r="AI2369" t="n">
        <v>4</v>
      </c>
      <c r="AJ2369" t="n">
        <v>11</v>
      </c>
      <c r="AK2369" t="n">
        <v>13</v>
      </c>
      <c r="AL2369" t="n">
        <v>2</v>
      </c>
      <c r="AM2369" t="n">
        <v>2</v>
      </c>
      <c r="AN2369" t="n">
        <v>0</v>
      </c>
      <c r="AO2369" t="n">
        <v>0</v>
      </c>
      <c r="AP2369" t="inlineStr">
        <is>
          <t>No</t>
        </is>
      </c>
      <c r="AQ2369" t="inlineStr">
        <is>
          <t>No</t>
        </is>
      </c>
      <c r="AS2369">
        <f>HYPERLINK("https://creighton-primo.hosted.exlibrisgroup.com/primo-explore/search?tab=default_tab&amp;search_scope=EVERYTHING&amp;vid=01CRU&amp;lang=en_US&amp;offset=0&amp;query=any,contains,991003957869702656","Catalog Record")</f>
        <v/>
      </c>
      <c r="AT2369">
        <f>HYPERLINK("http://www.worldcat.org/oclc/1971955","WorldCat Record")</f>
        <v/>
      </c>
      <c r="AU2369" t="inlineStr">
        <is>
          <t>501694:eng</t>
        </is>
      </c>
      <c r="AV2369" t="inlineStr">
        <is>
          <t>1971955</t>
        </is>
      </c>
      <c r="AW2369" t="inlineStr">
        <is>
          <t>991003957869702656</t>
        </is>
      </c>
      <c r="AX2369" t="inlineStr">
        <is>
          <t>991003957869702656</t>
        </is>
      </c>
      <c r="AY2369" t="inlineStr">
        <is>
          <t>2264816160002656</t>
        </is>
      </c>
      <c r="AZ2369" t="inlineStr">
        <is>
          <t>BOOK</t>
        </is>
      </c>
      <c r="BB2369" t="inlineStr">
        <is>
          <t>9780520028722</t>
        </is>
      </c>
      <c r="BC2369" t="inlineStr">
        <is>
          <t>32285003100236</t>
        </is>
      </c>
      <c r="BD2369" t="inlineStr">
        <is>
          <t>893605458</t>
        </is>
      </c>
    </row>
    <row r="2370">
      <c r="A2370" t="inlineStr">
        <is>
          <t>No</t>
        </is>
      </c>
      <c r="B2370" t="inlineStr">
        <is>
          <t>HQ766.5.U5 N28</t>
        </is>
      </c>
      <c r="C2370" t="inlineStr">
        <is>
          <t>0                      HQ 0766500U  5                  N  28</t>
        </is>
      </c>
      <c r="D2370" t="inlineStr">
        <is>
          <t>Aborting America / Bernard N. Nathanson, with Richard N. Ostling.</t>
        </is>
      </c>
      <c r="F2370" t="inlineStr">
        <is>
          <t>No</t>
        </is>
      </c>
      <c r="G2370" t="inlineStr">
        <is>
          <t>1</t>
        </is>
      </c>
      <c r="H2370" t="inlineStr">
        <is>
          <t>No</t>
        </is>
      </c>
      <c r="I2370" t="inlineStr">
        <is>
          <t>No</t>
        </is>
      </c>
      <c r="J2370" t="inlineStr">
        <is>
          <t>0</t>
        </is>
      </c>
      <c r="K2370" t="inlineStr">
        <is>
          <t>Nathanson, Bernard N., 1926-2011.</t>
        </is>
      </c>
      <c r="L2370" t="inlineStr">
        <is>
          <t>Garden City, N.Y. : Doubleday, 1979.</t>
        </is>
      </c>
      <c r="M2370" t="inlineStr">
        <is>
          <t>1979</t>
        </is>
      </c>
      <c r="N2370" t="inlineStr">
        <is>
          <t>1st ed.</t>
        </is>
      </c>
      <c r="O2370" t="inlineStr">
        <is>
          <t>eng</t>
        </is>
      </c>
      <c r="P2370" t="inlineStr">
        <is>
          <t>nyu</t>
        </is>
      </c>
      <c r="R2370" t="inlineStr">
        <is>
          <t xml:space="preserve">HQ </t>
        </is>
      </c>
      <c r="S2370" t="n">
        <v>9</v>
      </c>
      <c r="T2370" t="n">
        <v>9</v>
      </c>
      <c r="U2370" t="inlineStr">
        <is>
          <t>2010-06-07</t>
        </is>
      </c>
      <c r="V2370" t="inlineStr">
        <is>
          <t>2010-06-07</t>
        </is>
      </c>
      <c r="W2370" t="inlineStr">
        <is>
          <t>1992-11-10</t>
        </is>
      </c>
      <c r="X2370" t="inlineStr">
        <is>
          <t>1992-11-10</t>
        </is>
      </c>
      <c r="Y2370" t="n">
        <v>939</v>
      </c>
      <c r="Z2370" t="n">
        <v>863</v>
      </c>
      <c r="AA2370" t="n">
        <v>984</v>
      </c>
      <c r="AB2370" t="n">
        <v>8</v>
      </c>
      <c r="AC2370" t="n">
        <v>8</v>
      </c>
      <c r="AD2370" t="n">
        <v>38</v>
      </c>
      <c r="AE2370" t="n">
        <v>39</v>
      </c>
      <c r="AF2370" t="n">
        <v>13</v>
      </c>
      <c r="AG2370" t="n">
        <v>14</v>
      </c>
      <c r="AH2370" t="n">
        <v>9</v>
      </c>
      <c r="AI2370" t="n">
        <v>9</v>
      </c>
      <c r="AJ2370" t="n">
        <v>22</v>
      </c>
      <c r="AK2370" t="n">
        <v>23</v>
      </c>
      <c r="AL2370" t="n">
        <v>4</v>
      </c>
      <c r="AM2370" t="n">
        <v>4</v>
      </c>
      <c r="AN2370" t="n">
        <v>1</v>
      </c>
      <c r="AO2370" t="n">
        <v>1</v>
      </c>
      <c r="AP2370" t="inlineStr">
        <is>
          <t>No</t>
        </is>
      </c>
      <c r="AQ2370" t="inlineStr">
        <is>
          <t>Yes</t>
        </is>
      </c>
      <c r="AR2370">
        <f>HYPERLINK("http://catalog.hathitrust.org/Record/000736485","HathiTrust Record")</f>
        <v/>
      </c>
      <c r="AS2370">
        <f>HYPERLINK("https://creighton-primo.hosted.exlibrisgroup.com/primo-explore/search?tab=default_tab&amp;search_scope=EVERYTHING&amp;vid=01CRU&amp;lang=en_US&amp;offset=0&amp;query=any,contains,991004817569702656","Catalog Record")</f>
        <v/>
      </c>
      <c r="AT2370">
        <f>HYPERLINK("http://www.worldcat.org/oclc/5310974","WorldCat Record")</f>
        <v/>
      </c>
      <c r="AU2370" t="inlineStr">
        <is>
          <t>455178:eng</t>
        </is>
      </c>
      <c r="AV2370" t="inlineStr">
        <is>
          <t>5310974</t>
        </is>
      </c>
      <c r="AW2370" t="inlineStr">
        <is>
          <t>991004817569702656</t>
        </is>
      </c>
      <c r="AX2370" t="inlineStr">
        <is>
          <t>991004817569702656</t>
        </is>
      </c>
      <c r="AY2370" t="inlineStr">
        <is>
          <t>2264480120002656</t>
        </is>
      </c>
      <c r="AZ2370" t="inlineStr">
        <is>
          <t>BOOK</t>
        </is>
      </c>
      <c r="BB2370" t="inlineStr">
        <is>
          <t>9780385144612</t>
        </is>
      </c>
      <c r="BC2370" t="inlineStr">
        <is>
          <t>32285001395192</t>
        </is>
      </c>
      <c r="BD2370" t="inlineStr">
        <is>
          <t>893254133</t>
        </is>
      </c>
    </row>
    <row r="2371">
      <c r="A2371" t="inlineStr">
        <is>
          <t>No</t>
        </is>
      </c>
      <c r="B2371" t="inlineStr">
        <is>
          <t>HQ766.5.U5 P54</t>
        </is>
      </c>
      <c r="C2371" t="inlineStr">
        <is>
          <t>0                      HQ 0766500U  5                  P  54</t>
        </is>
      </c>
      <c r="D2371" t="inlineStr">
        <is>
          <t>World population crisis; the United States response. Foreword by George H. Bush, Jr.</t>
        </is>
      </c>
      <c r="F2371" t="inlineStr">
        <is>
          <t>No</t>
        </is>
      </c>
      <c r="G2371" t="inlineStr">
        <is>
          <t>1</t>
        </is>
      </c>
      <c r="H2371" t="inlineStr">
        <is>
          <t>No</t>
        </is>
      </c>
      <c r="I2371" t="inlineStr">
        <is>
          <t>No</t>
        </is>
      </c>
      <c r="J2371" t="inlineStr">
        <is>
          <t>0</t>
        </is>
      </c>
      <c r="K2371" t="inlineStr">
        <is>
          <t>Piotrow, Phyllis Tilson.</t>
        </is>
      </c>
      <c r="L2371" t="inlineStr">
        <is>
          <t>New York, Praeger [1973]</t>
        </is>
      </c>
      <c r="M2371" t="inlineStr">
        <is>
          <t>1973</t>
        </is>
      </c>
      <c r="O2371" t="inlineStr">
        <is>
          <t>eng</t>
        </is>
      </c>
      <c r="P2371" t="inlineStr">
        <is>
          <t>nyu</t>
        </is>
      </c>
      <c r="Q2371" t="inlineStr">
        <is>
          <t>Law and population book series ; no. 4</t>
        </is>
      </c>
      <c r="R2371" t="inlineStr">
        <is>
          <t xml:space="preserve">HQ </t>
        </is>
      </c>
      <c r="S2371" t="n">
        <v>9</v>
      </c>
      <c r="T2371" t="n">
        <v>9</v>
      </c>
      <c r="U2371" t="inlineStr">
        <is>
          <t>2008-01-07</t>
        </is>
      </c>
      <c r="V2371" t="inlineStr">
        <is>
          <t>2008-01-07</t>
        </is>
      </c>
      <c r="W2371" t="inlineStr">
        <is>
          <t>1992-05-04</t>
        </is>
      </c>
      <c r="X2371" t="inlineStr">
        <is>
          <t>1992-05-04</t>
        </is>
      </c>
      <c r="Y2371" t="n">
        <v>592</v>
      </c>
      <c r="Z2371" t="n">
        <v>489</v>
      </c>
      <c r="AA2371" t="n">
        <v>494</v>
      </c>
      <c r="AB2371" t="n">
        <v>2</v>
      </c>
      <c r="AC2371" t="n">
        <v>2</v>
      </c>
      <c r="AD2371" t="n">
        <v>16</v>
      </c>
      <c r="AE2371" t="n">
        <v>16</v>
      </c>
      <c r="AF2371" t="n">
        <v>4</v>
      </c>
      <c r="AG2371" t="n">
        <v>4</v>
      </c>
      <c r="AH2371" t="n">
        <v>3</v>
      </c>
      <c r="AI2371" t="n">
        <v>3</v>
      </c>
      <c r="AJ2371" t="n">
        <v>10</v>
      </c>
      <c r="AK2371" t="n">
        <v>10</v>
      </c>
      <c r="AL2371" t="n">
        <v>1</v>
      </c>
      <c r="AM2371" t="n">
        <v>1</v>
      </c>
      <c r="AN2371" t="n">
        <v>2</v>
      </c>
      <c r="AO2371" t="n">
        <v>2</v>
      </c>
      <c r="AP2371" t="inlineStr">
        <is>
          <t>No</t>
        </is>
      </c>
      <c r="AQ2371" t="inlineStr">
        <is>
          <t>Yes</t>
        </is>
      </c>
      <c r="AR2371">
        <f>HYPERLINK("http://catalog.hathitrust.org/Record/001108335","HathiTrust Record")</f>
        <v/>
      </c>
      <c r="AS2371">
        <f>HYPERLINK("https://creighton-primo.hosted.exlibrisgroup.com/primo-explore/search?tab=default_tab&amp;search_scope=EVERYTHING&amp;vid=01CRU&amp;lang=en_US&amp;offset=0&amp;query=any,contains,991003038479702656","Catalog Record")</f>
        <v/>
      </c>
      <c r="AT2371">
        <f>HYPERLINK("http://www.worldcat.org/oclc/600341","WorldCat Record")</f>
        <v/>
      </c>
      <c r="AU2371" t="inlineStr">
        <is>
          <t>290925386:eng</t>
        </is>
      </c>
      <c r="AV2371" t="inlineStr">
        <is>
          <t>600341</t>
        </is>
      </c>
      <c r="AW2371" t="inlineStr">
        <is>
          <t>991003038479702656</t>
        </is>
      </c>
      <c r="AX2371" t="inlineStr">
        <is>
          <t>991003038479702656</t>
        </is>
      </c>
      <c r="AY2371" t="inlineStr">
        <is>
          <t>2261077800002656</t>
        </is>
      </c>
      <c r="AZ2371" t="inlineStr">
        <is>
          <t>BOOK</t>
        </is>
      </c>
      <c r="BC2371" t="inlineStr">
        <is>
          <t>32285001096600</t>
        </is>
      </c>
      <c r="BD2371" t="inlineStr">
        <is>
          <t>893530792</t>
        </is>
      </c>
    </row>
    <row r="2372">
      <c r="A2372" t="inlineStr">
        <is>
          <t>No</t>
        </is>
      </c>
      <c r="B2372" t="inlineStr">
        <is>
          <t>HQ766.5.U5 P59</t>
        </is>
      </c>
      <c r="C2372" t="inlineStr">
        <is>
          <t>0                      HQ 0766500U  5                  P  59</t>
        </is>
      </c>
      <c r="D2372" t="inlineStr">
        <is>
          <t>Population policy and ethics : the American experience : a project of the Research Group on Ethics and Population of the Institute of Society, Ethics and the Life Sciences / edited by Robert M. Veatch.</t>
        </is>
      </c>
      <c r="F2372" t="inlineStr">
        <is>
          <t>No</t>
        </is>
      </c>
      <c r="G2372" t="inlineStr">
        <is>
          <t>1</t>
        </is>
      </c>
      <c r="H2372" t="inlineStr">
        <is>
          <t>Yes</t>
        </is>
      </c>
      <c r="I2372" t="inlineStr">
        <is>
          <t>No</t>
        </is>
      </c>
      <c r="J2372" t="inlineStr">
        <is>
          <t>0</t>
        </is>
      </c>
      <c r="L2372" t="inlineStr">
        <is>
          <t>New York : Irvington Publishers : distributed by Halsted Press, c1977.</t>
        </is>
      </c>
      <c r="M2372" t="inlineStr">
        <is>
          <t>1977</t>
        </is>
      </c>
      <c r="O2372" t="inlineStr">
        <is>
          <t>eng</t>
        </is>
      </c>
      <c r="P2372" t="inlineStr">
        <is>
          <t>nyu</t>
        </is>
      </c>
      <c r="Q2372" t="inlineStr">
        <is>
          <t>Population and demography series</t>
        </is>
      </c>
      <c r="R2372" t="inlineStr">
        <is>
          <t xml:space="preserve">HQ </t>
        </is>
      </c>
      <c r="S2372" t="n">
        <v>6</v>
      </c>
      <c r="T2372" t="n">
        <v>8</v>
      </c>
      <c r="U2372" t="inlineStr">
        <is>
          <t>2008-11-23</t>
        </is>
      </c>
      <c r="V2372" t="inlineStr">
        <is>
          <t>2008-11-23</t>
        </is>
      </c>
      <c r="W2372" t="inlineStr">
        <is>
          <t>1992-04-29</t>
        </is>
      </c>
      <c r="X2372" t="inlineStr">
        <is>
          <t>1992-04-29</t>
        </is>
      </c>
      <c r="Y2372" t="n">
        <v>599</v>
      </c>
      <c r="Z2372" t="n">
        <v>525</v>
      </c>
      <c r="AA2372" t="n">
        <v>533</v>
      </c>
      <c r="AB2372" t="n">
        <v>4</v>
      </c>
      <c r="AC2372" t="n">
        <v>4</v>
      </c>
      <c r="AD2372" t="n">
        <v>27</v>
      </c>
      <c r="AE2372" t="n">
        <v>27</v>
      </c>
      <c r="AF2372" t="n">
        <v>10</v>
      </c>
      <c r="AG2372" t="n">
        <v>10</v>
      </c>
      <c r="AH2372" t="n">
        <v>7</v>
      </c>
      <c r="AI2372" t="n">
        <v>7</v>
      </c>
      <c r="AJ2372" t="n">
        <v>15</v>
      </c>
      <c r="AK2372" t="n">
        <v>15</v>
      </c>
      <c r="AL2372" t="n">
        <v>2</v>
      </c>
      <c r="AM2372" t="n">
        <v>2</v>
      </c>
      <c r="AN2372" t="n">
        <v>0</v>
      </c>
      <c r="AO2372" t="n">
        <v>0</v>
      </c>
      <c r="AP2372" t="inlineStr">
        <is>
          <t>No</t>
        </is>
      </c>
      <c r="AQ2372" t="inlineStr">
        <is>
          <t>Yes</t>
        </is>
      </c>
      <c r="AR2372">
        <f>HYPERLINK("http://catalog.hathitrust.org/Record/000729755","HathiTrust Record")</f>
        <v/>
      </c>
      <c r="AS2372">
        <f>HYPERLINK("https://creighton-primo.hosted.exlibrisgroup.com/primo-explore/search?tab=default_tab&amp;search_scope=EVERYTHING&amp;vid=01CRU&amp;lang=en_US&amp;offset=0&amp;query=any,contains,991001766719702656","Catalog Record")</f>
        <v/>
      </c>
      <c r="AT2372">
        <f>HYPERLINK("http://www.worldcat.org/oclc/2318165","WorldCat Record")</f>
        <v/>
      </c>
      <c r="AU2372" t="inlineStr">
        <is>
          <t>909696327:eng</t>
        </is>
      </c>
      <c r="AV2372" t="inlineStr">
        <is>
          <t>2318165</t>
        </is>
      </c>
      <c r="AW2372" t="inlineStr">
        <is>
          <t>991001766719702656</t>
        </is>
      </c>
      <c r="AX2372" t="inlineStr">
        <is>
          <t>991001766719702656</t>
        </is>
      </c>
      <c r="AY2372" t="inlineStr">
        <is>
          <t>2263944870002656</t>
        </is>
      </c>
      <c r="AZ2372" t="inlineStr">
        <is>
          <t>BOOK</t>
        </is>
      </c>
      <c r="BB2372" t="inlineStr">
        <is>
          <t>9780470151709</t>
        </is>
      </c>
      <c r="BC2372" t="inlineStr">
        <is>
          <t>32285001103968</t>
        </is>
      </c>
      <c r="BD2372" t="inlineStr">
        <is>
          <t>893621598</t>
        </is>
      </c>
    </row>
    <row r="2373">
      <c r="A2373" t="inlineStr">
        <is>
          <t>No</t>
        </is>
      </c>
      <c r="B2373" t="inlineStr">
        <is>
          <t>HQ766.5.U5 R44 1984</t>
        </is>
      </c>
      <c r="C2373" t="inlineStr">
        <is>
          <t>0                      HQ 0766500U  5                  R  44          1984</t>
        </is>
      </c>
      <c r="D2373" t="inlineStr">
        <is>
          <t>The birth control movement and American society : from private vice to public virtue : with a new preface on the relationship between historical scholarship and feminist issues / James Reed.</t>
        </is>
      </c>
      <c r="F2373" t="inlineStr">
        <is>
          <t>No</t>
        </is>
      </c>
      <c r="G2373" t="inlineStr">
        <is>
          <t>1</t>
        </is>
      </c>
      <c r="H2373" t="inlineStr">
        <is>
          <t>No</t>
        </is>
      </c>
      <c r="I2373" t="inlineStr">
        <is>
          <t>No</t>
        </is>
      </c>
      <c r="J2373" t="inlineStr">
        <is>
          <t>0</t>
        </is>
      </c>
      <c r="K2373" t="inlineStr">
        <is>
          <t>Reed, James, 1944-</t>
        </is>
      </c>
      <c r="L2373" t="inlineStr">
        <is>
          <t>Princeton, N.J. : Princeton University Press, [1984?], c1978.</t>
        </is>
      </c>
      <c r="M2373" t="inlineStr">
        <is>
          <t>1984</t>
        </is>
      </c>
      <c r="O2373" t="inlineStr">
        <is>
          <t>eng</t>
        </is>
      </c>
      <c r="P2373" t="inlineStr">
        <is>
          <t>nju</t>
        </is>
      </c>
      <c r="R2373" t="inlineStr">
        <is>
          <t xml:space="preserve">HQ </t>
        </is>
      </c>
      <c r="S2373" t="n">
        <v>21</v>
      </c>
      <c r="T2373" t="n">
        <v>21</v>
      </c>
      <c r="U2373" t="inlineStr">
        <is>
          <t>2008-01-07</t>
        </is>
      </c>
      <c r="V2373" t="inlineStr">
        <is>
          <t>2008-01-07</t>
        </is>
      </c>
      <c r="W2373" t="inlineStr">
        <is>
          <t>1990-03-08</t>
        </is>
      </c>
      <c r="X2373" t="inlineStr">
        <is>
          <t>1990-03-08</t>
        </is>
      </c>
      <c r="Y2373" t="n">
        <v>340</v>
      </c>
      <c r="Z2373" t="n">
        <v>302</v>
      </c>
      <c r="AA2373" t="n">
        <v>573</v>
      </c>
      <c r="AB2373" t="n">
        <v>2</v>
      </c>
      <c r="AC2373" t="n">
        <v>5</v>
      </c>
      <c r="AD2373" t="n">
        <v>12</v>
      </c>
      <c r="AE2373" t="n">
        <v>28</v>
      </c>
      <c r="AF2373" t="n">
        <v>5</v>
      </c>
      <c r="AG2373" t="n">
        <v>13</v>
      </c>
      <c r="AH2373" t="n">
        <v>0</v>
      </c>
      <c r="AI2373" t="n">
        <v>5</v>
      </c>
      <c r="AJ2373" t="n">
        <v>6</v>
      </c>
      <c r="AK2373" t="n">
        <v>11</v>
      </c>
      <c r="AL2373" t="n">
        <v>1</v>
      </c>
      <c r="AM2373" t="n">
        <v>3</v>
      </c>
      <c r="AN2373" t="n">
        <v>2</v>
      </c>
      <c r="AO2373" t="n">
        <v>2</v>
      </c>
      <c r="AP2373" t="inlineStr">
        <is>
          <t>No</t>
        </is>
      </c>
      <c r="AQ2373" t="inlineStr">
        <is>
          <t>No</t>
        </is>
      </c>
      <c r="AS2373">
        <f>HYPERLINK("https://creighton-primo.hosted.exlibrisgroup.com/primo-explore/search?tab=default_tab&amp;search_scope=EVERYTHING&amp;vid=01CRU&amp;lang=en_US&amp;offset=0&amp;query=any,contains,991000235599702656","Catalog Record")</f>
        <v/>
      </c>
      <c r="AT2373">
        <f>HYPERLINK("http://www.worldcat.org/oclc/9646673","WorldCat Record")</f>
        <v/>
      </c>
      <c r="AU2373" t="inlineStr">
        <is>
          <t>8408159:eng</t>
        </is>
      </c>
      <c r="AV2373" t="inlineStr">
        <is>
          <t>9646673</t>
        </is>
      </c>
      <c r="AW2373" t="inlineStr">
        <is>
          <t>991000235599702656</t>
        </is>
      </c>
      <c r="AX2373" t="inlineStr">
        <is>
          <t>991000235599702656</t>
        </is>
      </c>
      <c r="AY2373" t="inlineStr">
        <is>
          <t>2268898400002656</t>
        </is>
      </c>
      <c r="AZ2373" t="inlineStr">
        <is>
          <t>BOOK</t>
        </is>
      </c>
      <c r="BB2373" t="inlineStr">
        <is>
          <t>9780691028309</t>
        </is>
      </c>
      <c r="BC2373" t="inlineStr">
        <is>
          <t>32285000078732</t>
        </is>
      </c>
      <c r="BD2373" t="inlineStr">
        <is>
          <t>893515129</t>
        </is>
      </c>
    </row>
    <row r="2374">
      <c r="A2374" t="inlineStr">
        <is>
          <t>No</t>
        </is>
      </c>
      <c r="B2374" t="inlineStr">
        <is>
          <t>HQ766.5.U5 R6</t>
        </is>
      </c>
      <c r="C2374" t="inlineStr">
        <is>
          <t>0                      HQ 0766500U  5                  R  6</t>
        </is>
      </c>
      <c r="D2374" t="inlineStr">
        <is>
          <t>The time has come; a Catholic doctor's proposals to end the battle over birth control. With a foreword by Christian A. Herter.</t>
        </is>
      </c>
      <c r="F2374" t="inlineStr">
        <is>
          <t>No</t>
        </is>
      </c>
      <c r="G2374" t="inlineStr">
        <is>
          <t>1</t>
        </is>
      </c>
      <c r="H2374" t="inlineStr">
        <is>
          <t>No</t>
        </is>
      </c>
      <c r="I2374" t="inlineStr">
        <is>
          <t>No</t>
        </is>
      </c>
      <c r="J2374" t="inlineStr">
        <is>
          <t>0</t>
        </is>
      </c>
      <c r="K2374" t="inlineStr">
        <is>
          <t>Rock, John, 1890-1984.</t>
        </is>
      </c>
      <c r="L2374" t="inlineStr">
        <is>
          <t>New York, Knopf, 1963.</t>
        </is>
      </c>
      <c r="M2374" t="inlineStr">
        <is>
          <t>1963</t>
        </is>
      </c>
      <c r="N2374" t="inlineStr">
        <is>
          <t>[1st ed.]</t>
        </is>
      </c>
      <c r="O2374" t="inlineStr">
        <is>
          <t>eng</t>
        </is>
      </c>
      <c r="P2374" t="inlineStr">
        <is>
          <t>nyu</t>
        </is>
      </c>
      <c r="R2374" t="inlineStr">
        <is>
          <t xml:space="preserve">HQ </t>
        </is>
      </c>
      <c r="S2374" t="n">
        <v>7</v>
      </c>
      <c r="T2374" t="n">
        <v>7</v>
      </c>
      <c r="U2374" t="inlineStr">
        <is>
          <t>2005-04-12</t>
        </is>
      </c>
      <c r="V2374" t="inlineStr">
        <is>
          <t>2005-04-12</t>
        </is>
      </c>
      <c r="W2374" t="inlineStr">
        <is>
          <t>1997-08-12</t>
        </is>
      </c>
      <c r="X2374" t="inlineStr">
        <is>
          <t>1997-08-12</t>
        </is>
      </c>
      <c r="Y2374" t="n">
        <v>644</v>
      </c>
      <c r="Z2374" t="n">
        <v>595</v>
      </c>
      <c r="AA2374" t="n">
        <v>626</v>
      </c>
      <c r="AB2374" t="n">
        <v>7</v>
      </c>
      <c r="AC2374" t="n">
        <v>7</v>
      </c>
      <c r="AD2374" t="n">
        <v>36</v>
      </c>
      <c r="AE2374" t="n">
        <v>37</v>
      </c>
      <c r="AF2374" t="n">
        <v>12</v>
      </c>
      <c r="AG2374" t="n">
        <v>12</v>
      </c>
      <c r="AH2374" t="n">
        <v>7</v>
      </c>
      <c r="AI2374" t="n">
        <v>8</v>
      </c>
      <c r="AJ2374" t="n">
        <v>22</v>
      </c>
      <c r="AK2374" t="n">
        <v>22</v>
      </c>
      <c r="AL2374" t="n">
        <v>5</v>
      </c>
      <c r="AM2374" t="n">
        <v>5</v>
      </c>
      <c r="AN2374" t="n">
        <v>1</v>
      </c>
      <c r="AO2374" t="n">
        <v>1</v>
      </c>
      <c r="AP2374" t="inlineStr">
        <is>
          <t>No</t>
        </is>
      </c>
      <c r="AQ2374" t="inlineStr">
        <is>
          <t>Yes</t>
        </is>
      </c>
      <c r="AR2374">
        <f>HYPERLINK("http://catalog.hathitrust.org/Record/001108336","HathiTrust Record")</f>
        <v/>
      </c>
      <c r="AS2374">
        <f>HYPERLINK("https://creighton-primo.hosted.exlibrisgroup.com/primo-explore/search?tab=default_tab&amp;search_scope=EVERYTHING&amp;vid=01CRU&amp;lang=en_US&amp;offset=0&amp;query=any,contains,991005254689702656","Catalog Record")</f>
        <v/>
      </c>
      <c r="AT2374">
        <f>HYPERLINK("http://www.worldcat.org/oclc/261086","WorldCat Record")</f>
        <v/>
      </c>
      <c r="AU2374" t="inlineStr">
        <is>
          <t>2452638577:eng</t>
        </is>
      </c>
      <c r="AV2374" t="inlineStr">
        <is>
          <t>261086</t>
        </is>
      </c>
      <c r="AW2374" t="inlineStr">
        <is>
          <t>991005254689702656</t>
        </is>
      </c>
      <c r="AX2374" t="inlineStr">
        <is>
          <t>991005254689702656</t>
        </is>
      </c>
      <c r="AY2374" t="inlineStr">
        <is>
          <t>2263013370002656</t>
        </is>
      </c>
      <c r="AZ2374" t="inlineStr">
        <is>
          <t>BOOK</t>
        </is>
      </c>
      <c r="BC2374" t="inlineStr">
        <is>
          <t>32285003100244</t>
        </is>
      </c>
      <c r="BD2374" t="inlineStr">
        <is>
          <t>893507861</t>
        </is>
      </c>
    </row>
    <row r="2375">
      <c r="A2375" t="inlineStr">
        <is>
          <t>No</t>
        </is>
      </c>
      <c r="B2375" t="inlineStr">
        <is>
          <t>HQ766.5.U5 S67 2005</t>
        </is>
      </c>
      <c r="C2375" t="inlineStr">
        <is>
          <t>0                      HQ 0766500U  5                  S  67          2005</t>
        </is>
      </c>
      <c r="D2375" t="inlineStr">
        <is>
          <t>Pregnancy and power : a short history of reproductive politics in America / Rickie Solinger.</t>
        </is>
      </c>
      <c r="F2375" t="inlineStr">
        <is>
          <t>No</t>
        </is>
      </c>
      <c r="G2375" t="inlineStr">
        <is>
          <t>1</t>
        </is>
      </c>
      <c r="H2375" t="inlineStr">
        <is>
          <t>No</t>
        </is>
      </c>
      <c r="I2375" t="inlineStr">
        <is>
          <t>No</t>
        </is>
      </c>
      <c r="J2375" t="inlineStr">
        <is>
          <t>0</t>
        </is>
      </c>
      <c r="K2375" t="inlineStr">
        <is>
          <t>Solinger, Rickie, 1947-</t>
        </is>
      </c>
      <c r="L2375" t="inlineStr">
        <is>
          <t>New York : New York University Press, c2005.</t>
        </is>
      </c>
      <c r="M2375" t="inlineStr">
        <is>
          <t>2005</t>
        </is>
      </c>
      <c r="O2375" t="inlineStr">
        <is>
          <t>eng</t>
        </is>
      </c>
      <c r="P2375" t="inlineStr">
        <is>
          <t>nyu</t>
        </is>
      </c>
      <c r="R2375" t="inlineStr">
        <is>
          <t xml:space="preserve">HQ </t>
        </is>
      </c>
      <c r="S2375" t="n">
        <v>5</v>
      </c>
      <c r="T2375" t="n">
        <v>5</v>
      </c>
      <c r="U2375" t="inlineStr">
        <is>
          <t>2007-02-28</t>
        </is>
      </c>
      <c r="V2375" t="inlineStr">
        <is>
          <t>2007-02-28</t>
        </is>
      </c>
      <c r="W2375" t="inlineStr">
        <is>
          <t>2006-12-12</t>
        </is>
      </c>
      <c r="X2375" t="inlineStr">
        <is>
          <t>2006-12-12</t>
        </is>
      </c>
      <c r="Y2375" t="n">
        <v>1077</v>
      </c>
      <c r="Z2375" t="n">
        <v>998</v>
      </c>
      <c r="AA2375" t="n">
        <v>1446</v>
      </c>
      <c r="AB2375" t="n">
        <v>5</v>
      </c>
      <c r="AC2375" t="n">
        <v>16</v>
      </c>
      <c r="AD2375" t="n">
        <v>41</v>
      </c>
      <c r="AE2375" t="n">
        <v>57</v>
      </c>
      <c r="AF2375" t="n">
        <v>18</v>
      </c>
      <c r="AG2375" t="n">
        <v>21</v>
      </c>
      <c r="AH2375" t="n">
        <v>9</v>
      </c>
      <c r="AI2375" t="n">
        <v>10</v>
      </c>
      <c r="AJ2375" t="n">
        <v>15</v>
      </c>
      <c r="AK2375" t="n">
        <v>18</v>
      </c>
      <c r="AL2375" t="n">
        <v>4</v>
      </c>
      <c r="AM2375" t="n">
        <v>13</v>
      </c>
      <c r="AN2375" t="n">
        <v>5</v>
      </c>
      <c r="AO2375" t="n">
        <v>6</v>
      </c>
      <c r="AP2375" t="inlineStr">
        <is>
          <t>No</t>
        </is>
      </c>
      <c r="AQ2375" t="inlineStr">
        <is>
          <t>No</t>
        </is>
      </c>
      <c r="AS2375">
        <f>HYPERLINK("https://creighton-primo.hosted.exlibrisgroup.com/primo-explore/search?tab=default_tab&amp;search_scope=EVERYTHING&amp;vid=01CRU&amp;lang=en_US&amp;offset=0&amp;query=any,contains,991004992079702656","Catalog Record")</f>
        <v/>
      </c>
      <c r="AT2375">
        <f>HYPERLINK("http://www.worldcat.org/oclc/60188047","WorldCat Record")</f>
        <v/>
      </c>
      <c r="AU2375" t="inlineStr">
        <is>
          <t>793983581:eng</t>
        </is>
      </c>
      <c r="AV2375" t="inlineStr">
        <is>
          <t>60188047</t>
        </is>
      </c>
      <c r="AW2375" t="inlineStr">
        <is>
          <t>991004992079702656</t>
        </is>
      </c>
      <c r="AX2375" t="inlineStr">
        <is>
          <t>991004992079702656</t>
        </is>
      </c>
      <c r="AY2375" t="inlineStr">
        <is>
          <t>2267086880002656</t>
        </is>
      </c>
      <c r="AZ2375" t="inlineStr">
        <is>
          <t>BOOK</t>
        </is>
      </c>
      <c r="BB2375" t="inlineStr">
        <is>
          <t>9780814798270</t>
        </is>
      </c>
      <c r="BC2375" t="inlineStr">
        <is>
          <t>32285005266365</t>
        </is>
      </c>
      <c r="BD2375" t="inlineStr">
        <is>
          <t>893713292</t>
        </is>
      </c>
    </row>
    <row r="2376">
      <c r="A2376" t="inlineStr">
        <is>
          <t>No</t>
        </is>
      </c>
      <c r="B2376" t="inlineStr">
        <is>
          <t>HQ766.5.U5 W32 1986</t>
        </is>
      </c>
      <c r="C2376" t="inlineStr">
        <is>
          <t>0                      HQ 0766500U  5                  W  32          1986</t>
        </is>
      </c>
      <c r="D2376" t="inlineStr">
        <is>
          <t>Poor women, powerful men : America's great experiment in family planning / Martha C. Ward.</t>
        </is>
      </c>
      <c r="F2376" t="inlineStr">
        <is>
          <t>No</t>
        </is>
      </c>
      <c r="G2376" t="inlineStr">
        <is>
          <t>1</t>
        </is>
      </c>
      <c r="H2376" t="inlineStr">
        <is>
          <t>No</t>
        </is>
      </c>
      <c r="I2376" t="inlineStr">
        <is>
          <t>No</t>
        </is>
      </c>
      <c r="J2376" t="inlineStr">
        <is>
          <t>0</t>
        </is>
      </c>
      <c r="K2376" t="inlineStr">
        <is>
          <t>Ward, Martha Coonfield.</t>
        </is>
      </c>
      <c r="L2376" t="inlineStr">
        <is>
          <t>Boulder : Westview Press, 1986.</t>
        </is>
      </c>
      <c r="M2376" t="inlineStr">
        <is>
          <t>1986</t>
        </is>
      </c>
      <c r="O2376" t="inlineStr">
        <is>
          <t>eng</t>
        </is>
      </c>
      <c r="P2376" t="inlineStr">
        <is>
          <t>cou</t>
        </is>
      </c>
      <c r="R2376" t="inlineStr">
        <is>
          <t xml:space="preserve">HQ </t>
        </is>
      </c>
      <c r="S2376" t="n">
        <v>4</v>
      </c>
      <c r="T2376" t="n">
        <v>4</v>
      </c>
      <c r="U2376" t="inlineStr">
        <is>
          <t>1994-12-06</t>
        </is>
      </c>
      <c r="V2376" t="inlineStr">
        <is>
          <t>1994-12-06</t>
        </is>
      </c>
      <c r="W2376" t="inlineStr">
        <is>
          <t>1992-04-28</t>
        </is>
      </c>
      <c r="X2376" t="inlineStr">
        <is>
          <t>1992-04-28</t>
        </is>
      </c>
      <c r="Y2376" t="n">
        <v>588</v>
      </c>
      <c r="Z2376" t="n">
        <v>521</v>
      </c>
      <c r="AA2376" t="n">
        <v>547</v>
      </c>
      <c r="AB2376" t="n">
        <v>2</v>
      </c>
      <c r="AC2376" t="n">
        <v>2</v>
      </c>
      <c r="AD2376" t="n">
        <v>18</v>
      </c>
      <c r="AE2376" t="n">
        <v>18</v>
      </c>
      <c r="AF2376" t="n">
        <v>5</v>
      </c>
      <c r="AG2376" t="n">
        <v>5</v>
      </c>
      <c r="AH2376" t="n">
        <v>7</v>
      </c>
      <c r="AI2376" t="n">
        <v>7</v>
      </c>
      <c r="AJ2376" t="n">
        <v>10</v>
      </c>
      <c r="AK2376" t="n">
        <v>10</v>
      </c>
      <c r="AL2376" t="n">
        <v>1</v>
      </c>
      <c r="AM2376" t="n">
        <v>1</v>
      </c>
      <c r="AN2376" t="n">
        <v>0</v>
      </c>
      <c r="AO2376" t="n">
        <v>0</v>
      </c>
      <c r="AP2376" t="inlineStr">
        <is>
          <t>No</t>
        </is>
      </c>
      <c r="AQ2376" t="inlineStr">
        <is>
          <t>Yes</t>
        </is>
      </c>
      <c r="AR2376">
        <f>HYPERLINK("http://catalog.hathitrust.org/Record/000556542","HathiTrust Record")</f>
        <v/>
      </c>
      <c r="AS2376">
        <f>HYPERLINK("https://creighton-primo.hosted.exlibrisgroup.com/primo-explore/search?tab=default_tab&amp;search_scope=EVERYTHING&amp;vid=01CRU&amp;lang=en_US&amp;offset=0&amp;query=any,contains,991000810299702656","Catalog Record")</f>
        <v/>
      </c>
      <c r="AT2376">
        <f>HYPERLINK("http://www.worldcat.org/oclc/13330910","WorldCat Record")</f>
        <v/>
      </c>
      <c r="AU2376" t="inlineStr">
        <is>
          <t>308249245:eng</t>
        </is>
      </c>
      <c r="AV2376" t="inlineStr">
        <is>
          <t>13330910</t>
        </is>
      </c>
      <c r="AW2376" t="inlineStr">
        <is>
          <t>991000810299702656</t>
        </is>
      </c>
      <c r="AX2376" t="inlineStr">
        <is>
          <t>991000810299702656</t>
        </is>
      </c>
      <c r="AY2376" t="inlineStr">
        <is>
          <t>2263745330002656</t>
        </is>
      </c>
      <c r="AZ2376" t="inlineStr">
        <is>
          <t>BOOK</t>
        </is>
      </c>
      <c r="BB2376" t="inlineStr">
        <is>
          <t>9780813303673</t>
        </is>
      </c>
      <c r="BC2376" t="inlineStr">
        <is>
          <t>32285001090041</t>
        </is>
      </c>
      <c r="BD2376" t="inlineStr">
        <is>
          <t>893702453</t>
        </is>
      </c>
    </row>
    <row r="2377">
      <c r="A2377" t="inlineStr">
        <is>
          <t>No</t>
        </is>
      </c>
      <c r="B2377" t="inlineStr">
        <is>
          <t>HQ766.5.U5 W325 1998</t>
        </is>
      </c>
      <c r="C2377" t="inlineStr">
        <is>
          <t>0                      HQ 0766500U  5                  W  325         1998</t>
        </is>
      </c>
      <c r="D2377" t="inlineStr">
        <is>
          <t>On the pill : a social history of oral contraceptives, 1950-1970 / Elizabeth Siegel Watkins.</t>
        </is>
      </c>
      <c r="F2377" t="inlineStr">
        <is>
          <t>No</t>
        </is>
      </c>
      <c r="G2377" t="inlineStr">
        <is>
          <t>1</t>
        </is>
      </c>
      <c r="H2377" t="inlineStr">
        <is>
          <t>No</t>
        </is>
      </c>
      <c r="I2377" t="inlineStr">
        <is>
          <t>No</t>
        </is>
      </c>
      <c r="J2377" t="inlineStr">
        <is>
          <t>0</t>
        </is>
      </c>
      <c r="K2377" t="inlineStr">
        <is>
          <t>Watkins, Elizabeth Siegel.</t>
        </is>
      </c>
      <c r="L2377" t="inlineStr">
        <is>
          <t>Baltimore : Johns Hopkins University Press, c1998.</t>
        </is>
      </c>
      <c r="M2377" t="inlineStr">
        <is>
          <t>1998</t>
        </is>
      </c>
      <c r="O2377" t="inlineStr">
        <is>
          <t>eng</t>
        </is>
      </c>
      <c r="P2377" t="inlineStr">
        <is>
          <t>mdu</t>
        </is>
      </c>
      <c r="R2377" t="inlineStr">
        <is>
          <t xml:space="preserve">HQ </t>
        </is>
      </c>
      <c r="S2377" t="n">
        <v>11</v>
      </c>
      <c r="T2377" t="n">
        <v>11</v>
      </c>
      <c r="U2377" t="inlineStr">
        <is>
          <t>2008-04-22</t>
        </is>
      </c>
      <c r="V2377" t="inlineStr">
        <is>
          <t>2008-04-22</t>
        </is>
      </c>
      <c r="W2377" t="inlineStr">
        <is>
          <t>1999-09-30</t>
        </is>
      </c>
      <c r="X2377" t="inlineStr">
        <is>
          <t>1999-09-30</t>
        </is>
      </c>
      <c r="Y2377" t="n">
        <v>855</v>
      </c>
      <c r="Z2377" t="n">
        <v>725</v>
      </c>
      <c r="AA2377" t="n">
        <v>730</v>
      </c>
      <c r="AB2377" t="n">
        <v>3</v>
      </c>
      <c r="AC2377" t="n">
        <v>3</v>
      </c>
      <c r="AD2377" t="n">
        <v>26</v>
      </c>
      <c r="AE2377" t="n">
        <v>26</v>
      </c>
      <c r="AF2377" t="n">
        <v>9</v>
      </c>
      <c r="AG2377" t="n">
        <v>9</v>
      </c>
      <c r="AH2377" t="n">
        <v>7</v>
      </c>
      <c r="AI2377" t="n">
        <v>7</v>
      </c>
      <c r="AJ2377" t="n">
        <v>14</v>
      </c>
      <c r="AK2377" t="n">
        <v>14</v>
      </c>
      <c r="AL2377" t="n">
        <v>2</v>
      </c>
      <c r="AM2377" t="n">
        <v>2</v>
      </c>
      <c r="AN2377" t="n">
        <v>0</v>
      </c>
      <c r="AO2377" t="n">
        <v>0</v>
      </c>
      <c r="AP2377" t="inlineStr">
        <is>
          <t>No</t>
        </is>
      </c>
      <c r="AQ2377" t="inlineStr">
        <is>
          <t>Yes</t>
        </is>
      </c>
      <c r="AR2377">
        <f>HYPERLINK("http://catalog.hathitrust.org/Record/003999235","HathiTrust Record")</f>
        <v/>
      </c>
      <c r="AS2377">
        <f>HYPERLINK("https://creighton-primo.hosted.exlibrisgroup.com/primo-explore/search?tab=default_tab&amp;search_scope=EVERYTHING&amp;vid=01CRU&amp;lang=en_US&amp;offset=0&amp;query=any,contains,991002901089702656","Catalog Record")</f>
        <v/>
      </c>
      <c r="AT2377">
        <f>HYPERLINK("http://www.worldcat.org/oclc/38249763","WorldCat Record")</f>
        <v/>
      </c>
      <c r="AU2377" t="inlineStr">
        <is>
          <t>314933156:eng</t>
        </is>
      </c>
      <c r="AV2377" t="inlineStr">
        <is>
          <t>38249763</t>
        </is>
      </c>
      <c r="AW2377" t="inlineStr">
        <is>
          <t>991002901089702656</t>
        </is>
      </c>
      <c r="AX2377" t="inlineStr">
        <is>
          <t>991002901089702656</t>
        </is>
      </c>
      <c r="AY2377" t="inlineStr">
        <is>
          <t>2272284930002656</t>
        </is>
      </c>
      <c r="AZ2377" t="inlineStr">
        <is>
          <t>BOOK</t>
        </is>
      </c>
      <c r="BB2377" t="inlineStr">
        <is>
          <t>9780801858765</t>
        </is>
      </c>
      <c r="BC2377" t="inlineStr">
        <is>
          <t>32285003591848</t>
        </is>
      </c>
      <c r="BD2377" t="inlineStr">
        <is>
          <t>893440669</t>
        </is>
      </c>
    </row>
    <row r="2378">
      <c r="A2378" t="inlineStr">
        <is>
          <t>No</t>
        </is>
      </c>
      <c r="B2378" t="inlineStr">
        <is>
          <t>HQ766.5.U5 W33 1975</t>
        </is>
      </c>
      <c r="C2378" t="inlineStr">
        <is>
          <t>0                      HQ 0766500U  5                  W  33          1975</t>
        </is>
      </c>
      <c r="D2378" t="inlineStr">
        <is>
          <t>Genocide? : Birth control and the Black American / Robert G. Weisbord.</t>
        </is>
      </c>
      <c r="F2378" t="inlineStr">
        <is>
          <t>No</t>
        </is>
      </c>
      <c r="G2378" t="inlineStr">
        <is>
          <t>1</t>
        </is>
      </c>
      <c r="H2378" t="inlineStr">
        <is>
          <t>No</t>
        </is>
      </c>
      <c r="I2378" t="inlineStr">
        <is>
          <t>No</t>
        </is>
      </c>
      <c r="J2378" t="inlineStr">
        <is>
          <t>0</t>
        </is>
      </c>
      <c r="K2378" t="inlineStr">
        <is>
          <t>Weisbord, Robert G.</t>
        </is>
      </c>
      <c r="L2378" t="inlineStr">
        <is>
          <t>Westport, Conn. : Greenwood Press ; New York : distribution in the U.S. by Two Continents Pub. Group, 1975.</t>
        </is>
      </c>
      <c r="M2378" t="inlineStr">
        <is>
          <t>1975</t>
        </is>
      </c>
      <c r="O2378" t="inlineStr">
        <is>
          <t>eng</t>
        </is>
      </c>
      <c r="P2378" t="inlineStr">
        <is>
          <t>ctu</t>
        </is>
      </c>
      <c r="R2378" t="inlineStr">
        <is>
          <t xml:space="preserve">HQ </t>
        </is>
      </c>
      <c r="S2378" t="n">
        <v>5</v>
      </c>
      <c r="T2378" t="n">
        <v>5</v>
      </c>
      <c r="U2378" t="inlineStr">
        <is>
          <t>2005-06-14</t>
        </is>
      </c>
      <c r="V2378" t="inlineStr">
        <is>
          <t>2005-06-14</t>
        </is>
      </c>
      <c r="W2378" t="inlineStr">
        <is>
          <t>1991-12-13</t>
        </is>
      </c>
      <c r="X2378" t="inlineStr">
        <is>
          <t>1991-12-13</t>
        </is>
      </c>
      <c r="Y2378" t="n">
        <v>629</v>
      </c>
      <c r="Z2378" t="n">
        <v>558</v>
      </c>
      <c r="AA2378" t="n">
        <v>576</v>
      </c>
      <c r="AB2378" t="n">
        <v>2</v>
      </c>
      <c r="AC2378" t="n">
        <v>2</v>
      </c>
      <c r="AD2378" t="n">
        <v>19</v>
      </c>
      <c r="AE2378" t="n">
        <v>19</v>
      </c>
      <c r="AF2378" t="n">
        <v>5</v>
      </c>
      <c r="AG2378" t="n">
        <v>5</v>
      </c>
      <c r="AH2378" t="n">
        <v>8</v>
      </c>
      <c r="AI2378" t="n">
        <v>8</v>
      </c>
      <c r="AJ2378" t="n">
        <v>10</v>
      </c>
      <c r="AK2378" t="n">
        <v>10</v>
      </c>
      <c r="AL2378" t="n">
        <v>1</v>
      </c>
      <c r="AM2378" t="n">
        <v>1</v>
      </c>
      <c r="AN2378" t="n">
        <v>0</v>
      </c>
      <c r="AO2378" t="n">
        <v>0</v>
      </c>
      <c r="AP2378" t="inlineStr">
        <is>
          <t>No</t>
        </is>
      </c>
      <c r="AQ2378" t="inlineStr">
        <is>
          <t>Yes</t>
        </is>
      </c>
      <c r="AR2378">
        <f>HYPERLINK("http://catalog.hathitrust.org/Record/000042581","HathiTrust Record")</f>
        <v/>
      </c>
      <c r="AS2378">
        <f>HYPERLINK("https://creighton-primo.hosted.exlibrisgroup.com/primo-explore/search?tab=default_tab&amp;search_scope=EVERYTHING&amp;vid=01CRU&amp;lang=en_US&amp;offset=0&amp;query=any,contains,991003718219702656","Catalog Record")</f>
        <v/>
      </c>
      <c r="AT2378">
        <f>HYPERLINK("http://www.worldcat.org/oclc/1363987","WorldCat Record")</f>
        <v/>
      </c>
      <c r="AU2378" t="inlineStr">
        <is>
          <t>898562830:eng</t>
        </is>
      </c>
      <c r="AV2378" t="inlineStr">
        <is>
          <t>1363987</t>
        </is>
      </c>
      <c r="AW2378" t="inlineStr">
        <is>
          <t>991003718219702656</t>
        </is>
      </c>
      <c r="AX2378" t="inlineStr">
        <is>
          <t>991003718219702656</t>
        </is>
      </c>
      <c r="AY2378" t="inlineStr">
        <is>
          <t>2257007260002656</t>
        </is>
      </c>
      <c r="AZ2378" t="inlineStr">
        <is>
          <t>BOOK</t>
        </is>
      </c>
      <c r="BB2378" t="inlineStr">
        <is>
          <t>9780837180847</t>
        </is>
      </c>
      <c r="BC2378" t="inlineStr">
        <is>
          <t>32285000876440</t>
        </is>
      </c>
      <c r="BD2378" t="inlineStr">
        <is>
          <t>893875073</t>
        </is>
      </c>
    </row>
    <row r="2379">
      <c r="A2379" t="inlineStr">
        <is>
          <t>No</t>
        </is>
      </c>
      <c r="B2379" t="inlineStr">
        <is>
          <t>HQ766.5.U5 W5</t>
        </is>
      </c>
      <c r="C2379" t="inlineStr">
        <is>
          <t>0                      HQ 0766500U  5                  W  5</t>
        </is>
      </c>
      <c r="D2379" t="inlineStr">
        <is>
          <t>Fertility and family planning in the United States, by Pascal K. Whelpton, Arthur A. Campbell [and] John E. Patterson.</t>
        </is>
      </c>
      <c r="F2379" t="inlineStr">
        <is>
          <t>No</t>
        </is>
      </c>
      <c r="G2379" t="inlineStr">
        <is>
          <t>1</t>
        </is>
      </c>
      <c r="H2379" t="inlineStr">
        <is>
          <t>No</t>
        </is>
      </c>
      <c r="I2379" t="inlineStr">
        <is>
          <t>No</t>
        </is>
      </c>
      <c r="J2379" t="inlineStr">
        <is>
          <t>0</t>
        </is>
      </c>
      <c r="K2379" t="inlineStr">
        <is>
          <t>Whelpton, Pascal K. (Pascal Kidder), 1893-1964.</t>
        </is>
      </c>
      <c r="L2379" t="inlineStr">
        <is>
          <t>Princeton, N.J., Princeton University Press, 1966.</t>
        </is>
      </c>
      <c r="M2379" t="inlineStr">
        <is>
          <t>1966</t>
        </is>
      </c>
      <c r="O2379" t="inlineStr">
        <is>
          <t>eng</t>
        </is>
      </c>
      <c r="P2379" t="inlineStr">
        <is>
          <t>nju</t>
        </is>
      </c>
      <c r="R2379" t="inlineStr">
        <is>
          <t xml:space="preserve">HQ </t>
        </is>
      </c>
      <c r="S2379" t="n">
        <v>2</v>
      </c>
      <c r="T2379" t="n">
        <v>2</v>
      </c>
      <c r="U2379" t="inlineStr">
        <is>
          <t>2007-12-01</t>
        </is>
      </c>
      <c r="V2379" t="inlineStr">
        <is>
          <t>2007-12-01</t>
        </is>
      </c>
      <c r="W2379" t="inlineStr">
        <is>
          <t>1997-08-12</t>
        </is>
      </c>
      <c r="X2379" t="inlineStr">
        <is>
          <t>1997-08-12</t>
        </is>
      </c>
      <c r="Y2379" t="n">
        <v>596</v>
      </c>
      <c r="Z2379" t="n">
        <v>496</v>
      </c>
      <c r="AA2379" t="n">
        <v>668</v>
      </c>
      <c r="AB2379" t="n">
        <v>5</v>
      </c>
      <c r="AC2379" t="n">
        <v>5</v>
      </c>
      <c r="AD2379" t="n">
        <v>26</v>
      </c>
      <c r="AE2379" t="n">
        <v>32</v>
      </c>
      <c r="AF2379" t="n">
        <v>10</v>
      </c>
      <c r="AG2379" t="n">
        <v>14</v>
      </c>
      <c r="AH2379" t="n">
        <v>8</v>
      </c>
      <c r="AI2379" t="n">
        <v>9</v>
      </c>
      <c r="AJ2379" t="n">
        <v>13</v>
      </c>
      <c r="AK2379" t="n">
        <v>15</v>
      </c>
      <c r="AL2379" t="n">
        <v>4</v>
      </c>
      <c r="AM2379" t="n">
        <v>4</v>
      </c>
      <c r="AN2379" t="n">
        <v>0</v>
      </c>
      <c r="AO2379" t="n">
        <v>0</v>
      </c>
      <c r="AP2379" t="inlineStr">
        <is>
          <t>No</t>
        </is>
      </c>
      <c r="AQ2379" t="inlineStr">
        <is>
          <t>No</t>
        </is>
      </c>
      <c r="AS2379">
        <f>HYPERLINK("https://creighton-primo.hosted.exlibrisgroup.com/primo-explore/search?tab=default_tab&amp;search_scope=EVERYTHING&amp;vid=01CRU&amp;lang=en_US&amp;offset=0&amp;query=any,contains,991002042249702656","Catalog Record")</f>
        <v/>
      </c>
      <c r="AT2379">
        <f>HYPERLINK("http://www.worldcat.org/oclc/261166","WorldCat Record")</f>
        <v/>
      </c>
      <c r="AU2379" t="inlineStr">
        <is>
          <t>1369756:eng</t>
        </is>
      </c>
      <c r="AV2379" t="inlineStr">
        <is>
          <t>261166</t>
        </is>
      </c>
      <c r="AW2379" t="inlineStr">
        <is>
          <t>991002042249702656</t>
        </is>
      </c>
      <c r="AX2379" t="inlineStr">
        <is>
          <t>991002042249702656</t>
        </is>
      </c>
      <c r="AY2379" t="inlineStr">
        <is>
          <t>2265551240002656</t>
        </is>
      </c>
      <c r="AZ2379" t="inlineStr">
        <is>
          <t>BOOK</t>
        </is>
      </c>
      <c r="BC2379" t="inlineStr">
        <is>
          <t>32285003100269</t>
        </is>
      </c>
      <c r="BD2379" t="inlineStr">
        <is>
          <t>893590852</t>
        </is>
      </c>
    </row>
    <row r="2380">
      <c r="A2380" t="inlineStr">
        <is>
          <t>No</t>
        </is>
      </c>
      <c r="B2380" t="inlineStr">
        <is>
          <t>HQ766.7 .H37 1987</t>
        </is>
      </c>
      <c r="C2380" t="inlineStr">
        <is>
          <t>0                      HQ 0766700H  37          1987</t>
        </is>
      </c>
      <c r="D2380" t="inlineStr">
        <is>
          <t>Reproductive rights and wrongs : the global politics of population control and contraceptive choice / Betsy Hartmann.</t>
        </is>
      </c>
      <c r="F2380" t="inlineStr">
        <is>
          <t>No</t>
        </is>
      </c>
      <c r="G2380" t="inlineStr">
        <is>
          <t>1</t>
        </is>
      </c>
      <c r="H2380" t="inlineStr">
        <is>
          <t>No</t>
        </is>
      </c>
      <c r="I2380" t="inlineStr">
        <is>
          <t>No</t>
        </is>
      </c>
      <c r="J2380" t="inlineStr">
        <is>
          <t>0</t>
        </is>
      </c>
      <c r="K2380" t="inlineStr">
        <is>
          <t>Hartmann, Betsy.</t>
        </is>
      </c>
      <c r="L2380" t="inlineStr">
        <is>
          <t>New York : Harper &amp; Row, c1987.</t>
        </is>
      </c>
      <c r="M2380" t="inlineStr">
        <is>
          <t>1987</t>
        </is>
      </c>
      <c r="N2380" t="inlineStr">
        <is>
          <t>1st ed.</t>
        </is>
      </c>
      <c r="O2380" t="inlineStr">
        <is>
          <t>eng</t>
        </is>
      </c>
      <c r="P2380" t="inlineStr">
        <is>
          <t>nyu</t>
        </is>
      </c>
      <c r="R2380" t="inlineStr">
        <is>
          <t xml:space="preserve">HQ </t>
        </is>
      </c>
      <c r="S2380" t="n">
        <v>14</v>
      </c>
      <c r="T2380" t="n">
        <v>14</v>
      </c>
      <c r="U2380" t="inlineStr">
        <is>
          <t>2002-11-05</t>
        </is>
      </c>
      <c r="V2380" t="inlineStr">
        <is>
          <t>2002-11-05</t>
        </is>
      </c>
      <c r="W2380" t="inlineStr">
        <is>
          <t>1992-02-24</t>
        </is>
      </c>
      <c r="X2380" t="inlineStr">
        <is>
          <t>1992-02-24</t>
        </is>
      </c>
      <c r="Y2380" t="n">
        <v>881</v>
      </c>
      <c r="Z2380" t="n">
        <v>761</v>
      </c>
      <c r="AA2380" t="n">
        <v>1317</v>
      </c>
      <c r="AB2380" t="n">
        <v>5</v>
      </c>
      <c r="AC2380" t="n">
        <v>10</v>
      </c>
      <c r="AD2380" t="n">
        <v>19</v>
      </c>
      <c r="AE2380" t="n">
        <v>47</v>
      </c>
      <c r="AF2380" t="n">
        <v>6</v>
      </c>
      <c r="AG2380" t="n">
        <v>17</v>
      </c>
      <c r="AH2380" t="n">
        <v>6</v>
      </c>
      <c r="AI2380" t="n">
        <v>10</v>
      </c>
      <c r="AJ2380" t="n">
        <v>8</v>
      </c>
      <c r="AK2380" t="n">
        <v>20</v>
      </c>
      <c r="AL2380" t="n">
        <v>3</v>
      </c>
      <c r="AM2380" t="n">
        <v>7</v>
      </c>
      <c r="AN2380" t="n">
        <v>1</v>
      </c>
      <c r="AO2380" t="n">
        <v>2</v>
      </c>
      <c r="AP2380" t="inlineStr">
        <is>
          <t>No</t>
        </is>
      </c>
      <c r="AQ2380" t="inlineStr">
        <is>
          <t>Yes</t>
        </is>
      </c>
      <c r="AR2380">
        <f>HYPERLINK("http://catalog.hathitrust.org/Record/000822764","HathiTrust Record")</f>
        <v/>
      </c>
      <c r="AS2380">
        <f>HYPERLINK("https://creighton-primo.hosted.exlibrisgroup.com/primo-explore/search?tab=default_tab&amp;search_scope=EVERYTHING&amp;vid=01CRU&amp;lang=en_US&amp;offset=0&amp;query=any,contains,991000945269702656","Catalog Record")</f>
        <v/>
      </c>
      <c r="AT2380">
        <f>HYPERLINK("http://www.worldcat.org/oclc/14520697","WorldCat Record")</f>
        <v/>
      </c>
      <c r="AU2380" t="inlineStr">
        <is>
          <t>280983869:eng</t>
        </is>
      </c>
      <c r="AV2380" t="inlineStr">
        <is>
          <t>14520697</t>
        </is>
      </c>
      <c r="AW2380" t="inlineStr">
        <is>
          <t>991000945269702656</t>
        </is>
      </c>
      <c r="AX2380" t="inlineStr">
        <is>
          <t>991000945269702656</t>
        </is>
      </c>
      <c r="AY2380" t="inlineStr">
        <is>
          <t>2264183570002656</t>
        </is>
      </c>
      <c r="AZ2380" t="inlineStr">
        <is>
          <t>BOOK</t>
        </is>
      </c>
      <c r="BB2380" t="inlineStr">
        <is>
          <t>9780060961718</t>
        </is>
      </c>
      <c r="BC2380" t="inlineStr">
        <is>
          <t>32285000974930</t>
        </is>
      </c>
      <c r="BD2380" t="inlineStr">
        <is>
          <t>893237746</t>
        </is>
      </c>
    </row>
    <row r="2381">
      <c r="A2381" t="inlineStr">
        <is>
          <t>No</t>
        </is>
      </c>
      <c r="B2381" t="inlineStr">
        <is>
          <t>HQ767 .C5</t>
        </is>
      </c>
      <c r="C2381" t="inlineStr">
        <is>
          <t>0                      HQ 0767000C  5</t>
        </is>
      </c>
      <c r="D2381" t="inlineStr">
        <is>
          <t>Thou shalt not kill : a doctor's brief for the unborn child / by G. Clement ; authorized translation from fourth French edition.</t>
        </is>
      </c>
      <c r="F2381" t="inlineStr">
        <is>
          <t>No</t>
        </is>
      </c>
      <c r="G2381" t="inlineStr">
        <is>
          <t>1</t>
        </is>
      </c>
      <c r="H2381" t="inlineStr">
        <is>
          <t>No</t>
        </is>
      </c>
      <c r="I2381" t="inlineStr">
        <is>
          <t>No</t>
        </is>
      </c>
      <c r="J2381" t="inlineStr">
        <is>
          <t>0</t>
        </is>
      </c>
      <c r="K2381" t="inlineStr">
        <is>
          <t>Clément, Gustave, 1868-</t>
        </is>
      </c>
      <c r="L2381" t="inlineStr">
        <is>
          <t>Philadelphia : The Peter Reilly company, [c1930]</t>
        </is>
      </c>
      <c r="M2381" t="inlineStr">
        <is>
          <t>1930</t>
        </is>
      </c>
      <c r="O2381" t="inlineStr">
        <is>
          <t>eng</t>
        </is>
      </c>
      <c r="P2381" t="inlineStr">
        <is>
          <t xml:space="preserve">xx </t>
        </is>
      </c>
      <c r="R2381" t="inlineStr">
        <is>
          <t xml:space="preserve">HQ </t>
        </is>
      </c>
      <c r="S2381" t="n">
        <v>14</v>
      </c>
      <c r="T2381" t="n">
        <v>14</v>
      </c>
      <c r="U2381" t="inlineStr">
        <is>
          <t>2002-09-14</t>
        </is>
      </c>
      <c r="V2381" t="inlineStr">
        <is>
          <t>2002-09-14</t>
        </is>
      </c>
      <c r="W2381" t="inlineStr">
        <is>
          <t>1991-12-13</t>
        </is>
      </c>
      <c r="X2381" t="inlineStr">
        <is>
          <t>1991-12-13</t>
        </is>
      </c>
      <c r="Y2381" t="n">
        <v>48</v>
      </c>
      <c r="Z2381" t="n">
        <v>44</v>
      </c>
      <c r="AA2381" t="n">
        <v>47</v>
      </c>
      <c r="AB2381" t="n">
        <v>2</v>
      </c>
      <c r="AC2381" t="n">
        <v>2</v>
      </c>
      <c r="AD2381" t="n">
        <v>8</v>
      </c>
      <c r="AE2381" t="n">
        <v>8</v>
      </c>
      <c r="AF2381" t="n">
        <v>1</v>
      </c>
      <c r="AG2381" t="n">
        <v>1</v>
      </c>
      <c r="AH2381" t="n">
        <v>3</v>
      </c>
      <c r="AI2381" t="n">
        <v>3</v>
      </c>
      <c r="AJ2381" t="n">
        <v>6</v>
      </c>
      <c r="AK2381" t="n">
        <v>6</v>
      </c>
      <c r="AL2381" t="n">
        <v>0</v>
      </c>
      <c r="AM2381" t="n">
        <v>0</v>
      </c>
      <c r="AN2381" t="n">
        <v>0</v>
      </c>
      <c r="AO2381" t="n">
        <v>0</v>
      </c>
      <c r="AP2381" t="inlineStr">
        <is>
          <t>No</t>
        </is>
      </c>
      <c r="AQ2381" t="inlineStr">
        <is>
          <t>No</t>
        </is>
      </c>
      <c r="AR2381">
        <f>HYPERLINK("http://catalog.hathitrust.org/Record/001586733","HathiTrust Record")</f>
        <v/>
      </c>
      <c r="AS2381">
        <f>HYPERLINK("https://creighton-primo.hosted.exlibrisgroup.com/primo-explore/search?tab=default_tab&amp;search_scope=EVERYTHING&amp;vid=01CRU&amp;lang=en_US&amp;offset=0&amp;query=any,contains,991002448399702656","Catalog Record")</f>
        <v/>
      </c>
      <c r="AT2381">
        <f>HYPERLINK("http://www.worldcat.org/oclc/352261","WorldCat Record")</f>
        <v/>
      </c>
      <c r="AU2381" t="inlineStr">
        <is>
          <t>9244686295:eng</t>
        </is>
      </c>
      <c r="AV2381" t="inlineStr">
        <is>
          <t>352261</t>
        </is>
      </c>
      <c r="AW2381" t="inlineStr">
        <is>
          <t>991002448399702656</t>
        </is>
      </c>
      <c r="AX2381" t="inlineStr">
        <is>
          <t>991002448399702656</t>
        </is>
      </c>
      <c r="AY2381" t="inlineStr">
        <is>
          <t>2265255340002656</t>
        </is>
      </c>
      <c r="AZ2381" t="inlineStr">
        <is>
          <t>BOOK</t>
        </is>
      </c>
      <c r="BC2381" t="inlineStr">
        <is>
          <t>32285000876432</t>
        </is>
      </c>
      <c r="BD2381" t="inlineStr">
        <is>
          <t>893232965</t>
        </is>
      </c>
    </row>
    <row r="2382">
      <c r="A2382" t="inlineStr">
        <is>
          <t>No</t>
        </is>
      </c>
      <c r="B2382" t="inlineStr">
        <is>
          <t>HQ767 .C57</t>
        </is>
      </c>
      <c r="C2382" t="inlineStr">
        <is>
          <t>0                      HQ 0767000C  57</t>
        </is>
      </c>
      <c r="D2382" t="inlineStr">
        <is>
          <t>The rights and wrongs of abortion / edited by Marshall Cohen, Thomas Nagel, and Thomas Scanlon ; contributors, John Finnis ... [et al.].</t>
        </is>
      </c>
      <c r="F2382" t="inlineStr">
        <is>
          <t>No</t>
        </is>
      </c>
      <c r="G2382" t="inlineStr">
        <is>
          <t>1</t>
        </is>
      </c>
      <c r="H2382" t="inlineStr">
        <is>
          <t>Yes</t>
        </is>
      </c>
      <c r="I2382" t="inlineStr">
        <is>
          <t>No</t>
        </is>
      </c>
      <c r="J2382" t="inlineStr">
        <is>
          <t>0</t>
        </is>
      </c>
      <c r="K2382" t="inlineStr">
        <is>
          <t>Cohen, Marshall compiler.</t>
        </is>
      </c>
      <c r="L2382" t="inlineStr">
        <is>
          <t>Princeton, N.J. : Princeton University Press, 1974.</t>
        </is>
      </c>
      <c r="M2382" t="inlineStr">
        <is>
          <t>1974</t>
        </is>
      </c>
      <c r="O2382" t="inlineStr">
        <is>
          <t>eng</t>
        </is>
      </c>
      <c r="P2382" t="inlineStr">
        <is>
          <t>nju</t>
        </is>
      </c>
      <c r="Q2382" t="inlineStr">
        <is>
          <t>A Philosophy &amp; public affairs reader</t>
        </is>
      </c>
      <c r="R2382" t="inlineStr">
        <is>
          <t xml:space="preserve">HQ </t>
        </is>
      </c>
      <c r="S2382" t="n">
        <v>34</v>
      </c>
      <c r="T2382" t="n">
        <v>35</v>
      </c>
      <c r="U2382" t="inlineStr">
        <is>
          <t>2008-03-12</t>
        </is>
      </c>
      <c r="V2382" t="inlineStr">
        <is>
          <t>2008-03-12</t>
        </is>
      </c>
      <c r="W2382" t="inlineStr">
        <is>
          <t>1991-12-10</t>
        </is>
      </c>
      <c r="X2382" t="inlineStr">
        <is>
          <t>1991-12-10</t>
        </is>
      </c>
      <c r="Y2382" t="n">
        <v>865</v>
      </c>
      <c r="Z2382" t="n">
        <v>687</v>
      </c>
      <c r="AA2382" t="n">
        <v>689</v>
      </c>
      <c r="AB2382" t="n">
        <v>6</v>
      </c>
      <c r="AC2382" t="n">
        <v>6</v>
      </c>
      <c r="AD2382" t="n">
        <v>34</v>
      </c>
      <c r="AE2382" t="n">
        <v>34</v>
      </c>
      <c r="AF2382" t="n">
        <v>6</v>
      </c>
      <c r="AG2382" t="n">
        <v>6</v>
      </c>
      <c r="AH2382" t="n">
        <v>7</v>
      </c>
      <c r="AI2382" t="n">
        <v>7</v>
      </c>
      <c r="AJ2382" t="n">
        <v>14</v>
      </c>
      <c r="AK2382" t="n">
        <v>14</v>
      </c>
      <c r="AL2382" t="n">
        <v>4</v>
      </c>
      <c r="AM2382" t="n">
        <v>4</v>
      </c>
      <c r="AN2382" t="n">
        <v>9</v>
      </c>
      <c r="AO2382" t="n">
        <v>9</v>
      </c>
      <c r="AP2382" t="inlineStr">
        <is>
          <t>No</t>
        </is>
      </c>
      <c r="AQ2382" t="inlineStr">
        <is>
          <t>No</t>
        </is>
      </c>
      <c r="AS2382">
        <f>HYPERLINK("https://creighton-primo.hosted.exlibrisgroup.com/primo-explore/search?tab=default_tab&amp;search_scope=EVERYTHING&amp;vid=01CRU&amp;lang=en_US&amp;offset=0&amp;query=any,contains,991001693209702656","Catalog Record")</f>
        <v/>
      </c>
      <c r="AT2382">
        <f>HYPERLINK("http://www.worldcat.org/oclc/1094707","WorldCat Record")</f>
        <v/>
      </c>
      <c r="AU2382" t="inlineStr">
        <is>
          <t>350548486:eng</t>
        </is>
      </c>
      <c r="AV2382" t="inlineStr">
        <is>
          <t>1094707</t>
        </is>
      </c>
      <c r="AW2382" t="inlineStr">
        <is>
          <t>991001693209702656</t>
        </is>
      </c>
      <c r="AX2382" t="inlineStr">
        <is>
          <t>991001693209702656</t>
        </is>
      </c>
      <c r="AY2382" t="inlineStr">
        <is>
          <t>2265246300002656</t>
        </is>
      </c>
      <c r="AZ2382" t="inlineStr">
        <is>
          <t>BOOK</t>
        </is>
      </c>
      <c r="BC2382" t="inlineStr">
        <is>
          <t>32285000837806</t>
        </is>
      </c>
      <c r="BD2382" t="inlineStr">
        <is>
          <t>893522752</t>
        </is>
      </c>
    </row>
    <row r="2383">
      <c r="A2383" t="inlineStr">
        <is>
          <t>No</t>
        </is>
      </c>
      <c r="B2383" t="inlineStr">
        <is>
          <t>HQ767 .D4</t>
        </is>
      </c>
      <c r="C2383" t="inlineStr">
        <is>
          <t>0                      HQ 0767000D  4</t>
        </is>
      </c>
      <c r="D2383" t="inlineStr">
        <is>
          <t>Human life : some moral issues / [by] John F. Dedek.</t>
        </is>
      </c>
      <c r="F2383" t="inlineStr">
        <is>
          <t>No</t>
        </is>
      </c>
      <c r="G2383" t="inlineStr">
        <is>
          <t>1</t>
        </is>
      </c>
      <c r="H2383" t="inlineStr">
        <is>
          <t>No</t>
        </is>
      </c>
      <c r="I2383" t="inlineStr">
        <is>
          <t>No</t>
        </is>
      </c>
      <c r="J2383" t="inlineStr">
        <is>
          <t>0</t>
        </is>
      </c>
      <c r="K2383" t="inlineStr">
        <is>
          <t>Dedek, John F., 1929-</t>
        </is>
      </c>
      <c r="L2383" t="inlineStr">
        <is>
          <t>New York : Sheed &amp; Ward, [1972]</t>
        </is>
      </c>
      <c r="M2383" t="inlineStr">
        <is>
          <t>1972</t>
        </is>
      </c>
      <c r="O2383" t="inlineStr">
        <is>
          <t>eng</t>
        </is>
      </c>
      <c r="P2383" t="inlineStr">
        <is>
          <t>nyu</t>
        </is>
      </c>
      <c r="R2383" t="inlineStr">
        <is>
          <t xml:space="preserve">HQ </t>
        </is>
      </c>
      <c r="S2383" t="n">
        <v>27</v>
      </c>
      <c r="T2383" t="n">
        <v>27</v>
      </c>
      <c r="U2383" t="inlineStr">
        <is>
          <t>2005-07-05</t>
        </is>
      </c>
      <c r="V2383" t="inlineStr">
        <is>
          <t>2005-07-05</t>
        </is>
      </c>
      <c r="W2383" t="inlineStr">
        <is>
          <t>1992-03-18</t>
        </is>
      </c>
      <c r="X2383" t="inlineStr">
        <is>
          <t>1992-03-18</t>
        </is>
      </c>
      <c r="Y2383" t="n">
        <v>303</v>
      </c>
      <c r="Z2383" t="n">
        <v>270</v>
      </c>
      <c r="AA2383" t="n">
        <v>276</v>
      </c>
      <c r="AB2383" t="n">
        <v>4</v>
      </c>
      <c r="AC2383" t="n">
        <v>4</v>
      </c>
      <c r="AD2383" t="n">
        <v>21</v>
      </c>
      <c r="AE2383" t="n">
        <v>21</v>
      </c>
      <c r="AF2383" t="n">
        <v>6</v>
      </c>
      <c r="AG2383" t="n">
        <v>6</v>
      </c>
      <c r="AH2383" t="n">
        <v>6</v>
      </c>
      <c r="AI2383" t="n">
        <v>6</v>
      </c>
      <c r="AJ2383" t="n">
        <v>13</v>
      </c>
      <c r="AK2383" t="n">
        <v>13</v>
      </c>
      <c r="AL2383" t="n">
        <v>1</v>
      </c>
      <c r="AM2383" t="n">
        <v>1</v>
      </c>
      <c r="AN2383" t="n">
        <v>1</v>
      </c>
      <c r="AO2383" t="n">
        <v>1</v>
      </c>
      <c r="AP2383" t="inlineStr">
        <is>
          <t>No</t>
        </is>
      </c>
      <c r="AQ2383" t="inlineStr">
        <is>
          <t>No</t>
        </is>
      </c>
      <c r="AS2383">
        <f>HYPERLINK("https://creighton-primo.hosted.exlibrisgroup.com/primo-explore/search?tab=default_tab&amp;search_scope=EVERYTHING&amp;vid=01CRU&amp;lang=en_US&amp;offset=0&amp;query=any,contains,991001286619702656","Catalog Record")</f>
        <v/>
      </c>
      <c r="AT2383">
        <f>HYPERLINK("http://www.worldcat.org/oclc/216566","WorldCat Record")</f>
        <v/>
      </c>
      <c r="AU2383" t="inlineStr">
        <is>
          <t>1307646:eng</t>
        </is>
      </c>
      <c r="AV2383" t="inlineStr">
        <is>
          <t>216566</t>
        </is>
      </c>
      <c r="AW2383" t="inlineStr">
        <is>
          <t>991001286619702656</t>
        </is>
      </c>
      <c r="AX2383" t="inlineStr">
        <is>
          <t>991001286619702656</t>
        </is>
      </c>
      <c r="AY2383" t="inlineStr">
        <is>
          <t>2257186820002656</t>
        </is>
      </c>
      <c r="AZ2383" t="inlineStr">
        <is>
          <t>BOOK</t>
        </is>
      </c>
      <c r="BB2383" t="inlineStr">
        <is>
          <t>9780836211009</t>
        </is>
      </c>
      <c r="BC2383" t="inlineStr">
        <is>
          <t>32285001005858</t>
        </is>
      </c>
      <c r="BD2383" t="inlineStr">
        <is>
          <t>893334225</t>
        </is>
      </c>
    </row>
    <row r="2384">
      <c r="A2384" t="inlineStr">
        <is>
          <t>No</t>
        </is>
      </c>
      <c r="B2384" t="inlineStr">
        <is>
          <t>HQ767 .G37 1972b</t>
        </is>
      </c>
      <c r="C2384" t="inlineStr">
        <is>
          <t>0                      HQ 0767000G  37          1972b</t>
        </is>
      </c>
      <c r="D2384" t="inlineStr">
        <is>
          <t>Abortion : the personal dilemma : a Christian gynaecologist examines the medical, social, and spiritual issues / by R. F. R. Gardner. With a foreword by J. A. Stallworthy.</t>
        </is>
      </c>
      <c r="F2384" t="inlineStr">
        <is>
          <t>No</t>
        </is>
      </c>
      <c r="G2384" t="inlineStr">
        <is>
          <t>1</t>
        </is>
      </c>
      <c r="H2384" t="inlineStr">
        <is>
          <t>No</t>
        </is>
      </c>
      <c r="I2384" t="inlineStr">
        <is>
          <t>No</t>
        </is>
      </c>
      <c r="J2384" t="inlineStr">
        <is>
          <t>0</t>
        </is>
      </c>
      <c r="K2384" t="inlineStr">
        <is>
          <t>Gardner, R. F. R. (Reginald Frank Robert)</t>
        </is>
      </c>
      <c r="L2384" t="inlineStr">
        <is>
          <t>Grand Rapids : Eerdmans, [1972]</t>
        </is>
      </c>
      <c r="M2384" t="inlineStr">
        <is>
          <t>1972</t>
        </is>
      </c>
      <c r="N2384" t="inlineStr">
        <is>
          <t>[1st American ed.]</t>
        </is>
      </c>
      <c r="O2384" t="inlineStr">
        <is>
          <t>eng</t>
        </is>
      </c>
      <c r="P2384" t="inlineStr">
        <is>
          <t>miu</t>
        </is>
      </c>
      <c r="R2384" t="inlineStr">
        <is>
          <t xml:space="preserve">HQ </t>
        </is>
      </c>
      <c r="S2384" t="n">
        <v>14</v>
      </c>
      <c r="T2384" t="n">
        <v>14</v>
      </c>
      <c r="U2384" t="inlineStr">
        <is>
          <t>2009-04-02</t>
        </is>
      </c>
      <c r="V2384" t="inlineStr">
        <is>
          <t>2009-04-02</t>
        </is>
      </c>
      <c r="W2384" t="inlineStr">
        <is>
          <t>1991-10-18</t>
        </is>
      </c>
      <c r="X2384" t="inlineStr">
        <is>
          <t>1991-10-18</t>
        </is>
      </c>
      <c r="Y2384" t="n">
        <v>668</v>
      </c>
      <c r="Z2384" t="n">
        <v>611</v>
      </c>
      <c r="AA2384" t="n">
        <v>731</v>
      </c>
      <c r="AB2384" t="n">
        <v>7</v>
      </c>
      <c r="AC2384" t="n">
        <v>8</v>
      </c>
      <c r="AD2384" t="n">
        <v>21</v>
      </c>
      <c r="AE2384" t="n">
        <v>24</v>
      </c>
      <c r="AF2384" t="n">
        <v>9</v>
      </c>
      <c r="AG2384" t="n">
        <v>9</v>
      </c>
      <c r="AH2384" t="n">
        <v>5</v>
      </c>
      <c r="AI2384" t="n">
        <v>6</v>
      </c>
      <c r="AJ2384" t="n">
        <v>8</v>
      </c>
      <c r="AK2384" t="n">
        <v>11</v>
      </c>
      <c r="AL2384" t="n">
        <v>3</v>
      </c>
      <c r="AM2384" t="n">
        <v>3</v>
      </c>
      <c r="AN2384" t="n">
        <v>0</v>
      </c>
      <c r="AO2384" t="n">
        <v>0</v>
      </c>
      <c r="AP2384" t="inlineStr">
        <is>
          <t>No</t>
        </is>
      </c>
      <c r="AQ2384" t="inlineStr">
        <is>
          <t>Yes</t>
        </is>
      </c>
      <c r="AR2384">
        <f>HYPERLINK("http://catalog.hathitrust.org/Record/001110047","HathiTrust Record")</f>
        <v/>
      </c>
      <c r="AS2384">
        <f>HYPERLINK("https://creighton-primo.hosted.exlibrisgroup.com/primo-explore/search?tab=default_tab&amp;search_scope=EVERYTHING&amp;vid=01CRU&amp;lang=en_US&amp;offset=0&amp;query=any,contains,991003583889702656","Catalog Record")</f>
        <v/>
      </c>
      <c r="AT2384">
        <f>HYPERLINK("http://www.worldcat.org/oclc/1164839","WorldCat Record")</f>
        <v/>
      </c>
      <c r="AU2384" t="inlineStr">
        <is>
          <t>233571939:eng</t>
        </is>
      </c>
      <c r="AV2384" t="inlineStr">
        <is>
          <t>1164839</t>
        </is>
      </c>
      <c r="AW2384" t="inlineStr">
        <is>
          <t>991003583889702656</t>
        </is>
      </c>
      <c r="AX2384" t="inlineStr">
        <is>
          <t>991003583889702656</t>
        </is>
      </c>
      <c r="AY2384" t="inlineStr">
        <is>
          <t>2262942310002656</t>
        </is>
      </c>
      <c r="AZ2384" t="inlineStr">
        <is>
          <t>BOOK</t>
        </is>
      </c>
      <c r="BB2384" t="inlineStr">
        <is>
          <t>9780802834140</t>
        </is>
      </c>
      <c r="BC2384" t="inlineStr">
        <is>
          <t>32285000775030</t>
        </is>
      </c>
      <c r="BD2384" t="inlineStr">
        <is>
          <t>893422725</t>
        </is>
      </c>
    </row>
    <row r="2385">
      <c r="A2385" t="inlineStr">
        <is>
          <t>No</t>
        </is>
      </c>
      <c r="B2385" t="inlineStr">
        <is>
          <t>HQ767 .G62 1982b</t>
        </is>
      </c>
      <c r="C2385" t="inlineStr">
        <is>
          <t>0                      HQ 0767000G  62          1982b</t>
        </is>
      </c>
      <c r="D2385" t="inlineStr">
        <is>
          <t>Abortion &amp; the early church : Christian, Jewish &amp; pagan attitudes in the Greco-Roman world / Michael J. Gorman.</t>
        </is>
      </c>
      <c r="F2385" t="inlineStr">
        <is>
          <t>No</t>
        </is>
      </c>
      <c r="G2385" t="inlineStr">
        <is>
          <t>1</t>
        </is>
      </c>
      <c r="H2385" t="inlineStr">
        <is>
          <t>No</t>
        </is>
      </c>
      <c r="I2385" t="inlineStr">
        <is>
          <t>No</t>
        </is>
      </c>
      <c r="J2385" t="inlineStr">
        <is>
          <t>0</t>
        </is>
      </c>
      <c r="K2385" t="inlineStr">
        <is>
          <t>Gorman, Michael J., 1955-</t>
        </is>
      </c>
      <c r="L2385" t="inlineStr">
        <is>
          <t>New York, N.Y. : Paulist Press, c1982.</t>
        </is>
      </c>
      <c r="M2385" t="inlineStr">
        <is>
          <t>1982</t>
        </is>
      </c>
      <c r="O2385" t="inlineStr">
        <is>
          <t>eng</t>
        </is>
      </c>
      <c r="P2385" t="inlineStr">
        <is>
          <t>nyu</t>
        </is>
      </c>
      <c r="R2385" t="inlineStr">
        <is>
          <t xml:space="preserve">HQ </t>
        </is>
      </c>
      <c r="S2385" t="n">
        <v>17</v>
      </c>
      <c r="T2385" t="n">
        <v>17</v>
      </c>
      <c r="U2385" t="inlineStr">
        <is>
          <t>2009-11-30</t>
        </is>
      </c>
      <c r="V2385" t="inlineStr">
        <is>
          <t>2009-11-30</t>
        </is>
      </c>
      <c r="W2385" t="inlineStr">
        <is>
          <t>1991-12-13</t>
        </is>
      </c>
      <c r="X2385" t="inlineStr">
        <is>
          <t>1991-12-13</t>
        </is>
      </c>
      <c r="Y2385" t="n">
        <v>226</v>
      </c>
      <c r="Z2385" t="n">
        <v>212</v>
      </c>
      <c r="AA2385" t="n">
        <v>543</v>
      </c>
      <c r="AB2385" t="n">
        <v>4</v>
      </c>
      <c r="AC2385" t="n">
        <v>7</v>
      </c>
      <c r="AD2385" t="n">
        <v>15</v>
      </c>
      <c r="AE2385" t="n">
        <v>31</v>
      </c>
      <c r="AF2385" t="n">
        <v>5</v>
      </c>
      <c r="AG2385" t="n">
        <v>10</v>
      </c>
      <c r="AH2385" t="n">
        <v>3</v>
      </c>
      <c r="AI2385" t="n">
        <v>7</v>
      </c>
      <c r="AJ2385" t="n">
        <v>8</v>
      </c>
      <c r="AK2385" t="n">
        <v>16</v>
      </c>
      <c r="AL2385" t="n">
        <v>2</v>
      </c>
      <c r="AM2385" t="n">
        <v>5</v>
      </c>
      <c r="AN2385" t="n">
        <v>0</v>
      </c>
      <c r="AO2385" t="n">
        <v>0</v>
      </c>
      <c r="AP2385" t="inlineStr">
        <is>
          <t>No</t>
        </is>
      </c>
      <c r="AQ2385" t="inlineStr">
        <is>
          <t>No</t>
        </is>
      </c>
      <c r="AS2385">
        <f>HYPERLINK("https://creighton-primo.hosted.exlibrisgroup.com/primo-explore/search?tab=default_tab&amp;search_scope=EVERYTHING&amp;vid=01CRU&amp;lang=en_US&amp;offset=0&amp;query=any,contains,991000086709702656","Catalog Record")</f>
        <v/>
      </c>
      <c r="AT2385">
        <f>HYPERLINK("http://www.worldcat.org/oclc/8866470","WorldCat Record")</f>
        <v/>
      </c>
      <c r="AU2385" t="inlineStr">
        <is>
          <t>32480453:eng</t>
        </is>
      </c>
      <c r="AV2385" t="inlineStr">
        <is>
          <t>8866470</t>
        </is>
      </c>
      <c r="AW2385" t="inlineStr">
        <is>
          <t>991000086709702656</t>
        </is>
      </c>
      <c r="AX2385" t="inlineStr">
        <is>
          <t>991000086709702656</t>
        </is>
      </c>
      <c r="AY2385" t="inlineStr">
        <is>
          <t>2262496330002656</t>
        </is>
      </c>
      <c r="AZ2385" t="inlineStr">
        <is>
          <t>BOOK</t>
        </is>
      </c>
      <c r="BB2385" t="inlineStr">
        <is>
          <t>9780809125111</t>
        </is>
      </c>
      <c r="BC2385" t="inlineStr">
        <is>
          <t>32285000895564</t>
        </is>
      </c>
      <c r="BD2385" t="inlineStr">
        <is>
          <t>893406914</t>
        </is>
      </c>
    </row>
    <row r="2386">
      <c r="A2386" t="inlineStr">
        <is>
          <t>No</t>
        </is>
      </c>
      <c r="B2386" t="inlineStr">
        <is>
          <t>HQ767 .G65</t>
        </is>
      </c>
      <c r="C2386" t="inlineStr">
        <is>
          <t>0                      HQ 0767000G  65</t>
        </is>
      </c>
      <c r="D2386" t="inlineStr">
        <is>
          <t>The abortion decision.</t>
        </is>
      </c>
      <c r="F2386" t="inlineStr">
        <is>
          <t>No</t>
        </is>
      </c>
      <c r="G2386" t="inlineStr">
        <is>
          <t>1</t>
        </is>
      </c>
      <c r="H2386" t="inlineStr">
        <is>
          <t>No</t>
        </is>
      </c>
      <c r="I2386" t="inlineStr">
        <is>
          <t>No</t>
        </is>
      </c>
      <c r="J2386" t="inlineStr">
        <is>
          <t>0</t>
        </is>
      </c>
      <c r="K2386" t="inlineStr">
        <is>
          <t>Granfield, David.</t>
        </is>
      </c>
      <c r="L2386" t="inlineStr">
        <is>
          <t>Garden City, N.Y. : Doubleday, 1969.</t>
        </is>
      </c>
      <c r="M2386" t="inlineStr">
        <is>
          <t>1969</t>
        </is>
      </c>
      <c r="N2386" t="inlineStr">
        <is>
          <t>[1st ed.]</t>
        </is>
      </c>
      <c r="O2386" t="inlineStr">
        <is>
          <t>eng</t>
        </is>
      </c>
      <c r="P2386" t="inlineStr">
        <is>
          <t>nyu</t>
        </is>
      </c>
      <c r="R2386" t="inlineStr">
        <is>
          <t xml:space="preserve">HQ </t>
        </is>
      </c>
      <c r="S2386" t="n">
        <v>8</v>
      </c>
      <c r="T2386" t="n">
        <v>8</v>
      </c>
      <c r="U2386" t="inlineStr">
        <is>
          <t>2000-11-06</t>
        </is>
      </c>
      <c r="V2386" t="inlineStr">
        <is>
          <t>2000-11-06</t>
        </is>
      </c>
      <c r="W2386" t="inlineStr">
        <is>
          <t>1991-09-06</t>
        </is>
      </c>
      <c r="X2386" t="inlineStr">
        <is>
          <t>1991-09-06</t>
        </is>
      </c>
      <c r="Y2386" t="n">
        <v>567</v>
      </c>
      <c r="Z2386" t="n">
        <v>510</v>
      </c>
      <c r="AA2386" t="n">
        <v>558</v>
      </c>
      <c r="AB2386" t="n">
        <v>7</v>
      </c>
      <c r="AC2386" t="n">
        <v>8</v>
      </c>
      <c r="AD2386" t="n">
        <v>28</v>
      </c>
      <c r="AE2386" t="n">
        <v>32</v>
      </c>
      <c r="AF2386" t="n">
        <v>5</v>
      </c>
      <c r="AG2386" t="n">
        <v>6</v>
      </c>
      <c r="AH2386" t="n">
        <v>5</v>
      </c>
      <c r="AI2386" t="n">
        <v>5</v>
      </c>
      <c r="AJ2386" t="n">
        <v>13</v>
      </c>
      <c r="AK2386" t="n">
        <v>14</v>
      </c>
      <c r="AL2386" t="n">
        <v>4</v>
      </c>
      <c r="AM2386" t="n">
        <v>5</v>
      </c>
      <c r="AN2386" t="n">
        <v>5</v>
      </c>
      <c r="AO2386" t="n">
        <v>6</v>
      </c>
      <c r="AP2386" t="inlineStr">
        <is>
          <t>No</t>
        </is>
      </c>
      <c r="AQ2386" t="inlineStr">
        <is>
          <t>Yes</t>
        </is>
      </c>
      <c r="AR2386">
        <f>HYPERLINK("http://catalog.hathitrust.org/Record/000000068","HathiTrust Record")</f>
        <v/>
      </c>
      <c r="AS2386">
        <f>HYPERLINK("https://creighton-primo.hosted.exlibrisgroup.com/primo-explore/search?tab=default_tab&amp;search_scope=EVERYTHING&amp;vid=01CRU&amp;lang=en_US&amp;offset=0&amp;query=any,contains,991005436419702656","Catalog Record")</f>
        <v/>
      </c>
      <c r="AT2386">
        <f>HYPERLINK("http://www.worldcat.org/oclc/4376","WorldCat Record")</f>
        <v/>
      </c>
      <c r="AU2386" t="inlineStr">
        <is>
          <t>1127871:eng</t>
        </is>
      </c>
      <c r="AV2386" t="inlineStr">
        <is>
          <t>4376</t>
        </is>
      </c>
      <c r="AW2386" t="inlineStr">
        <is>
          <t>991005436419702656</t>
        </is>
      </c>
      <c r="AX2386" t="inlineStr">
        <is>
          <t>991005436419702656</t>
        </is>
      </c>
      <c r="AY2386" t="inlineStr">
        <is>
          <t>2266246370002656</t>
        </is>
      </c>
      <c r="AZ2386" t="inlineStr">
        <is>
          <t>BOOK</t>
        </is>
      </c>
      <c r="BC2386" t="inlineStr">
        <is>
          <t>32285000733906</t>
        </is>
      </c>
      <c r="BD2386" t="inlineStr">
        <is>
          <t>893320642</t>
        </is>
      </c>
    </row>
    <row r="2387">
      <c r="A2387" t="inlineStr">
        <is>
          <t>No</t>
        </is>
      </c>
      <c r="B2387" t="inlineStr">
        <is>
          <t>HQ767 .G688</t>
        </is>
      </c>
      <c r="C2387" t="inlineStr">
        <is>
          <t>0                      HQ 0767000G  688</t>
        </is>
      </c>
      <c r="D2387" t="inlineStr">
        <is>
          <t>Abortion : the myths, the realities, and the arguments / [by] Germain G. Grisez.</t>
        </is>
      </c>
      <c r="F2387" t="inlineStr">
        <is>
          <t>No</t>
        </is>
      </c>
      <c r="G2387" t="inlineStr">
        <is>
          <t>1</t>
        </is>
      </c>
      <c r="H2387" t="inlineStr">
        <is>
          <t>No</t>
        </is>
      </c>
      <c r="I2387" t="inlineStr">
        <is>
          <t>No</t>
        </is>
      </c>
      <c r="J2387" t="inlineStr">
        <is>
          <t>0</t>
        </is>
      </c>
      <c r="K2387" t="inlineStr">
        <is>
          <t>Grisez, Germain Gabriel, 1929-2018.</t>
        </is>
      </c>
      <c r="L2387" t="inlineStr">
        <is>
          <t>New York : Corpus Books, [c1970]</t>
        </is>
      </c>
      <c r="M2387" t="inlineStr">
        <is>
          <t>1970</t>
        </is>
      </c>
      <c r="O2387" t="inlineStr">
        <is>
          <t>eng</t>
        </is>
      </c>
      <c r="P2387" t="inlineStr">
        <is>
          <t>nyu</t>
        </is>
      </c>
      <c r="R2387" t="inlineStr">
        <is>
          <t xml:space="preserve">HQ </t>
        </is>
      </c>
      <c r="S2387" t="n">
        <v>41</v>
      </c>
      <c r="T2387" t="n">
        <v>41</v>
      </c>
      <c r="U2387" t="inlineStr">
        <is>
          <t>2009-12-07</t>
        </is>
      </c>
      <c r="V2387" t="inlineStr">
        <is>
          <t>2009-12-07</t>
        </is>
      </c>
      <c r="W2387" t="inlineStr">
        <is>
          <t>1992-03-30</t>
        </is>
      </c>
      <c r="X2387" t="inlineStr">
        <is>
          <t>1992-03-30</t>
        </is>
      </c>
      <c r="Y2387" t="n">
        <v>417</v>
      </c>
      <c r="Z2387" t="n">
        <v>350</v>
      </c>
      <c r="AA2387" t="n">
        <v>352</v>
      </c>
      <c r="AB2387" t="n">
        <v>5</v>
      </c>
      <c r="AC2387" t="n">
        <v>5</v>
      </c>
      <c r="AD2387" t="n">
        <v>29</v>
      </c>
      <c r="AE2387" t="n">
        <v>29</v>
      </c>
      <c r="AF2387" t="n">
        <v>7</v>
      </c>
      <c r="AG2387" t="n">
        <v>7</v>
      </c>
      <c r="AH2387" t="n">
        <v>7</v>
      </c>
      <c r="AI2387" t="n">
        <v>7</v>
      </c>
      <c r="AJ2387" t="n">
        <v>15</v>
      </c>
      <c r="AK2387" t="n">
        <v>15</v>
      </c>
      <c r="AL2387" t="n">
        <v>1</v>
      </c>
      <c r="AM2387" t="n">
        <v>1</v>
      </c>
      <c r="AN2387" t="n">
        <v>6</v>
      </c>
      <c r="AO2387" t="n">
        <v>6</v>
      </c>
      <c r="AP2387" t="inlineStr">
        <is>
          <t>No</t>
        </is>
      </c>
      <c r="AQ2387" t="inlineStr">
        <is>
          <t>No</t>
        </is>
      </c>
      <c r="AS2387">
        <f>HYPERLINK("https://creighton-primo.hosted.exlibrisgroup.com/primo-explore/search?tab=default_tab&amp;search_scope=EVERYTHING&amp;vid=01CRU&amp;lang=en_US&amp;offset=0&amp;query=any,contains,991005348659702656","Catalog Record")</f>
        <v/>
      </c>
      <c r="AT2387">
        <f>HYPERLINK("http://www.worldcat.org/oclc/122392","WorldCat Record")</f>
        <v/>
      </c>
      <c r="AU2387" t="inlineStr">
        <is>
          <t>283897402:eng</t>
        </is>
      </c>
      <c r="AV2387" t="inlineStr">
        <is>
          <t>122392</t>
        </is>
      </c>
      <c r="AW2387" t="inlineStr">
        <is>
          <t>991005348659702656</t>
        </is>
      </c>
      <c r="AX2387" t="inlineStr">
        <is>
          <t>991005348659702656</t>
        </is>
      </c>
      <c r="AY2387" t="inlineStr">
        <is>
          <t>2260892280002656</t>
        </is>
      </c>
      <c r="AZ2387" t="inlineStr">
        <is>
          <t>BOOK</t>
        </is>
      </c>
      <c r="BC2387" t="inlineStr">
        <is>
          <t>32285001008563</t>
        </is>
      </c>
      <c r="BD2387" t="inlineStr">
        <is>
          <t>893720205</t>
        </is>
      </c>
    </row>
    <row r="2388">
      <c r="A2388" t="inlineStr">
        <is>
          <t>No</t>
        </is>
      </c>
      <c r="B2388" t="inlineStr">
        <is>
          <t>HQ767 .I668 1988</t>
        </is>
      </c>
      <c r="C2388" t="inlineStr">
        <is>
          <t>0                      HQ 0767000I  668         1988</t>
        </is>
      </c>
      <c r="D2388" t="inlineStr">
        <is>
          <t>International handbook on abortion / edited by Paul Sachdev.</t>
        </is>
      </c>
      <c r="F2388" t="inlineStr">
        <is>
          <t>No</t>
        </is>
      </c>
      <c r="G2388" t="inlineStr">
        <is>
          <t>1</t>
        </is>
      </c>
      <c r="H2388" t="inlineStr">
        <is>
          <t>No</t>
        </is>
      </c>
      <c r="I2388" t="inlineStr">
        <is>
          <t>No</t>
        </is>
      </c>
      <c r="J2388" t="inlineStr">
        <is>
          <t>0</t>
        </is>
      </c>
      <c r="L2388" t="inlineStr">
        <is>
          <t>New York : Greenwood Press, 1988.</t>
        </is>
      </c>
      <c r="M2388" t="inlineStr">
        <is>
          <t>1988</t>
        </is>
      </c>
      <c r="O2388" t="inlineStr">
        <is>
          <t>eng</t>
        </is>
      </c>
      <c r="P2388" t="inlineStr">
        <is>
          <t>nyu</t>
        </is>
      </c>
      <c r="R2388" t="inlineStr">
        <is>
          <t xml:space="preserve">HQ </t>
        </is>
      </c>
      <c r="S2388" t="n">
        <v>24</v>
      </c>
      <c r="T2388" t="n">
        <v>24</v>
      </c>
      <c r="U2388" t="inlineStr">
        <is>
          <t>2003-04-01</t>
        </is>
      </c>
      <c r="V2388" t="inlineStr">
        <is>
          <t>2003-04-01</t>
        </is>
      </c>
      <c r="W2388" t="inlineStr">
        <is>
          <t>1990-02-14</t>
        </is>
      </c>
      <c r="X2388" t="inlineStr">
        <is>
          <t>1990-02-14</t>
        </is>
      </c>
      <c r="Y2388" t="n">
        <v>666</v>
      </c>
      <c r="Z2388" t="n">
        <v>564</v>
      </c>
      <c r="AA2388" t="n">
        <v>570</v>
      </c>
      <c r="AB2388" t="n">
        <v>5</v>
      </c>
      <c r="AC2388" t="n">
        <v>5</v>
      </c>
      <c r="AD2388" t="n">
        <v>24</v>
      </c>
      <c r="AE2388" t="n">
        <v>24</v>
      </c>
      <c r="AF2388" t="n">
        <v>5</v>
      </c>
      <c r="AG2388" t="n">
        <v>5</v>
      </c>
      <c r="AH2388" t="n">
        <v>3</v>
      </c>
      <c r="AI2388" t="n">
        <v>3</v>
      </c>
      <c r="AJ2388" t="n">
        <v>11</v>
      </c>
      <c r="AK2388" t="n">
        <v>11</v>
      </c>
      <c r="AL2388" t="n">
        <v>3</v>
      </c>
      <c r="AM2388" t="n">
        <v>3</v>
      </c>
      <c r="AN2388" t="n">
        <v>5</v>
      </c>
      <c r="AO2388" t="n">
        <v>5</v>
      </c>
      <c r="AP2388" t="inlineStr">
        <is>
          <t>No</t>
        </is>
      </c>
      <c r="AQ2388" t="inlineStr">
        <is>
          <t>No</t>
        </is>
      </c>
      <c r="AS2388">
        <f>HYPERLINK("https://creighton-primo.hosted.exlibrisgroup.com/primo-explore/search?tab=default_tab&amp;search_scope=EVERYTHING&amp;vid=01CRU&amp;lang=en_US&amp;offset=0&amp;query=any,contains,991001055779702656","Catalog Record")</f>
        <v/>
      </c>
      <c r="AT2388">
        <f>HYPERLINK("http://www.worldcat.org/oclc/15696142","WorldCat Record")</f>
        <v/>
      </c>
      <c r="AU2388" t="inlineStr">
        <is>
          <t>2603487:eng</t>
        </is>
      </c>
      <c r="AV2388" t="inlineStr">
        <is>
          <t>15696142</t>
        </is>
      </c>
      <c r="AW2388" t="inlineStr">
        <is>
          <t>991001055779702656</t>
        </is>
      </c>
      <c r="AX2388" t="inlineStr">
        <is>
          <t>991001055779702656</t>
        </is>
      </c>
      <c r="AY2388" t="inlineStr">
        <is>
          <t>2259916260002656</t>
        </is>
      </c>
      <c r="AZ2388" t="inlineStr">
        <is>
          <t>BOOK</t>
        </is>
      </c>
      <c r="BB2388" t="inlineStr">
        <is>
          <t>9780313234637</t>
        </is>
      </c>
      <c r="BC2388" t="inlineStr">
        <is>
          <t>32285000053271</t>
        </is>
      </c>
      <c r="BD2388" t="inlineStr">
        <is>
          <t>893865923</t>
        </is>
      </c>
    </row>
    <row r="2389">
      <c r="A2389" t="inlineStr">
        <is>
          <t>No</t>
        </is>
      </c>
      <c r="B2389" t="inlineStr">
        <is>
          <t>HQ767 .J32 1990</t>
        </is>
      </c>
      <c r="C2389" t="inlineStr">
        <is>
          <t>0                      HQ 0767000J  32          1990</t>
        </is>
      </c>
      <c r="D2389" t="inlineStr">
        <is>
          <t>The global politics of abortion / Jodi L. Jacobson.</t>
        </is>
      </c>
      <c r="F2389" t="inlineStr">
        <is>
          <t>No</t>
        </is>
      </c>
      <c r="G2389" t="inlineStr">
        <is>
          <t>1</t>
        </is>
      </c>
      <c r="H2389" t="inlineStr">
        <is>
          <t>No</t>
        </is>
      </c>
      <c r="I2389" t="inlineStr">
        <is>
          <t>No</t>
        </is>
      </c>
      <c r="J2389" t="inlineStr">
        <is>
          <t>0</t>
        </is>
      </c>
      <c r="K2389" t="inlineStr">
        <is>
          <t>Jacobson, Jodi L.</t>
        </is>
      </c>
      <c r="L2389" t="inlineStr">
        <is>
          <t>Washington, D.C. : Worldwatch Institute, 1990.</t>
        </is>
      </c>
      <c r="M2389" t="inlineStr">
        <is>
          <t>1990</t>
        </is>
      </c>
      <c r="O2389" t="inlineStr">
        <is>
          <t>eng</t>
        </is>
      </c>
      <c r="P2389" t="inlineStr">
        <is>
          <t>dcu</t>
        </is>
      </c>
      <c r="Q2389" t="inlineStr">
        <is>
          <t>Worldwatch paper ; 97</t>
        </is>
      </c>
      <c r="R2389" t="inlineStr">
        <is>
          <t xml:space="preserve">HQ </t>
        </is>
      </c>
      <c r="S2389" t="n">
        <v>17</v>
      </c>
      <c r="T2389" t="n">
        <v>17</v>
      </c>
      <c r="U2389" t="inlineStr">
        <is>
          <t>2001-12-09</t>
        </is>
      </c>
      <c r="V2389" t="inlineStr">
        <is>
          <t>2001-12-09</t>
        </is>
      </c>
      <c r="W2389" t="inlineStr">
        <is>
          <t>1990-10-12</t>
        </is>
      </c>
      <c r="X2389" t="inlineStr">
        <is>
          <t>1990-10-12</t>
        </is>
      </c>
      <c r="Y2389" t="n">
        <v>505</v>
      </c>
      <c r="Z2389" t="n">
        <v>430</v>
      </c>
      <c r="AA2389" t="n">
        <v>432</v>
      </c>
      <c r="AB2389" t="n">
        <v>5</v>
      </c>
      <c r="AC2389" t="n">
        <v>5</v>
      </c>
      <c r="AD2389" t="n">
        <v>20</v>
      </c>
      <c r="AE2389" t="n">
        <v>20</v>
      </c>
      <c r="AF2389" t="n">
        <v>5</v>
      </c>
      <c r="AG2389" t="n">
        <v>5</v>
      </c>
      <c r="AH2389" t="n">
        <v>4</v>
      </c>
      <c r="AI2389" t="n">
        <v>4</v>
      </c>
      <c r="AJ2389" t="n">
        <v>9</v>
      </c>
      <c r="AK2389" t="n">
        <v>9</v>
      </c>
      <c r="AL2389" t="n">
        <v>4</v>
      </c>
      <c r="AM2389" t="n">
        <v>4</v>
      </c>
      <c r="AN2389" t="n">
        <v>2</v>
      </c>
      <c r="AO2389" t="n">
        <v>2</v>
      </c>
      <c r="AP2389" t="inlineStr">
        <is>
          <t>No</t>
        </is>
      </c>
      <c r="AQ2389" t="inlineStr">
        <is>
          <t>Yes</t>
        </is>
      </c>
      <c r="AR2389">
        <f>HYPERLINK("http://catalog.hathitrust.org/Record/002450142","HathiTrust Record")</f>
        <v/>
      </c>
      <c r="AS2389">
        <f>HYPERLINK("https://creighton-primo.hosted.exlibrisgroup.com/primo-explore/search?tab=default_tab&amp;search_scope=EVERYTHING&amp;vid=01CRU&amp;lang=en_US&amp;offset=0&amp;query=any,contains,991001748609702656","Catalog Record")</f>
        <v/>
      </c>
      <c r="AT2389">
        <f>HYPERLINK("http://www.worldcat.org/oclc/22148284","WorldCat Record")</f>
        <v/>
      </c>
      <c r="AU2389" t="inlineStr">
        <is>
          <t>21012395:eng</t>
        </is>
      </c>
      <c r="AV2389" t="inlineStr">
        <is>
          <t>22148284</t>
        </is>
      </c>
      <c r="AW2389" t="inlineStr">
        <is>
          <t>991001748609702656</t>
        </is>
      </c>
      <c r="AX2389" t="inlineStr">
        <is>
          <t>991001748609702656</t>
        </is>
      </c>
      <c r="AY2389" t="inlineStr">
        <is>
          <t>2267509340002656</t>
        </is>
      </c>
      <c r="AZ2389" t="inlineStr">
        <is>
          <t>BOOK</t>
        </is>
      </c>
      <c r="BB2389" t="inlineStr">
        <is>
          <t>9780916468989</t>
        </is>
      </c>
      <c r="BC2389" t="inlineStr">
        <is>
          <t>32285000296003</t>
        </is>
      </c>
      <c r="BD2389" t="inlineStr">
        <is>
          <t>893602854</t>
        </is>
      </c>
    </row>
    <row r="2390">
      <c r="A2390" t="inlineStr">
        <is>
          <t>No</t>
        </is>
      </c>
      <c r="B2390" t="inlineStr">
        <is>
          <t>HQ767 .K46 1986</t>
        </is>
      </c>
      <c r="C2390" t="inlineStr">
        <is>
          <t>0                      HQ 0767000K  46          1986</t>
        </is>
      </c>
      <c r="D2390" t="inlineStr">
        <is>
          <t>The dilemma of abortion / Edwin Kenyon.</t>
        </is>
      </c>
      <c r="F2390" t="inlineStr">
        <is>
          <t>No</t>
        </is>
      </c>
      <c r="G2390" t="inlineStr">
        <is>
          <t>1</t>
        </is>
      </c>
      <c r="H2390" t="inlineStr">
        <is>
          <t>No</t>
        </is>
      </c>
      <c r="I2390" t="inlineStr">
        <is>
          <t>No</t>
        </is>
      </c>
      <c r="J2390" t="inlineStr">
        <is>
          <t>0</t>
        </is>
      </c>
      <c r="K2390" t="inlineStr">
        <is>
          <t>Kenyon, Edwin.</t>
        </is>
      </c>
      <c r="L2390" t="inlineStr">
        <is>
          <t>London ; Boston : Faber and Faber, 1986.</t>
        </is>
      </c>
      <c r="M2390" t="inlineStr">
        <is>
          <t>1986</t>
        </is>
      </c>
      <c r="O2390" t="inlineStr">
        <is>
          <t>eng</t>
        </is>
      </c>
      <c r="P2390" t="inlineStr">
        <is>
          <t>enk</t>
        </is>
      </c>
      <c r="R2390" t="inlineStr">
        <is>
          <t xml:space="preserve">HQ </t>
        </is>
      </c>
      <c r="S2390" t="n">
        <v>26</v>
      </c>
      <c r="T2390" t="n">
        <v>26</v>
      </c>
      <c r="U2390" t="inlineStr">
        <is>
          <t>2009-11-23</t>
        </is>
      </c>
      <c r="V2390" t="inlineStr">
        <is>
          <t>2009-11-23</t>
        </is>
      </c>
      <c r="W2390" t="inlineStr">
        <is>
          <t>1991-10-29</t>
        </is>
      </c>
      <c r="X2390" t="inlineStr">
        <is>
          <t>1991-10-29</t>
        </is>
      </c>
      <c r="Y2390" t="n">
        <v>293</v>
      </c>
      <c r="Z2390" t="n">
        <v>156</v>
      </c>
      <c r="AA2390" t="n">
        <v>157</v>
      </c>
      <c r="AB2390" t="n">
        <v>2</v>
      </c>
      <c r="AC2390" t="n">
        <v>2</v>
      </c>
      <c r="AD2390" t="n">
        <v>5</v>
      </c>
      <c r="AE2390" t="n">
        <v>5</v>
      </c>
      <c r="AF2390" t="n">
        <v>3</v>
      </c>
      <c r="AG2390" t="n">
        <v>3</v>
      </c>
      <c r="AH2390" t="n">
        <v>1</v>
      </c>
      <c r="AI2390" t="n">
        <v>1</v>
      </c>
      <c r="AJ2390" t="n">
        <v>3</v>
      </c>
      <c r="AK2390" t="n">
        <v>3</v>
      </c>
      <c r="AL2390" t="n">
        <v>1</v>
      </c>
      <c r="AM2390" t="n">
        <v>1</v>
      </c>
      <c r="AN2390" t="n">
        <v>0</v>
      </c>
      <c r="AO2390" t="n">
        <v>0</v>
      </c>
      <c r="AP2390" t="inlineStr">
        <is>
          <t>No</t>
        </is>
      </c>
      <c r="AQ2390" t="inlineStr">
        <is>
          <t>No</t>
        </is>
      </c>
      <c r="AS2390">
        <f>HYPERLINK("https://creighton-primo.hosted.exlibrisgroup.com/primo-explore/search?tab=default_tab&amp;search_scope=EVERYTHING&amp;vid=01CRU&amp;lang=en_US&amp;offset=0&amp;query=any,contains,991000791399702656","Catalog Record")</f>
        <v/>
      </c>
      <c r="AT2390">
        <f>HYPERLINK("http://www.worldcat.org/oclc/13158143","WorldCat Record")</f>
        <v/>
      </c>
      <c r="AU2390" t="inlineStr">
        <is>
          <t>5562240:eng</t>
        </is>
      </c>
      <c r="AV2390" t="inlineStr">
        <is>
          <t>13158143</t>
        </is>
      </c>
      <c r="AW2390" t="inlineStr">
        <is>
          <t>991000791399702656</t>
        </is>
      </c>
      <c r="AX2390" t="inlineStr">
        <is>
          <t>991000791399702656</t>
        </is>
      </c>
      <c r="AY2390" t="inlineStr">
        <is>
          <t>2265282960002656</t>
        </is>
      </c>
      <c r="AZ2390" t="inlineStr">
        <is>
          <t>BOOK</t>
        </is>
      </c>
      <c r="BB2390" t="inlineStr">
        <is>
          <t>9780571139354</t>
        </is>
      </c>
      <c r="BC2390" t="inlineStr">
        <is>
          <t>32285000802792</t>
        </is>
      </c>
      <c r="BD2390" t="inlineStr">
        <is>
          <t>893426042</t>
        </is>
      </c>
    </row>
    <row r="2391">
      <c r="A2391" t="inlineStr">
        <is>
          <t>No</t>
        </is>
      </c>
      <c r="B2391" t="inlineStr">
        <is>
          <t>HQ767 .M36 2002</t>
        </is>
      </c>
      <c r="C2391" t="inlineStr">
        <is>
          <t>0                      HQ 0767000M  36          2002</t>
        </is>
      </c>
      <c r="D2391" t="inlineStr">
        <is>
          <t>Un clandestino a bordo / Dacia Maraini.</t>
        </is>
      </c>
      <c r="F2391" t="inlineStr">
        <is>
          <t>No</t>
        </is>
      </c>
      <c r="G2391" t="inlineStr">
        <is>
          <t>1</t>
        </is>
      </c>
      <c r="H2391" t="inlineStr">
        <is>
          <t>No</t>
        </is>
      </c>
      <c r="I2391" t="inlineStr">
        <is>
          <t>No</t>
        </is>
      </c>
      <c r="J2391" t="inlineStr">
        <is>
          <t>0</t>
        </is>
      </c>
      <c r="K2391" t="inlineStr">
        <is>
          <t>Maraini, Dacia.</t>
        </is>
      </c>
      <c r="L2391" t="inlineStr">
        <is>
          <t>Milano : Rizzoli, 2002, c1996.</t>
        </is>
      </c>
      <c r="M2391" t="inlineStr">
        <is>
          <t>2002</t>
        </is>
      </c>
      <c r="N2391" t="inlineStr">
        <is>
          <t>7. ed.</t>
        </is>
      </c>
      <c r="O2391" t="inlineStr">
        <is>
          <t>ita</t>
        </is>
      </c>
      <c r="P2391" t="inlineStr">
        <is>
          <t xml:space="preserve">it </t>
        </is>
      </c>
      <c r="R2391" t="inlineStr">
        <is>
          <t xml:space="preserve">HQ </t>
        </is>
      </c>
      <c r="S2391" t="n">
        <v>1</v>
      </c>
      <c r="T2391" t="n">
        <v>1</v>
      </c>
      <c r="U2391" t="inlineStr">
        <is>
          <t>2009-02-05</t>
        </is>
      </c>
      <c r="V2391" t="inlineStr">
        <is>
          <t>2009-02-05</t>
        </is>
      </c>
      <c r="W2391" t="inlineStr">
        <is>
          <t>2009-02-05</t>
        </is>
      </c>
      <c r="X2391" t="inlineStr">
        <is>
          <t>2009-02-05</t>
        </is>
      </c>
      <c r="Y2391" t="n">
        <v>12</v>
      </c>
      <c r="Z2391" t="n">
        <v>8</v>
      </c>
      <c r="AA2391" t="n">
        <v>60</v>
      </c>
      <c r="AB2391" t="n">
        <v>1</v>
      </c>
      <c r="AC2391" t="n">
        <v>1</v>
      </c>
      <c r="AD2391" t="n">
        <v>0</v>
      </c>
      <c r="AE2391" t="n">
        <v>1</v>
      </c>
      <c r="AF2391" t="n">
        <v>0</v>
      </c>
      <c r="AG2391" t="n">
        <v>0</v>
      </c>
      <c r="AH2391" t="n">
        <v>0</v>
      </c>
      <c r="AI2391" t="n">
        <v>1</v>
      </c>
      <c r="AJ2391" t="n">
        <v>0</v>
      </c>
      <c r="AK2391" t="n">
        <v>1</v>
      </c>
      <c r="AL2391" t="n">
        <v>0</v>
      </c>
      <c r="AM2391" t="n">
        <v>0</v>
      </c>
      <c r="AN2391" t="n">
        <v>0</v>
      </c>
      <c r="AO2391" t="n">
        <v>0</v>
      </c>
      <c r="AP2391" t="inlineStr">
        <is>
          <t>No</t>
        </is>
      </c>
      <c r="AQ2391" t="inlineStr">
        <is>
          <t>Yes</t>
        </is>
      </c>
      <c r="AR2391">
        <f>HYPERLINK("http://catalog.hathitrust.org/Record/007514239","HathiTrust Record")</f>
        <v/>
      </c>
      <c r="AS2391">
        <f>HYPERLINK("https://creighton-primo.hosted.exlibrisgroup.com/primo-explore/search?tab=default_tab&amp;search_scope=EVERYTHING&amp;vid=01CRU&amp;lang=en_US&amp;offset=0&amp;query=any,contains,991005284699702656","Catalog Record")</f>
        <v/>
      </c>
      <c r="AT2391">
        <f>HYPERLINK("http://www.worldcat.org/oclc/51971762","WorldCat Record")</f>
        <v/>
      </c>
      <c r="AU2391" t="inlineStr">
        <is>
          <t>44622270:ita</t>
        </is>
      </c>
      <c r="AV2391" t="inlineStr">
        <is>
          <t>51971762</t>
        </is>
      </c>
      <c r="AW2391" t="inlineStr">
        <is>
          <t>991005284699702656</t>
        </is>
      </c>
      <c r="AX2391" t="inlineStr">
        <is>
          <t>991005284699702656</t>
        </is>
      </c>
      <c r="AY2391" t="inlineStr">
        <is>
          <t>2269617560002656</t>
        </is>
      </c>
      <c r="AZ2391" t="inlineStr">
        <is>
          <t>BOOK</t>
        </is>
      </c>
      <c r="BB2391" t="inlineStr">
        <is>
          <t>9788817871280</t>
        </is>
      </c>
      <c r="BC2391" t="inlineStr">
        <is>
          <t>32285005502264</t>
        </is>
      </c>
      <c r="BD2391" t="inlineStr">
        <is>
          <t>893808133</t>
        </is>
      </c>
    </row>
    <row r="2392">
      <c r="A2392" t="inlineStr">
        <is>
          <t>No</t>
        </is>
      </c>
      <c r="B2392" t="inlineStr">
        <is>
          <t>HQ767 .N66</t>
        </is>
      </c>
      <c r="C2392" t="inlineStr">
        <is>
          <t>0                      HQ 0767000N  66</t>
        </is>
      </c>
      <c r="D2392" t="inlineStr">
        <is>
          <t>The Morality of abortion : legal and historical perspectives / edited, with an introd., by John T. Noonan, Jr. John T. Noonan, Jr. [and others], contributors.</t>
        </is>
      </c>
      <c r="F2392" t="inlineStr">
        <is>
          <t>No</t>
        </is>
      </c>
      <c r="G2392" t="inlineStr">
        <is>
          <t>1</t>
        </is>
      </c>
      <c r="H2392" t="inlineStr">
        <is>
          <t>Yes</t>
        </is>
      </c>
      <c r="I2392" t="inlineStr">
        <is>
          <t>No</t>
        </is>
      </c>
      <c r="J2392" t="inlineStr">
        <is>
          <t>0</t>
        </is>
      </c>
      <c r="L2392" t="inlineStr">
        <is>
          <t>Cambridge, Mass. : Harvard University Press, 1970.</t>
        </is>
      </c>
      <c r="M2392" t="inlineStr">
        <is>
          <t>1970</t>
        </is>
      </c>
      <c r="O2392" t="inlineStr">
        <is>
          <t>eng</t>
        </is>
      </c>
      <c r="P2392" t="inlineStr">
        <is>
          <t>mau</t>
        </is>
      </c>
      <c r="R2392" t="inlineStr">
        <is>
          <t xml:space="preserve">HQ </t>
        </is>
      </c>
      <c r="S2392" t="n">
        <v>17</v>
      </c>
      <c r="T2392" t="n">
        <v>21</v>
      </c>
      <c r="U2392" t="inlineStr">
        <is>
          <t>2010-09-01</t>
        </is>
      </c>
      <c r="V2392" t="inlineStr">
        <is>
          <t>2010-09-01</t>
        </is>
      </c>
      <c r="W2392" t="inlineStr">
        <is>
          <t>1992-03-20</t>
        </is>
      </c>
      <c r="X2392" t="inlineStr">
        <is>
          <t>1993-01-12</t>
        </is>
      </c>
      <c r="Y2392" t="n">
        <v>1250</v>
      </c>
      <c r="Z2392" t="n">
        <v>1048</v>
      </c>
      <c r="AA2392" t="n">
        <v>1064</v>
      </c>
      <c r="AB2392" t="n">
        <v>9</v>
      </c>
      <c r="AC2392" t="n">
        <v>9</v>
      </c>
      <c r="AD2392" t="n">
        <v>59</v>
      </c>
      <c r="AE2392" t="n">
        <v>60</v>
      </c>
      <c r="AF2392" t="n">
        <v>16</v>
      </c>
      <c r="AG2392" t="n">
        <v>17</v>
      </c>
      <c r="AH2392" t="n">
        <v>10</v>
      </c>
      <c r="AI2392" t="n">
        <v>10</v>
      </c>
      <c r="AJ2392" t="n">
        <v>22</v>
      </c>
      <c r="AK2392" t="n">
        <v>22</v>
      </c>
      <c r="AL2392" t="n">
        <v>4</v>
      </c>
      <c r="AM2392" t="n">
        <v>4</v>
      </c>
      <c r="AN2392" t="n">
        <v>17</v>
      </c>
      <c r="AO2392" t="n">
        <v>17</v>
      </c>
      <c r="AP2392" t="inlineStr">
        <is>
          <t>No</t>
        </is>
      </c>
      <c r="AQ2392" t="inlineStr">
        <is>
          <t>Yes</t>
        </is>
      </c>
      <c r="AR2392">
        <f>HYPERLINK("http://catalog.hathitrust.org/Record/000001604","HathiTrust Record")</f>
        <v/>
      </c>
      <c r="AS2392">
        <f>HYPERLINK("https://creighton-primo.hosted.exlibrisgroup.com/primo-explore/search?tab=default_tab&amp;search_scope=EVERYTHING&amp;vid=01CRU&amp;lang=en_US&amp;offset=0&amp;query=any,contains,991001731089702656","Catalog Record")</f>
        <v/>
      </c>
      <c r="AT2392">
        <f>HYPERLINK("http://www.worldcat.org/oclc/114412","WorldCat Record")</f>
        <v/>
      </c>
      <c r="AU2392" t="inlineStr">
        <is>
          <t>807192372:eng</t>
        </is>
      </c>
      <c r="AV2392" t="inlineStr">
        <is>
          <t>114412</t>
        </is>
      </c>
      <c r="AW2392" t="inlineStr">
        <is>
          <t>991001731089702656</t>
        </is>
      </c>
      <c r="AX2392" t="inlineStr">
        <is>
          <t>991001731089702656</t>
        </is>
      </c>
      <c r="AY2392" t="inlineStr">
        <is>
          <t>2259918640002656</t>
        </is>
      </c>
      <c r="AZ2392" t="inlineStr">
        <is>
          <t>BOOK</t>
        </is>
      </c>
      <c r="BB2392" t="inlineStr">
        <is>
          <t>9780674587250</t>
        </is>
      </c>
      <c r="BC2392" t="inlineStr">
        <is>
          <t>32285001024867</t>
        </is>
      </c>
      <c r="BD2392" t="inlineStr">
        <is>
          <t>893590587</t>
        </is>
      </c>
    </row>
    <row r="2393">
      <c r="A2393" t="inlineStr">
        <is>
          <t>No</t>
        </is>
      </c>
      <c r="B2393" t="inlineStr">
        <is>
          <t>HQ767 .P49 1990</t>
        </is>
      </c>
      <c r="C2393" t="inlineStr">
        <is>
          <t>0                      HQ 0767000P  49          1990</t>
        </is>
      </c>
      <c r="D2393" t="inlineStr">
        <is>
          <t>Abortion and woman's choice : the state, sexuality, and reproductive freedom / Rosalind Pollack Petchesky.</t>
        </is>
      </c>
      <c r="F2393" t="inlineStr">
        <is>
          <t>No</t>
        </is>
      </c>
      <c r="G2393" t="inlineStr">
        <is>
          <t>1</t>
        </is>
      </c>
      <c r="H2393" t="inlineStr">
        <is>
          <t>No</t>
        </is>
      </c>
      <c r="I2393" t="inlineStr">
        <is>
          <t>Yes</t>
        </is>
      </c>
      <c r="J2393" t="inlineStr">
        <is>
          <t>0</t>
        </is>
      </c>
      <c r="K2393" t="inlineStr">
        <is>
          <t>Petchesky, Rosalind P.</t>
        </is>
      </c>
      <c r="L2393" t="inlineStr">
        <is>
          <t>Boston : Northeastern University Press, c1990.</t>
        </is>
      </c>
      <c r="M2393" t="inlineStr">
        <is>
          <t>1990</t>
        </is>
      </c>
      <c r="N2393" t="inlineStr">
        <is>
          <t>Rev. ed.</t>
        </is>
      </c>
      <c r="O2393" t="inlineStr">
        <is>
          <t>eng</t>
        </is>
      </c>
      <c r="P2393" t="inlineStr">
        <is>
          <t>mau</t>
        </is>
      </c>
      <c r="Q2393" t="inlineStr">
        <is>
          <t>The Northeastern series in feminist theory</t>
        </is>
      </c>
      <c r="R2393" t="inlineStr">
        <is>
          <t xml:space="preserve">HQ </t>
        </is>
      </c>
      <c r="S2393" t="n">
        <v>24</v>
      </c>
      <c r="T2393" t="n">
        <v>24</v>
      </c>
      <c r="U2393" t="inlineStr">
        <is>
          <t>2009-10-05</t>
        </is>
      </c>
      <c r="V2393" t="inlineStr">
        <is>
          <t>2009-10-05</t>
        </is>
      </c>
      <c r="W2393" t="inlineStr">
        <is>
          <t>1991-02-22</t>
        </is>
      </c>
      <c r="X2393" t="inlineStr">
        <is>
          <t>1991-02-22</t>
        </is>
      </c>
      <c r="Y2393" t="n">
        <v>635</v>
      </c>
      <c r="Z2393" t="n">
        <v>543</v>
      </c>
      <c r="AA2393" t="n">
        <v>959</v>
      </c>
      <c r="AB2393" t="n">
        <v>3</v>
      </c>
      <c r="AC2393" t="n">
        <v>12</v>
      </c>
      <c r="AD2393" t="n">
        <v>34</v>
      </c>
      <c r="AE2393" t="n">
        <v>63</v>
      </c>
      <c r="AF2393" t="n">
        <v>8</v>
      </c>
      <c r="AG2393" t="n">
        <v>20</v>
      </c>
      <c r="AH2393" t="n">
        <v>5</v>
      </c>
      <c r="AI2393" t="n">
        <v>9</v>
      </c>
      <c r="AJ2393" t="n">
        <v>8</v>
      </c>
      <c r="AK2393" t="n">
        <v>20</v>
      </c>
      <c r="AL2393" t="n">
        <v>2</v>
      </c>
      <c r="AM2393" t="n">
        <v>8</v>
      </c>
      <c r="AN2393" t="n">
        <v>15</v>
      </c>
      <c r="AO2393" t="n">
        <v>18</v>
      </c>
      <c r="AP2393" t="inlineStr">
        <is>
          <t>No</t>
        </is>
      </c>
      <c r="AQ2393" t="inlineStr">
        <is>
          <t>Yes</t>
        </is>
      </c>
      <c r="AR2393">
        <f>HYPERLINK("http://catalog.hathitrust.org/Record/002168342","HathiTrust Record")</f>
        <v/>
      </c>
      <c r="AS2393">
        <f>HYPERLINK("https://creighton-primo.hosted.exlibrisgroup.com/primo-explore/search?tab=default_tab&amp;search_scope=EVERYTHING&amp;vid=01CRU&amp;lang=en_US&amp;offset=0&amp;query=any,contains,991001650989702656","Catalog Record")</f>
        <v/>
      </c>
      <c r="AT2393">
        <f>HYPERLINK("http://www.worldcat.org/oclc/21080810","WorldCat Record")</f>
        <v/>
      </c>
      <c r="AU2393" t="inlineStr">
        <is>
          <t>805919356:eng</t>
        </is>
      </c>
      <c r="AV2393" t="inlineStr">
        <is>
          <t>21080810</t>
        </is>
      </c>
      <c r="AW2393" t="inlineStr">
        <is>
          <t>991001650989702656</t>
        </is>
      </c>
      <c r="AX2393" t="inlineStr">
        <is>
          <t>991001650989702656</t>
        </is>
      </c>
      <c r="AY2393" t="inlineStr">
        <is>
          <t>2255590180002656</t>
        </is>
      </c>
      <c r="AZ2393" t="inlineStr">
        <is>
          <t>BOOK</t>
        </is>
      </c>
      <c r="BB2393" t="inlineStr">
        <is>
          <t>9781555530754</t>
        </is>
      </c>
      <c r="BC2393" t="inlineStr">
        <is>
          <t>32285000490960</t>
        </is>
      </c>
      <c r="BD2393" t="inlineStr">
        <is>
          <t>893420475</t>
        </is>
      </c>
    </row>
    <row r="2394">
      <c r="A2394" t="inlineStr">
        <is>
          <t>No</t>
        </is>
      </c>
      <c r="B2394" t="inlineStr">
        <is>
          <t>HQ767 .P69</t>
        </is>
      </c>
      <c r="C2394" t="inlineStr">
        <is>
          <t>0                      HQ 0767000P  69</t>
        </is>
      </c>
      <c r="D2394" t="inlineStr">
        <is>
          <t>Abortion / Malcolm Potts, Peter Diggory, John Peel.</t>
        </is>
      </c>
      <c r="F2394" t="inlineStr">
        <is>
          <t>No</t>
        </is>
      </c>
      <c r="G2394" t="inlineStr">
        <is>
          <t>1</t>
        </is>
      </c>
      <c r="H2394" t="inlineStr">
        <is>
          <t>No</t>
        </is>
      </c>
      <c r="I2394" t="inlineStr">
        <is>
          <t>No</t>
        </is>
      </c>
      <c r="J2394" t="inlineStr">
        <is>
          <t>0</t>
        </is>
      </c>
      <c r="K2394" t="inlineStr">
        <is>
          <t>Potts, Malcolm.</t>
        </is>
      </c>
      <c r="L2394" t="inlineStr">
        <is>
          <t>Cambridge [Eng.] ; New York : Cambridge University Press, 1977.</t>
        </is>
      </c>
      <c r="M2394" t="inlineStr">
        <is>
          <t>1977</t>
        </is>
      </c>
      <c r="O2394" t="inlineStr">
        <is>
          <t>eng</t>
        </is>
      </c>
      <c r="P2394" t="inlineStr">
        <is>
          <t>enk</t>
        </is>
      </c>
      <c r="R2394" t="inlineStr">
        <is>
          <t xml:space="preserve">HQ </t>
        </is>
      </c>
      <c r="S2394" t="n">
        <v>5</v>
      </c>
      <c r="T2394" t="n">
        <v>5</v>
      </c>
      <c r="U2394" t="inlineStr">
        <is>
          <t>2001-11-03</t>
        </is>
      </c>
      <c r="V2394" t="inlineStr">
        <is>
          <t>2001-11-03</t>
        </is>
      </c>
      <c r="W2394" t="inlineStr">
        <is>
          <t>1991-10-18</t>
        </is>
      </c>
      <c r="X2394" t="inlineStr">
        <is>
          <t>1991-10-18</t>
        </is>
      </c>
      <c r="Y2394" t="n">
        <v>713</v>
      </c>
      <c r="Z2394" t="n">
        <v>535</v>
      </c>
      <c r="AA2394" t="n">
        <v>541</v>
      </c>
      <c r="AB2394" t="n">
        <v>6</v>
      </c>
      <c r="AC2394" t="n">
        <v>6</v>
      </c>
      <c r="AD2394" t="n">
        <v>25</v>
      </c>
      <c r="AE2394" t="n">
        <v>25</v>
      </c>
      <c r="AF2394" t="n">
        <v>7</v>
      </c>
      <c r="AG2394" t="n">
        <v>7</v>
      </c>
      <c r="AH2394" t="n">
        <v>6</v>
      </c>
      <c r="AI2394" t="n">
        <v>6</v>
      </c>
      <c r="AJ2394" t="n">
        <v>12</v>
      </c>
      <c r="AK2394" t="n">
        <v>12</v>
      </c>
      <c r="AL2394" t="n">
        <v>4</v>
      </c>
      <c r="AM2394" t="n">
        <v>4</v>
      </c>
      <c r="AN2394" t="n">
        <v>2</v>
      </c>
      <c r="AO2394" t="n">
        <v>2</v>
      </c>
      <c r="AP2394" t="inlineStr">
        <is>
          <t>No</t>
        </is>
      </c>
      <c r="AQ2394" t="inlineStr">
        <is>
          <t>No</t>
        </is>
      </c>
      <c r="AS2394">
        <f>HYPERLINK("https://creighton-primo.hosted.exlibrisgroup.com/primo-explore/search?tab=default_tab&amp;search_scope=EVERYTHING&amp;vid=01CRU&amp;lang=en_US&amp;offset=0&amp;query=any,contains,991004196949702656","Catalog Record")</f>
        <v/>
      </c>
      <c r="AT2394">
        <f>HYPERLINK("http://www.worldcat.org/oclc/2645117","WorldCat Record")</f>
        <v/>
      </c>
      <c r="AU2394" t="inlineStr">
        <is>
          <t>3901510099:eng</t>
        </is>
      </c>
      <c r="AV2394" t="inlineStr">
        <is>
          <t>2645117</t>
        </is>
      </c>
      <c r="AW2394" t="inlineStr">
        <is>
          <t>991004196949702656</t>
        </is>
      </c>
      <c r="AX2394" t="inlineStr">
        <is>
          <t>991004196949702656</t>
        </is>
      </c>
      <c r="AY2394" t="inlineStr">
        <is>
          <t>2256689450002656</t>
        </is>
      </c>
      <c r="AZ2394" t="inlineStr">
        <is>
          <t>BOOK</t>
        </is>
      </c>
      <c r="BB2394" t="inlineStr">
        <is>
          <t>9780521214421</t>
        </is>
      </c>
      <c r="BC2394" t="inlineStr">
        <is>
          <t>32285000775048</t>
        </is>
      </c>
      <c r="BD2394" t="inlineStr">
        <is>
          <t>893229050</t>
        </is>
      </c>
    </row>
    <row r="2395">
      <c r="A2395" t="inlineStr">
        <is>
          <t>No</t>
        </is>
      </c>
      <c r="B2395" t="inlineStr">
        <is>
          <t>HQ767 .S44</t>
        </is>
      </c>
      <c r="C2395" t="inlineStr">
        <is>
          <t>0                      HQ 0767000S  44</t>
        </is>
      </c>
      <c r="D2395" t="inlineStr">
        <is>
          <t>Abortion on trial / [by] Russell Shaw.</t>
        </is>
      </c>
      <c r="F2395" t="inlineStr">
        <is>
          <t>No</t>
        </is>
      </c>
      <c r="G2395" t="inlineStr">
        <is>
          <t>1</t>
        </is>
      </c>
      <c r="H2395" t="inlineStr">
        <is>
          <t>Yes</t>
        </is>
      </c>
      <c r="I2395" t="inlineStr">
        <is>
          <t>No</t>
        </is>
      </c>
      <c r="J2395" t="inlineStr">
        <is>
          <t>0</t>
        </is>
      </c>
      <c r="K2395" t="inlineStr">
        <is>
          <t>Shaw, Russell B.</t>
        </is>
      </c>
      <c r="L2395" t="inlineStr">
        <is>
          <t>Dayton, Ohio, : Pflaum Press, 1968.</t>
        </is>
      </c>
      <c r="M2395" t="inlineStr">
        <is>
          <t>1968</t>
        </is>
      </c>
      <c r="O2395" t="inlineStr">
        <is>
          <t>eng</t>
        </is>
      </c>
      <c r="P2395" t="inlineStr">
        <is>
          <t>ohu</t>
        </is>
      </c>
      <c r="R2395" t="inlineStr">
        <is>
          <t xml:space="preserve">HQ </t>
        </is>
      </c>
      <c r="S2395" t="n">
        <v>16</v>
      </c>
      <c r="T2395" t="n">
        <v>19</v>
      </c>
      <c r="U2395" t="inlineStr">
        <is>
          <t>2001-10-01</t>
        </is>
      </c>
      <c r="V2395" t="inlineStr">
        <is>
          <t>2001-10-01</t>
        </is>
      </c>
      <c r="W2395" t="inlineStr">
        <is>
          <t>1991-12-09</t>
        </is>
      </c>
      <c r="X2395" t="inlineStr">
        <is>
          <t>1991-12-09</t>
        </is>
      </c>
      <c r="Y2395" t="n">
        <v>251</v>
      </c>
      <c r="Z2395" t="n">
        <v>220</v>
      </c>
      <c r="AA2395" t="n">
        <v>226</v>
      </c>
      <c r="AB2395" t="n">
        <v>4</v>
      </c>
      <c r="AC2395" t="n">
        <v>4</v>
      </c>
      <c r="AD2395" t="n">
        <v>19</v>
      </c>
      <c r="AE2395" t="n">
        <v>19</v>
      </c>
      <c r="AF2395" t="n">
        <v>4</v>
      </c>
      <c r="AG2395" t="n">
        <v>4</v>
      </c>
      <c r="AH2395" t="n">
        <v>6</v>
      </c>
      <c r="AI2395" t="n">
        <v>6</v>
      </c>
      <c r="AJ2395" t="n">
        <v>13</v>
      </c>
      <c r="AK2395" t="n">
        <v>13</v>
      </c>
      <c r="AL2395" t="n">
        <v>0</v>
      </c>
      <c r="AM2395" t="n">
        <v>0</v>
      </c>
      <c r="AN2395" t="n">
        <v>2</v>
      </c>
      <c r="AO2395" t="n">
        <v>2</v>
      </c>
      <c r="AP2395" t="inlineStr">
        <is>
          <t>No</t>
        </is>
      </c>
      <c r="AQ2395" t="inlineStr">
        <is>
          <t>No</t>
        </is>
      </c>
      <c r="AS2395">
        <f>HYPERLINK("https://creighton-primo.hosted.exlibrisgroup.com/primo-explore/search?tab=default_tab&amp;search_scope=EVERYTHING&amp;vid=01CRU&amp;lang=en_US&amp;offset=0&amp;query=any,contains,991001766779702656","Catalog Record")</f>
        <v/>
      </c>
      <c r="AT2395">
        <f>HYPERLINK("http://www.worldcat.org/oclc/441865","WorldCat Record")</f>
        <v/>
      </c>
      <c r="AU2395" t="inlineStr">
        <is>
          <t>1216087:eng</t>
        </is>
      </c>
      <c r="AV2395" t="inlineStr">
        <is>
          <t>441865</t>
        </is>
      </c>
      <c r="AW2395" t="inlineStr">
        <is>
          <t>991001766779702656</t>
        </is>
      </c>
      <c r="AX2395" t="inlineStr">
        <is>
          <t>991001766779702656</t>
        </is>
      </c>
      <c r="AY2395" t="inlineStr">
        <is>
          <t>2255889760002656</t>
        </is>
      </c>
      <c r="AZ2395" t="inlineStr">
        <is>
          <t>BOOK</t>
        </is>
      </c>
      <c r="BC2395" t="inlineStr">
        <is>
          <t>32285000838770</t>
        </is>
      </c>
      <c r="BD2395" t="inlineStr">
        <is>
          <t>893721136</t>
        </is>
      </c>
    </row>
    <row r="2396">
      <c r="A2396" t="inlineStr">
        <is>
          <t>No</t>
        </is>
      </c>
      <c r="B2396" t="inlineStr">
        <is>
          <t>HQ767 .S448 1998</t>
        </is>
      </c>
      <c r="C2396" t="inlineStr">
        <is>
          <t>0                      HQ 0767000S  448         1998</t>
        </is>
      </c>
      <c r="D2396" t="inlineStr">
        <is>
          <t>Abortion : statutes, policies, and public attitudes the world over / Rita J. Simon.</t>
        </is>
      </c>
      <c r="F2396" t="inlineStr">
        <is>
          <t>No</t>
        </is>
      </c>
      <c r="G2396" t="inlineStr">
        <is>
          <t>1</t>
        </is>
      </c>
      <c r="H2396" t="inlineStr">
        <is>
          <t>No</t>
        </is>
      </c>
      <c r="I2396" t="inlineStr">
        <is>
          <t>No</t>
        </is>
      </c>
      <c r="J2396" t="inlineStr">
        <is>
          <t>0</t>
        </is>
      </c>
      <c r="K2396" t="inlineStr">
        <is>
          <t>Simon, Rita J. (Rita James), 1931-2013.</t>
        </is>
      </c>
      <c r="L2396" t="inlineStr">
        <is>
          <t>Westport, Conn. : Praeger, 1998.</t>
        </is>
      </c>
      <c r="M2396" t="inlineStr">
        <is>
          <t>1998</t>
        </is>
      </c>
      <c r="O2396" t="inlineStr">
        <is>
          <t>eng</t>
        </is>
      </c>
      <c r="P2396" t="inlineStr">
        <is>
          <t>ctu</t>
        </is>
      </c>
      <c r="R2396" t="inlineStr">
        <is>
          <t xml:space="preserve">HQ </t>
        </is>
      </c>
      <c r="S2396" t="n">
        <v>6</v>
      </c>
      <c r="T2396" t="n">
        <v>6</v>
      </c>
      <c r="U2396" t="inlineStr">
        <is>
          <t>2007-04-24</t>
        </is>
      </c>
      <c r="V2396" t="inlineStr">
        <is>
          <t>2007-04-24</t>
        </is>
      </c>
      <c r="W2396" t="inlineStr">
        <is>
          <t>1998-11-16</t>
        </is>
      </c>
      <c r="X2396" t="inlineStr">
        <is>
          <t>1998-11-16</t>
        </is>
      </c>
      <c r="Y2396" t="n">
        <v>488</v>
      </c>
      <c r="Z2396" t="n">
        <v>432</v>
      </c>
      <c r="AA2396" t="n">
        <v>443</v>
      </c>
      <c r="AB2396" t="n">
        <v>3</v>
      </c>
      <c r="AC2396" t="n">
        <v>3</v>
      </c>
      <c r="AD2396" t="n">
        <v>22</v>
      </c>
      <c r="AE2396" t="n">
        <v>22</v>
      </c>
      <c r="AF2396" t="n">
        <v>6</v>
      </c>
      <c r="AG2396" t="n">
        <v>6</v>
      </c>
      <c r="AH2396" t="n">
        <v>6</v>
      </c>
      <c r="AI2396" t="n">
        <v>6</v>
      </c>
      <c r="AJ2396" t="n">
        <v>11</v>
      </c>
      <c r="AK2396" t="n">
        <v>11</v>
      </c>
      <c r="AL2396" t="n">
        <v>2</v>
      </c>
      <c r="AM2396" t="n">
        <v>2</v>
      </c>
      <c r="AN2396" t="n">
        <v>4</v>
      </c>
      <c r="AO2396" t="n">
        <v>4</v>
      </c>
      <c r="AP2396" t="inlineStr">
        <is>
          <t>No</t>
        </is>
      </c>
      <c r="AQ2396" t="inlineStr">
        <is>
          <t>Yes</t>
        </is>
      </c>
      <c r="AR2396">
        <f>HYPERLINK("http://catalog.hathitrust.org/Record/003997524","HathiTrust Record")</f>
        <v/>
      </c>
      <c r="AS2396">
        <f>HYPERLINK("https://creighton-primo.hosted.exlibrisgroup.com/primo-explore/search?tab=default_tab&amp;search_scope=EVERYTHING&amp;vid=01CRU&amp;lang=en_US&amp;offset=0&amp;query=any,contains,991002917679702656","Catalog Record")</f>
        <v/>
      </c>
      <c r="AT2396">
        <f>HYPERLINK("http://www.worldcat.org/oclc/38580216","WorldCat Record")</f>
        <v/>
      </c>
      <c r="AU2396" t="inlineStr">
        <is>
          <t>367680056:eng</t>
        </is>
      </c>
      <c r="AV2396" t="inlineStr">
        <is>
          <t>38580216</t>
        </is>
      </c>
      <c r="AW2396" t="inlineStr">
        <is>
          <t>991002917679702656</t>
        </is>
      </c>
      <c r="AX2396" t="inlineStr">
        <is>
          <t>991002917679702656</t>
        </is>
      </c>
      <c r="AY2396" t="inlineStr">
        <is>
          <t>2256525110002656</t>
        </is>
      </c>
      <c r="AZ2396" t="inlineStr">
        <is>
          <t>BOOK</t>
        </is>
      </c>
      <c r="BB2396" t="inlineStr">
        <is>
          <t>9780275960605</t>
        </is>
      </c>
      <c r="BC2396" t="inlineStr">
        <is>
          <t>32285003489282</t>
        </is>
      </c>
      <c r="BD2396" t="inlineStr">
        <is>
          <t>893342025</t>
        </is>
      </c>
    </row>
    <row r="2397">
      <c r="A2397" t="inlineStr">
        <is>
          <t>No</t>
        </is>
      </c>
      <c r="B2397" t="inlineStr">
        <is>
          <t>HQ767 .S65 2003</t>
        </is>
      </c>
      <c r="C2397" t="inlineStr">
        <is>
          <t>0                      HQ 0767000S  65          2003</t>
        </is>
      </c>
      <c r="D2397" t="inlineStr">
        <is>
          <t>The sociocultural and political aspects of abortion : global perspectives / edited by Alaka Malwade Basu.</t>
        </is>
      </c>
      <c r="F2397" t="inlineStr">
        <is>
          <t>No</t>
        </is>
      </c>
      <c r="G2397" t="inlineStr">
        <is>
          <t>1</t>
        </is>
      </c>
      <c r="H2397" t="inlineStr">
        <is>
          <t>No</t>
        </is>
      </c>
      <c r="I2397" t="inlineStr">
        <is>
          <t>No</t>
        </is>
      </c>
      <c r="J2397" t="inlineStr">
        <is>
          <t>0</t>
        </is>
      </c>
      <c r="L2397" t="inlineStr">
        <is>
          <t>Westport, Conn. : Praeger, 2003.</t>
        </is>
      </c>
      <c r="M2397" t="inlineStr">
        <is>
          <t>2003</t>
        </is>
      </c>
      <c r="O2397" t="inlineStr">
        <is>
          <t>eng</t>
        </is>
      </c>
      <c r="P2397" t="inlineStr">
        <is>
          <t>ctu</t>
        </is>
      </c>
      <c r="R2397" t="inlineStr">
        <is>
          <t xml:space="preserve">HQ </t>
        </is>
      </c>
      <c r="S2397" t="n">
        <v>5</v>
      </c>
      <c r="T2397" t="n">
        <v>5</v>
      </c>
      <c r="U2397" t="inlineStr">
        <is>
          <t>2009-03-04</t>
        </is>
      </c>
      <c r="V2397" t="inlineStr">
        <is>
          <t>2009-03-04</t>
        </is>
      </c>
      <c r="W2397" t="inlineStr">
        <is>
          <t>2004-02-24</t>
        </is>
      </c>
      <c r="X2397" t="inlineStr">
        <is>
          <t>2004-02-24</t>
        </is>
      </c>
      <c r="Y2397" t="n">
        <v>452</v>
      </c>
      <c r="Z2397" t="n">
        <v>390</v>
      </c>
      <c r="AA2397" t="n">
        <v>399</v>
      </c>
      <c r="AB2397" t="n">
        <v>4</v>
      </c>
      <c r="AC2397" t="n">
        <v>4</v>
      </c>
      <c r="AD2397" t="n">
        <v>20</v>
      </c>
      <c r="AE2397" t="n">
        <v>20</v>
      </c>
      <c r="AF2397" t="n">
        <v>7</v>
      </c>
      <c r="AG2397" t="n">
        <v>7</v>
      </c>
      <c r="AH2397" t="n">
        <v>7</v>
      </c>
      <c r="AI2397" t="n">
        <v>7</v>
      </c>
      <c r="AJ2397" t="n">
        <v>8</v>
      </c>
      <c r="AK2397" t="n">
        <v>8</v>
      </c>
      <c r="AL2397" t="n">
        <v>3</v>
      </c>
      <c r="AM2397" t="n">
        <v>3</v>
      </c>
      <c r="AN2397" t="n">
        <v>0</v>
      </c>
      <c r="AO2397" t="n">
        <v>0</v>
      </c>
      <c r="AP2397" t="inlineStr">
        <is>
          <t>No</t>
        </is>
      </c>
      <c r="AQ2397" t="inlineStr">
        <is>
          <t>Yes</t>
        </is>
      </c>
      <c r="AR2397">
        <f>HYPERLINK("http://catalog.hathitrust.org/Record/004308436","HathiTrust Record")</f>
        <v/>
      </c>
      <c r="AS2397">
        <f>HYPERLINK("https://creighton-primo.hosted.exlibrisgroup.com/primo-explore/search?tab=default_tab&amp;search_scope=EVERYTHING&amp;vid=01CRU&amp;lang=en_US&amp;offset=0&amp;query=any,contains,991004213689702656","Catalog Record")</f>
        <v/>
      </c>
      <c r="AT2397">
        <f>HYPERLINK("http://www.worldcat.org/oclc/50006599","WorldCat Record")</f>
        <v/>
      </c>
      <c r="AU2397" t="inlineStr">
        <is>
          <t>908315017:eng</t>
        </is>
      </c>
      <c r="AV2397" t="inlineStr">
        <is>
          <t>50006599</t>
        </is>
      </c>
      <c r="AW2397" t="inlineStr">
        <is>
          <t>991004213689702656</t>
        </is>
      </c>
      <c r="AX2397" t="inlineStr">
        <is>
          <t>991004213689702656</t>
        </is>
      </c>
      <c r="AY2397" t="inlineStr">
        <is>
          <t>2270319040002656</t>
        </is>
      </c>
      <c r="AZ2397" t="inlineStr">
        <is>
          <t>BOOK</t>
        </is>
      </c>
      <c r="BB2397" t="inlineStr">
        <is>
          <t>9780275977283</t>
        </is>
      </c>
      <c r="BC2397" t="inlineStr">
        <is>
          <t>32285004890504</t>
        </is>
      </c>
      <c r="BD2397" t="inlineStr">
        <is>
          <t>893442348</t>
        </is>
      </c>
    </row>
    <row r="2398">
      <c r="A2398" t="inlineStr">
        <is>
          <t>No</t>
        </is>
      </c>
      <c r="B2398" t="inlineStr">
        <is>
          <t>HQ767 .V36</t>
        </is>
      </c>
      <c r="C2398" t="inlineStr">
        <is>
          <t>0                      HQ 0767000V  36</t>
        </is>
      </c>
      <c r="D2398" t="inlineStr">
        <is>
          <t>Abortion, fertility, and changing legislation : an international review.</t>
        </is>
      </c>
      <c r="F2398" t="inlineStr">
        <is>
          <t>No</t>
        </is>
      </c>
      <c r="G2398" t="inlineStr">
        <is>
          <t>1</t>
        </is>
      </c>
      <c r="H2398" t="inlineStr">
        <is>
          <t>No</t>
        </is>
      </c>
      <c r="I2398" t="inlineStr">
        <is>
          <t>No</t>
        </is>
      </c>
      <c r="J2398" t="inlineStr">
        <is>
          <t>0</t>
        </is>
      </c>
      <c r="K2398" t="inlineStr">
        <is>
          <t>Van der Tak, Jean.</t>
        </is>
      </c>
      <c r="L2398" t="inlineStr">
        <is>
          <t>Lexington, Mass. : Lexington Books, [1974]</t>
        </is>
      </c>
      <c r="M2398" t="inlineStr">
        <is>
          <t>1974</t>
        </is>
      </c>
      <c r="O2398" t="inlineStr">
        <is>
          <t>eng</t>
        </is>
      </c>
      <c r="P2398" t="inlineStr">
        <is>
          <t>mau</t>
        </is>
      </c>
      <c r="R2398" t="inlineStr">
        <is>
          <t xml:space="preserve">HQ </t>
        </is>
      </c>
      <c r="S2398" t="n">
        <v>13</v>
      </c>
      <c r="T2398" t="n">
        <v>13</v>
      </c>
      <c r="U2398" t="inlineStr">
        <is>
          <t>2001-04-20</t>
        </is>
      </c>
      <c r="V2398" t="inlineStr">
        <is>
          <t>2001-04-20</t>
        </is>
      </c>
      <c r="W2398" t="inlineStr">
        <is>
          <t>1991-10-18</t>
        </is>
      </c>
      <c r="X2398" t="inlineStr">
        <is>
          <t>1991-10-18</t>
        </is>
      </c>
      <c r="Y2398" t="n">
        <v>372</v>
      </c>
      <c r="Z2398" t="n">
        <v>289</v>
      </c>
      <c r="AA2398" t="n">
        <v>293</v>
      </c>
      <c r="AB2398" t="n">
        <v>2</v>
      </c>
      <c r="AC2398" t="n">
        <v>2</v>
      </c>
      <c r="AD2398" t="n">
        <v>17</v>
      </c>
      <c r="AE2398" t="n">
        <v>17</v>
      </c>
      <c r="AF2398" t="n">
        <v>1</v>
      </c>
      <c r="AG2398" t="n">
        <v>1</v>
      </c>
      <c r="AH2398" t="n">
        <v>3</v>
      </c>
      <c r="AI2398" t="n">
        <v>3</v>
      </c>
      <c r="AJ2398" t="n">
        <v>7</v>
      </c>
      <c r="AK2398" t="n">
        <v>7</v>
      </c>
      <c r="AL2398" t="n">
        <v>1</v>
      </c>
      <c r="AM2398" t="n">
        <v>1</v>
      </c>
      <c r="AN2398" t="n">
        <v>8</v>
      </c>
      <c r="AO2398" t="n">
        <v>8</v>
      </c>
      <c r="AP2398" t="inlineStr">
        <is>
          <t>No</t>
        </is>
      </c>
      <c r="AQ2398" t="inlineStr">
        <is>
          <t>Yes</t>
        </is>
      </c>
      <c r="AR2398">
        <f>HYPERLINK("http://catalog.hathitrust.org/Record/000977879","HathiTrust Record")</f>
        <v/>
      </c>
      <c r="AS2398">
        <f>HYPERLINK("https://creighton-primo.hosted.exlibrisgroup.com/primo-explore/search?tab=default_tab&amp;search_scope=EVERYTHING&amp;vid=01CRU&amp;lang=en_US&amp;offset=0&amp;query=any,contains,991003312319702656","Catalog Record")</f>
        <v/>
      </c>
      <c r="AT2398">
        <f>HYPERLINK("http://www.worldcat.org/oclc/835379","WorldCat Record")</f>
        <v/>
      </c>
      <c r="AU2398" t="inlineStr">
        <is>
          <t>285373943:eng</t>
        </is>
      </c>
      <c r="AV2398" t="inlineStr">
        <is>
          <t>835379</t>
        </is>
      </c>
      <c r="AW2398" t="inlineStr">
        <is>
          <t>991003312319702656</t>
        </is>
      </c>
      <c r="AX2398" t="inlineStr">
        <is>
          <t>991003312319702656</t>
        </is>
      </c>
      <c r="AY2398" t="inlineStr">
        <is>
          <t>2270549580002656</t>
        </is>
      </c>
      <c r="AZ2398" t="inlineStr">
        <is>
          <t>BOOK</t>
        </is>
      </c>
      <c r="BB2398" t="inlineStr">
        <is>
          <t>9780669940299</t>
        </is>
      </c>
      <c r="BC2398" t="inlineStr">
        <is>
          <t>32285000775055</t>
        </is>
      </c>
      <c r="BD2398" t="inlineStr">
        <is>
          <t>893234039</t>
        </is>
      </c>
    </row>
    <row r="2399">
      <c r="A2399" t="inlineStr">
        <is>
          <t>No</t>
        </is>
      </c>
      <c r="B2399" t="inlineStr">
        <is>
          <t>HQ767 .W38 1992</t>
        </is>
      </c>
      <c r="C2399" t="inlineStr">
        <is>
          <t>0                      HQ 0767000W  38          1992</t>
        </is>
      </c>
      <c r="D2399" t="inlineStr">
        <is>
          <t>A question of choice / by Sarah Weddington.</t>
        </is>
      </c>
      <c r="F2399" t="inlineStr">
        <is>
          <t>No</t>
        </is>
      </c>
      <c r="G2399" t="inlineStr">
        <is>
          <t>1</t>
        </is>
      </c>
      <c r="H2399" t="inlineStr">
        <is>
          <t>Yes</t>
        </is>
      </c>
      <c r="I2399" t="inlineStr">
        <is>
          <t>No</t>
        </is>
      </c>
      <c r="J2399" t="inlineStr">
        <is>
          <t>0</t>
        </is>
      </c>
      <c r="K2399" t="inlineStr">
        <is>
          <t>Weddington, Sarah Ragle.</t>
        </is>
      </c>
      <c r="L2399" t="inlineStr">
        <is>
          <t>New York : Putnam's, c1992.</t>
        </is>
      </c>
      <c r="M2399" t="inlineStr">
        <is>
          <t>1992</t>
        </is>
      </c>
      <c r="O2399" t="inlineStr">
        <is>
          <t>eng</t>
        </is>
      </c>
      <c r="P2399" t="inlineStr">
        <is>
          <t>nyu</t>
        </is>
      </c>
      <c r="R2399" t="inlineStr">
        <is>
          <t xml:space="preserve">HQ </t>
        </is>
      </c>
      <c r="S2399" t="n">
        <v>10</v>
      </c>
      <c r="T2399" t="n">
        <v>12</v>
      </c>
      <c r="U2399" t="inlineStr">
        <is>
          <t>2010-12-03</t>
        </is>
      </c>
      <c r="V2399" t="inlineStr">
        <is>
          <t>2010-12-03</t>
        </is>
      </c>
      <c r="W2399" t="inlineStr">
        <is>
          <t>1992-11-12</t>
        </is>
      </c>
      <c r="X2399" t="inlineStr">
        <is>
          <t>1993-03-25</t>
        </is>
      </c>
      <c r="Y2399" t="n">
        <v>1276</v>
      </c>
      <c r="Z2399" t="n">
        <v>1226</v>
      </c>
      <c r="AA2399" t="n">
        <v>1891</v>
      </c>
      <c r="AB2399" t="n">
        <v>13</v>
      </c>
      <c r="AC2399" t="n">
        <v>22</v>
      </c>
      <c r="AD2399" t="n">
        <v>44</v>
      </c>
      <c r="AE2399" t="n">
        <v>70</v>
      </c>
      <c r="AF2399" t="n">
        <v>8</v>
      </c>
      <c r="AG2399" t="n">
        <v>18</v>
      </c>
      <c r="AH2399" t="n">
        <v>6</v>
      </c>
      <c r="AI2399" t="n">
        <v>11</v>
      </c>
      <c r="AJ2399" t="n">
        <v>9</v>
      </c>
      <c r="AK2399" t="n">
        <v>17</v>
      </c>
      <c r="AL2399" t="n">
        <v>9</v>
      </c>
      <c r="AM2399" t="n">
        <v>16</v>
      </c>
      <c r="AN2399" t="n">
        <v>16</v>
      </c>
      <c r="AO2399" t="n">
        <v>18</v>
      </c>
      <c r="AP2399" t="inlineStr">
        <is>
          <t>No</t>
        </is>
      </c>
      <c r="AQ2399" t="inlineStr">
        <is>
          <t>No</t>
        </is>
      </c>
      <c r="AS2399">
        <f>HYPERLINK("https://creighton-primo.hosted.exlibrisgroup.com/primo-explore/search?tab=default_tab&amp;search_scope=EVERYTHING&amp;vid=01CRU&amp;lang=en_US&amp;offset=0&amp;query=any,contains,991001652869702656","Catalog Record")</f>
        <v/>
      </c>
      <c r="AT2399">
        <f>HYPERLINK("http://www.worldcat.org/oclc/25787545","WorldCat Record")</f>
        <v/>
      </c>
      <c r="AU2399" t="inlineStr">
        <is>
          <t>327212:eng</t>
        </is>
      </c>
      <c r="AV2399" t="inlineStr">
        <is>
          <t>25787545</t>
        </is>
      </c>
      <c r="AW2399" t="inlineStr">
        <is>
          <t>991001652869702656</t>
        </is>
      </c>
      <c r="AX2399" t="inlineStr">
        <is>
          <t>991001652869702656</t>
        </is>
      </c>
      <c r="AY2399" t="inlineStr">
        <is>
          <t>2255732300002656</t>
        </is>
      </c>
      <c r="AZ2399" t="inlineStr">
        <is>
          <t>BOOK</t>
        </is>
      </c>
      <c r="BB2399" t="inlineStr">
        <is>
          <t>9780399137907</t>
        </is>
      </c>
      <c r="BC2399" t="inlineStr">
        <is>
          <t>32285001362036</t>
        </is>
      </c>
      <c r="BD2399" t="inlineStr">
        <is>
          <t>893596598</t>
        </is>
      </c>
    </row>
    <row r="2400">
      <c r="A2400" t="inlineStr">
        <is>
          <t>No</t>
        </is>
      </c>
      <c r="B2400" t="inlineStr">
        <is>
          <t>HQ767 .W55 1985</t>
        </is>
      </c>
      <c r="C2400" t="inlineStr">
        <is>
          <t>0                      HQ 0767000W  55          1985</t>
        </is>
      </c>
      <c r="D2400" t="inlineStr">
        <is>
          <t>Abortion : questions and answers / by Dr. &amp; Mrs. J.C. Willke.</t>
        </is>
      </c>
      <c r="F2400" t="inlineStr">
        <is>
          <t>No</t>
        </is>
      </c>
      <c r="G2400" t="inlineStr">
        <is>
          <t>1</t>
        </is>
      </c>
      <c r="H2400" t="inlineStr">
        <is>
          <t>No</t>
        </is>
      </c>
      <c r="I2400" t="inlineStr">
        <is>
          <t>No</t>
        </is>
      </c>
      <c r="J2400" t="inlineStr">
        <is>
          <t>0</t>
        </is>
      </c>
      <c r="K2400" t="inlineStr">
        <is>
          <t>Willke, J. C. (John Charles), 1925-2015.</t>
        </is>
      </c>
      <c r="L2400" t="inlineStr">
        <is>
          <t>Cincinnati : Hayes Pub., c1985.</t>
        </is>
      </c>
      <c r="M2400" t="inlineStr">
        <is>
          <t>1985</t>
        </is>
      </c>
      <c r="O2400" t="inlineStr">
        <is>
          <t>eng</t>
        </is>
      </c>
      <c r="P2400" t="inlineStr">
        <is>
          <t>ohu</t>
        </is>
      </c>
      <c r="R2400" t="inlineStr">
        <is>
          <t xml:space="preserve">HQ </t>
        </is>
      </c>
      <c r="S2400" t="n">
        <v>34</v>
      </c>
      <c r="T2400" t="n">
        <v>34</v>
      </c>
      <c r="U2400" t="inlineStr">
        <is>
          <t>2009-06-30</t>
        </is>
      </c>
      <c r="V2400" t="inlineStr">
        <is>
          <t>2009-06-30</t>
        </is>
      </c>
      <c r="W2400" t="inlineStr">
        <is>
          <t>1990-11-02</t>
        </is>
      </c>
      <c r="X2400" t="inlineStr">
        <is>
          <t>1990-11-02</t>
        </is>
      </c>
      <c r="Y2400" t="n">
        <v>241</v>
      </c>
      <c r="Z2400" t="n">
        <v>226</v>
      </c>
      <c r="AA2400" t="n">
        <v>491</v>
      </c>
      <c r="AB2400" t="n">
        <v>3</v>
      </c>
      <c r="AC2400" t="n">
        <v>9</v>
      </c>
      <c r="AD2400" t="n">
        <v>10</v>
      </c>
      <c r="AE2400" t="n">
        <v>20</v>
      </c>
      <c r="AF2400" t="n">
        <v>2</v>
      </c>
      <c r="AG2400" t="n">
        <v>6</v>
      </c>
      <c r="AH2400" t="n">
        <v>3</v>
      </c>
      <c r="AI2400" t="n">
        <v>5</v>
      </c>
      <c r="AJ2400" t="n">
        <v>4</v>
      </c>
      <c r="AK2400" t="n">
        <v>8</v>
      </c>
      <c r="AL2400" t="n">
        <v>1</v>
      </c>
      <c r="AM2400" t="n">
        <v>3</v>
      </c>
      <c r="AN2400" t="n">
        <v>1</v>
      </c>
      <c r="AO2400" t="n">
        <v>1</v>
      </c>
      <c r="AP2400" t="inlineStr">
        <is>
          <t>No</t>
        </is>
      </c>
      <c r="AQ2400" t="inlineStr">
        <is>
          <t>Yes</t>
        </is>
      </c>
      <c r="AR2400">
        <f>HYPERLINK("http://catalog.hathitrust.org/Record/000851380","HathiTrust Record")</f>
        <v/>
      </c>
      <c r="AS2400">
        <f>HYPERLINK("https://creighton-primo.hosted.exlibrisgroup.com/primo-explore/search?tab=default_tab&amp;search_scope=EVERYTHING&amp;vid=01CRU&amp;lang=en_US&amp;offset=0&amp;query=any,contains,991000709389702656","Catalog Record")</f>
        <v/>
      </c>
      <c r="AT2400">
        <f>HYPERLINK("http://www.worldcat.org/oclc/27643516","WorldCat Record")</f>
        <v/>
      </c>
      <c r="AU2400" t="inlineStr">
        <is>
          <t>24674638:eng</t>
        </is>
      </c>
      <c r="AV2400" t="inlineStr">
        <is>
          <t>27643516</t>
        </is>
      </c>
      <c r="AW2400" t="inlineStr">
        <is>
          <t>991000709389702656</t>
        </is>
      </c>
      <c r="AX2400" t="inlineStr">
        <is>
          <t>991000709389702656</t>
        </is>
      </c>
      <c r="AY2400" t="inlineStr">
        <is>
          <t>2266432860002656</t>
        </is>
      </c>
      <c r="AZ2400" t="inlineStr">
        <is>
          <t>BOOK</t>
        </is>
      </c>
      <c r="BB2400" t="inlineStr">
        <is>
          <t>9780910728188</t>
        </is>
      </c>
      <c r="BC2400" t="inlineStr">
        <is>
          <t>32285000296532</t>
        </is>
      </c>
      <c r="BD2400" t="inlineStr">
        <is>
          <t>893496487</t>
        </is>
      </c>
    </row>
    <row r="2401">
      <c r="A2401" t="inlineStr">
        <is>
          <t>No</t>
        </is>
      </c>
      <c r="B2401" t="inlineStr">
        <is>
          <t>HQ767.15 .C53 1995</t>
        </is>
      </c>
      <c r="C2401" t="inlineStr">
        <is>
          <t>0                      HQ 0767150C  53          1995</t>
        </is>
      </c>
      <c r="D2401" t="inlineStr">
        <is>
          <t>The abortion dilemma : personal views on a public issue / Miriam Claire ; foreword by Marcy L. Bloom.</t>
        </is>
      </c>
      <c r="F2401" t="inlineStr">
        <is>
          <t>No</t>
        </is>
      </c>
      <c r="G2401" t="inlineStr">
        <is>
          <t>1</t>
        </is>
      </c>
      <c r="H2401" t="inlineStr">
        <is>
          <t>No</t>
        </is>
      </c>
      <c r="I2401" t="inlineStr">
        <is>
          <t>No</t>
        </is>
      </c>
      <c r="J2401" t="inlineStr">
        <is>
          <t>0</t>
        </is>
      </c>
      <c r="K2401" t="inlineStr">
        <is>
          <t>Claire, Miriam.</t>
        </is>
      </c>
      <c r="L2401" t="inlineStr">
        <is>
          <t>New York : Insight Books, c1995.</t>
        </is>
      </c>
      <c r="M2401" t="inlineStr">
        <is>
          <t>1995</t>
        </is>
      </c>
      <c r="O2401" t="inlineStr">
        <is>
          <t>eng</t>
        </is>
      </c>
      <c r="P2401" t="inlineStr">
        <is>
          <t>nyu</t>
        </is>
      </c>
      <c r="R2401" t="inlineStr">
        <is>
          <t xml:space="preserve">HQ </t>
        </is>
      </c>
      <c r="S2401" t="n">
        <v>18</v>
      </c>
      <c r="T2401" t="n">
        <v>18</v>
      </c>
      <c r="U2401" t="inlineStr">
        <is>
          <t>2006-04-18</t>
        </is>
      </c>
      <c r="V2401" t="inlineStr">
        <is>
          <t>2006-04-18</t>
        </is>
      </c>
      <c r="W2401" t="inlineStr">
        <is>
          <t>1996-03-21</t>
        </is>
      </c>
      <c r="X2401" t="inlineStr">
        <is>
          <t>1996-03-21</t>
        </is>
      </c>
      <c r="Y2401" t="n">
        <v>329</v>
      </c>
      <c r="Z2401" t="n">
        <v>286</v>
      </c>
      <c r="AA2401" t="n">
        <v>291</v>
      </c>
      <c r="AB2401" t="n">
        <v>3</v>
      </c>
      <c r="AC2401" t="n">
        <v>3</v>
      </c>
      <c r="AD2401" t="n">
        <v>13</v>
      </c>
      <c r="AE2401" t="n">
        <v>13</v>
      </c>
      <c r="AF2401" t="n">
        <v>4</v>
      </c>
      <c r="AG2401" t="n">
        <v>4</v>
      </c>
      <c r="AH2401" t="n">
        <v>4</v>
      </c>
      <c r="AI2401" t="n">
        <v>4</v>
      </c>
      <c r="AJ2401" t="n">
        <v>7</v>
      </c>
      <c r="AK2401" t="n">
        <v>7</v>
      </c>
      <c r="AL2401" t="n">
        <v>2</v>
      </c>
      <c r="AM2401" t="n">
        <v>2</v>
      </c>
      <c r="AN2401" t="n">
        <v>1</v>
      </c>
      <c r="AO2401" t="n">
        <v>1</v>
      </c>
      <c r="AP2401" t="inlineStr">
        <is>
          <t>No</t>
        </is>
      </c>
      <c r="AQ2401" t="inlineStr">
        <is>
          <t>No</t>
        </is>
      </c>
      <c r="AS2401">
        <f>HYPERLINK("https://creighton-primo.hosted.exlibrisgroup.com/primo-explore/search?tab=default_tab&amp;search_scope=EVERYTHING&amp;vid=01CRU&amp;lang=en_US&amp;offset=0&amp;query=any,contains,991002532089702656","Catalog Record")</f>
        <v/>
      </c>
      <c r="AT2401">
        <f>HYPERLINK("http://www.worldcat.org/oclc/32894684","WorldCat Record")</f>
        <v/>
      </c>
      <c r="AU2401" t="inlineStr">
        <is>
          <t>38267336:eng</t>
        </is>
      </c>
      <c r="AV2401" t="inlineStr">
        <is>
          <t>32894684</t>
        </is>
      </c>
      <c r="AW2401" t="inlineStr">
        <is>
          <t>991002532089702656</t>
        </is>
      </c>
      <c r="AX2401" t="inlineStr">
        <is>
          <t>991002532089702656</t>
        </is>
      </c>
      <c r="AY2401" t="inlineStr">
        <is>
          <t>2259673310002656</t>
        </is>
      </c>
      <c r="AZ2401" t="inlineStr">
        <is>
          <t>BOOK</t>
        </is>
      </c>
      <c r="BB2401" t="inlineStr">
        <is>
          <t>9780306450808</t>
        </is>
      </c>
      <c r="BC2401" t="inlineStr">
        <is>
          <t>32285002145786</t>
        </is>
      </c>
      <c r="BD2401" t="inlineStr">
        <is>
          <t>893867350</t>
        </is>
      </c>
    </row>
    <row r="2402">
      <c r="A2402" t="inlineStr">
        <is>
          <t>No</t>
        </is>
      </c>
      <c r="B2402" t="inlineStr">
        <is>
          <t>HQ767.15 .C78 1996</t>
        </is>
      </c>
      <c r="C2402" t="inlineStr">
        <is>
          <t>0                      HQ 0767150C  78          1996</t>
        </is>
      </c>
      <c r="D2402" t="inlineStr">
        <is>
          <t>Lime 5 : exploited by choice / by Mark Crutcher.</t>
        </is>
      </c>
      <c r="F2402" t="inlineStr">
        <is>
          <t>No</t>
        </is>
      </c>
      <c r="G2402" t="inlineStr">
        <is>
          <t>1</t>
        </is>
      </c>
      <c r="H2402" t="inlineStr">
        <is>
          <t>No</t>
        </is>
      </c>
      <c r="I2402" t="inlineStr">
        <is>
          <t>No</t>
        </is>
      </c>
      <c r="J2402" t="inlineStr">
        <is>
          <t>0</t>
        </is>
      </c>
      <c r="K2402" t="inlineStr">
        <is>
          <t>Crutcher, Mark.</t>
        </is>
      </c>
      <c r="L2402" t="inlineStr">
        <is>
          <t>Denton, Tex. : Life Dynamics, c1996.</t>
        </is>
      </c>
      <c r="M2402" t="inlineStr">
        <is>
          <t>1996</t>
        </is>
      </c>
      <c r="O2402" t="inlineStr">
        <is>
          <t>eng</t>
        </is>
      </c>
      <c r="P2402" t="inlineStr">
        <is>
          <t>txu</t>
        </is>
      </c>
      <c r="R2402" t="inlineStr">
        <is>
          <t xml:space="preserve">HQ </t>
        </is>
      </c>
      <c r="S2402" t="n">
        <v>3</v>
      </c>
      <c r="T2402" t="n">
        <v>3</v>
      </c>
      <c r="U2402" t="inlineStr">
        <is>
          <t>2008-04-05</t>
        </is>
      </c>
      <c r="V2402" t="inlineStr">
        <is>
          <t>2008-04-05</t>
        </is>
      </c>
      <c r="W2402" t="inlineStr">
        <is>
          <t>2004-02-16</t>
        </is>
      </c>
      <c r="X2402" t="inlineStr">
        <is>
          <t>2004-02-16</t>
        </is>
      </c>
      <c r="Y2402" t="n">
        <v>134</v>
      </c>
      <c r="Z2402" t="n">
        <v>129</v>
      </c>
      <c r="AA2402" t="n">
        <v>135</v>
      </c>
      <c r="AB2402" t="n">
        <v>3</v>
      </c>
      <c r="AC2402" t="n">
        <v>3</v>
      </c>
      <c r="AD2402" t="n">
        <v>6</v>
      </c>
      <c r="AE2402" t="n">
        <v>6</v>
      </c>
      <c r="AF2402" t="n">
        <v>1</v>
      </c>
      <c r="AG2402" t="n">
        <v>1</v>
      </c>
      <c r="AH2402" t="n">
        <v>0</v>
      </c>
      <c r="AI2402" t="n">
        <v>0</v>
      </c>
      <c r="AJ2402" t="n">
        <v>4</v>
      </c>
      <c r="AK2402" t="n">
        <v>4</v>
      </c>
      <c r="AL2402" t="n">
        <v>1</v>
      </c>
      <c r="AM2402" t="n">
        <v>1</v>
      </c>
      <c r="AN2402" t="n">
        <v>0</v>
      </c>
      <c r="AO2402" t="n">
        <v>0</v>
      </c>
      <c r="AP2402" t="inlineStr">
        <is>
          <t>No</t>
        </is>
      </c>
      <c r="AQ2402" t="inlineStr">
        <is>
          <t>No</t>
        </is>
      </c>
      <c r="AS2402">
        <f>HYPERLINK("https://creighton-primo.hosted.exlibrisgroup.com/primo-explore/search?tab=default_tab&amp;search_scope=EVERYTHING&amp;vid=01CRU&amp;lang=en_US&amp;offset=0&amp;query=any,contains,991004236599702656","Catalog Record")</f>
        <v/>
      </c>
      <c r="AT2402">
        <f>HYPERLINK("http://www.worldcat.org/oclc/34622685","WorldCat Record")</f>
        <v/>
      </c>
      <c r="AU2402" t="inlineStr">
        <is>
          <t>2232666464:eng</t>
        </is>
      </c>
      <c r="AV2402" t="inlineStr">
        <is>
          <t>34622685</t>
        </is>
      </c>
      <c r="AW2402" t="inlineStr">
        <is>
          <t>991004236599702656</t>
        </is>
      </c>
      <c r="AX2402" t="inlineStr">
        <is>
          <t>991004236599702656</t>
        </is>
      </c>
      <c r="AY2402" t="inlineStr">
        <is>
          <t>2271805500002656</t>
        </is>
      </c>
      <c r="AZ2402" t="inlineStr">
        <is>
          <t>BOOK</t>
        </is>
      </c>
      <c r="BB2402" t="inlineStr">
        <is>
          <t>9780964888609</t>
        </is>
      </c>
      <c r="BC2402" t="inlineStr">
        <is>
          <t>32285004639216</t>
        </is>
      </c>
      <c r="BD2402" t="inlineStr">
        <is>
          <t>893337477</t>
        </is>
      </c>
    </row>
    <row r="2403">
      <c r="A2403" t="inlineStr">
        <is>
          <t>No</t>
        </is>
      </c>
      <c r="B2403" t="inlineStr">
        <is>
          <t>HQ767.15 .D46 2002</t>
        </is>
      </c>
      <c r="C2403" t="inlineStr">
        <is>
          <t>0                      HQ 0767150D  46          2002</t>
        </is>
      </c>
      <c r="D2403" t="inlineStr">
        <is>
          <t>Anti-abortionist at large : how to argue intelligently about abortion and live to tell about it / Raymond Dennehy.</t>
        </is>
      </c>
      <c r="F2403" t="inlineStr">
        <is>
          <t>No</t>
        </is>
      </c>
      <c r="G2403" t="inlineStr">
        <is>
          <t>1</t>
        </is>
      </c>
      <c r="H2403" t="inlineStr">
        <is>
          <t>No</t>
        </is>
      </c>
      <c r="I2403" t="inlineStr">
        <is>
          <t>No</t>
        </is>
      </c>
      <c r="J2403" t="inlineStr">
        <is>
          <t>0</t>
        </is>
      </c>
      <c r="K2403" t="inlineStr">
        <is>
          <t>Dennehy, Raymond.</t>
        </is>
      </c>
      <c r="L2403" t="inlineStr">
        <is>
          <t>Victoria, B.C. : Trafford, c2002.</t>
        </is>
      </c>
      <c r="M2403" t="inlineStr">
        <is>
          <t>2002</t>
        </is>
      </c>
      <c r="O2403" t="inlineStr">
        <is>
          <t>eng</t>
        </is>
      </c>
      <c r="P2403" t="inlineStr">
        <is>
          <t>bcc</t>
        </is>
      </c>
      <c r="R2403" t="inlineStr">
        <is>
          <t xml:space="preserve">HQ </t>
        </is>
      </c>
      <c r="S2403" t="n">
        <v>5</v>
      </c>
      <c r="T2403" t="n">
        <v>5</v>
      </c>
      <c r="U2403" t="inlineStr">
        <is>
          <t>2008-03-10</t>
        </is>
      </c>
      <c r="V2403" t="inlineStr">
        <is>
          <t>2008-03-10</t>
        </is>
      </c>
      <c r="W2403" t="inlineStr">
        <is>
          <t>2003-09-30</t>
        </is>
      </c>
      <c r="X2403" t="inlineStr">
        <is>
          <t>2003-09-30</t>
        </is>
      </c>
      <c r="Y2403" t="n">
        <v>143</v>
      </c>
      <c r="Z2403" t="n">
        <v>125</v>
      </c>
      <c r="AA2403" t="n">
        <v>130</v>
      </c>
      <c r="AB2403" t="n">
        <v>2</v>
      </c>
      <c r="AC2403" t="n">
        <v>2</v>
      </c>
      <c r="AD2403" t="n">
        <v>11</v>
      </c>
      <c r="AE2403" t="n">
        <v>11</v>
      </c>
      <c r="AF2403" t="n">
        <v>4</v>
      </c>
      <c r="AG2403" t="n">
        <v>4</v>
      </c>
      <c r="AH2403" t="n">
        <v>2</v>
      </c>
      <c r="AI2403" t="n">
        <v>2</v>
      </c>
      <c r="AJ2403" t="n">
        <v>7</v>
      </c>
      <c r="AK2403" t="n">
        <v>7</v>
      </c>
      <c r="AL2403" t="n">
        <v>1</v>
      </c>
      <c r="AM2403" t="n">
        <v>1</v>
      </c>
      <c r="AN2403" t="n">
        <v>0</v>
      </c>
      <c r="AO2403" t="n">
        <v>0</v>
      </c>
      <c r="AP2403" t="inlineStr">
        <is>
          <t>No</t>
        </is>
      </c>
      <c r="AQ2403" t="inlineStr">
        <is>
          <t>No</t>
        </is>
      </c>
      <c r="AS2403">
        <f>HYPERLINK("https://creighton-primo.hosted.exlibrisgroup.com/primo-explore/search?tab=default_tab&amp;search_scope=EVERYTHING&amp;vid=01CRU&amp;lang=en_US&amp;offset=0&amp;query=any,contains,991004141659702656","Catalog Record")</f>
        <v/>
      </c>
      <c r="AT2403">
        <f>HYPERLINK("http://www.worldcat.org/oclc/49403180","WorldCat Record")</f>
        <v/>
      </c>
      <c r="AU2403" t="inlineStr">
        <is>
          <t>923330428:eng</t>
        </is>
      </c>
      <c r="AV2403" t="inlineStr">
        <is>
          <t>49403180</t>
        </is>
      </c>
      <c r="AW2403" t="inlineStr">
        <is>
          <t>991004141659702656</t>
        </is>
      </c>
      <c r="AX2403" t="inlineStr">
        <is>
          <t>991004141659702656</t>
        </is>
      </c>
      <c r="AY2403" t="inlineStr">
        <is>
          <t>2258560150002656</t>
        </is>
      </c>
      <c r="AZ2403" t="inlineStr">
        <is>
          <t>BOOK</t>
        </is>
      </c>
      <c r="BB2403" t="inlineStr">
        <is>
          <t>9781553693802</t>
        </is>
      </c>
      <c r="BC2403" t="inlineStr">
        <is>
          <t>32285004842950</t>
        </is>
      </c>
      <c r="BD2403" t="inlineStr">
        <is>
          <t>893349656</t>
        </is>
      </c>
    </row>
    <row r="2404">
      <c r="A2404" t="inlineStr">
        <is>
          <t>No</t>
        </is>
      </c>
      <c r="B2404" t="inlineStr">
        <is>
          <t>HQ767.15 .L44 1996</t>
        </is>
      </c>
      <c r="C2404" t="inlineStr">
        <is>
          <t>0                      HQ 0767150L  44          1996</t>
        </is>
      </c>
      <c r="D2404" t="inlineStr">
        <is>
          <t>Abortion and unborn human life / Patrick Lee.</t>
        </is>
      </c>
      <c r="F2404" t="inlineStr">
        <is>
          <t>No</t>
        </is>
      </c>
      <c r="G2404" t="inlineStr">
        <is>
          <t>1</t>
        </is>
      </c>
      <c r="H2404" t="inlineStr">
        <is>
          <t>No</t>
        </is>
      </c>
      <c r="I2404" t="inlineStr">
        <is>
          <t>Yes</t>
        </is>
      </c>
      <c r="J2404" t="inlineStr">
        <is>
          <t>0</t>
        </is>
      </c>
      <c r="K2404" t="inlineStr">
        <is>
          <t>Lee, Patrick, 1952-</t>
        </is>
      </c>
      <c r="L2404" t="inlineStr">
        <is>
          <t>Washington, D.C. : Catholic University of America Press, c1996.</t>
        </is>
      </c>
      <c r="M2404" t="inlineStr">
        <is>
          <t>1996</t>
        </is>
      </c>
      <c r="O2404" t="inlineStr">
        <is>
          <t>eng</t>
        </is>
      </c>
      <c r="P2404" t="inlineStr">
        <is>
          <t>dcu</t>
        </is>
      </c>
      <c r="R2404" t="inlineStr">
        <is>
          <t xml:space="preserve">HQ </t>
        </is>
      </c>
      <c r="S2404" t="n">
        <v>35</v>
      </c>
      <c r="T2404" t="n">
        <v>35</v>
      </c>
      <c r="U2404" t="inlineStr">
        <is>
          <t>2010-04-20</t>
        </is>
      </c>
      <c r="V2404" t="inlineStr">
        <is>
          <t>2010-04-20</t>
        </is>
      </c>
      <c r="W2404" t="inlineStr">
        <is>
          <t>1996-06-06</t>
        </is>
      </c>
      <c r="X2404" t="inlineStr">
        <is>
          <t>1996-06-06</t>
        </is>
      </c>
      <c r="Y2404" t="n">
        <v>589</v>
      </c>
      <c r="Z2404" t="n">
        <v>522</v>
      </c>
      <c r="AA2404" t="n">
        <v>1149</v>
      </c>
      <c r="AB2404" t="n">
        <v>9</v>
      </c>
      <c r="AC2404" t="n">
        <v>14</v>
      </c>
      <c r="AD2404" t="n">
        <v>35</v>
      </c>
      <c r="AE2404" t="n">
        <v>58</v>
      </c>
      <c r="AF2404" t="n">
        <v>11</v>
      </c>
      <c r="AG2404" t="n">
        <v>22</v>
      </c>
      <c r="AH2404" t="n">
        <v>9</v>
      </c>
      <c r="AI2404" t="n">
        <v>11</v>
      </c>
      <c r="AJ2404" t="n">
        <v>19</v>
      </c>
      <c r="AK2404" t="n">
        <v>25</v>
      </c>
      <c r="AL2404" t="n">
        <v>5</v>
      </c>
      <c r="AM2404" t="n">
        <v>10</v>
      </c>
      <c r="AN2404" t="n">
        <v>3</v>
      </c>
      <c r="AO2404" t="n">
        <v>4</v>
      </c>
      <c r="AP2404" t="inlineStr">
        <is>
          <t>No</t>
        </is>
      </c>
      <c r="AQ2404" t="inlineStr">
        <is>
          <t>Yes</t>
        </is>
      </c>
      <c r="AR2404">
        <f>HYPERLINK("http://catalog.hathitrust.org/Record/003061838","HathiTrust Record")</f>
        <v/>
      </c>
      <c r="AS2404">
        <f>HYPERLINK("https://creighton-primo.hosted.exlibrisgroup.com/primo-explore/search?tab=default_tab&amp;search_scope=EVERYTHING&amp;vid=01CRU&amp;lang=en_US&amp;offset=0&amp;query=any,contains,991002528289702656","Catalog Record")</f>
        <v/>
      </c>
      <c r="AT2404">
        <f>HYPERLINK("http://www.worldcat.org/oclc/32856663","WorldCat Record")</f>
        <v/>
      </c>
      <c r="AU2404" t="inlineStr">
        <is>
          <t>37255474:eng</t>
        </is>
      </c>
      <c r="AV2404" t="inlineStr">
        <is>
          <t>32856663</t>
        </is>
      </c>
      <c r="AW2404" t="inlineStr">
        <is>
          <t>991002528289702656</t>
        </is>
      </c>
      <c r="AX2404" t="inlineStr">
        <is>
          <t>991002528289702656</t>
        </is>
      </c>
      <c r="AY2404" t="inlineStr">
        <is>
          <t>2271517960002656</t>
        </is>
      </c>
      <c r="AZ2404" t="inlineStr">
        <is>
          <t>BOOK</t>
        </is>
      </c>
      <c r="BB2404" t="inlineStr">
        <is>
          <t>9780813208459</t>
        </is>
      </c>
      <c r="BC2404" t="inlineStr">
        <is>
          <t>32285002189222</t>
        </is>
      </c>
      <c r="BD2404" t="inlineStr">
        <is>
          <t>893873654</t>
        </is>
      </c>
    </row>
    <row r="2405">
      <c r="A2405" t="inlineStr">
        <is>
          <t>No</t>
        </is>
      </c>
      <c r="B2405" t="inlineStr">
        <is>
          <t>HQ767.15 .M33 1983</t>
        </is>
      </c>
      <c r="C2405" t="inlineStr">
        <is>
          <t>0                      HQ 0767150M  33          1983</t>
        </is>
      </c>
      <c r="D2405" t="inlineStr">
        <is>
          <t>Abortion : a guide to making ethical choices / by Marjorie Reiley Maguire, Daniel C. Maguire.</t>
        </is>
      </c>
      <c r="F2405" t="inlineStr">
        <is>
          <t>No</t>
        </is>
      </c>
      <c r="G2405" t="inlineStr">
        <is>
          <t>1</t>
        </is>
      </c>
      <c r="H2405" t="inlineStr">
        <is>
          <t>No</t>
        </is>
      </c>
      <c r="I2405" t="inlineStr">
        <is>
          <t>No</t>
        </is>
      </c>
      <c r="J2405" t="inlineStr">
        <is>
          <t>0</t>
        </is>
      </c>
      <c r="K2405" t="inlineStr">
        <is>
          <t>Maguire, Marjorie Reiley.</t>
        </is>
      </c>
      <c r="L2405" t="inlineStr">
        <is>
          <t>Washington, D.C. : Catholics for a Free Choice, c1983.</t>
        </is>
      </c>
      <c r="M2405" t="inlineStr">
        <is>
          <t>1983</t>
        </is>
      </c>
      <c r="O2405" t="inlineStr">
        <is>
          <t>eng</t>
        </is>
      </c>
      <c r="P2405" t="inlineStr">
        <is>
          <t>dcu</t>
        </is>
      </c>
      <c r="R2405" t="inlineStr">
        <is>
          <t xml:space="preserve">HQ </t>
        </is>
      </c>
      <c r="S2405" t="n">
        <v>34</v>
      </c>
      <c r="T2405" t="n">
        <v>34</v>
      </c>
      <c r="U2405" t="inlineStr">
        <is>
          <t>2008-03-10</t>
        </is>
      </c>
      <c r="V2405" t="inlineStr">
        <is>
          <t>2008-03-10</t>
        </is>
      </c>
      <c r="W2405" t="inlineStr">
        <is>
          <t>1993-01-05</t>
        </is>
      </c>
      <c r="X2405" t="inlineStr">
        <is>
          <t>1993-01-05</t>
        </is>
      </c>
      <c r="Y2405" t="n">
        <v>39</v>
      </c>
      <c r="Z2405" t="n">
        <v>34</v>
      </c>
      <c r="AA2405" t="n">
        <v>34</v>
      </c>
      <c r="AB2405" t="n">
        <v>1</v>
      </c>
      <c r="AC2405" t="n">
        <v>1</v>
      </c>
      <c r="AD2405" t="n">
        <v>1</v>
      </c>
      <c r="AE2405" t="n">
        <v>1</v>
      </c>
      <c r="AF2405" t="n">
        <v>0</v>
      </c>
      <c r="AG2405" t="n">
        <v>0</v>
      </c>
      <c r="AH2405" t="n">
        <v>1</v>
      </c>
      <c r="AI2405" t="n">
        <v>1</v>
      </c>
      <c r="AJ2405" t="n">
        <v>1</v>
      </c>
      <c r="AK2405" t="n">
        <v>1</v>
      </c>
      <c r="AL2405" t="n">
        <v>0</v>
      </c>
      <c r="AM2405" t="n">
        <v>0</v>
      </c>
      <c r="AN2405" t="n">
        <v>0</v>
      </c>
      <c r="AO2405" t="n">
        <v>0</v>
      </c>
      <c r="AP2405" t="inlineStr">
        <is>
          <t>No</t>
        </is>
      </c>
      <c r="AQ2405" t="inlineStr">
        <is>
          <t>No</t>
        </is>
      </c>
      <c r="AS2405">
        <f>HYPERLINK("https://creighton-primo.hosted.exlibrisgroup.com/primo-explore/search?tab=default_tab&amp;search_scope=EVERYTHING&amp;vid=01CRU&amp;lang=en_US&amp;offset=0&amp;query=any,contains,991000632609702656","Catalog Record")</f>
        <v/>
      </c>
      <c r="AT2405">
        <f>HYPERLINK("http://www.worldcat.org/oclc/12053822","WorldCat Record")</f>
        <v/>
      </c>
      <c r="AU2405" t="inlineStr">
        <is>
          <t>26320330:eng</t>
        </is>
      </c>
      <c r="AV2405" t="inlineStr">
        <is>
          <t>12053822</t>
        </is>
      </c>
      <c r="AW2405" t="inlineStr">
        <is>
          <t>991000632609702656</t>
        </is>
      </c>
      <c r="AX2405" t="inlineStr">
        <is>
          <t>991000632609702656</t>
        </is>
      </c>
      <c r="AY2405" t="inlineStr">
        <is>
          <t>2261345890002656</t>
        </is>
      </c>
      <c r="AZ2405" t="inlineStr">
        <is>
          <t>BOOK</t>
        </is>
      </c>
      <c r="BB2405" t="inlineStr">
        <is>
          <t>9780915365005</t>
        </is>
      </c>
      <c r="BC2405" t="inlineStr">
        <is>
          <t>32285001466878</t>
        </is>
      </c>
      <c r="BD2405" t="inlineStr">
        <is>
          <t>893345830</t>
        </is>
      </c>
    </row>
    <row r="2406">
      <c r="A2406" t="inlineStr">
        <is>
          <t>No</t>
        </is>
      </c>
      <c r="B2406" t="inlineStr">
        <is>
          <t>HQ767.15 .R57 1998</t>
        </is>
      </c>
      <c r="C2406" t="inlineStr">
        <is>
          <t>0                      HQ 0767150R  57          1998</t>
        </is>
      </c>
      <c r="D2406" t="inlineStr">
        <is>
          <t>Wrath of angels : the American abortion war / James Risen &amp; Judy L. Thomas.</t>
        </is>
      </c>
      <c r="F2406" t="inlineStr">
        <is>
          <t>No</t>
        </is>
      </c>
      <c r="G2406" t="inlineStr">
        <is>
          <t>1</t>
        </is>
      </c>
      <c r="H2406" t="inlineStr">
        <is>
          <t>No</t>
        </is>
      </c>
      <c r="I2406" t="inlineStr">
        <is>
          <t>No</t>
        </is>
      </c>
      <c r="J2406" t="inlineStr">
        <is>
          <t>0</t>
        </is>
      </c>
      <c r="K2406" t="inlineStr">
        <is>
          <t>Risen, James.</t>
        </is>
      </c>
      <c r="L2406" t="inlineStr">
        <is>
          <t>New York : BasicBooks, c1998.</t>
        </is>
      </c>
      <c r="M2406" t="inlineStr">
        <is>
          <t>1998</t>
        </is>
      </c>
      <c r="N2406" t="inlineStr">
        <is>
          <t>1st ed.</t>
        </is>
      </c>
      <c r="O2406" t="inlineStr">
        <is>
          <t>eng</t>
        </is>
      </c>
      <c r="P2406" t="inlineStr">
        <is>
          <t>nyu</t>
        </is>
      </c>
      <c r="R2406" t="inlineStr">
        <is>
          <t xml:space="preserve">HQ </t>
        </is>
      </c>
      <c r="S2406" t="n">
        <v>6</v>
      </c>
      <c r="T2406" t="n">
        <v>6</v>
      </c>
      <c r="U2406" t="inlineStr">
        <is>
          <t>2003-04-01</t>
        </is>
      </c>
      <c r="V2406" t="inlineStr">
        <is>
          <t>2003-04-01</t>
        </is>
      </c>
      <c r="W2406" t="inlineStr">
        <is>
          <t>1998-03-05</t>
        </is>
      </c>
      <c r="X2406" t="inlineStr">
        <is>
          <t>1998-03-05</t>
        </is>
      </c>
      <c r="Y2406" t="n">
        <v>1211</v>
      </c>
      <c r="Z2406" t="n">
        <v>1138</v>
      </c>
      <c r="AA2406" t="n">
        <v>1145</v>
      </c>
      <c r="AB2406" t="n">
        <v>8</v>
      </c>
      <c r="AC2406" t="n">
        <v>8</v>
      </c>
      <c r="AD2406" t="n">
        <v>40</v>
      </c>
      <c r="AE2406" t="n">
        <v>40</v>
      </c>
      <c r="AF2406" t="n">
        <v>14</v>
      </c>
      <c r="AG2406" t="n">
        <v>14</v>
      </c>
      <c r="AH2406" t="n">
        <v>8</v>
      </c>
      <c r="AI2406" t="n">
        <v>8</v>
      </c>
      <c r="AJ2406" t="n">
        <v>19</v>
      </c>
      <c r="AK2406" t="n">
        <v>19</v>
      </c>
      <c r="AL2406" t="n">
        <v>4</v>
      </c>
      <c r="AM2406" t="n">
        <v>4</v>
      </c>
      <c r="AN2406" t="n">
        <v>5</v>
      </c>
      <c r="AO2406" t="n">
        <v>5</v>
      </c>
      <c r="AP2406" t="inlineStr">
        <is>
          <t>No</t>
        </is>
      </c>
      <c r="AQ2406" t="inlineStr">
        <is>
          <t>Yes</t>
        </is>
      </c>
      <c r="AR2406">
        <f>HYPERLINK("http://catalog.hathitrust.org/Record/003961880","HathiTrust Record")</f>
        <v/>
      </c>
      <c r="AS2406">
        <f>HYPERLINK("https://creighton-primo.hosted.exlibrisgroup.com/primo-explore/search?tab=default_tab&amp;search_scope=EVERYTHING&amp;vid=01CRU&amp;lang=en_US&amp;offset=0&amp;query=any,contains,991002880489702656","Catalog Record")</f>
        <v/>
      </c>
      <c r="AT2406">
        <f>HYPERLINK("http://www.worldcat.org/oclc/37966342","WorldCat Record")</f>
        <v/>
      </c>
      <c r="AU2406" t="inlineStr">
        <is>
          <t>216396736:eng</t>
        </is>
      </c>
      <c r="AV2406" t="inlineStr">
        <is>
          <t>37966342</t>
        </is>
      </c>
      <c r="AW2406" t="inlineStr">
        <is>
          <t>991002880489702656</t>
        </is>
      </c>
      <c r="AX2406" t="inlineStr">
        <is>
          <t>991002880489702656</t>
        </is>
      </c>
      <c r="AY2406" t="inlineStr">
        <is>
          <t>2255778440002656</t>
        </is>
      </c>
      <c r="AZ2406" t="inlineStr">
        <is>
          <t>BOOK</t>
        </is>
      </c>
      <c r="BB2406" t="inlineStr">
        <is>
          <t>9780465092727</t>
        </is>
      </c>
      <c r="BC2406" t="inlineStr">
        <is>
          <t>32285003356762</t>
        </is>
      </c>
      <c r="BD2406" t="inlineStr">
        <is>
          <t>893698390</t>
        </is>
      </c>
    </row>
    <row r="2407">
      <c r="A2407" t="inlineStr">
        <is>
          <t>No</t>
        </is>
      </c>
      <c r="B2407" t="inlineStr">
        <is>
          <t>HQ767.15 .S56 1996</t>
        </is>
      </c>
      <c r="C2407" t="inlineStr">
        <is>
          <t>0                      HQ 0767150S  56          1996</t>
        </is>
      </c>
      <c r="D2407" t="inlineStr">
        <is>
          <t>The silent subject : reflections on the unborn in American culture / edited by Brad Stetson ; foreword by Richard John Neuhaus.</t>
        </is>
      </c>
      <c r="F2407" t="inlineStr">
        <is>
          <t>No</t>
        </is>
      </c>
      <c r="G2407" t="inlineStr">
        <is>
          <t>1</t>
        </is>
      </c>
      <c r="H2407" t="inlineStr">
        <is>
          <t>No</t>
        </is>
      </c>
      <c r="I2407" t="inlineStr">
        <is>
          <t>No</t>
        </is>
      </c>
      <c r="J2407" t="inlineStr">
        <is>
          <t>0</t>
        </is>
      </c>
      <c r="L2407" t="inlineStr">
        <is>
          <t>Westport, Conn. : Praeger, 1996.</t>
        </is>
      </c>
      <c r="M2407" t="inlineStr">
        <is>
          <t>1996</t>
        </is>
      </c>
      <c r="O2407" t="inlineStr">
        <is>
          <t>eng</t>
        </is>
      </c>
      <c r="P2407" t="inlineStr">
        <is>
          <t>ctu</t>
        </is>
      </c>
      <c r="R2407" t="inlineStr">
        <is>
          <t xml:space="preserve">HQ </t>
        </is>
      </c>
      <c r="S2407" t="n">
        <v>21</v>
      </c>
      <c r="T2407" t="n">
        <v>21</v>
      </c>
      <c r="U2407" t="inlineStr">
        <is>
          <t>2008-04-14</t>
        </is>
      </c>
      <c r="V2407" t="inlineStr">
        <is>
          <t>2008-04-14</t>
        </is>
      </c>
      <c r="W2407" t="inlineStr">
        <is>
          <t>1996-06-13</t>
        </is>
      </c>
      <c r="X2407" t="inlineStr">
        <is>
          <t>1996-06-13</t>
        </is>
      </c>
      <c r="Y2407" t="n">
        <v>523</v>
      </c>
      <c r="Z2407" t="n">
        <v>484</v>
      </c>
      <c r="AA2407" t="n">
        <v>492</v>
      </c>
      <c r="AB2407" t="n">
        <v>3</v>
      </c>
      <c r="AC2407" t="n">
        <v>3</v>
      </c>
      <c r="AD2407" t="n">
        <v>18</v>
      </c>
      <c r="AE2407" t="n">
        <v>18</v>
      </c>
      <c r="AF2407" t="n">
        <v>9</v>
      </c>
      <c r="AG2407" t="n">
        <v>9</v>
      </c>
      <c r="AH2407" t="n">
        <v>3</v>
      </c>
      <c r="AI2407" t="n">
        <v>3</v>
      </c>
      <c r="AJ2407" t="n">
        <v>11</v>
      </c>
      <c r="AK2407" t="n">
        <v>11</v>
      </c>
      <c r="AL2407" t="n">
        <v>1</v>
      </c>
      <c r="AM2407" t="n">
        <v>1</v>
      </c>
      <c r="AN2407" t="n">
        <v>0</v>
      </c>
      <c r="AO2407" t="n">
        <v>0</v>
      </c>
      <c r="AP2407" t="inlineStr">
        <is>
          <t>No</t>
        </is>
      </c>
      <c r="AQ2407" t="inlineStr">
        <is>
          <t>Yes</t>
        </is>
      </c>
      <c r="AR2407">
        <f>HYPERLINK("http://catalog.hathitrust.org/Record/003032959","HathiTrust Record")</f>
        <v/>
      </c>
      <c r="AS2407">
        <f>HYPERLINK("https://creighton-primo.hosted.exlibrisgroup.com/primo-explore/search?tab=default_tab&amp;search_scope=EVERYTHING&amp;vid=01CRU&amp;lang=en_US&amp;offset=0&amp;query=any,contains,991002520659702656","Catalog Record")</f>
        <v/>
      </c>
      <c r="AT2407">
        <f>HYPERLINK("http://www.worldcat.org/oclc/32779401","WorldCat Record")</f>
        <v/>
      </c>
      <c r="AU2407" t="inlineStr">
        <is>
          <t>836961501:eng</t>
        </is>
      </c>
      <c r="AV2407" t="inlineStr">
        <is>
          <t>32779401</t>
        </is>
      </c>
      <c r="AW2407" t="inlineStr">
        <is>
          <t>991002520659702656</t>
        </is>
      </c>
      <c r="AX2407" t="inlineStr">
        <is>
          <t>991002520659702656</t>
        </is>
      </c>
      <c r="AY2407" t="inlineStr">
        <is>
          <t>2259784530002656</t>
        </is>
      </c>
      <c r="AZ2407" t="inlineStr">
        <is>
          <t>BOOK</t>
        </is>
      </c>
      <c r="BB2407" t="inlineStr">
        <is>
          <t>9780275950323</t>
        </is>
      </c>
      <c r="BC2407" t="inlineStr">
        <is>
          <t>32285002192283</t>
        </is>
      </c>
      <c r="BD2407" t="inlineStr">
        <is>
          <t>893409192</t>
        </is>
      </c>
    </row>
    <row r="2408">
      <c r="A2408" t="inlineStr">
        <is>
          <t>No</t>
        </is>
      </c>
      <c r="B2408" t="inlineStr">
        <is>
          <t>HQ767.2 .J64 2003</t>
        </is>
      </c>
      <c r="C2408" t="inlineStr">
        <is>
          <t>0                      HQ 0767200J  64          2003</t>
        </is>
      </c>
      <c r="D2408" t="inlineStr">
        <is>
          <t>Abortion from the religious and moral perspective : an annotated bibliography / George F. Johnston.</t>
        </is>
      </c>
      <c r="F2408" t="inlineStr">
        <is>
          <t>No</t>
        </is>
      </c>
      <c r="G2408" t="inlineStr">
        <is>
          <t>1</t>
        </is>
      </c>
      <c r="H2408" t="inlineStr">
        <is>
          <t>No</t>
        </is>
      </c>
      <c r="I2408" t="inlineStr">
        <is>
          <t>No</t>
        </is>
      </c>
      <c r="J2408" t="inlineStr">
        <is>
          <t>0</t>
        </is>
      </c>
      <c r="K2408" t="inlineStr">
        <is>
          <t>Johnston, George F., 1946-</t>
        </is>
      </c>
      <c r="L2408" t="inlineStr">
        <is>
          <t>Westport, Conn. : Praeger Pub., 2003.</t>
        </is>
      </c>
      <c r="M2408" t="inlineStr">
        <is>
          <t>2003</t>
        </is>
      </c>
      <c r="O2408" t="inlineStr">
        <is>
          <t>eng</t>
        </is>
      </c>
      <c r="P2408" t="inlineStr">
        <is>
          <t>ctu</t>
        </is>
      </c>
      <c r="Q2408" t="inlineStr">
        <is>
          <t>Bibliographies and indexes in religious studies, 0742-6836 ; no. 53</t>
        </is>
      </c>
      <c r="R2408" t="inlineStr">
        <is>
          <t xml:space="preserve">HQ </t>
        </is>
      </c>
      <c r="S2408" t="n">
        <v>3</v>
      </c>
      <c r="T2408" t="n">
        <v>3</v>
      </c>
      <c r="U2408" t="inlineStr">
        <is>
          <t>2005-03-21</t>
        </is>
      </c>
      <c r="V2408" t="inlineStr">
        <is>
          <t>2005-03-21</t>
        </is>
      </c>
      <c r="W2408" t="inlineStr">
        <is>
          <t>2005-03-21</t>
        </is>
      </c>
      <c r="X2408" t="inlineStr">
        <is>
          <t>2005-03-21</t>
        </is>
      </c>
      <c r="Y2408" t="n">
        <v>353</v>
      </c>
      <c r="Z2408" t="n">
        <v>302</v>
      </c>
      <c r="AA2408" t="n">
        <v>653</v>
      </c>
      <c r="AB2408" t="n">
        <v>3</v>
      </c>
      <c r="AC2408" t="n">
        <v>5</v>
      </c>
      <c r="AD2408" t="n">
        <v>24</v>
      </c>
      <c r="AE2408" t="n">
        <v>29</v>
      </c>
      <c r="AF2408" t="n">
        <v>10</v>
      </c>
      <c r="AG2408" t="n">
        <v>13</v>
      </c>
      <c r="AH2408" t="n">
        <v>5</v>
      </c>
      <c r="AI2408" t="n">
        <v>5</v>
      </c>
      <c r="AJ2408" t="n">
        <v>11</v>
      </c>
      <c r="AK2408" t="n">
        <v>12</v>
      </c>
      <c r="AL2408" t="n">
        <v>2</v>
      </c>
      <c r="AM2408" t="n">
        <v>4</v>
      </c>
      <c r="AN2408" t="n">
        <v>2</v>
      </c>
      <c r="AO2408" t="n">
        <v>2</v>
      </c>
      <c r="AP2408" t="inlineStr">
        <is>
          <t>No</t>
        </is>
      </c>
      <c r="AQ2408" t="inlineStr">
        <is>
          <t>No</t>
        </is>
      </c>
      <c r="AS2408">
        <f>HYPERLINK("https://creighton-primo.hosted.exlibrisgroup.com/primo-explore/search?tab=default_tab&amp;search_scope=EVERYTHING&amp;vid=01CRU&amp;lang=en_US&amp;offset=0&amp;query=any,contains,991004428419702656","Catalog Record")</f>
        <v/>
      </c>
      <c r="AT2408">
        <f>HYPERLINK("http://www.worldcat.org/oclc/50982272","WorldCat Record")</f>
        <v/>
      </c>
      <c r="AU2408" t="inlineStr">
        <is>
          <t>797244691:eng</t>
        </is>
      </c>
      <c r="AV2408" t="inlineStr">
        <is>
          <t>50982272</t>
        </is>
      </c>
      <c r="AW2408" t="inlineStr">
        <is>
          <t>991004428419702656</t>
        </is>
      </c>
      <c r="AX2408" t="inlineStr">
        <is>
          <t>991004428419702656</t>
        </is>
      </c>
      <c r="AY2408" t="inlineStr">
        <is>
          <t>2267644710002656</t>
        </is>
      </c>
      <c r="AZ2408" t="inlineStr">
        <is>
          <t>BOOK</t>
        </is>
      </c>
      <c r="BB2408" t="inlineStr">
        <is>
          <t>9780313314025</t>
        </is>
      </c>
      <c r="BC2408" t="inlineStr">
        <is>
          <t>32285005040877</t>
        </is>
      </c>
      <c r="BD2408" t="inlineStr">
        <is>
          <t>893513233</t>
        </is>
      </c>
    </row>
    <row r="2409">
      <c r="A2409" t="inlineStr">
        <is>
          <t>No</t>
        </is>
      </c>
      <c r="B2409" t="inlineStr">
        <is>
          <t>HQ767.2 .W46 1992</t>
        </is>
      </c>
      <c r="C2409" t="inlineStr">
        <is>
          <t>0                      HQ 0767200W  46          1992</t>
        </is>
      </c>
      <c r="D2409" t="inlineStr">
        <is>
          <t>Abortion rights as religious freedom / Peter S. Wenz.</t>
        </is>
      </c>
      <c r="F2409" t="inlineStr">
        <is>
          <t>No</t>
        </is>
      </c>
      <c r="G2409" t="inlineStr">
        <is>
          <t>1</t>
        </is>
      </c>
      <c r="H2409" t="inlineStr">
        <is>
          <t>Yes</t>
        </is>
      </c>
      <c r="I2409" t="inlineStr">
        <is>
          <t>No</t>
        </is>
      </c>
      <c r="J2409" t="inlineStr">
        <is>
          <t>0</t>
        </is>
      </c>
      <c r="K2409" t="inlineStr">
        <is>
          <t>Wenz, Peter S.</t>
        </is>
      </c>
      <c r="L2409" t="inlineStr">
        <is>
          <t>Philadelphia : Temple University Press, 1992.</t>
        </is>
      </c>
      <c r="M2409" t="inlineStr">
        <is>
          <t>1992</t>
        </is>
      </c>
      <c r="O2409" t="inlineStr">
        <is>
          <t>eng</t>
        </is>
      </c>
      <c r="P2409" t="inlineStr">
        <is>
          <t>pau</t>
        </is>
      </c>
      <c r="Q2409" t="inlineStr">
        <is>
          <t>Ethics and action</t>
        </is>
      </c>
      <c r="R2409" t="inlineStr">
        <is>
          <t xml:space="preserve">HQ </t>
        </is>
      </c>
      <c r="S2409" t="n">
        <v>21</v>
      </c>
      <c r="T2409" t="n">
        <v>22</v>
      </c>
      <c r="U2409" t="inlineStr">
        <is>
          <t>2008-04-14</t>
        </is>
      </c>
      <c r="V2409" t="inlineStr">
        <is>
          <t>2009-04-16</t>
        </is>
      </c>
      <c r="W2409" t="inlineStr">
        <is>
          <t>1992-05-15</t>
        </is>
      </c>
      <c r="X2409" t="inlineStr">
        <is>
          <t>1992-05-15</t>
        </is>
      </c>
      <c r="Y2409" t="n">
        <v>618</v>
      </c>
      <c r="Z2409" t="n">
        <v>563</v>
      </c>
      <c r="AA2409" t="n">
        <v>759</v>
      </c>
      <c r="AB2409" t="n">
        <v>5</v>
      </c>
      <c r="AC2409" t="n">
        <v>5</v>
      </c>
      <c r="AD2409" t="n">
        <v>39</v>
      </c>
      <c r="AE2409" t="n">
        <v>47</v>
      </c>
      <c r="AF2409" t="n">
        <v>11</v>
      </c>
      <c r="AG2409" t="n">
        <v>16</v>
      </c>
      <c r="AH2409" t="n">
        <v>6</v>
      </c>
      <c r="AI2409" t="n">
        <v>9</v>
      </c>
      <c r="AJ2409" t="n">
        <v>11</v>
      </c>
      <c r="AK2409" t="n">
        <v>14</v>
      </c>
      <c r="AL2409" t="n">
        <v>1</v>
      </c>
      <c r="AM2409" t="n">
        <v>1</v>
      </c>
      <c r="AN2409" t="n">
        <v>16</v>
      </c>
      <c r="AO2409" t="n">
        <v>16</v>
      </c>
      <c r="AP2409" t="inlineStr">
        <is>
          <t>No</t>
        </is>
      </c>
      <c r="AQ2409" t="inlineStr">
        <is>
          <t>No</t>
        </is>
      </c>
      <c r="AS2409">
        <f>HYPERLINK("https://creighton-primo.hosted.exlibrisgroup.com/primo-explore/search?tab=default_tab&amp;search_scope=EVERYTHING&amp;vid=01CRU&amp;lang=en_US&amp;offset=0&amp;query=any,contains,991001648379702656","Catalog Record")</f>
        <v/>
      </c>
      <c r="AT2409">
        <f>HYPERLINK("http://www.worldcat.org/oclc/23286433","WorldCat Record")</f>
        <v/>
      </c>
      <c r="AU2409" t="inlineStr">
        <is>
          <t>980057:eng</t>
        </is>
      </c>
      <c r="AV2409" t="inlineStr">
        <is>
          <t>23286433</t>
        </is>
      </c>
      <c r="AW2409" t="inlineStr">
        <is>
          <t>991001648379702656</t>
        </is>
      </c>
      <c r="AX2409" t="inlineStr">
        <is>
          <t>991001648379702656</t>
        </is>
      </c>
      <c r="AY2409" t="inlineStr">
        <is>
          <t>2269804830002656</t>
        </is>
      </c>
      <c r="AZ2409" t="inlineStr">
        <is>
          <t>BOOK</t>
        </is>
      </c>
      <c r="BB2409" t="inlineStr">
        <is>
          <t>9780877228578</t>
        </is>
      </c>
      <c r="BC2409" t="inlineStr">
        <is>
          <t>32285001116044</t>
        </is>
      </c>
      <c r="BD2409" t="inlineStr">
        <is>
          <t>893615266</t>
        </is>
      </c>
    </row>
    <row r="2410">
      <c r="A2410" t="inlineStr">
        <is>
          <t>No</t>
        </is>
      </c>
      <c r="B2410" t="inlineStr">
        <is>
          <t>HQ767.25 .D78 1998</t>
        </is>
      </c>
      <c r="C2410" t="inlineStr">
        <is>
          <t>0                      HQ 0767250D  78          1998</t>
        </is>
      </c>
      <c r="D2410" t="inlineStr">
        <is>
          <t>Is life sacred? / Geoffrey G. Drutchas.</t>
        </is>
      </c>
      <c r="F2410" t="inlineStr">
        <is>
          <t>No</t>
        </is>
      </c>
      <c r="G2410" t="inlineStr">
        <is>
          <t>1</t>
        </is>
      </c>
      <c r="H2410" t="inlineStr">
        <is>
          <t>No</t>
        </is>
      </c>
      <c r="I2410" t="inlineStr">
        <is>
          <t>No</t>
        </is>
      </c>
      <c r="J2410" t="inlineStr">
        <is>
          <t>0</t>
        </is>
      </c>
      <c r="K2410" t="inlineStr">
        <is>
          <t>Drutchas, Geoffrey G. (Geoffrey Gilbert), 1952-</t>
        </is>
      </c>
      <c r="L2410" t="inlineStr">
        <is>
          <t>Cleveland, Ohio : Pilgrim Press, 1998.</t>
        </is>
      </c>
      <c r="M2410" t="inlineStr">
        <is>
          <t>1998</t>
        </is>
      </c>
      <c r="O2410" t="inlineStr">
        <is>
          <t>eng</t>
        </is>
      </c>
      <c r="P2410" t="inlineStr">
        <is>
          <t>ohu</t>
        </is>
      </c>
      <c r="R2410" t="inlineStr">
        <is>
          <t xml:space="preserve">HQ </t>
        </is>
      </c>
      <c r="S2410" t="n">
        <v>12</v>
      </c>
      <c r="T2410" t="n">
        <v>12</v>
      </c>
      <c r="U2410" t="inlineStr">
        <is>
          <t>2009-04-03</t>
        </is>
      </c>
      <c r="V2410" t="inlineStr">
        <is>
          <t>2009-04-03</t>
        </is>
      </c>
      <c r="W2410" t="inlineStr">
        <is>
          <t>2000-08-23</t>
        </is>
      </c>
      <c r="X2410" t="inlineStr">
        <is>
          <t>2000-08-23</t>
        </is>
      </c>
      <c r="Y2410" t="n">
        <v>207</v>
      </c>
      <c r="Z2410" t="n">
        <v>184</v>
      </c>
      <c r="AA2410" t="n">
        <v>190</v>
      </c>
      <c r="AB2410" t="n">
        <v>3</v>
      </c>
      <c r="AC2410" t="n">
        <v>3</v>
      </c>
      <c r="AD2410" t="n">
        <v>15</v>
      </c>
      <c r="AE2410" t="n">
        <v>15</v>
      </c>
      <c r="AF2410" t="n">
        <v>6</v>
      </c>
      <c r="AG2410" t="n">
        <v>6</v>
      </c>
      <c r="AH2410" t="n">
        <v>4</v>
      </c>
      <c r="AI2410" t="n">
        <v>4</v>
      </c>
      <c r="AJ2410" t="n">
        <v>7</v>
      </c>
      <c r="AK2410" t="n">
        <v>7</v>
      </c>
      <c r="AL2410" t="n">
        <v>2</v>
      </c>
      <c r="AM2410" t="n">
        <v>2</v>
      </c>
      <c r="AN2410" t="n">
        <v>0</v>
      </c>
      <c r="AO2410" t="n">
        <v>0</v>
      </c>
      <c r="AP2410" t="inlineStr">
        <is>
          <t>No</t>
        </is>
      </c>
      <c r="AQ2410" t="inlineStr">
        <is>
          <t>No</t>
        </is>
      </c>
      <c r="AS2410">
        <f>HYPERLINK("https://creighton-primo.hosted.exlibrisgroup.com/primo-explore/search?tab=default_tab&amp;search_scope=EVERYTHING&amp;vid=01CRU&amp;lang=en_US&amp;offset=0&amp;query=any,contains,991003219119702656","Catalog Record")</f>
        <v/>
      </c>
      <c r="AT2410">
        <f>HYPERLINK("http://www.worldcat.org/oclc/39615181","WorldCat Record")</f>
        <v/>
      </c>
      <c r="AU2410" t="inlineStr">
        <is>
          <t>41735119:eng</t>
        </is>
      </c>
      <c r="AV2410" t="inlineStr">
        <is>
          <t>39615181</t>
        </is>
      </c>
      <c r="AW2410" t="inlineStr">
        <is>
          <t>991003219119702656</t>
        </is>
      </c>
      <c r="AX2410" t="inlineStr">
        <is>
          <t>991003219119702656</t>
        </is>
      </c>
      <c r="AY2410" t="inlineStr">
        <is>
          <t>2263757650002656</t>
        </is>
      </c>
      <c r="AZ2410" t="inlineStr">
        <is>
          <t>BOOK</t>
        </is>
      </c>
      <c r="BB2410" t="inlineStr">
        <is>
          <t>9780829812756</t>
        </is>
      </c>
      <c r="BC2410" t="inlineStr">
        <is>
          <t>32285003758819</t>
        </is>
      </c>
      <c r="BD2410" t="inlineStr">
        <is>
          <t>893505342</t>
        </is>
      </c>
    </row>
    <row r="2411">
      <c r="A2411" t="inlineStr">
        <is>
          <t>No</t>
        </is>
      </c>
      <c r="B2411" t="inlineStr">
        <is>
          <t>HQ767.3 .A255 1983</t>
        </is>
      </c>
      <c r="C2411" t="inlineStr">
        <is>
          <t>0                      HQ 0767300A  255         1983</t>
        </is>
      </c>
      <c r="D2411" t="inlineStr">
        <is>
          <t>Abortion and the status of the fetus / edited by William B. Bondeson ... [et al.].</t>
        </is>
      </c>
      <c r="F2411" t="inlineStr">
        <is>
          <t>No</t>
        </is>
      </c>
      <c r="G2411" t="inlineStr">
        <is>
          <t>1</t>
        </is>
      </c>
      <c r="H2411" t="inlineStr">
        <is>
          <t>Yes</t>
        </is>
      </c>
      <c r="I2411" t="inlineStr">
        <is>
          <t>No</t>
        </is>
      </c>
      <c r="J2411" t="inlineStr">
        <is>
          <t>0</t>
        </is>
      </c>
      <c r="L2411" t="inlineStr">
        <is>
          <t>Dordrecht ; Boston : D. Reidel ; Hingham, MA : Sold and distributed in the U.S.A. and Canada by Kluwer Boston, c1983.</t>
        </is>
      </c>
      <c r="M2411" t="inlineStr">
        <is>
          <t>1983</t>
        </is>
      </c>
      <c r="O2411" t="inlineStr">
        <is>
          <t>eng</t>
        </is>
      </c>
      <c r="P2411" t="inlineStr">
        <is>
          <t xml:space="preserve">ne </t>
        </is>
      </c>
      <c r="Q2411" t="inlineStr">
        <is>
          <t>Philosophy and medicine ; v. 13</t>
        </is>
      </c>
      <c r="R2411" t="inlineStr">
        <is>
          <t xml:space="preserve">HQ </t>
        </is>
      </c>
      <c r="S2411" t="n">
        <v>21</v>
      </c>
      <c r="T2411" t="n">
        <v>21</v>
      </c>
      <c r="U2411" t="inlineStr">
        <is>
          <t>2008-04-14</t>
        </is>
      </c>
      <c r="V2411" t="inlineStr">
        <is>
          <t>2008-04-14</t>
        </is>
      </c>
      <c r="W2411" t="inlineStr">
        <is>
          <t>1990-02-22</t>
        </is>
      </c>
      <c r="X2411" t="inlineStr">
        <is>
          <t>1990-02-22</t>
        </is>
      </c>
      <c r="Y2411" t="n">
        <v>626</v>
      </c>
      <c r="Z2411" t="n">
        <v>482</v>
      </c>
      <c r="AA2411" t="n">
        <v>542</v>
      </c>
      <c r="AB2411" t="n">
        <v>4</v>
      </c>
      <c r="AC2411" t="n">
        <v>4</v>
      </c>
      <c r="AD2411" t="n">
        <v>38</v>
      </c>
      <c r="AE2411" t="n">
        <v>40</v>
      </c>
      <c r="AF2411" t="n">
        <v>10</v>
      </c>
      <c r="AG2411" t="n">
        <v>10</v>
      </c>
      <c r="AH2411" t="n">
        <v>8</v>
      </c>
      <c r="AI2411" t="n">
        <v>9</v>
      </c>
      <c r="AJ2411" t="n">
        <v>19</v>
      </c>
      <c r="AK2411" t="n">
        <v>20</v>
      </c>
      <c r="AL2411" t="n">
        <v>0</v>
      </c>
      <c r="AM2411" t="n">
        <v>0</v>
      </c>
      <c r="AN2411" t="n">
        <v>12</v>
      </c>
      <c r="AO2411" t="n">
        <v>12</v>
      </c>
      <c r="AP2411" t="inlineStr">
        <is>
          <t>No</t>
        </is>
      </c>
      <c r="AQ2411" t="inlineStr">
        <is>
          <t>Yes</t>
        </is>
      </c>
      <c r="AR2411">
        <f>HYPERLINK("http://catalog.hathitrust.org/Record/000313632","HathiTrust Record")</f>
        <v/>
      </c>
      <c r="AS2411">
        <f>HYPERLINK("https://creighton-primo.hosted.exlibrisgroup.com/primo-explore/search?tab=default_tab&amp;search_scope=EVERYTHING&amp;vid=01CRU&amp;lang=en_US&amp;offset=0&amp;query=any,contains,991000204709702656","Catalog Record")</f>
        <v/>
      </c>
      <c r="AT2411">
        <f>HYPERLINK("http://www.worldcat.org/oclc/9488567","WorldCat Record")</f>
        <v/>
      </c>
      <c r="AU2411" t="inlineStr">
        <is>
          <t>10278468179:eng</t>
        </is>
      </c>
      <c r="AV2411" t="inlineStr">
        <is>
          <t>9488567</t>
        </is>
      </c>
      <c r="AW2411" t="inlineStr">
        <is>
          <t>991000204709702656</t>
        </is>
      </c>
      <c r="AX2411" t="inlineStr">
        <is>
          <t>991000204709702656</t>
        </is>
      </c>
      <c r="AY2411" t="inlineStr">
        <is>
          <t>2259079180002656</t>
        </is>
      </c>
      <c r="AZ2411" t="inlineStr">
        <is>
          <t>BOOK</t>
        </is>
      </c>
      <c r="BB2411" t="inlineStr">
        <is>
          <t>9789027714930</t>
        </is>
      </c>
      <c r="BC2411" t="inlineStr">
        <is>
          <t>32285000049105</t>
        </is>
      </c>
      <c r="BD2411" t="inlineStr">
        <is>
          <t>893865193</t>
        </is>
      </c>
    </row>
    <row r="2412">
      <c r="A2412" t="inlineStr">
        <is>
          <t>No</t>
        </is>
      </c>
      <c r="B2412" t="inlineStr">
        <is>
          <t>HQ767.3 .C245 1995</t>
        </is>
      </c>
      <c r="C2412" t="inlineStr">
        <is>
          <t>0                      HQ 0767300C  245         1995</t>
        </is>
      </c>
      <c r="D2412" t="inlineStr">
        <is>
          <t>Faithful for life : a moral reflection : a statement / from the U.S. Bishops.</t>
        </is>
      </c>
      <c r="F2412" t="inlineStr">
        <is>
          <t>No</t>
        </is>
      </c>
      <c r="G2412" t="inlineStr">
        <is>
          <t>1</t>
        </is>
      </c>
      <c r="H2412" t="inlineStr">
        <is>
          <t>No</t>
        </is>
      </c>
      <c r="I2412" t="inlineStr">
        <is>
          <t>No</t>
        </is>
      </c>
      <c r="J2412" t="inlineStr">
        <is>
          <t>0</t>
        </is>
      </c>
      <c r="K2412" t="inlineStr">
        <is>
          <t>Catholic Church. National Conference of Catholic Bishops. Committee for Pro-Life Activities.</t>
        </is>
      </c>
      <c r="L2412" t="inlineStr">
        <is>
          <t>Washington, D.C. : United States Catholic Conference, c1995.</t>
        </is>
      </c>
      <c r="M2412" t="inlineStr">
        <is>
          <t>1995</t>
        </is>
      </c>
      <c r="O2412" t="inlineStr">
        <is>
          <t>eng</t>
        </is>
      </c>
      <c r="P2412" t="inlineStr">
        <is>
          <t>dcu</t>
        </is>
      </c>
      <c r="Q2412" t="inlineStr">
        <is>
          <t>Publication / United States Catholic Conference ; no. 5-019</t>
        </is>
      </c>
      <c r="R2412" t="inlineStr">
        <is>
          <t xml:space="preserve">HQ </t>
        </is>
      </c>
      <c r="S2412" t="n">
        <v>25</v>
      </c>
      <c r="T2412" t="n">
        <v>25</v>
      </c>
      <c r="U2412" t="inlineStr">
        <is>
          <t>2009-11-30</t>
        </is>
      </c>
      <c r="V2412" t="inlineStr">
        <is>
          <t>2009-11-30</t>
        </is>
      </c>
      <c r="W2412" t="inlineStr">
        <is>
          <t>1995-11-15</t>
        </is>
      </c>
      <c r="X2412" t="inlineStr">
        <is>
          <t>1995-11-15</t>
        </is>
      </c>
      <c r="Y2412" t="n">
        <v>88</v>
      </c>
      <c r="Z2412" t="n">
        <v>83</v>
      </c>
      <c r="AA2412" t="n">
        <v>88</v>
      </c>
      <c r="AB2412" t="n">
        <v>2</v>
      </c>
      <c r="AC2412" t="n">
        <v>2</v>
      </c>
      <c r="AD2412" t="n">
        <v>11</v>
      </c>
      <c r="AE2412" t="n">
        <v>11</v>
      </c>
      <c r="AF2412" t="n">
        <v>2</v>
      </c>
      <c r="AG2412" t="n">
        <v>2</v>
      </c>
      <c r="AH2412" t="n">
        <v>4</v>
      </c>
      <c r="AI2412" t="n">
        <v>4</v>
      </c>
      <c r="AJ2412" t="n">
        <v>8</v>
      </c>
      <c r="AK2412" t="n">
        <v>8</v>
      </c>
      <c r="AL2412" t="n">
        <v>0</v>
      </c>
      <c r="AM2412" t="n">
        <v>0</v>
      </c>
      <c r="AN2412" t="n">
        <v>0</v>
      </c>
      <c r="AO2412" t="n">
        <v>0</v>
      </c>
      <c r="AP2412" t="inlineStr">
        <is>
          <t>No</t>
        </is>
      </c>
      <c r="AQ2412" t="inlineStr">
        <is>
          <t>No</t>
        </is>
      </c>
      <c r="AS2412">
        <f>HYPERLINK("https://creighton-primo.hosted.exlibrisgroup.com/primo-explore/search?tab=default_tab&amp;search_scope=EVERYTHING&amp;vid=01CRU&amp;lang=en_US&amp;offset=0&amp;query=any,contains,991002568279702656","Catalog Record")</f>
        <v/>
      </c>
      <c r="AT2412">
        <f>HYPERLINK("http://www.worldcat.org/oclc/33364469","WorldCat Record")</f>
        <v/>
      </c>
      <c r="AU2412" t="inlineStr">
        <is>
          <t>686935:eng</t>
        </is>
      </c>
      <c r="AV2412" t="inlineStr">
        <is>
          <t>33364469</t>
        </is>
      </c>
      <c r="AW2412" t="inlineStr">
        <is>
          <t>991002568279702656</t>
        </is>
      </c>
      <c r="AX2412" t="inlineStr">
        <is>
          <t>991002568279702656</t>
        </is>
      </c>
      <c r="AY2412" t="inlineStr">
        <is>
          <t>2267607670002656</t>
        </is>
      </c>
      <c r="AZ2412" t="inlineStr">
        <is>
          <t>BOOK</t>
        </is>
      </c>
      <c r="BB2412" t="inlineStr">
        <is>
          <t>9781574550191</t>
        </is>
      </c>
      <c r="BC2412" t="inlineStr">
        <is>
          <t>32285002088234</t>
        </is>
      </c>
      <c r="BD2412" t="inlineStr">
        <is>
          <t>893697960</t>
        </is>
      </c>
    </row>
    <row r="2413">
      <c r="A2413" t="inlineStr">
        <is>
          <t>No</t>
        </is>
      </c>
      <c r="B2413" t="inlineStr">
        <is>
          <t>HQ767.3 .C66</t>
        </is>
      </c>
      <c r="C2413" t="inlineStr">
        <is>
          <t>0                      HQ 0767300C  66</t>
        </is>
      </c>
      <c r="D2413" t="inlineStr">
        <is>
          <t>Abortion, the development of the Roman Catholic perspective / John Connery.</t>
        </is>
      </c>
      <c r="F2413" t="inlineStr">
        <is>
          <t>No</t>
        </is>
      </c>
      <c r="G2413" t="inlineStr">
        <is>
          <t>1</t>
        </is>
      </c>
      <c r="H2413" t="inlineStr">
        <is>
          <t>Yes</t>
        </is>
      </c>
      <c r="I2413" t="inlineStr">
        <is>
          <t>No</t>
        </is>
      </c>
      <c r="J2413" t="inlineStr">
        <is>
          <t>0</t>
        </is>
      </c>
      <c r="K2413" t="inlineStr">
        <is>
          <t>Connery, John R., 1913-</t>
        </is>
      </c>
      <c r="L2413" t="inlineStr">
        <is>
          <t>[Chicago] : Loyola University Press, c1977.</t>
        </is>
      </c>
      <c r="M2413" t="inlineStr">
        <is>
          <t>1977</t>
        </is>
      </c>
      <c r="O2413" t="inlineStr">
        <is>
          <t>eng</t>
        </is>
      </c>
      <c r="P2413" t="inlineStr">
        <is>
          <t>ilu</t>
        </is>
      </c>
      <c r="R2413" t="inlineStr">
        <is>
          <t xml:space="preserve">HQ </t>
        </is>
      </c>
      <c r="S2413" t="n">
        <v>28</v>
      </c>
      <c r="T2413" t="n">
        <v>29</v>
      </c>
      <c r="U2413" t="inlineStr">
        <is>
          <t>2008-12-07</t>
        </is>
      </c>
      <c r="V2413" t="inlineStr">
        <is>
          <t>2008-12-07</t>
        </is>
      </c>
      <c r="W2413" t="inlineStr">
        <is>
          <t>1991-10-18</t>
        </is>
      </c>
      <c r="X2413" t="inlineStr">
        <is>
          <t>1991-10-18</t>
        </is>
      </c>
      <c r="Y2413" t="n">
        <v>748</v>
      </c>
      <c r="Z2413" t="n">
        <v>668</v>
      </c>
      <c r="AA2413" t="n">
        <v>697</v>
      </c>
      <c r="AB2413" t="n">
        <v>11</v>
      </c>
      <c r="AC2413" t="n">
        <v>12</v>
      </c>
      <c r="AD2413" t="n">
        <v>47</v>
      </c>
      <c r="AE2413" t="n">
        <v>49</v>
      </c>
      <c r="AF2413" t="n">
        <v>15</v>
      </c>
      <c r="AG2413" t="n">
        <v>16</v>
      </c>
      <c r="AH2413" t="n">
        <v>9</v>
      </c>
      <c r="AI2413" t="n">
        <v>9</v>
      </c>
      <c r="AJ2413" t="n">
        <v>25</v>
      </c>
      <c r="AK2413" t="n">
        <v>26</v>
      </c>
      <c r="AL2413" t="n">
        <v>5</v>
      </c>
      <c r="AM2413" t="n">
        <v>6</v>
      </c>
      <c r="AN2413" t="n">
        <v>4</v>
      </c>
      <c r="AO2413" t="n">
        <v>4</v>
      </c>
      <c r="AP2413" t="inlineStr">
        <is>
          <t>No</t>
        </is>
      </c>
      <c r="AQ2413" t="inlineStr">
        <is>
          <t>Yes</t>
        </is>
      </c>
      <c r="AR2413">
        <f>HYPERLINK("http://catalog.hathitrust.org/Record/000106974","HathiTrust Record")</f>
        <v/>
      </c>
      <c r="AS2413">
        <f>HYPERLINK("https://creighton-primo.hosted.exlibrisgroup.com/primo-explore/search?tab=default_tab&amp;search_scope=EVERYTHING&amp;vid=01CRU&amp;lang=en_US&amp;offset=0&amp;query=any,contains,991001766799702656","Catalog Record")</f>
        <v/>
      </c>
      <c r="AT2413">
        <f>HYPERLINK("http://www.worldcat.org/oclc/2644314","WorldCat Record")</f>
        <v/>
      </c>
      <c r="AU2413" t="inlineStr">
        <is>
          <t>494752:eng</t>
        </is>
      </c>
      <c r="AV2413" t="inlineStr">
        <is>
          <t>2644314</t>
        </is>
      </c>
      <c r="AW2413" t="inlineStr">
        <is>
          <t>991001766799702656</t>
        </is>
      </c>
      <c r="AX2413" t="inlineStr">
        <is>
          <t>991001766799702656</t>
        </is>
      </c>
      <c r="AY2413" t="inlineStr">
        <is>
          <t>2255598260002656</t>
        </is>
      </c>
      <c r="AZ2413" t="inlineStr">
        <is>
          <t>BOOK</t>
        </is>
      </c>
      <c r="BB2413" t="inlineStr">
        <is>
          <t>9780829402575</t>
        </is>
      </c>
      <c r="BC2413" t="inlineStr">
        <is>
          <t>32285000775063</t>
        </is>
      </c>
      <c r="BD2413" t="inlineStr">
        <is>
          <t>893615364</t>
        </is>
      </c>
    </row>
    <row r="2414">
      <c r="A2414" t="inlineStr">
        <is>
          <t>No</t>
        </is>
      </c>
      <c r="B2414" t="inlineStr">
        <is>
          <t>HQ767.3 .C86 1989</t>
        </is>
      </c>
      <c r="C2414" t="inlineStr">
        <is>
          <t>0                      HQ 0767300C  86          1989</t>
        </is>
      </c>
      <c r="D2414" t="inlineStr">
        <is>
          <t>Catholics against the Church : anti-abortion protest in Toronto, 1969-1985 / Michael W. Cuneo.</t>
        </is>
      </c>
      <c r="F2414" t="inlineStr">
        <is>
          <t>No</t>
        </is>
      </c>
      <c r="G2414" t="inlineStr">
        <is>
          <t>1</t>
        </is>
      </c>
      <c r="H2414" t="inlineStr">
        <is>
          <t>No</t>
        </is>
      </c>
      <c r="I2414" t="inlineStr">
        <is>
          <t>No</t>
        </is>
      </c>
      <c r="J2414" t="inlineStr">
        <is>
          <t>0</t>
        </is>
      </c>
      <c r="K2414" t="inlineStr">
        <is>
          <t>Cuneo, Michael W.</t>
        </is>
      </c>
      <c r="L2414" t="inlineStr">
        <is>
          <t>Toronto : University of Toronto Press, c1989.</t>
        </is>
      </c>
      <c r="M2414" t="inlineStr">
        <is>
          <t>1989</t>
        </is>
      </c>
      <c r="O2414" t="inlineStr">
        <is>
          <t>eng</t>
        </is>
      </c>
      <c r="P2414" t="inlineStr">
        <is>
          <t>onc</t>
        </is>
      </c>
      <c r="R2414" t="inlineStr">
        <is>
          <t xml:space="preserve">HQ </t>
        </is>
      </c>
      <c r="S2414" t="n">
        <v>8</v>
      </c>
      <c r="T2414" t="n">
        <v>8</v>
      </c>
      <c r="U2414" t="inlineStr">
        <is>
          <t>2005-11-29</t>
        </is>
      </c>
      <c r="V2414" t="inlineStr">
        <is>
          <t>2005-11-29</t>
        </is>
      </c>
      <c r="W2414" t="inlineStr">
        <is>
          <t>1990-05-02</t>
        </is>
      </c>
      <c r="X2414" t="inlineStr">
        <is>
          <t>1990-05-02</t>
        </is>
      </c>
      <c r="Y2414" t="n">
        <v>310</v>
      </c>
      <c r="Z2414" t="n">
        <v>221</v>
      </c>
      <c r="AA2414" t="n">
        <v>227</v>
      </c>
      <c r="AB2414" t="n">
        <v>3</v>
      </c>
      <c r="AC2414" t="n">
        <v>3</v>
      </c>
      <c r="AD2414" t="n">
        <v>18</v>
      </c>
      <c r="AE2414" t="n">
        <v>19</v>
      </c>
      <c r="AF2414" t="n">
        <v>5</v>
      </c>
      <c r="AG2414" t="n">
        <v>6</v>
      </c>
      <c r="AH2414" t="n">
        <v>4</v>
      </c>
      <c r="AI2414" t="n">
        <v>4</v>
      </c>
      <c r="AJ2414" t="n">
        <v>12</v>
      </c>
      <c r="AK2414" t="n">
        <v>13</v>
      </c>
      <c r="AL2414" t="n">
        <v>2</v>
      </c>
      <c r="AM2414" t="n">
        <v>2</v>
      </c>
      <c r="AN2414" t="n">
        <v>0</v>
      </c>
      <c r="AO2414" t="n">
        <v>0</v>
      </c>
      <c r="AP2414" t="inlineStr">
        <is>
          <t>No</t>
        </is>
      </c>
      <c r="AQ2414" t="inlineStr">
        <is>
          <t>Yes</t>
        </is>
      </c>
      <c r="AR2414">
        <f>HYPERLINK("http://catalog.hathitrust.org/Record/001833791","HathiTrust Record")</f>
        <v/>
      </c>
      <c r="AS2414">
        <f>HYPERLINK("https://creighton-primo.hosted.exlibrisgroup.com/primo-explore/search?tab=default_tab&amp;search_scope=EVERYTHING&amp;vid=01CRU&amp;lang=en_US&amp;offset=0&amp;query=any,contains,991001538799702656","Catalog Record")</f>
        <v/>
      </c>
      <c r="AT2414">
        <f>HYPERLINK("http://www.worldcat.org/oclc/25789578","WorldCat Record")</f>
        <v/>
      </c>
      <c r="AU2414" t="inlineStr">
        <is>
          <t>903891:eng</t>
        </is>
      </c>
      <c r="AV2414" t="inlineStr">
        <is>
          <t>25789578</t>
        </is>
      </c>
      <c r="AW2414" t="inlineStr">
        <is>
          <t>991001538799702656</t>
        </is>
      </c>
      <c r="AX2414" t="inlineStr">
        <is>
          <t>991001538799702656</t>
        </is>
      </c>
      <c r="AY2414" t="inlineStr">
        <is>
          <t>2258635660002656</t>
        </is>
      </c>
      <c r="AZ2414" t="inlineStr">
        <is>
          <t>BOOK</t>
        </is>
      </c>
      <c r="BB2414" t="inlineStr">
        <is>
          <t>9780802067586</t>
        </is>
      </c>
      <c r="BC2414" t="inlineStr">
        <is>
          <t>32285000117340</t>
        </is>
      </c>
      <c r="BD2414" t="inlineStr">
        <is>
          <t>893797625</t>
        </is>
      </c>
    </row>
    <row r="2415">
      <c r="A2415" t="inlineStr">
        <is>
          <t>No</t>
        </is>
      </c>
      <c r="B2415" t="inlineStr">
        <is>
          <t>HQ767.3 .L68 1985</t>
        </is>
      </c>
      <c r="C2415" t="inlineStr">
        <is>
          <t>0                      HQ 0767300L  68          1985</t>
        </is>
      </c>
      <c r="D2415" t="inlineStr">
        <is>
          <t>Abortion, the Catholic debate in America / Hans Lotstra.</t>
        </is>
      </c>
      <c r="F2415" t="inlineStr">
        <is>
          <t>No</t>
        </is>
      </c>
      <c r="G2415" t="inlineStr">
        <is>
          <t>1</t>
        </is>
      </c>
      <c r="H2415" t="inlineStr">
        <is>
          <t>No</t>
        </is>
      </c>
      <c r="I2415" t="inlineStr">
        <is>
          <t>No</t>
        </is>
      </c>
      <c r="J2415" t="inlineStr">
        <is>
          <t>0</t>
        </is>
      </c>
      <c r="K2415" t="inlineStr">
        <is>
          <t>Lotstra, Hans.</t>
        </is>
      </c>
      <c r="L2415" t="inlineStr">
        <is>
          <t>New York, N.Y. : Irvington Publishers, c1985.</t>
        </is>
      </c>
      <c r="M2415" t="inlineStr">
        <is>
          <t>1985</t>
        </is>
      </c>
      <c r="O2415" t="inlineStr">
        <is>
          <t>eng</t>
        </is>
      </c>
      <c r="P2415" t="inlineStr">
        <is>
          <t>nyu</t>
        </is>
      </c>
      <c r="R2415" t="inlineStr">
        <is>
          <t xml:space="preserve">HQ </t>
        </is>
      </c>
      <c r="S2415" t="n">
        <v>45</v>
      </c>
      <c r="T2415" t="n">
        <v>45</v>
      </c>
      <c r="U2415" t="inlineStr">
        <is>
          <t>2009-11-30</t>
        </is>
      </c>
      <c r="V2415" t="inlineStr">
        <is>
          <t>2009-11-30</t>
        </is>
      </c>
      <c r="W2415" t="inlineStr">
        <is>
          <t>1990-03-19</t>
        </is>
      </c>
      <c r="X2415" t="inlineStr">
        <is>
          <t>1990-03-19</t>
        </is>
      </c>
      <c r="Y2415" t="n">
        <v>221</v>
      </c>
      <c r="Z2415" t="n">
        <v>189</v>
      </c>
      <c r="AA2415" t="n">
        <v>195</v>
      </c>
      <c r="AB2415" t="n">
        <v>2</v>
      </c>
      <c r="AC2415" t="n">
        <v>2</v>
      </c>
      <c r="AD2415" t="n">
        <v>11</v>
      </c>
      <c r="AE2415" t="n">
        <v>11</v>
      </c>
      <c r="AF2415" t="n">
        <v>4</v>
      </c>
      <c r="AG2415" t="n">
        <v>4</v>
      </c>
      <c r="AH2415" t="n">
        <v>0</v>
      </c>
      <c r="AI2415" t="n">
        <v>0</v>
      </c>
      <c r="AJ2415" t="n">
        <v>9</v>
      </c>
      <c r="AK2415" t="n">
        <v>9</v>
      </c>
      <c r="AL2415" t="n">
        <v>1</v>
      </c>
      <c r="AM2415" t="n">
        <v>1</v>
      </c>
      <c r="AN2415" t="n">
        <v>1</v>
      </c>
      <c r="AO2415" t="n">
        <v>1</v>
      </c>
      <c r="AP2415" t="inlineStr">
        <is>
          <t>No</t>
        </is>
      </c>
      <c r="AQ2415" t="inlineStr">
        <is>
          <t>Yes</t>
        </is>
      </c>
      <c r="AR2415">
        <f>HYPERLINK("http://catalog.hathitrust.org/Record/102092398","HathiTrust Record")</f>
        <v/>
      </c>
      <c r="AS2415">
        <f>HYPERLINK("https://creighton-primo.hosted.exlibrisgroup.com/primo-explore/search?tab=default_tab&amp;search_scope=EVERYTHING&amp;vid=01CRU&amp;lang=en_US&amp;offset=0&amp;query=any,contains,991000557939702656","Catalog Record")</f>
        <v/>
      </c>
      <c r="AT2415">
        <f>HYPERLINK("http://www.worldcat.org/oclc/11573441","WorldCat Record")</f>
        <v/>
      </c>
      <c r="AU2415" t="inlineStr">
        <is>
          <t>149288177:eng</t>
        </is>
      </c>
      <c r="AV2415" t="inlineStr">
        <is>
          <t>11573441</t>
        </is>
      </c>
      <c r="AW2415" t="inlineStr">
        <is>
          <t>991000557939702656</t>
        </is>
      </c>
      <c r="AX2415" t="inlineStr">
        <is>
          <t>991000557939702656</t>
        </is>
      </c>
      <c r="AY2415" t="inlineStr">
        <is>
          <t>2263029490002656</t>
        </is>
      </c>
      <c r="AZ2415" t="inlineStr">
        <is>
          <t>BOOK</t>
        </is>
      </c>
      <c r="BB2415" t="inlineStr">
        <is>
          <t>9780829007282</t>
        </is>
      </c>
      <c r="BC2415" t="inlineStr">
        <is>
          <t>32285000086172</t>
        </is>
      </c>
      <c r="BD2415" t="inlineStr">
        <is>
          <t>893808741</t>
        </is>
      </c>
    </row>
    <row r="2416">
      <c r="A2416" t="inlineStr">
        <is>
          <t>No</t>
        </is>
      </c>
      <c r="B2416" t="inlineStr">
        <is>
          <t>HQ767.3 .M47</t>
        </is>
      </c>
      <c r="C2416" t="inlineStr">
        <is>
          <t>0                      HQ 0767300M  47</t>
        </is>
      </c>
      <c r="D2416" t="inlineStr">
        <is>
          <t>Enemies of choice : the right-to-life movement and its threat to abortion / Andrew H. Merton.</t>
        </is>
      </c>
      <c r="F2416" t="inlineStr">
        <is>
          <t>No</t>
        </is>
      </c>
      <c r="G2416" t="inlineStr">
        <is>
          <t>1</t>
        </is>
      </c>
      <c r="H2416" t="inlineStr">
        <is>
          <t>No</t>
        </is>
      </c>
      <c r="I2416" t="inlineStr">
        <is>
          <t>No</t>
        </is>
      </c>
      <c r="J2416" t="inlineStr">
        <is>
          <t>0</t>
        </is>
      </c>
      <c r="K2416" t="inlineStr">
        <is>
          <t>Merton, Andrew H., 1944-</t>
        </is>
      </c>
      <c r="L2416" t="inlineStr">
        <is>
          <t>Boston : Beacon Press, c1981.</t>
        </is>
      </c>
      <c r="M2416" t="inlineStr">
        <is>
          <t>1982</t>
        </is>
      </c>
      <c r="O2416" t="inlineStr">
        <is>
          <t>eng</t>
        </is>
      </c>
      <c r="P2416" t="inlineStr">
        <is>
          <t>mau</t>
        </is>
      </c>
      <c r="R2416" t="inlineStr">
        <is>
          <t xml:space="preserve">HQ </t>
        </is>
      </c>
      <c r="S2416" t="n">
        <v>2</v>
      </c>
      <c r="T2416" t="n">
        <v>2</v>
      </c>
      <c r="U2416" t="inlineStr">
        <is>
          <t>1998-04-28</t>
        </is>
      </c>
      <c r="V2416" t="inlineStr">
        <is>
          <t>1998-04-28</t>
        </is>
      </c>
      <c r="W2416" t="inlineStr">
        <is>
          <t>1991-12-05</t>
        </is>
      </c>
      <c r="X2416" t="inlineStr">
        <is>
          <t>1991-12-05</t>
        </is>
      </c>
      <c r="Y2416" t="n">
        <v>579</v>
      </c>
      <c r="Z2416" t="n">
        <v>551</v>
      </c>
      <c r="AA2416" t="n">
        <v>568</v>
      </c>
      <c r="AB2416" t="n">
        <v>3</v>
      </c>
      <c r="AC2416" t="n">
        <v>3</v>
      </c>
      <c r="AD2416" t="n">
        <v>13</v>
      </c>
      <c r="AE2416" t="n">
        <v>13</v>
      </c>
      <c r="AF2416" t="n">
        <v>6</v>
      </c>
      <c r="AG2416" t="n">
        <v>6</v>
      </c>
      <c r="AH2416" t="n">
        <v>3</v>
      </c>
      <c r="AI2416" t="n">
        <v>3</v>
      </c>
      <c r="AJ2416" t="n">
        <v>5</v>
      </c>
      <c r="AK2416" t="n">
        <v>5</v>
      </c>
      <c r="AL2416" t="n">
        <v>1</v>
      </c>
      <c r="AM2416" t="n">
        <v>1</v>
      </c>
      <c r="AN2416" t="n">
        <v>0</v>
      </c>
      <c r="AO2416" t="n">
        <v>0</v>
      </c>
      <c r="AP2416" t="inlineStr">
        <is>
          <t>No</t>
        </is>
      </c>
      <c r="AQ2416" t="inlineStr">
        <is>
          <t>No</t>
        </is>
      </c>
      <c r="AS2416">
        <f>HYPERLINK("https://creighton-primo.hosted.exlibrisgroup.com/primo-explore/search?tab=default_tab&amp;search_scope=EVERYTHING&amp;vid=01CRU&amp;lang=en_US&amp;offset=0&amp;query=any,contains,991005176549702656","Catalog Record")</f>
        <v/>
      </c>
      <c r="AT2416">
        <f>HYPERLINK("http://www.worldcat.org/oclc/7923688","WorldCat Record")</f>
        <v/>
      </c>
      <c r="AU2416" t="inlineStr">
        <is>
          <t>276260603:eng</t>
        </is>
      </c>
      <c r="AV2416" t="inlineStr">
        <is>
          <t>7923688</t>
        </is>
      </c>
      <c r="AW2416" t="inlineStr">
        <is>
          <t>991005176549702656</t>
        </is>
      </c>
      <c r="AX2416" t="inlineStr">
        <is>
          <t>991005176549702656</t>
        </is>
      </c>
      <c r="AY2416" t="inlineStr">
        <is>
          <t>2269226140002656</t>
        </is>
      </c>
      <c r="AZ2416" t="inlineStr">
        <is>
          <t>BOOK</t>
        </is>
      </c>
      <c r="BB2416" t="inlineStr">
        <is>
          <t>9780807032541</t>
        </is>
      </c>
      <c r="BC2416" t="inlineStr">
        <is>
          <t>32285000848183</t>
        </is>
      </c>
      <c r="BD2416" t="inlineStr">
        <is>
          <t>893905278</t>
        </is>
      </c>
    </row>
    <row r="2417">
      <c r="A2417" t="inlineStr">
        <is>
          <t>No</t>
        </is>
      </c>
      <c r="B2417" t="inlineStr">
        <is>
          <t>HQ767.3 .P76 1985</t>
        </is>
      </c>
      <c r="C2417" t="inlineStr">
        <is>
          <t>0                      HQ 0767300P  76          1985</t>
        </is>
      </c>
      <c r="D2417" t="inlineStr">
        <is>
          <t>Pro-life feminism : different voices / edited by Gail Grenier Sweet.</t>
        </is>
      </c>
      <c r="F2417" t="inlineStr">
        <is>
          <t>No</t>
        </is>
      </c>
      <c r="G2417" t="inlineStr">
        <is>
          <t>1</t>
        </is>
      </c>
      <c r="H2417" t="inlineStr">
        <is>
          <t>No</t>
        </is>
      </c>
      <c r="I2417" t="inlineStr">
        <is>
          <t>No</t>
        </is>
      </c>
      <c r="J2417" t="inlineStr">
        <is>
          <t>0</t>
        </is>
      </c>
      <c r="L2417" t="inlineStr">
        <is>
          <t>Toronto, Ont. : Lewiston, N.Y. : Life Cycle Books, c1985.</t>
        </is>
      </c>
      <c r="M2417" t="inlineStr">
        <is>
          <t>1985</t>
        </is>
      </c>
      <c r="O2417" t="inlineStr">
        <is>
          <t>eng</t>
        </is>
      </c>
      <c r="P2417" t="inlineStr">
        <is>
          <t>onc</t>
        </is>
      </c>
      <c r="R2417" t="inlineStr">
        <is>
          <t xml:space="preserve">HQ </t>
        </is>
      </c>
      <c r="S2417" t="n">
        <v>24</v>
      </c>
      <c r="T2417" t="n">
        <v>24</v>
      </c>
      <c r="U2417" t="inlineStr">
        <is>
          <t>2008-12-07</t>
        </is>
      </c>
      <c r="V2417" t="inlineStr">
        <is>
          <t>2008-12-07</t>
        </is>
      </c>
      <c r="W2417" t="inlineStr">
        <is>
          <t>1989-10-23</t>
        </is>
      </c>
      <c r="X2417" t="inlineStr">
        <is>
          <t>1989-10-23</t>
        </is>
      </c>
      <c r="Y2417" t="n">
        <v>206</v>
      </c>
      <c r="Z2417" t="n">
        <v>177</v>
      </c>
      <c r="AA2417" t="n">
        <v>182</v>
      </c>
      <c r="AB2417" t="n">
        <v>3</v>
      </c>
      <c r="AC2417" t="n">
        <v>3</v>
      </c>
      <c r="AD2417" t="n">
        <v>12</v>
      </c>
      <c r="AE2417" t="n">
        <v>12</v>
      </c>
      <c r="AF2417" t="n">
        <v>2</v>
      </c>
      <c r="AG2417" t="n">
        <v>2</v>
      </c>
      <c r="AH2417" t="n">
        <v>5</v>
      </c>
      <c r="AI2417" t="n">
        <v>5</v>
      </c>
      <c r="AJ2417" t="n">
        <v>9</v>
      </c>
      <c r="AK2417" t="n">
        <v>9</v>
      </c>
      <c r="AL2417" t="n">
        <v>2</v>
      </c>
      <c r="AM2417" t="n">
        <v>2</v>
      </c>
      <c r="AN2417" t="n">
        <v>0</v>
      </c>
      <c r="AO2417" t="n">
        <v>0</v>
      </c>
      <c r="AP2417" t="inlineStr">
        <is>
          <t>No</t>
        </is>
      </c>
      <c r="AQ2417" t="inlineStr">
        <is>
          <t>No</t>
        </is>
      </c>
      <c r="AS2417">
        <f>HYPERLINK("https://creighton-primo.hosted.exlibrisgroup.com/primo-explore/search?tab=default_tab&amp;search_scope=EVERYTHING&amp;vid=01CRU&amp;lang=en_US&amp;offset=0&amp;query=any,contains,991000749059702656","Catalog Record")</f>
        <v/>
      </c>
      <c r="AT2417">
        <f>HYPERLINK("http://www.worldcat.org/oclc/12903793","WorldCat Record")</f>
        <v/>
      </c>
      <c r="AU2417" t="inlineStr">
        <is>
          <t>54775469:eng</t>
        </is>
      </c>
      <c r="AV2417" t="inlineStr">
        <is>
          <t>12903793</t>
        </is>
      </c>
      <c r="AW2417" t="inlineStr">
        <is>
          <t>991000749059702656</t>
        </is>
      </c>
      <c r="AX2417" t="inlineStr">
        <is>
          <t>991000749059702656</t>
        </is>
      </c>
      <c r="AY2417" t="inlineStr">
        <is>
          <t>2256091720002656</t>
        </is>
      </c>
      <c r="AZ2417" t="inlineStr">
        <is>
          <t>BOOK</t>
        </is>
      </c>
      <c r="BB2417" t="inlineStr">
        <is>
          <t>9780919225220</t>
        </is>
      </c>
      <c r="BC2417" t="inlineStr">
        <is>
          <t>32285005024533</t>
        </is>
      </c>
      <c r="BD2417" t="inlineStr">
        <is>
          <t>893689998</t>
        </is>
      </c>
    </row>
    <row r="2418">
      <c r="A2418" t="inlineStr">
        <is>
          <t>No</t>
        </is>
      </c>
      <c r="B2418" t="inlineStr">
        <is>
          <t>HQ767.3 .R4 1984</t>
        </is>
      </c>
      <c r="C2418" t="inlineStr">
        <is>
          <t>0                      HQ 0767300R  4           1984</t>
        </is>
      </c>
      <c r="D2418" t="inlineStr">
        <is>
          <t>Abortion and the conscience of the nation / Ronald Reagan.</t>
        </is>
      </c>
      <c r="F2418" t="inlineStr">
        <is>
          <t>No</t>
        </is>
      </c>
      <c r="G2418" t="inlineStr">
        <is>
          <t>1</t>
        </is>
      </c>
      <c r="H2418" t="inlineStr">
        <is>
          <t>No</t>
        </is>
      </c>
      <c r="I2418" t="inlineStr">
        <is>
          <t>No</t>
        </is>
      </c>
      <c r="J2418" t="inlineStr">
        <is>
          <t>0</t>
        </is>
      </c>
      <c r="K2418" t="inlineStr">
        <is>
          <t>Reagan, Ronald.</t>
        </is>
      </c>
      <c r="L2418" t="inlineStr">
        <is>
          <t>Nashville : T. Nelson, c1984.</t>
        </is>
      </c>
      <c r="M2418" t="inlineStr">
        <is>
          <t>1984</t>
        </is>
      </c>
      <c r="O2418" t="inlineStr">
        <is>
          <t>eng</t>
        </is>
      </c>
      <c r="P2418" t="inlineStr">
        <is>
          <t>tnu</t>
        </is>
      </c>
      <c r="R2418" t="inlineStr">
        <is>
          <t xml:space="preserve">HQ </t>
        </is>
      </c>
      <c r="S2418" t="n">
        <v>6</v>
      </c>
      <c r="T2418" t="n">
        <v>6</v>
      </c>
      <c r="U2418" t="inlineStr">
        <is>
          <t>2009-06-30</t>
        </is>
      </c>
      <c r="V2418" t="inlineStr">
        <is>
          <t>2009-06-30</t>
        </is>
      </c>
      <c r="W2418" t="inlineStr">
        <is>
          <t>1990-02-14</t>
        </is>
      </c>
      <c r="X2418" t="inlineStr">
        <is>
          <t>1990-02-14</t>
        </is>
      </c>
      <c r="Y2418" t="n">
        <v>1287</v>
      </c>
      <c r="Z2418" t="n">
        <v>1218</v>
      </c>
      <c r="AA2418" t="n">
        <v>1235</v>
      </c>
      <c r="AB2418" t="n">
        <v>13</v>
      </c>
      <c r="AC2418" t="n">
        <v>13</v>
      </c>
      <c r="AD2418" t="n">
        <v>36</v>
      </c>
      <c r="AE2418" t="n">
        <v>37</v>
      </c>
      <c r="AF2418" t="n">
        <v>12</v>
      </c>
      <c r="AG2418" t="n">
        <v>13</v>
      </c>
      <c r="AH2418" t="n">
        <v>8</v>
      </c>
      <c r="AI2418" t="n">
        <v>8</v>
      </c>
      <c r="AJ2418" t="n">
        <v>16</v>
      </c>
      <c r="AK2418" t="n">
        <v>16</v>
      </c>
      <c r="AL2418" t="n">
        <v>6</v>
      </c>
      <c r="AM2418" t="n">
        <v>6</v>
      </c>
      <c r="AN2418" t="n">
        <v>2</v>
      </c>
      <c r="AO2418" t="n">
        <v>2</v>
      </c>
      <c r="AP2418" t="inlineStr">
        <is>
          <t>No</t>
        </is>
      </c>
      <c r="AQ2418" t="inlineStr">
        <is>
          <t>Yes</t>
        </is>
      </c>
      <c r="AR2418">
        <f>HYPERLINK("http://catalog.hathitrust.org/Record/000281329","HathiTrust Record")</f>
        <v/>
      </c>
      <c r="AS2418">
        <f>HYPERLINK("https://creighton-primo.hosted.exlibrisgroup.com/primo-explore/search?tab=default_tab&amp;search_scope=EVERYTHING&amp;vid=01CRU&amp;lang=en_US&amp;offset=0&amp;query=any,contains,991000374299702656","Catalog Record")</f>
        <v/>
      </c>
      <c r="AT2418">
        <f>HYPERLINK("http://www.worldcat.org/oclc/10456929","WorldCat Record")</f>
        <v/>
      </c>
      <c r="AU2418" t="inlineStr">
        <is>
          <t>2870619:eng</t>
        </is>
      </c>
      <c r="AV2418" t="inlineStr">
        <is>
          <t>10456929</t>
        </is>
      </c>
      <c r="AW2418" t="inlineStr">
        <is>
          <t>991000374299702656</t>
        </is>
      </c>
      <c r="AX2418" t="inlineStr">
        <is>
          <t>991000374299702656</t>
        </is>
      </c>
      <c r="AY2418" t="inlineStr">
        <is>
          <t>2262815910002656</t>
        </is>
      </c>
      <c r="AZ2418" t="inlineStr">
        <is>
          <t>BOOK</t>
        </is>
      </c>
      <c r="BB2418" t="inlineStr">
        <is>
          <t>9780840741165</t>
        </is>
      </c>
      <c r="BC2418" t="inlineStr">
        <is>
          <t>32285000052539</t>
        </is>
      </c>
      <c r="BD2418" t="inlineStr">
        <is>
          <t>893802707</t>
        </is>
      </c>
    </row>
    <row r="2419">
      <c r="A2419" t="inlineStr">
        <is>
          <t>No</t>
        </is>
      </c>
      <c r="B2419" t="inlineStr">
        <is>
          <t>HQ767.3 .R65</t>
        </is>
      </c>
      <c r="C2419" t="inlineStr">
        <is>
          <t>0                      HQ 0767300R  65</t>
        </is>
      </c>
      <c r="D2419" t="inlineStr">
        <is>
          <t>Ethics and the search for Christian unity : two statements / by the Roman Catholic/Presbyterian-Reformed Consultation.</t>
        </is>
      </c>
      <c r="F2419" t="inlineStr">
        <is>
          <t>No</t>
        </is>
      </c>
      <c r="G2419" t="inlineStr">
        <is>
          <t>1</t>
        </is>
      </c>
      <c r="H2419" t="inlineStr">
        <is>
          <t>No</t>
        </is>
      </c>
      <c r="I2419" t="inlineStr">
        <is>
          <t>No</t>
        </is>
      </c>
      <c r="J2419" t="inlineStr">
        <is>
          <t>0</t>
        </is>
      </c>
      <c r="K2419" t="inlineStr">
        <is>
          <t>Roman Catholic/Presbyterian-Reformed Consultation.</t>
        </is>
      </c>
      <c r="L2419" t="inlineStr">
        <is>
          <t>Washington, D.C. : United States Catholic Conference, 1981.</t>
        </is>
      </c>
      <c r="M2419" t="inlineStr">
        <is>
          <t>1981</t>
        </is>
      </c>
      <c r="O2419" t="inlineStr">
        <is>
          <t>eng</t>
        </is>
      </c>
      <c r="P2419" t="inlineStr">
        <is>
          <t>dcu</t>
        </is>
      </c>
      <c r="R2419" t="inlineStr">
        <is>
          <t xml:space="preserve">HQ </t>
        </is>
      </c>
      <c r="S2419" t="n">
        <v>16</v>
      </c>
      <c r="T2419" t="n">
        <v>16</v>
      </c>
      <c r="U2419" t="inlineStr">
        <is>
          <t>2008-03-10</t>
        </is>
      </c>
      <c r="V2419" t="inlineStr">
        <is>
          <t>2008-03-10</t>
        </is>
      </c>
      <c r="W2419" t="inlineStr">
        <is>
          <t>1992-04-24</t>
        </is>
      </c>
      <c r="X2419" t="inlineStr">
        <is>
          <t>1992-04-24</t>
        </is>
      </c>
      <c r="Y2419" t="n">
        <v>106</v>
      </c>
      <c r="Z2419" t="n">
        <v>97</v>
      </c>
      <c r="AA2419" t="n">
        <v>117</v>
      </c>
      <c r="AB2419" t="n">
        <v>1</v>
      </c>
      <c r="AC2419" t="n">
        <v>1</v>
      </c>
      <c r="AD2419" t="n">
        <v>13</v>
      </c>
      <c r="AE2419" t="n">
        <v>20</v>
      </c>
      <c r="AF2419" t="n">
        <v>3</v>
      </c>
      <c r="AG2419" t="n">
        <v>6</v>
      </c>
      <c r="AH2419" t="n">
        <v>4</v>
      </c>
      <c r="AI2419" t="n">
        <v>6</v>
      </c>
      <c r="AJ2419" t="n">
        <v>10</v>
      </c>
      <c r="AK2419" t="n">
        <v>16</v>
      </c>
      <c r="AL2419" t="n">
        <v>0</v>
      </c>
      <c r="AM2419" t="n">
        <v>0</v>
      </c>
      <c r="AN2419" t="n">
        <v>0</v>
      </c>
      <c r="AO2419" t="n">
        <v>0</v>
      </c>
      <c r="AP2419" t="inlineStr">
        <is>
          <t>No</t>
        </is>
      </c>
      <c r="AQ2419" t="inlineStr">
        <is>
          <t>No</t>
        </is>
      </c>
      <c r="AS2419">
        <f>HYPERLINK("https://creighton-primo.hosted.exlibrisgroup.com/primo-explore/search?tab=default_tab&amp;search_scope=EVERYTHING&amp;vid=01CRU&amp;lang=en_US&amp;offset=0&amp;query=any,contains,991005148769702656","Catalog Record")</f>
        <v/>
      </c>
      <c r="AT2419">
        <f>HYPERLINK("http://www.worldcat.org/oclc/7686888","WorldCat Record")</f>
        <v/>
      </c>
      <c r="AU2419" t="inlineStr">
        <is>
          <t>29026241:eng</t>
        </is>
      </c>
      <c r="AV2419" t="inlineStr">
        <is>
          <t>7686888</t>
        </is>
      </c>
      <c r="AW2419" t="inlineStr">
        <is>
          <t>991005148769702656</t>
        </is>
      </c>
      <c r="AX2419" t="inlineStr">
        <is>
          <t>991005148769702656</t>
        </is>
      </c>
      <c r="AY2419" t="inlineStr">
        <is>
          <t>2270204410002656</t>
        </is>
      </c>
      <c r="AZ2419" t="inlineStr">
        <is>
          <t>BOOK</t>
        </is>
      </c>
      <c r="BC2419" t="inlineStr">
        <is>
          <t>32285001070829</t>
        </is>
      </c>
      <c r="BD2419" t="inlineStr">
        <is>
          <t>893424631</t>
        </is>
      </c>
    </row>
    <row r="2420">
      <c r="A2420" t="inlineStr">
        <is>
          <t>No</t>
        </is>
      </c>
      <c r="B2420" t="inlineStr">
        <is>
          <t>HQ767.3 .S94</t>
        </is>
      </c>
      <c r="C2420" t="inlineStr">
        <is>
          <t>0                      HQ 0767300S  94</t>
        </is>
      </c>
      <c r="D2420" t="inlineStr">
        <is>
          <t>Abortion and moral theory / L. W. Sumner.</t>
        </is>
      </c>
      <c r="F2420" t="inlineStr">
        <is>
          <t>No</t>
        </is>
      </c>
      <c r="G2420" t="inlineStr">
        <is>
          <t>1</t>
        </is>
      </c>
      <c r="H2420" t="inlineStr">
        <is>
          <t>No</t>
        </is>
      </c>
      <c r="I2420" t="inlineStr">
        <is>
          <t>No</t>
        </is>
      </c>
      <c r="J2420" t="inlineStr">
        <is>
          <t>0</t>
        </is>
      </c>
      <c r="K2420" t="inlineStr">
        <is>
          <t>Sumner, L. W.</t>
        </is>
      </c>
      <c r="L2420" t="inlineStr">
        <is>
          <t>Princeton, N.J. : Princeton University Press, c1981.</t>
        </is>
      </c>
      <c r="M2420" t="inlineStr">
        <is>
          <t>1981</t>
        </is>
      </c>
      <c r="O2420" t="inlineStr">
        <is>
          <t>eng</t>
        </is>
      </c>
      <c r="P2420" t="inlineStr">
        <is>
          <t>nju</t>
        </is>
      </c>
      <c r="R2420" t="inlineStr">
        <is>
          <t xml:space="preserve">HQ </t>
        </is>
      </c>
      <c r="S2420" t="n">
        <v>18</v>
      </c>
      <c r="T2420" t="n">
        <v>18</v>
      </c>
      <c r="U2420" t="inlineStr">
        <is>
          <t>2005-05-24</t>
        </is>
      </c>
      <c r="V2420" t="inlineStr">
        <is>
          <t>2005-05-24</t>
        </is>
      </c>
      <c r="W2420" t="inlineStr">
        <is>
          <t>1991-12-10</t>
        </is>
      </c>
      <c r="X2420" t="inlineStr">
        <is>
          <t>1991-12-10</t>
        </is>
      </c>
      <c r="Y2420" t="n">
        <v>941</v>
      </c>
      <c r="Z2420" t="n">
        <v>793</v>
      </c>
      <c r="AA2420" t="n">
        <v>1004</v>
      </c>
      <c r="AB2420" t="n">
        <v>5</v>
      </c>
      <c r="AC2420" t="n">
        <v>8</v>
      </c>
      <c r="AD2420" t="n">
        <v>48</v>
      </c>
      <c r="AE2420" t="n">
        <v>57</v>
      </c>
      <c r="AF2420" t="n">
        <v>14</v>
      </c>
      <c r="AG2420" t="n">
        <v>20</v>
      </c>
      <c r="AH2420" t="n">
        <v>8</v>
      </c>
      <c r="AI2420" t="n">
        <v>10</v>
      </c>
      <c r="AJ2420" t="n">
        <v>17</v>
      </c>
      <c r="AK2420" t="n">
        <v>18</v>
      </c>
      <c r="AL2420" t="n">
        <v>3</v>
      </c>
      <c r="AM2420" t="n">
        <v>5</v>
      </c>
      <c r="AN2420" t="n">
        <v>15</v>
      </c>
      <c r="AO2420" t="n">
        <v>15</v>
      </c>
      <c r="AP2420" t="inlineStr">
        <is>
          <t>No</t>
        </is>
      </c>
      <c r="AQ2420" t="inlineStr">
        <is>
          <t>No</t>
        </is>
      </c>
      <c r="AS2420">
        <f>HYPERLINK("https://creighton-primo.hosted.exlibrisgroup.com/primo-explore/search?tab=default_tab&amp;search_scope=EVERYTHING&amp;vid=01CRU&amp;lang=en_US&amp;offset=0&amp;query=any,contains,991005086799702656","Catalog Record")</f>
        <v/>
      </c>
      <c r="AT2420">
        <f>HYPERLINK("http://www.worldcat.org/oclc/7197090","WorldCat Record")</f>
        <v/>
      </c>
      <c r="AU2420" t="inlineStr">
        <is>
          <t>442151:eng</t>
        </is>
      </c>
      <c r="AV2420" t="inlineStr">
        <is>
          <t>7197090</t>
        </is>
      </c>
      <c r="AW2420" t="inlineStr">
        <is>
          <t>991005086799702656</t>
        </is>
      </c>
      <c r="AX2420" t="inlineStr">
        <is>
          <t>991005086799702656</t>
        </is>
      </c>
      <c r="AY2420" t="inlineStr">
        <is>
          <t>2255616430002656</t>
        </is>
      </c>
      <c r="AZ2420" t="inlineStr">
        <is>
          <t>BOOK</t>
        </is>
      </c>
      <c r="BB2420" t="inlineStr">
        <is>
          <t>9780691020174</t>
        </is>
      </c>
      <c r="BC2420" t="inlineStr">
        <is>
          <t>32285000839091</t>
        </is>
      </c>
      <c r="BD2420" t="inlineStr">
        <is>
          <t>893501296</t>
        </is>
      </c>
    </row>
    <row r="2421">
      <c r="A2421" t="inlineStr">
        <is>
          <t>No</t>
        </is>
      </c>
      <c r="B2421" t="inlineStr">
        <is>
          <t>HQ767.3 .W39 1973</t>
        </is>
      </c>
      <c r="C2421" t="inlineStr">
        <is>
          <t>0                      HQ 0767300W  39          1973</t>
        </is>
      </c>
      <c r="D2421" t="inlineStr">
        <is>
          <t>What a modern Catholic believes about the right to life / by Richard Westley.</t>
        </is>
      </c>
      <c r="F2421" t="inlineStr">
        <is>
          <t>No</t>
        </is>
      </c>
      <c r="G2421" t="inlineStr">
        <is>
          <t>1</t>
        </is>
      </c>
      <c r="H2421" t="inlineStr">
        <is>
          <t>No</t>
        </is>
      </c>
      <c r="I2421" t="inlineStr">
        <is>
          <t>No</t>
        </is>
      </c>
      <c r="J2421" t="inlineStr">
        <is>
          <t>0</t>
        </is>
      </c>
      <c r="K2421" t="inlineStr">
        <is>
          <t>Westley, Dick.</t>
        </is>
      </c>
      <c r="L2421" t="inlineStr">
        <is>
          <t>Chicago : Thomas More Press, [1973]</t>
        </is>
      </c>
      <c r="M2421" t="inlineStr">
        <is>
          <t>1973</t>
        </is>
      </c>
      <c r="O2421" t="inlineStr">
        <is>
          <t>eng</t>
        </is>
      </c>
      <c r="P2421" t="inlineStr">
        <is>
          <t>ilu</t>
        </is>
      </c>
      <c r="R2421" t="inlineStr">
        <is>
          <t xml:space="preserve">HQ </t>
        </is>
      </c>
      <c r="S2421" t="n">
        <v>25</v>
      </c>
      <c r="T2421" t="n">
        <v>25</v>
      </c>
      <c r="U2421" t="inlineStr">
        <is>
          <t>2007-12-02</t>
        </is>
      </c>
      <c r="V2421" t="inlineStr">
        <is>
          <t>2007-12-02</t>
        </is>
      </c>
      <c r="W2421" t="inlineStr">
        <is>
          <t>1990-03-19</t>
        </is>
      </c>
      <c r="X2421" t="inlineStr">
        <is>
          <t>1990-03-19</t>
        </is>
      </c>
      <c r="Y2421" t="n">
        <v>117</v>
      </c>
      <c r="Z2421" t="n">
        <v>100</v>
      </c>
      <c r="AA2421" t="n">
        <v>100</v>
      </c>
      <c r="AB2421" t="n">
        <v>2</v>
      </c>
      <c r="AC2421" t="n">
        <v>2</v>
      </c>
      <c r="AD2421" t="n">
        <v>12</v>
      </c>
      <c r="AE2421" t="n">
        <v>12</v>
      </c>
      <c r="AF2421" t="n">
        <v>2</v>
      </c>
      <c r="AG2421" t="n">
        <v>2</v>
      </c>
      <c r="AH2421" t="n">
        <v>4</v>
      </c>
      <c r="AI2421" t="n">
        <v>4</v>
      </c>
      <c r="AJ2421" t="n">
        <v>6</v>
      </c>
      <c r="AK2421" t="n">
        <v>6</v>
      </c>
      <c r="AL2421" t="n">
        <v>1</v>
      </c>
      <c r="AM2421" t="n">
        <v>1</v>
      </c>
      <c r="AN2421" t="n">
        <v>0</v>
      </c>
      <c r="AO2421" t="n">
        <v>0</v>
      </c>
      <c r="AP2421" t="inlineStr">
        <is>
          <t>No</t>
        </is>
      </c>
      <c r="AQ2421" t="inlineStr">
        <is>
          <t>No</t>
        </is>
      </c>
      <c r="AS2421">
        <f>HYPERLINK("https://creighton-primo.hosted.exlibrisgroup.com/primo-explore/search?tab=default_tab&amp;search_scope=EVERYTHING&amp;vid=01CRU&amp;lang=en_US&amp;offset=0&amp;query=any,contains,991003229149702656","Catalog Record")</f>
        <v/>
      </c>
      <c r="AT2421">
        <f>HYPERLINK("http://www.worldcat.org/oclc/754121","WorldCat Record")</f>
        <v/>
      </c>
      <c r="AU2421" t="inlineStr">
        <is>
          <t>1607556:eng</t>
        </is>
      </c>
      <c r="AV2421" t="inlineStr">
        <is>
          <t>754121</t>
        </is>
      </c>
      <c r="AW2421" t="inlineStr">
        <is>
          <t>991003229149702656</t>
        </is>
      </c>
      <c r="AX2421" t="inlineStr">
        <is>
          <t>991003229149702656</t>
        </is>
      </c>
      <c r="AY2421" t="inlineStr">
        <is>
          <t>2270094570002656</t>
        </is>
      </c>
      <c r="AZ2421" t="inlineStr">
        <is>
          <t>BOOK</t>
        </is>
      </c>
      <c r="BC2421" t="inlineStr">
        <is>
          <t>32285004466958</t>
        </is>
      </c>
      <c r="BD2421" t="inlineStr">
        <is>
          <t>893434780</t>
        </is>
      </c>
    </row>
    <row r="2422">
      <c r="A2422" t="inlineStr">
        <is>
          <t>No</t>
        </is>
      </c>
      <c r="B2422" t="inlineStr">
        <is>
          <t>HQ767.3 .Y68 1984</t>
        </is>
      </c>
      <c r="C2422" t="inlineStr">
        <is>
          <t>0                      HQ 0767300Y  68          1984</t>
        </is>
      </c>
      <c r="D2422" t="inlineStr">
        <is>
          <t>The least of these / by Curt Young.</t>
        </is>
      </c>
      <c r="F2422" t="inlineStr">
        <is>
          <t>No</t>
        </is>
      </c>
      <c r="G2422" t="inlineStr">
        <is>
          <t>1</t>
        </is>
      </c>
      <c r="H2422" t="inlineStr">
        <is>
          <t>No</t>
        </is>
      </c>
      <c r="I2422" t="inlineStr">
        <is>
          <t>No</t>
        </is>
      </c>
      <c r="J2422" t="inlineStr">
        <is>
          <t>0</t>
        </is>
      </c>
      <c r="K2422" t="inlineStr">
        <is>
          <t>Young, Curt, 1952-</t>
        </is>
      </c>
      <c r="L2422" t="inlineStr">
        <is>
          <t>Chicago : Moody Press, 1984, c1983.</t>
        </is>
      </c>
      <c r="M2422" t="inlineStr">
        <is>
          <t>1983</t>
        </is>
      </c>
      <c r="O2422" t="inlineStr">
        <is>
          <t>eng</t>
        </is>
      </c>
      <c r="P2422" t="inlineStr">
        <is>
          <t>ilu</t>
        </is>
      </c>
      <c r="R2422" t="inlineStr">
        <is>
          <t xml:space="preserve">HQ </t>
        </is>
      </c>
      <c r="S2422" t="n">
        <v>3</v>
      </c>
      <c r="T2422" t="n">
        <v>3</v>
      </c>
      <c r="U2422" t="inlineStr">
        <is>
          <t>1998-04-28</t>
        </is>
      </c>
      <c r="V2422" t="inlineStr">
        <is>
          <t>1998-04-28</t>
        </is>
      </c>
      <c r="W2422" t="inlineStr">
        <is>
          <t>1992-11-10</t>
        </is>
      </c>
      <c r="X2422" t="inlineStr">
        <is>
          <t>1992-11-10</t>
        </is>
      </c>
      <c r="Y2422" t="n">
        <v>228</v>
      </c>
      <c r="Z2422" t="n">
        <v>215</v>
      </c>
      <c r="AA2422" t="n">
        <v>250</v>
      </c>
      <c r="AB2422" t="n">
        <v>5</v>
      </c>
      <c r="AC2422" t="n">
        <v>5</v>
      </c>
      <c r="AD2422" t="n">
        <v>4</v>
      </c>
      <c r="AE2422" t="n">
        <v>4</v>
      </c>
      <c r="AF2422" t="n">
        <v>1</v>
      </c>
      <c r="AG2422" t="n">
        <v>1</v>
      </c>
      <c r="AH2422" t="n">
        <v>1</v>
      </c>
      <c r="AI2422" t="n">
        <v>1</v>
      </c>
      <c r="AJ2422" t="n">
        <v>0</v>
      </c>
      <c r="AK2422" t="n">
        <v>0</v>
      </c>
      <c r="AL2422" t="n">
        <v>2</v>
      </c>
      <c r="AM2422" t="n">
        <v>2</v>
      </c>
      <c r="AN2422" t="n">
        <v>0</v>
      </c>
      <c r="AO2422" t="n">
        <v>0</v>
      </c>
      <c r="AP2422" t="inlineStr">
        <is>
          <t>No</t>
        </is>
      </c>
      <c r="AQ2422" t="inlineStr">
        <is>
          <t>No</t>
        </is>
      </c>
      <c r="AS2422">
        <f>HYPERLINK("https://creighton-primo.hosted.exlibrisgroup.com/primo-explore/search?tab=default_tab&amp;search_scope=EVERYTHING&amp;vid=01CRU&amp;lang=en_US&amp;offset=0&amp;query=any,contains,991000422369702656","Catalog Record")</f>
        <v/>
      </c>
      <c r="AT2422">
        <f>HYPERLINK("http://www.worldcat.org/oclc/10751242","WorldCat Record")</f>
        <v/>
      </c>
      <c r="AU2422" t="inlineStr">
        <is>
          <t>3768410434:eng</t>
        </is>
      </c>
      <c r="AV2422" t="inlineStr">
        <is>
          <t>10751242</t>
        </is>
      </c>
      <c r="AW2422" t="inlineStr">
        <is>
          <t>991000422369702656</t>
        </is>
      </c>
      <c r="AX2422" t="inlineStr">
        <is>
          <t>991000422369702656</t>
        </is>
      </c>
      <c r="AY2422" t="inlineStr">
        <is>
          <t>2266233440002656</t>
        </is>
      </c>
      <c r="AZ2422" t="inlineStr">
        <is>
          <t>BOOK</t>
        </is>
      </c>
      <c r="BB2422" t="inlineStr">
        <is>
          <t>9780802403551</t>
        </is>
      </c>
      <c r="BC2422" t="inlineStr">
        <is>
          <t>32285001395218</t>
        </is>
      </c>
      <c r="BD2422" t="inlineStr">
        <is>
          <t>893607896</t>
        </is>
      </c>
    </row>
    <row r="2423">
      <c r="A2423" t="inlineStr">
        <is>
          <t>No</t>
        </is>
      </c>
      <c r="B2423" t="inlineStr">
        <is>
          <t>HQ767.35 .C48 1993</t>
        </is>
      </c>
      <c r="C2423" t="inlineStr">
        <is>
          <t>0                      HQ 0767350C  48          1993</t>
        </is>
      </c>
      <c r="D2423" t="inlineStr">
        <is>
          <t>The Church &amp; abortion : in search of new ground for response : essays / by Ruth S. Brown, Michael J. Gorman, Stanley Hauerwas, William H. Willimon ; Paul T. Stallsworth, general editor.</t>
        </is>
      </c>
      <c r="F2423" t="inlineStr">
        <is>
          <t>No</t>
        </is>
      </c>
      <c r="G2423" t="inlineStr">
        <is>
          <t>1</t>
        </is>
      </c>
      <c r="H2423" t="inlineStr">
        <is>
          <t>No</t>
        </is>
      </c>
      <c r="I2423" t="inlineStr">
        <is>
          <t>No</t>
        </is>
      </c>
      <c r="J2423" t="inlineStr">
        <is>
          <t>0</t>
        </is>
      </c>
      <c r="L2423" t="inlineStr">
        <is>
          <t>Nashville : Abingdon Press, c1993.</t>
        </is>
      </c>
      <c r="M2423" t="inlineStr">
        <is>
          <t>1993</t>
        </is>
      </c>
      <c r="O2423" t="inlineStr">
        <is>
          <t>eng</t>
        </is>
      </c>
      <c r="P2423" t="inlineStr">
        <is>
          <t>tnu</t>
        </is>
      </c>
      <c r="R2423" t="inlineStr">
        <is>
          <t xml:space="preserve">HQ </t>
        </is>
      </c>
      <c r="S2423" t="n">
        <v>36</v>
      </c>
      <c r="T2423" t="n">
        <v>36</v>
      </c>
      <c r="U2423" t="inlineStr">
        <is>
          <t>2005-11-29</t>
        </is>
      </c>
      <c r="V2423" t="inlineStr">
        <is>
          <t>2005-11-29</t>
        </is>
      </c>
      <c r="W2423" t="inlineStr">
        <is>
          <t>1993-07-12</t>
        </is>
      </c>
      <c r="X2423" t="inlineStr">
        <is>
          <t>1993-07-12</t>
        </is>
      </c>
      <c r="Y2423" t="n">
        <v>216</v>
      </c>
      <c r="Z2423" t="n">
        <v>183</v>
      </c>
      <c r="AA2423" t="n">
        <v>184</v>
      </c>
      <c r="AB2423" t="n">
        <v>1</v>
      </c>
      <c r="AC2423" t="n">
        <v>1</v>
      </c>
      <c r="AD2423" t="n">
        <v>5</v>
      </c>
      <c r="AE2423" t="n">
        <v>5</v>
      </c>
      <c r="AF2423" t="n">
        <v>2</v>
      </c>
      <c r="AG2423" t="n">
        <v>2</v>
      </c>
      <c r="AH2423" t="n">
        <v>1</v>
      </c>
      <c r="AI2423" t="n">
        <v>1</v>
      </c>
      <c r="AJ2423" t="n">
        <v>3</v>
      </c>
      <c r="AK2423" t="n">
        <v>3</v>
      </c>
      <c r="AL2423" t="n">
        <v>0</v>
      </c>
      <c r="AM2423" t="n">
        <v>0</v>
      </c>
      <c r="AN2423" t="n">
        <v>0</v>
      </c>
      <c r="AO2423" t="n">
        <v>0</v>
      </c>
      <c r="AP2423" t="inlineStr">
        <is>
          <t>No</t>
        </is>
      </c>
      <c r="AQ2423" t="inlineStr">
        <is>
          <t>Yes</t>
        </is>
      </c>
      <c r="AR2423">
        <f>HYPERLINK("http://catalog.hathitrust.org/Record/007110784","HathiTrust Record")</f>
        <v/>
      </c>
      <c r="AS2423">
        <f>HYPERLINK("https://creighton-primo.hosted.exlibrisgroup.com/primo-explore/search?tab=default_tab&amp;search_scope=EVERYTHING&amp;vid=01CRU&amp;lang=en_US&amp;offset=0&amp;query=any,contains,991002112639702656","Catalog Record")</f>
        <v/>
      </c>
      <c r="AT2423">
        <f>HYPERLINK("http://www.worldcat.org/oclc/27068538","WorldCat Record")</f>
        <v/>
      </c>
      <c r="AU2423" t="inlineStr">
        <is>
          <t>347305:eng</t>
        </is>
      </c>
      <c r="AV2423" t="inlineStr">
        <is>
          <t>27068538</t>
        </is>
      </c>
      <c r="AW2423" t="inlineStr">
        <is>
          <t>991002112639702656</t>
        </is>
      </c>
      <c r="AX2423" t="inlineStr">
        <is>
          <t>991002112639702656</t>
        </is>
      </c>
      <c r="AY2423" t="inlineStr">
        <is>
          <t>2256850010002656</t>
        </is>
      </c>
      <c r="AZ2423" t="inlineStr">
        <is>
          <t>BOOK</t>
        </is>
      </c>
      <c r="BB2423" t="inlineStr">
        <is>
          <t>9780687078523</t>
        </is>
      </c>
      <c r="BC2423" t="inlineStr">
        <is>
          <t>32285001701993</t>
        </is>
      </c>
      <c r="BD2423" t="inlineStr">
        <is>
          <t>893773235</t>
        </is>
      </c>
    </row>
    <row r="2424">
      <c r="A2424" t="inlineStr">
        <is>
          <t>No</t>
        </is>
      </c>
      <c r="B2424" t="inlineStr">
        <is>
          <t>HQ767.38.B83 L34 1992</t>
        </is>
      </c>
      <c r="C2424" t="inlineStr">
        <is>
          <t>0                      HQ 0767380B  83                 L  34          1992</t>
        </is>
      </c>
      <c r="D2424" t="inlineStr">
        <is>
          <t>Liquid life : abortion and Buddhism in Japan / William R. LaFleur.</t>
        </is>
      </c>
      <c r="F2424" t="inlineStr">
        <is>
          <t>No</t>
        </is>
      </c>
      <c r="G2424" t="inlineStr">
        <is>
          <t>1</t>
        </is>
      </c>
      <c r="H2424" t="inlineStr">
        <is>
          <t>No</t>
        </is>
      </c>
      <c r="I2424" t="inlineStr">
        <is>
          <t>No</t>
        </is>
      </c>
      <c r="J2424" t="inlineStr">
        <is>
          <t>0</t>
        </is>
      </c>
      <c r="K2424" t="inlineStr">
        <is>
          <t>LaFleur, William R.</t>
        </is>
      </c>
      <c r="L2424" t="inlineStr">
        <is>
          <t>Princeton, N.J. : Princeton University Press, c1992.</t>
        </is>
      </c>
      <c r="M2424" t="inlineStr">
        <is>
          <t>1992</t>
        </is>
      </c>
      <c r="O2424" t="inlineStr">
        <is>
          <t>eng</t>
        </is>
      </c>
      <c r="P2424" t="inlineStr">
        <is>
          <t>nju</t>
        </is>
      </c>
      <c r="R2424" t="inlineStr">
        <is>
          <t xml:space="preserve">HQ </t>
        </is>
      </c>
      <c r="S2424" t="n">
        <v>14</v>
      </c>
      <c r="T2424" t="n">
        <v>14</v>
      </c>
      <c r="U2424" t="inlineStr">
        <is>
          <t>2009-11-23</t>
        </is>
      </c>
      <c r="V2424" t="inlineStr">
        <is>
          <t>2009-11-23</t>
        </is>
      </c>
      <c r="W2424" t="inlineStr">
        <is>
          <t>1994-12-22</t>
        </is>
      </c>
      <c r="X2424" t="inlineStr">
        <is>
          <t>1994-12-22</t>
        </is>
      </c>
      <c r="Y2424" t="n">
        <v>594</v>
      </c>
      <c r="Z2424" t="n">
        <v>456</v>
      </c>
      <c r="AA2424" t="n">
        <v>737</v>
      </c>
      <c r="AB2424" t="n">
        <v>4</v>
      </c>
      <c r="AC2424" t="n">
        <v>6</v>
      </c>
      <c r="AD2424" t="n">
        <v>33</v>
      </c>
      <c r="AE2424" t="n">
        <v>44</v>
      </c>
      <c r="AF2424" t="n">
        <v>14</v>
      </c>
      <c r="AG2424" t="n">
        <v>18</v>
      </c>
      <c r="AH2424" t="n">
        <v>9</v>
      </c>
      <c r="AI2424" t="n">
        <v>11</v>
      </c>
      <c r="AJ2424" t="n">
        <v>16</v>
      </c>
      <c r="AK2424" t="n">
        <v>23</v>
      </c>
      <c r="AL2424" t="n">
        <v>3</v>
      </c>
      <c r="AM2424" t="n">
        <v>5</v>
      </c>
      <c r="AN2424" t="n">
        <v>0</v>
      </c>
      <c r="AO2424" t="n">
        <v>0</v>
      </c>
      <c r="AP2424" t="inlineStr">
        <is>
          <t>No</t>
        </is>
      </c>
      <c r="AQ2424" t="inlineStr">
        <is>
          <t>No</t>
        </is>
      </c>
      <c r="AS2424">
        <f>HYPERLINK("https://creighton-primo.hosted.exlibrisgroup.com/primo-explore/search?tab=default_tab&amp;search_scope=EVERYTHING&amp;vid=01CRU&amp;lang=en_US&amp;offset=0&amp;query=any,contains,991002019309702656","Catalog Record")</f>
        <v/>
      </c>
      <c r="AT2424">
        <f>HYPERLINK("http://www.worldcat.org/oclc/25676360","WorldCat Record")</f>
        <v/>
      </c>
      <c r="AU2424" t="inlineStr">
        <is>
          <t>795668391:eng</t>
        </is>
      </c>
      <c r="AV2424" t="inlineStr">
        <is>
          <t>25676360</t>
        </is>
      </c>
      <c r="AW2424" t="inlineStr">
        <is>
          <t>991002019309702656</t>
        </is>
      </c>
      <c r="AX2424" t="inlineStr">
        <is>
          <t>991002019309702656</t>
        </is>
      </c>
      <c r="AY2424" t="inlineStr">
        <is>
          <t>2269654920002656</t>
        </is>
      </c>
      <c r="AZ2424" t="inlineStr">
        <is>
          <t>BOOK</t>
        </is>
      </c>
      <c r="BB2424" t="inlineStr">
        <is>
          <t>9780691074054</t>
        </is>
      </c>
      <c r="BC2424" t="inlineStr">
        <is>
          <t>32285001978807</t>
        </is>
      </c>
      <c r="BD2424" t="inlineStr">
        <is>
          <t>893590832</t>
        </is>
      </c>
    </row>
    <row r="2425">
      <c r="A2425" t="inlineStr">
        <is>
          <t>No</t>
        </is>
      </c>
      <c r="B2425" t="inlineStr">
        <is>
          <t>HQ767.5.G7 B76 1988</t>
        </is>
      </c>
      <c r="C2425" t="inlineStr">
        <is>
          <t>0                      HQ 0767500G  7                  B  76          1988</t>
        </is>
      </c>
      <c r="D2425" t="inlineStr">
        <is>
          <t>Abortion in England, 1900-1967 / Barbara Brookes.</t>
        </is>
      </c>
      <c r="F2425" t="inlineStr">
        <is>
          <t>No</t>
        </is>
      </c>
      <c r="G2425" t="inlineStr">
        <is>
          <t>1</t>
        </is>
      </c>
      <c r="H2425" t="inlineStr">
        <is>
          <t>No</t>
        </is>
      </c>
      <c r="I2425" t="inlineStr">
        <is>
          <t>No</t>
        </is>
      </c>
      <c r="J2425" t="inlineStr">
        <is>
          <t>0</t>
        </is>
      </c>
      <c r="K2425" t="inlineStr">
        <is>
          <t>Brookes, Barbara L. (Barbara Lesley), 1955-</t>
        </is>
      </c>
      <c r="L2425" t="inlineStr">
        <is>
          <t>London ; New York : Croom Helm, c1988.</t>
        </is>
      </c>
      <c r="M2425" t="inlineStr">
        <is>
          <t>1988</t>
        </is>
      </c>
      <c r="O2425" t="inlineStr">
        <is>
          <t>eng</t>
        </is>
      </c>
      <c r="P2425" t="inlineStr">
        <is>
          <t>enk</t>
        </is>
      </c>
      <c r="Q2425" t="inlineStr">
        <is>
          <t>Wellcome Institute series in the history of medicine</t>
        </is>
      </c>
      <c r="R2425" t="inlineStr">
        <is>
          <t xml:space="preserve">HQ </t>
        </is>
      </c>
      <c r="S2425" t="n">
        <v>6</v>
      </c>
      <c r="T2425" t="n">
        <v>6</v>
      </c>
      <c r="U2425" t="inlineStr">
        <is>
          <t>2010-12-10</t>
        </is>
      </c>
      <c r="V2425" t="inlineStr">
        <is>
          <t>2010-12-10</t>
        </is>
      </c>
      <c r="W2425" t="inlineStr">
        <is>
          <t>1991-12-06</t>
        </is>
      </c>
      <c r="X2425" t="inlineStr">
        <is>
          <t>1991-12-06</t>
        </is>
      </c>
      <c r="Y2425" t="n">
        <v>335</v>
      </c>
      <c r="Z2425" t="n">
        <v>197</v>
      </c>
      <c r="AA2425" t="n">
        <v>568</v>
      </c>
      <c r="AB2425" t="n">
        <v>3</v>
      </c>
      <c r="AC2425" t="n">
        <v>6</v>
      </c>
      <c r="AD2425" t="n">
        <v>8</v>
      </c>
      <c r="AE2425" t="n">
        <v>25</v>
      </c>
      <c r="AF2425" t="n">
        <v>4</v>
      </c>
      <c r="AG2425" t="n">
        <v>10</v>
      </c>
      <c r="AH2425" t="n">
        <v>1</v>
      </c>
      <c r="AI2425" t="n">
        <v>6</v>
      </c>
      <c r="AJ2425" t="n">
        <v>3</v>
      </c>
      <c r="AK2425" t="n">
        <v>7</v>
      </c>
      <c r="AL2425" t="n">
        <v>2</v>
      </c>
      <c r="AM2425" t="n">
        <v>5</v>
      </c>
      <c r="AN2425" t="n">
        <v>0</v>
      </c>
      <c r="AO2425" t="n">
        <v>1</v>
      </c>
      <c r="AP2425" t="inlineStr">
        <is>
          <t>No</t>
        </is>
      </c>
      <c r="AQ2425" t="inlineStr">
        <is>
          <t>Yes</t>
        </is>
      </c>
      <c r="AR2425">
        <f>HYPERLINK("http://catalog.hathitrust.org/Record/000923489","HathiTrust Record")</f>
        <v/>
      </c>
      <c r="AS2425">
        <f>HYPERLINK("https://creighton-primo.hosted.exlibrisgroup.com/primo-explore/search?tab=default_tab&amp;search_scope=EVERYTHING&amp;vid=01CRU&amp;lang=en_US&amp;offset=0&amp;query=any,contains,991001212039702656","Catalog Record")</f>
        <v/>
      </c>
      <c r="AT2425">
        <f>HYPERLINK("http://www.worldcat.org/oclc/17385919","WorldCat Record")</f>
        <v/>
      </c>
      <c r="AU2425" t="inlineStr">
        <is>
          <t>13425337:eng</t>
        </is>
      </c>
      <c r="AV2425" t="inlineStr">
        <is>
          <t>17385919</t>
        </is>
      </c>
      <c r="AW2425" t="inlineStr">
        <is>
          <t>991001212039702656</t>
        </is>
      </c>
      <c r="AX2425" t="inlineStr">
        <is>
          <t>991001212039702656</t>
        </is>
      </c>
      <c r="AY2425" t="inlineStr">
        <is>
          <t>2271882040002656</t>
        </is>
      </c>
      <c r="AZ2425" t="inlineStr">
        <is>
          <t>BOOK</t>
        </is>
      </c>
      <c r="BB2425" t="inlineStr">
        <is>
          <t>9780709950462</t>
        </is>
      </c>
      <c r="BC2425" t="inlineStr">
        <is>
          <t>32285000837822</t>
        </is>
      </c>
      <c r="BD2425" t="inlineStr">
        <is>
          <t>893340247</t>
        </is>
      </c>
    </row>
    <row r="2426">
      <c r="A2426" t="inlineStr">
        <is>
          <t>No</t>
        </is>
      </c>
      <c r="B2426" t="inlineStr">
        <is>
          <t>HQ767.5.J3 N67 2001</t>
        </is>
      </c>
      <c r="C2426" t="inlineStr">
        <is>
          <t>0                      HQ 0767500J  3                  N  67          2001</t>
        </is>
      </c>
      <c r="D2426" t="inlineStr">
        <is>
          <t>Abortion before birth control : the politics of reproduction in postwar Japan / Tiana Norgren.</t>
        </is>
      </c>
      <c r="F2426" t="inlineStr">
        <is>
          <t>No</t>
        </is>
      </c>
      <c r="G2426" t="inlineStr">
        <is>
          <t>1</t>
        </is>
      </c>
      <c r="H2426" t="inlineStr">
        <is>
          <t>No</t>
        </is>
      </c>
      <c r="I2426" t="inlineStr">
        <is>
          <t>No</t>
        </is>
      </c>
      <c r="J2426" t="inlineStr">
        <is>
          <t>0</t>
        </is>
      </c>
      <c r="K2426" t="inlineStr">
        <is>
          <t>Norgren, Christiana A. E., 1970-</t>
        </is>
      </c>
      <c r="L2426" t="inlineStr">
        <is>
          <t>Princeton, N.J. : Princeton University Press, c2001.</t>
        </is>
      </c>
      <c r="M2426" t="inlineStr">
        <is>
          <t>2001</t>
        </is>
      </c>
      <c r="O2426" t="inlineStr">
        <is>
          <t>eng</t>
        </is>
      </c>
      <c r="P2426" t="inlineStr">
        <is>
          <t>nju</t>
        </is>
      </c>
      <c r="Q2426" t="inlineStr">
        <is>
          <t>Studies of the East Asian Institute</t>
        </is>
      </c>
      <c r="R2426" t="inlineStr">
        <is>
          <t xml:space="preserve">HQ </t>
        </is>
      </c>
      <c r="S2426" t="n">
        <v>9</v>
      </c>
      <c r="T2426" t="n">
        <v>9</v>
      </c>
      <c r="U2426" t="inlineStr">
        <is>
          <t>2003-10-16</t>
        </is>
      </c>
      <c r="V2426" t="inlineStr">
        <is>
          <t>2003-10-16</t>
        </is>
      </c>
      <c r="W2426" t="inlineStr">
        <is>
          <t>2001-10-17</t>
        </is>
      </c>
      <c r="X2426" t="inlineStr">
        <is>
          <t>2001-10-17</t>
        </is>
      </c>
      <c r="Y2426" t="n">
        <v>360</v>
      </c>
      <c r="Z2426" t="n">
        <v>283</v>
      </c>
      <c r="AA2426" t="n">
        <v>575</v>
      </c>
      <c r="AB2426" t="n">
        <v>3</v>
      </c>
      <c r="AC2426" t="n">
        <v>4</v>
      </c>
      <c r="AD2426" t="n">
        <v>18</v>
      </c>
      <c r="AE2426" t="n">
        <v>33</v>
      </c>
      <c r="AF2426" t="n">
        <v>5</v>
      </c>
      <c r="AG2426" t="n">
        <v>12</v>
      </c>
      <c r="AH2426" t="n">
        <v>6</v>
      </c>
      <c r="AI2426" t="n">
        <v>11</v>
      </c>
      <c r="AJ2426" t="n">
        <v>11</v>
      </c>
      <c r="AK2426" t="n">
        <v>18</v>
      </c>
      <c r="AL2426" t="n">
        <v>2</v>
      </c>
      <c r="AM2426" t="n">
        <v>3</v>
      </c>
      <c r="AN2426" t="n">
        <v>0</v>
      </c>
      <c r="AO2426" t="n">
        <v>0</v>
      </c>
      <c r="AP2426" t="inlineStr">
        <is>
          <t>No</t>
        </is>
      </c>
      <c r="AQ2426" t="inlineStr">
        <is>
          <t>No</t>
        </is>
      </c>
      <c r="AS2426">
        <f>HYPERLINK("https://creighton-primo.hosted.exlibrisgroup.com/primo-explore/search?tab=default_tab&amp;search_scope=EVERYTHING&amp;vid=01CRU&amp;lang=en_US&amp;offset=0&amp;query=any,contains,991003616189702656","Catalog Record")</f>
        <v/>
      </c>
      <c r="AT2426">
        <f>HYPERLINK("http://www.worldcat.org/oclc/45439964","WorldCat Record")</f>
        <v/>
      </c>
      <c r="AU2426" t="inlineStr">
        <is>
          <t>892513:eng</t>
        </is>
      </c>
      <c r="AV2426" t="inlineStr">
        <is>
          <t>45439964</t>
        </is>
      </c>
      <c r="AW2426" t="inlineStr">
        <is>
          <t>991003616189702656</t>
        </is>
      </c>
      <c r="AX2426" t="inlineStr">
        <is>
          <t>991003616189702656</t>
        </is>
      </c>
      <c r="AY2426" t="inlineStr">
        <is>
          <t>2269034300002656</t>
        </is>
      </c>
      <c r="AZ2426" t="inlineStr">
        <is>
          <t>BOOK</t>
        </is>
      </c>
      <c r="BB2426" t="inlineStr">
        <is>
          <t>9780691070049</t>
        </is>
      </c>
      <c r="BC2426" t="inlineStr">
        <is>
          <t>32285004397930</t>
        </is>
      </c>
      <c r="BD2426" t="inlineStr">
        <is>
          <t>893810073</t>
        </is>
      </c>
    </row>
    <row r="2427">
      <c r="A2427" t="inlineStr">
        <is>
          <t>No</t>
        </is>
      </c>
      <c r="B2427" t="inlineStr">
        <is>
          <t>HQ767.5.N5 P76 1997</t>
        </is>
      </c>
      <c r="C2427" t="inlineStr">
        <is>
          <t>0                      HQ 0767500N  5                  P  76          1997</t>
        </is>
      </c>
      <c r="D2427" t="inlineStr">
        <is>
          <t>The problem of abortion / edited by Susan Dwyer, Joel Feinberg.</t>
        </is>
      </c>
      <c r="F2427" t="inlineStr">
        <is>
          <t>No</t>
        </is>
      </c>
      <c r="G2427" t="inlineStr">
        <is>
          <t>1</t>
        </is>
      </c>
      <c r="H2427" t="inlineStr">
        <is>
          <t>No</t>
        </is>
      </c>
      <c r="I2427" t="inlineStr">
        <is>
          <t>Yes</t>
        </is>
      </c>
      <c r="J2427" t="inlineStr">
        <is>
          <t>0</t>
        </is>
      </c>
      <c r="L2427" t="inlineStr">
        <is>
          <t>Belmont, CA : Wadsworth Pub., c1997.</t>
        </is>
      </c>
      <c r="M2427" t="inlineStr">
        <is>
          <t>1997</t>
        </is>
      </c>
      <c r="N2427" t="inlineStr">
        <is>
          <t>3rd ed.</t>
        </is>
      </c>
      <c r="O2427" t="inlineStr">
        <is>
          <t>eng</t>
        </is>
      </c>
      <c r="P2427" t="inlineStr">
        <is>
          <t>cau</t>
        </is>
      </c>
      <c r="R2427" t="inlineStr">
        <is>
          <t xml:space="preserve">HQ </t>
        </is>
      </c>
      <c r="S2427" t="n">
        <v>36</v>
      </c>
      <c r="T2427" t="n">
        <v>36</v>
      </c>
      <c r="U2427" t="inlineStr">
        <is>
          <t>2009-04-03</t>
        </is>
      </c>
      <c r="V2427" t="inlineStr">
        <is>
          <t>2009-04-03</t>
        </is>
      </c>
      <c r="W2427" t="inlineStr">
        <is>
          <t>1998-03-30</t>
        </is>
      </c>
      <c r="X2427" t="inlineStr">
        <is>
          <t>1998-03-30</t>
        </is>
      </c>
      <c r="Y2427" t="n">
        <v>235</v>
      </c>
      <c r="Z2427" t="n">
        <v>165</v>
      </c>
      <c r="AA2427" t="n">
        <v>656</v>
      </c>
      <c r="AB2427" t="n">
        <v>3</v>
      </c>
      <c r="AC2427" t="n">
        <v>9</v>
      </c>
      <c r="AD2427" t="n">
        <v>13</v>
      </c>
      <c r="AE2427" t="n">
        <v>30</v>
      </c>
      <c r="AF2427" t="n">
        <v>6</v>
      </c>
      <c r="AG2427" t="n">
        <v>11</v>
      </c>
      <c r="AH2427" t="n">
        <v>3</v>
      </c>
      <c r="AI2427" t="n">
        <v>7</v>
      </c>
      <c r="AJ2427" t="n">
        <v>7</v>
      </c>
      <c r="AK2427" t="n">
        <v>16</v>
      </c>
      <c r="AL2427" t="n">
        <v>2</v>
      </c>
      <c r="AM2427" t="n">
        <v>5</v>
      </c>
      <c r="AN2427" t="n">
        <v>0</v>
      </c>
      <c r="AO2427" t="n">
        <v>2</v>
      </c>
      <c r="AP2427" t="inlineStr">
        <is>
          <t>No</t>
        </is>
      </c>
      <c r="AQ2427" t="inlineStr">
        <is>
          <t>No</t>
        </is>
      </c>
      <c r="AS2427">
        <f>HYPERLINK("https://creighton-primo.hosted.exlibrisgroup.com/primo-explore/search?tab=default_tab&amp;search_scope=EVERYTHING&amp;vid=01CRU&amp;lang=en_US&amp;offset=0&amp;query=any,contains,991002650459702656","Catalog Record")</f>
        <v/>
      </c>
      <c r="AT2427">
        <f>HYPERLINK("http://www.worldcat.org/oclc/34669366","WorldCat Record")</f>
        <v/>
      </c>
      <c r="AU2427" t="inlineStr">
        <is>
          <t>495601958:eng</t>
        </is>
      </c>
      <c r="AV2427" t="inlineStr">
        <is>
          <t>34669366</t>
        </is>
      </c>
      <c r="AW2427" t="inlineStr">
        <is>
          <t>991002650459702656</t>
        </is>
      </c>
      <c r="AX2427" t="inlineStr">
        <is>
          <t>991002650459702656</t>
        </is>
      </c>
      <c r="AY2427" t="inlineStr">
        <is>
          <t>2271281530002656</t>
        </is>
      </c>
      <c r="AZ2427" t="inlineStr">
        <is>
          <t>BOOK</t>
        </is>
      </c>
      <c r="BB2427" t="inlineStr">
        <is>
          <t>9780534505141</t>
        </is>
      </c>
      <c r="BC2427" t="inlineStr">
        <is>
          <t>32285003381331</t>
        </is>
      </c>
      <c r="BD2427" t="inlineStr">
        <is>
          <t>893792719</t>
        </is>
      </c>
    </row>
    <row r="2428">
      <c r="A2428" t="inlineStr">
        <is>
          <t>No</t>
        </is>
      </c>
      <c r="B2428" t="inlineStr">
        <is>
          <t>HQ767.5.U5 A24 1983</t>
        </is>
      </c>
      <c r="C2428" t="inlineStr">
        <is>
          <t>0                      HQ 0767500U  5                  A  24          1983</t>
        </is>
      </c>
      <c r="D2428" t="inlineStr">
        <is>
          <t>The Abortion dispute and the American system / Gilbert Y. Steiner, editor ... [et al.].</t>
        </is>
      </c>
      <c r="F2428" t="inlineStr">
        <is>
          <t>No</t>
        </is>
      </c>
      <c r="G2428" t="inlineStr">
        <is>
          <t>1</t>
        </is>
      </c>
      <c r="H2428" t="inlineStr">
        <is>
          <t>Yes</t>
        </is>
      </c>
      <c r="I2428" t="inlineStr">
        <is>
          <t>No</t>
        </is>
      </c>
      <c r="J2428" t="inlineStr">
        <is>
          <t>0</t>
        </is>
      </c>
      <c r="L2428" t="inlineStr">
        <is>
          <t>Washington, D.C. : Brookings Institution, c1983.</t>
        </is>
      </c>
      <c r="M2428" t="inlineStr">
        <is>
          <t>1983</t>
        </is>
      </c>
      <c r="O2428" t="inlineStr">
        <is>
          <t>eng</t>
        </is>
      </c>
      <c r="P2428" t="inlineStr">
        <is>
          <t>dcu</t>
        </is>
      </c>
      <c r="R2428" t="inlineStr">
        <is>
          <t xml:space="preserve">HQ </t>
        </is>
      </c>
      <c r="S2428" t="n">
        <v>11</v>
      </c>
      <c r="T2428" t="n">
        <v>11</v>
      </c>
      <c r="U2428" t="inlineStr">
        <is>
          <t>2004-09-26</t>
        </is>
      </c>
      <c r="V2428" t="inlineStr">
        <is>
          <t>2004-09-26</t>
        </is>
      </c>
      <c r="W2428" t="inlineStr">
        <is>
          <t>1990-02-14</t>
        </is>
      </c>
      <c r="X2428" t="inlineStr">
        <is>
          <t>1998-01-29</t>
        </is>
      </c>
      <c r="Y2428" t="n">
        <v>706</v>
      </c>
      <c r="Z2428" t="n">
        <v>635</v>
      </c>
      <c r="AA2428" t="n">
        <v>635</v>
      </c>
      <c r="AB2428" t="n">
        <v>7</v>
      </c>
      <c r="AC2428" t="n">
        <v>7</v>
      </c>
      <c r="AD2428" t="n">
        <v>32</v>
      </c>
      <c r="AE2428" t="n">
        <v>32</v>
      </c>
      <c r="AF2428" t="n">
        <v>5</v>
      </c>
      <c r="AG2428" t="n">
        <v>5</v>
      </c>
      <c r="AH2428" t="n">
        <v>8</v>
      </c>
      <c r="AI2428" t="n">
        <v>8</v>
      </c>
      <c r="AJ2428" t="n">
        <v>11</v>
      </c>
      <c r="AK2428" t="n">
        <v>11</v>
      </c>
      <c r="AL2428" t="n">
        <v>3</v>
      </c>
      <c r="AM2428" t="n">
        <v>3</v>
      </c>
      <c r="AN2428" t="n">
        <v>11</v>
      </c>
      <c r="AO2428" t="n">
        <v>11</v>
      </c>
      <c r="AP2428" t="inlineStr">
        <is>
          <t>No</t>
        </is>
      </c>
      <c r="AQ2428" t="inlineStr">
        <is>
          <t>No</t>
        </is>
      </c>
      <c r="AS2428">
        <f>HYPERLINK("https://creighton-primo.hosted.exlibrisgroup.com/primo-explore/search?tab=default_tab&amp;search_scope=EVERYTHING&amp;vid=01CRU&amp;lang=en_US&amp;offset=0&amp;query=any,contains,991001624479702656","Catalog Record")</f>
        <v/>
      </c>
      <c r="AT2428">
        <f>HYPERLINK("http://www.worldcat.org/oclc/9084091","WorldCat Record")</f>
        <v/>
      </c>
      <c r="AU2428" t="inlineStr">
        <is>
          <t>43581070:eng</t>
        </is>
      </c>
      <c r="AV2428" t="inlineStr">
        <is>
          <t>9084091</t>
        </is>
      </c>
      <c r="AW2428" t="inlineStr">
        <is>
          <t>991001624479702656</t>
        </is>
      </c>
      <c r="AX2428" t="inlineStr">
        <is>
          <t>991001624479702656</t>
        </is>
      </c>
      <c r="AY2428" t="inlineStr">
        <is>
          <t>2255337260002656</t>
        </is>
      </c>
      <c r="AZ2428" t="inlineStr">
        <is>
          <t>BOOK</t>
        </is>
      </c>
      <c r="BB2428" t="inlineStr">
        <is>
          <t>9780815781257</t>
        </is>
      </c>
      <c r="BC2428" t="inlineStr">
        <is>
          <t>32285000053297</t>
        </is>
      </c>
      <c r="BD2428" t="inlineStr">
        <is>
          <t>893772707</t>
        </is>
      </c>
    </row>
    <row r="2429">
      <c r="A2429" t="inlineStr">
        <is>
          <t>No</t>
        </is>
      </c>
      <c r="B2429" t="inlineStr">
        <is>
          <t>HQ767.5.U5 A244 1993</t>
        </is>
      </c>
      <c r="C2429" t="inlineStr">
        <is>
          <t>0                      HQ 0767500U  5                  A  244         1993</t>
        </is>
      </c>
      <c r="D2429" t="inlineStr">
        <is>
          <t>Abortion decisions of the United States Supreme Court / Maureen Harrison &amp; Steve Gilbert, editors.</t>
        </is>
      </c>
      <c r="E2429" t="inlineStr">
        <is>
          <t>V. 1</t>
        </is>
      </c>
      <c r="F2429" t="inlineStr">
        <is>
          <t>Yes</t>
        </is>
      </c>
      <c r="G2429" t="inlineStr">
        <is>
          <t>1</t>
        </is>
      </c>
      <c r="H2429" t="inlineStr">
        <is>
          <t>No</t>
        </is>
      </c>
      <c r="I2429" t="inlineStr">
        <is>
          <t>No</t>
        </is>
      </c>
      <c r="J2429" t="inlineStr">
        <is>
          <t>0</t>
        </is>
      </c>
      <c r="L2429" t="inlineStr">
        <is>
          <t>Beverly Hills, Calif. : Excellent Books, c1993.</t>
        </is>
      </c>
      <c r="M2429" t="inlineStr">
        <is>
          <t>1993</t>
        </is>
      </c>
      <c r="O2429" t="inlineStr">
        <is>
          <t>eng</t>
        </is>
      </c>
      <c r="P2429" t="inlineStr">
        <is>
          <t>cau</t>
        </is>
      </c>
      <c r="Q2429" t="inlineStr">
        <is>
          <t>Abortion decisions series</t>
        </is>
      </c>
      <c r="R2429" t="inlineStr">
        <is>
          <t xml:space="preserve">HQ </t>
        </is>
      </c>
      <c r="S2429" t="n">
        <v>7</v>
      </c>
      <c r="T2429" t="n">
        <v>49</v>
      </c>
      <c r="U2429" t="inlineStr">
        <is>
          <t>1995-10-17</t>
        </is>
      </c>
      <c r="V2429" t="inlineStr">
        <is>
          <t>2004-09-26</t>
        </is>
      </c>
      <c r="W2429" t="inlineStr">
        <is>
          <t>1993-07-30</t>
        </is>
      </c>
      <c r="X2429" t="inlineStr">
        <is>
          <t>1993-07-30</t>
        </is>
      </c>
      <c r="Y2429" t="n">
        <v>959</v>
      </c>
      <c r="Z2429" t="n">
        <v>950</v>
      </c>
      <c r="AA2429" t="n">
        <v>1132</v>
      </c>
      <c r="AB2429" t="n">
        <v>8</v>
      </c>
      <c r="AC2429" t="n">
        <v>9</v>
      </c>
      <c r="AD2429" t="n">
        <v>24</v>
      </c>
      <c r="AE2429" t="n">
        <v>29</v>
      </c>
      <c r="AF2429" t="n">
        <v>12</v>
      </c>
      <c r="AG2429" t="n">
        <v>15</v>
      </c>
      <c r="AH2429" t="n">
        <v>1</v>
      </c>
      <c r="AI2429" t="n">
        <v>3</v>
      </c>
      <c r="AJ2429" t="n">
        <v>12</v>
      </c>
      <c r="AK2429" t="n">
        <v>14</v>
      </c>
      <c r="AL2429" t="n">
        <v>4</v>
      </c>
      <c r="AM2429" t="n">
        <v>4</v>
      </c>
      <c r="AN2429" t="n">
        <v>0</v>
      </c>
      <c r="AO2429" t="n">
        <v>0</v>
      </c>
      <c r="AP2429" t="inlineStr">
        <is>
          <t>No</t>
        </is>
      </c>
      <c r="AQ2429" t="inlineStr">
        <is>
          <t>Yes</t>
        </is>
      </c>
      <c r="AR2429">
        <f>HYPERLINK("http://catalog.hathitrust.org/Record/002753186","HathiTrust Record")</f>
        <v/>
      </c>
      <c r="AS2429">
        <f>HYPERLINK("https://creighton-primo.hosted.exlibrisgroup.com/primo-explore/search?tab=default_tab&amp;search_scope=EVERYTHING&amp;vid=01CRU&amp;lang=en_US&amp;offset=0&amp;query=any,contains,991002168859702656","Catalog Record")</f>
        <v/>
      </c>
      <c r="AT2429">
        <f>HYPERLINK("http://www.worldcat.org/oclc/27920598","WorldCat Record")</f>
        <v/>
      </c>
      <c r="AU2429" t="inlineStr">
        <is>
          <t>476535983:eng</t>
        </is>
      </c>
      <c r="AV2429" t="inlineStr">
        <is>
          <t>27920598</t>
        </is>
      </c>
      <c r="AW2429" t="inlineStr">
        <is>
          <t>991002168859702656</t>
        </is>
      </c>
      <c r="AX2429" t="inlineStr">
        <is>
          <t>991002168859702656</t>
        </is>
      </c>
      <c r="AY2429" t="inlineStr">
        <is>
          <t>2260695720002656</t>
        </is>
      </c>
      <c r="AZ2429" t="inlineStr">
        <is>
          <t>BOOK</t>
        </is>
      </c>
      <c r="BB2429" t="inlineStr">
        <is>
          <t>9780962801440</t>
        </is>
      </c>
      <c r="BC2429" t="inlineStr">
        <is>
          <t>32285001704161</t>
        </is>
      </c>
      <c r="BD2429" t="inlineStr">
        <is>
          <t>893691285</t>
        </is>
      </c>
    </row>
    <row r="2430">
      <c r="A2430" t="inlineStr">
        <is>
          <t>No</t>
        </is>
      </c>
      <c r="B2430" t="inlineStr">
        <is>
          <t>HQ767.5.U5 A244 1993</t>
        </is>
      </c>
      <c r="C2430" t="inlineStr">
        <is>
          <t>0                      HQ 0767500U  5                  A  244         1993</t>
        </is>
      </c>
      <c r="D2430" t="inlineStr">
        <is>
          <t>Abortion decisions of the United States Supreme Court / Maureen Harrison &amp; Steve Gilbert, editors.</t>
        </is>
      </c>
      <c r="E2430" t="inlineStr">
        <is>
          <t>V. 2</t>
        </is>
      </c>
      <c r="F2430" t="inlineStr">
        <is>
          <t>Yes</t>
        </is>
      </c>
      <c r="G2430" t="inlineStr">
        <is>
          <t>1</t>
        </is>
      </c>
      <c r="H2430" t="inlineStr">
        <is>
          <t>No</t>
        </is>
      </c>
      <c r="I2430" t="inlineStr">
        <is>
          <t>No</t>
        </is>
      </c>
      <c r="J2430" t="inlineStr">
        <is>
          <t>0</t>
        </is>
      </c>
      <c r="L2430" t="inlineStr">
        <is>
          <t>Beverly Hills, Calif. : Excellent Books, c1993.</t>
        </is>
      </c>
      <c r="M2430" t="inlineStr">
        <is>
          <t>1993</t>
        </is>
      </c>
      <c r="O2430" t="inlineStr">
        <is>
          <t>eng</t>
        </is>
      </c>
      <c r="P2430" t="inlineStr">
        <is>
          <t>cau</t>
        </is>
      </c>
      <c r="Q2430" t="inlineStr">
        <is>
          <t>Abortion decisions series</t>
        </is>
      </c>
      <c r="R2430" t="inlineStr">
        <is>
          <t xml:space="preserve">HQ </t>
        </is>
      </c>
      <c r="S2430" t="n">
        <v>11</v>
      </c>
      <c r="T2430" t="n">
        <v>49</v>
      </c>
      <c r="U2430" t="inlineStr">
        <is>
          <t>1995-10-17</t>
        </is>
      </c>
      <c r="V2430" t="inlineStr">
        <is>
          <t>2004-09-26</t>
        </is>
      </c>
      <c r="W2430" t="inlineStr">
        <is>
          <t>1993-07-30</t>
        </is>
      </c>
      <c r="X2430" t="inlineStr">
        <is>
          <t>1993-07-30</t>
        </is>
      </c>
      <c r="Y2430" t="n">
        <v>959</v>
      </c>
      <c r="Z2430" t="n">
        <v>950</v>
      </c>
      <c r="AA2430" t="n">
        <v>1132</v>
      </c>
      <c r="AB2430" t="n">
        <v>8</v>
      </c>
      <c r="AC2430" t="n">
        <v>9</v>
      </c>
      <c r="AD2430" t="n">
        <v>24</v>
      </c>
      <c r="AE2430" t="n">
        <v>29</v>
      </c>
      <c r="AF2430" t="n">
        <v>12</v>
      </c>
      <c r="AG2430" t="n">
        <v>15</v>
      </c>
      <c r="AH2430" t="n">
        <v>1</v>
      </c>
      <c r="AI2430" t="n">
        <v>3</v>
      </c>
      <c r="AJ2430" t="n">
        <v>12</v>
      </c>
      <c r="AK2430" t="n">
        <v>14</v>
      </c>
      <c r="AL2430" t="n">
        <v>4</v>
      </c>
      <c r="AM2430" t="n">
        <v>4</v>
      </c>
      <c r="AN2430" t="n">
        <v>0</v>
      </c>
      <c r="AO2430" t="n">
        <v>0</v>
      </c>
      <c r="AP2430" t="inlineStr">
        <is>
          <t>No</t>
        </is>
      </c>
      <c r="AQ2430" t="inlineStr">
        <is>
          <t>Yes</t>
        </is>
      </c>
      <c r="AR2430">
        <f>HYPERLINK("http://catalog.hathitrust.org/Record/002753186","HathiTrust Record")</f>
        <v/>
      </c>
      <c r="AS2430">
        <f>HYPERLINK("https://creighton-primo.hosted.exlibrisgroup.com/primo-explore/search?tab=default_tab&amp;search_scope=EVERYTHING&amp;vid=01CRU&amp;lang=en_US&amp;offset=0&amp;query=any,contains,991002168859702656","Catalog Record")</f>
        <v/>
      </c>
      <c r="AT2430">
        <f>HYPERLINK("http://www.worldcat.org/oclc/27920598","WorldCat Record")</f>
        <v/>
      </c>
      <c r="AU2430" t="inlineStr">
        <is>
          <t>476535983:eng</t>
        </is>
      </c>
      <c r="AV2430" t="inlineStr">
        <is>
          <t>27920598</t>
        </is>
      </c>
      <c r="AW2430" t="inlineStr">
        <is>
          <t>991002168859702656</t>
        </is>
      </c>
      <c r="AX2430" t="inlineStr">
        <is>
          <t>991002168859702656</t>
        </is>
      </c>
      <c r="AY2430" t="inlineStr">
        <is>
          <t>2260695720002656</t>
        </is>
      </c>
      <c r="AZ2430" t="inlineStr">
        <is>
          <t>BOOK</t>
        </is>
      </c>
      <c r="BB2430" t="inlineStr">
        <is>
          <t>9780962801440</t>
        </is>
      </c>
      <c r="BC2430" t="inlineStr">
        <is>
          <t>32285001704179</t>
        </is>
      </c>
      <c r="BD2430" t="inlineStr">
        <is>
          <t>893703735</t>
        </is>
      </c>
    </row>
    <row r="2431">
      <c r="A2431" t="inlineStr">
        <is>
          <t>No</t>
        </is>
      </c>
      <c r="B2431" t="inlineStr">
        <is>
          <t>HQ767.5.U5 A244 1993</t>
        </is>
      </c>
      <c r="C2431" t="inlineStr">
        <is>
          <t>0                      HQ 0767500U  5                  A  244         1993</t>
        </is>
      </c>
      <c r="D2431" t="inlineStr">
        <is>
          <t>Abortion decisions of the United States Supreme Court / Maureen Harrison &amp; Steve Gilbert, editors.</t>
        </is>
      </c>
      <c r="E2431" t="inlineStr">
        <is>
          <t>V. 3</t>
        </is>
      </c>
      <c r="F2431" t="inlineStr">
        <is>
          <t>Yes</t>
        </is>
      </c>
      <c r="G2431" t="inlineStr">
        <is>
          <t>1</t>
        </is>
      </c>
      <c r="H2431" t="inlineStr">
        <is>
          <t>No</t>
        </is>
      </c>
      <c r="I2431" t="inlineStr">
        <is>
          <t>No</t>
        </is>
      </c>
      <c r="J2431" t="inlineStr">
        <is>
          <t>0</t>
        </is>
      </c>
      <c r="L2431" t="inlineStr">
        <is>
          <t>Beverly Hills, Calif. : Excellent Books, c1993.</t>
        </is>
      </c>
      <c r="M2431" t="inlineStr">
        <is>
          <t>1993</t>
        </is>
      </c>
      <c r="O2431" t="inlineStr">
        <is>
          <t>eng</t>
        </is>
      </c>
      <c r="P2431" t="inlineStr">
        <is>
          <t>cau</t>
        </is>
      </c>
      <c r="Q2431" t="inlineStr">
        <is>
          <t>Abortion decisions series</t>
        </is>
      </c>
      <c r="R2431" t="inlineStr">
        <is>
          <t xml:space="preserve">HQ </t>
        </is>
      </c>
      <c r="S2431" t="n">
        <v>31</v>
      </c>
      <c r="T2431" t="n">
        <v>49</v>
      </c>
      <c r="U2431" t="inlineStr">
        <is>
          <t>2004-09-26</t>
        </is>
      </c>
      <c r="V2431" t="inlineStr">
        <is>
          <t>2004-09-26</t>
        </is>
      </c>
      <c r="W2431" t="inlineStr">
        <is>
          <t>1993-07-30</t>
        </is>
      </c>
      <c r="X2431" t="inlineStr">
        <is>
          <t>1993-07-30</t>
        </is>
      </c>
      <c r="Y2431" t="n">
        <v>959</v>
      </c>
      <c r="Z2431" t="n">
        <v>950</v>
      </c>
      <c r="AA2431" t="n">
        <v>1132</v>
      </c>
      <c r="AB2431" t="n">
        <v>8</v>
      </c>
      <c r="AC2431" t="n">
        <v>9</v>
      </c>
      <c r="AD2431" t="n">
        <v>24</v>
      </c>
      <c r="AE2431" t="n">
        <v>29</v>
      </c>
      <c r="AF2431" t="n">
        <v>12</v>
      </c>
      <c r="AG2431" t="n">
        <v>15</v>
      </c>
      <c r="AH2431" t="n">
        <v>1</v>
      </c>
      <c r="AI2431" t="n">
        <v>3</v>
      </c>
      <c r="AJ2431" t="n">
        <v>12</v>
      </c>
      <c r="AK2431" t="n">
        <v>14</v>
      </c>
      <c r="AL2431" t="n">
        <v>4</v>
      </c>
      <c r="AM2431" t="n">
        <v>4</v>
      </c>
      <c r="AN2431" t="n">
        <v>0</v>
      </c>
      <c r="AO2431" t="n">
        <v>0</v>
      </c>
      <c r="AP2431" t="inlineStr">
        <is>
          <t>No</t>
        </is>
      </c>
      <c r="AQ2431" t="inlineStr">
        <is>
          <t>Yes</t>
        </is>
      </c>
      <c r="AR2431">
        <f>HYPERLINK("http://catalog.hathitrust.org/Record/002753186","HathiTrust Record")</f>
        <v/>
      </c>
      <c r="AS2431">
        <f>HYPERLINK("https://creighton-primo.hosted.exlibrisgroup.com/primo-explore/search?tab=default_tab&amp;search_scope=EVERYTHING&amp;vid=01CRU&amp;lang=en_US&amp;offset=0&amp;query=any,contains,991002168859702656","Catalog Record")</f>
        <v/>
      </c>
      <c r="AT2431">
        <f>HYPERLINK("http://www.worldcat.org/oclc/27920598","WorldCat Record")</f>
        <v/>
      </c>
      <c r="AU2431" t="inlineStr">
        <is>
          <t>476535983:eng</t>
        </is>
      </c>
      <c r="AV2431" t="inlineStr">
        <is>
          <t>27920598</t>
        </is>
      </c>
      <c r="AW2431" t="inlineStr">
        <is>
          <t>991002168859702656</t>
        </is>
      </c>
      <c r="AX2431" t="inlineStr">
        <is>
          <t>991002168859702656</t>
        </is>
      </c>
      <c r="AY2431" t="inlineStr">
        <is>
          <t>2260695720002656</t>
        </is>
      </c>
      <c r="AZ2431" t="inlineStr">
        <is>
          <t>BOOK</t>
        </is>
      </c>
      <c r="BB2431" t="inlineStr">
        <is>
          <t>9780962801440</t>
        </is>
      </c>
      <c r="BC2431" t="inlineStr">
        <is>
          <t>32285001704187</t>
        </is>
      </c>
      <c r="BD2431" t="inlineStr">
        <is>
          <t>893721317</t>
        </is>
      </c>
    </row>
    <row r="2432">
      <c r="A2432" t="inlineStr">
        <is>
          <t>No</t>
        </is>
      </c>
      <c r="B2432" t="inlineStr">
        <is>
          <t>HQ767.5.U5 A26 1972</t>
        </is>
      </c>
      <c r="C2432" t="inlineStr">
        <is>
          <t>0                      HQ 0767500U  5                  A  26          1972</t>
        </is>
      </c>
      <c r="D2432" t="inlineStr">
        <is>
          <t>Abortion and social justice / edited by Thomas W. Hilgers and Dennis J. Horan.</t>
        </is>
      </c>
      <c r="F2432" t="inlineStr">
        <is>
          <t>No</t>
        </is>
      </c>
      <c r="G2432" t="inlineStr">
        <is>
          <t>2</t>
        </is>
      </c>
      <c r="H2432" t="inlineStr">
        <is>
          <t>Yes</t>
        </is>
      </c>
      <c r="I2432" t="inlineStr">
        <is>
          <t>No</t>
        </is>
      </c>
      <c r="J2432" t="inlineStr">
        <is>
          <t>0</t>
        </is>
      </c>
      <c r="K2432" t="inlineStr">
        <is>
          <t>Hilgers, Thomas W., 1943-</t>
        </is>
      </c>
      <c r="L2432" t="inlineStr">
        <is>
          <t>New York : Sheed &amp; Ward, [c1972]</t>
        </is>
      </c>
      <c r="M2432" t="inlineStr">
        <is>
          <t>1972</t>
        </is>
      </c>
      <c r="O2432" t="inlineStr">
        <is>
          <t>eng</t>
        </is>
      </c>
      <c r="P2432" t="inlineStr">
        <is>
          <t>nyu</t>
        </is>
      </c>
      <c r="R2432" t="inlineStr">
        <is>
          <t xml:space="preserve">HQ </t>
        </is>
      </c>
      <c r="S2432" t="n">
        <v>14</v>
      </c>
      <c r="T2432" t="n">
        <v>14</v>
      </c>
      <c r="U2432" t="inlineStr">
        <is>
          <t>2009-04-02</t>
        </is>
      </c>
      <c r="V2432" t="inlineStr">
        <is>
          <t>2009-04-02</t>
        </is>
      </c>
      <c r="W2432" t="inlineStr">
        <is>
          <t>1991-10-18</t>
        </is>
      </c>
      <c r="X2432" t="inlineStr">
        <is>
          <t>1991-10-18</t>
        </is>
      </c>
      <c r="Y2432" t="n">
        <v>765</v>
      </c>
      <c r="Z2432" t="n">
        <v>672</v>
      </c>
      <c r="AA2432" t="n">
        <v>783</v>
      </c>
      <c r="AB2432" t="n">
        <v>15</v>
      </c>
      <c r="AC2432" t="n">
        <v>16</v>
      </c>
      <c r="AD2432" t="n">
        <v>37</v>
      </c>
      <c r="AE2432" t="n">
        <v>42</v>
      </c>
      <c r="AF2432" t="n">
        <v>8</v>
      </c>
      <c r="AG2432" t="n">
        <v>11</v>
      </c>
      <c r="AH2432" t="n">
        <v>5</v>
      </c>
      <c r="AI2432" t="n">
        <v>7</v>
      </c>
      <c r="AJ2432" t="n">
        <v>15</v>
      </c>
      <c r="AK2432" t="n">
        <v>17</v>
      </c>
      <c r="AL2432" t="n">
        <v>7</v>
      </c>
      <c r="AM2432" t="n">
        <v>8</v>
      </c>
      <c r="AN2432" t="n">
        <v>6</v>
      </c>
      <c r="AO2432" t="n">
        <v>6</v>
      </c>
      <c r="AP2432" t="inlineStr">
        <is>
          <t>No</t>
        </is>
      </c>
      <c r="AQ2432" t="inlineStr">
        <is>
          <t>Yes</t>
        </is>
      </c>
      <c r="AR2432">
        <f>HYPERLINK("http://catalog.hathitrust.org/Record/000014429","HathiTrust Record")</f>
        <v/>
      </c>
      <c r="AS2432">
        <f>HYPERLINK("https://creighton-primo.hosted.exlibrisgroup.com/primo-explore/search?tab=default_tab&amp;search_scope=EVERYTHING&amp;vid=01CRU&amp;lang=en_US&amp;offset=0&amp;query=any,contains,991001668269702656","Catalog Record")</f>
        <v/>
      </c>
      <c r="AT2432">
        <f>HYPERLINK("http://www.worldcat.org/oclc/685784","WorldCat Record")</f>
        <v/>
      </c>
      <c r="AU2432" t="inlineStr">
        <is>
          <t>1767572:eng</t>
        </is>
      </c>
      <c r="AV2432" t="inlineStr">
        <is>
          <t>685784</t>
        </is>
      </c>
      <c r="AW2432" t="inlineStr">
        <is>
          <t>991001668269702656</t>
        </is>
      </c>
      <c r="AX2432" t="inlineStr">
        <is>
          <t>991001668269702656</t>
        </is>
      </c>
      <c r="AY2432" t="inlineStr">
        <is>
          <t>2264525910002656</t>
        </is>
      </c>
      <c r="AZ2432" t="inlineStr">
        <is>
          <t>BOOK</t>
        </is>
      </c>
      <c r="BB2432" t="inlineStr">
        <is>
          <t>9780836205411</t>
        </is>
      </c>
      <c r="BC2432" t="inlineStr">
        <is>
          <t>32285000775097</t>
        </is>
      </c>
      <c r="BD2432" t="inlineStr">
        <is>
          <t>893684507</t>
        </is>
      </c>
    </row>
    <row r="2433">
      <c r="A2433" t="inlineStr">
        <is>
          <t>No</t>
        </is>
      </c>
      <c r="B2433" t="inlineStr">
        <is>
          <t>HQ767.5.U5 B43 1993</t>
        </is>
      </c>
      <c r="C2433" t="inlineStr">
        <is>
          <t>0                      HQ 0767500U  5                  B  43          1993</t>
        </is>
      </c>
      <c r="D2433" t="inlineStr">
        <is>
          <t>Politically correct death : answering the arguments for abortion rights / Francis J. Beckwith.</t>
        </is>
      </c>
      <c r="F2433" t="inlineStr">
        <is>
          <t>No</t>
        </is>
      </c>
      <c r="G2433" t="inlineStr">
        <is>
          <t>1</t>
        </is>
      </c>
      <c r="H2433" t="inlineStr">
        <is>
          <t>No</t>
        </is>
      </c>
      <c r="I2433" t="inlineStr">
        <is>
          <t>No</t>
        </is>
      </c>
      <c r="J2433" t="inlineStr">
        <is>
          <t>0</t>
        </is>
      </c>
      <c r="K2433" t="inlineStr">
        <is>
          <t>Beckwith, Francis.</t>
        </is>
      </c>
      <c r="L2433" t="inlineStr">
        <is>
          <t>Grand Rapids : Baker Books, c1993.</t>
        </is>
      </c>
      <c r="M2433" t="inlineStr">
        <is>
          <t>1993</t>
        </is>
      </c>
      <c r="O2433" t="inlineStr">
        <is>
          <t>eng</t>
        </is>
      </c>
      <c r="P2433" t="inlineStr">
        <is>
          <t>miu</t>
        </is>
      </c>
      <c r="R2433" t="inlineStr">
        <is>
          <t xml:space="preserve">HQ </t>
        </is>
      </c>
      <c r="S2433" t="n">
        <v>35</v>
      </c>
      <c r="T2433" t="n">
        <v>35</v>
      </c>
      <c r="U2433" t="inlineStr">
        <is>
          <t>2008-05-17</t>
        </is>
      </c>
      <c r="V2433" t="inlineStr">
        <is>
          <t>2008-05-17</t>
        </is>
      </c>
      <c r="W2433" t="inlineStr">
        <is>
          <t>1993-09-02</t>
        </is>
      </c>
      <c r="X2433" t="inlineStr">
        <is>
          <t>1993-09-02</t>
        </is>
      </c>
      <c r="Y2433" t="n">
        <v>364</v>
      </c>
      <c r="Z2433" t="n">
        <v>334</v>
      </c>
      <c r="AA2433" t="n">
        <v>336</v>
      </c>
      <c r="AB2433" t="n">
        <v>5</v>
      </c>
      <c r="AC2433" t="n">
        <v>5</v>
      </c>
      <c r="AD2433" t="n">
        <v>16</v>
      </c>
      <c r="AE2433" t="n">
        <v>16</v>
      </c>
      <c r="AF2433" t="n">
        <v>6</v>
      </c>
      <c r="AG2433" t="n">
        <v>6</v>
      </c>
      <c r="AH2433" t="n">
        <v>1</v>
      </c>
      <c r="AI2433" t="n">
        <v>1</v>
      </c>
      <c r="AJ2433" t="n">
        <v>8</v>
      </c>
      <c r="AK2433" t="n">
        <v>8</v>
      </c>
      <c r="AL2433" t="n">
        <v>2</v>
      </c>
      <c r="AM2433" t="n">
        <v>2</v>
      </c>
      <c r="AN2433" t="n">
        <v>2</v>
      </c>
      <c r="AO2433" t="n">
        <v>2</v>
      </c>
      <c r="AP2433" t="inlineStr">
        <is>
          <t>No</t>
        </is>
      </c>
      <c r="AQ2433" t="inlineStr">
        <is>
          <t>No</t>
        </is>
      </c>
      <c r="AS2433">
        <f>HYPERLINK("https://creighton-primo.hosted.exlibrisgroup.com/primo-explore/search?tab=default_tab&amp;search_scope=EVERYTHING&amp;vid=01CRU&amp;lang=en_US&amp;offset=0&amp;query=any,contains,991002069399702656","Catalog Record")</f>
        <v/>
      </c>
      <c r="AT2433">
        <f>HYPERLINK("http://www.worldcat.org/oclc/26504173","WorldCat Record")</f>
        <v/>
      </c>
      <c r="AU2433" t="inlineStr">
        <is>
          <t>28640104:eng</t>
        </is>
      </c>
      <c r="AV2433" t="inlineStr">
        <is>
          <t>26504173</t>
        </is>
      </c>
      <c r="AW2433" t="inlineStr">
        <is>
          <t>991002069399702656</t>
        </is>
      </c>
      <c r="AX2433" t="inlineStr">
        <is>
          <t>991002069399702656</t>
        </is>
      </c>
      <c r="AY2433" t="inlineStr">
        <is>
          <t>2254730230002656</t>
        </is>
      </c>
      <c r="AZ2433" t="inlineStr">
        <is>
          <t>BOOK</t>
        </is>
      </c>
      <c r="BB2433" t="inlineStr">
        <is>
          <t>9780801010507</t>
        </is>
      </c>
      <c r="BC2433" t="inlineStr">
        <is>
          <t>32285001729614</t>
        </is>
      </c>
      <c r="BD2433" t="inlineStr">
        <is>
          <t>893609428</t>
        </is>
      </c>
    </row>
    <row r="2434">
      <c r="A2434" t="inlineStr">
        <is>
          <t>No</t>
        </is>
      </c>
      <c r="B2434" t="inlineStr">
        <is>
          <t>HQ767.5.U5 B76</t>
        </is>
      </c>
      <c r="C2434" t="inlineStr">
        <is>
          <t>0                      HQ 0767500U  5                  B  76</t>
        </is>
      </c>
      <c r="D2434" t="inlineStr">
        <is>
          <t>Abortion and the sanctity of human life : a philosophical view / Baruch Brody.</t>
        </is>
      </c>
      <c r="F2434" t="inlineStr">
        <is>
          <t>No</t>
        </is>
      </c>
      <c r="G2434" t="inlineStr">
        <is>
          <t>1</t>
        </is>
      </c>
      <c r="H2434" t="inlineStr">
        <is>
          <t>No</t>
        </is>
      </c>
      <c r="I2434" t="inlineStr">
        <is>
          <t>No</t>
        </is>
      </c>
      <c r="J2434" t="inlineStr">
        <is>
          <t>0</t>
        </is>
      </c>
      <c r="K2434" t="inlineStr">
        <is>
          <t>Brody, Baruch A.</t>
        </is>
      </c>
      <c r="L2434" t="inlineStr">
        <is>
          <t>Cambridge, Mass. : MIT Press, [1975]</t>
        </is>
      </c>
      <c r="M2434" t="inlineStr">
        <is>
          <t>1975</t>
        </is>
      </c>
      <c r="O2434" t="inlineStr">
        <is>
          <t>eng</t>
        </is>
      </c>
      <c r="P2434" t="inlineStr">
        <is>
          <t>mau</t>
        </is>
      </c>
      <c r="R2434" t="inlineStr">
        <is>
          <t xml:space="preserve">HQ </t>
        </is>
      </c>
      <c r="S2434" t="n">
        <v>10</v>
      </c>
      <c r="T2434" t="n">
        <v>10</v>
      </c>
      <c r="U2434" t="inlineStr">
        <is>
          <t>2000-12-02</t>
        </is>
      </c>
      <c r="V2434" t="inlineStr">
        <is>
          <t>2000-12-02</t>
        </is>
      </c>
      <c r="W2434" t="inlineStr">
        <is>
          <t>1992-10-13</t>
        </is>
      </c>
      <c r="X2434" t="inlineStr">
        <is>
          <t>1992-10-13</t>
        </is>
      </c>
      <c r="Y2434" t="n">
        <v>842</v>
      </c>
      <c r="Z2434" t="n">
        <v>710</v>
      </c>
      <c r="AA2434" t="n">
        <v>758</v>
      </c>
      <c r="AB2434" t="n">
        <v>5</v>
      </c>
      <c r="AC2434" t="n">
        <v>5</v>
      </c>
      <c r="AD2434" t="n">
        <v>33</v>
      </c>
      <c r="AE2434" t="n">
        <v>35</v>
      </c>
      <c r="AF2434" t="n">
        <v>13</v>
      </c>
      <c r="AG2434" t="n">
        <v>13</v>
      </c>
      <c r="AH2434" t="n">
        <v>4</v>
      </c>
      <c r="AI2434" t="n">
        <v>5</v>
      </c>
      <c r="AJ2434" t="n">
        <v>14</v>
      </c>
      <c r="AK2434" t="n">
        <v>15</v>
      </c>
      <c r="AL2434" t="n">
        <v>3</v>
      </c>
      <c r="AM2434" t="n">
        <v>3</v>
      </c>
      <c r="AN2434" t="n">
        <v>6</v>
      </c>
      <c r="AO2434" t="n">
        <v>6</v>
      </c>
      <c r="AP2434" t="inlineStr">
        <is>
          <t>No</t>
        </is>
      </c>
      <c r="AQ2434" t="inlineStr">
        <is>
          <t>Yes</t>
        </is>
      </c>
      <c r="AR2434">
        <f>HYPERLINK("http://catalog.hathitrust.org/Record/000020522","HathiTrust Record")</f>
        <v/>
      </c>
      <c r="AS2434">
        <f>HYPERLINK("https://creighton-primo.hosted.exlibrisgroup.com/primo-explore/search?tab=default_tab&amp;search_scope=EVERYTHING&amp;vid=01CRU&amp;lang=en_US&amp;offset=0&amp;query=any,contains,991003627889702656","Catalog Record")</f>
        <v/>
      </c>
      <c r="AT2434">
        <f>HYPERLINK("http://www.worldcat.org/oclc/1218421","WorldCat Record")</f>
        <v/>
      </c>
      <c r="AU2434" t="inlineStr">
        <is>
          <t>2111740:eng</t>
        </is>
      </c>
      <c r="AV2434" t="inlineStr">
        <is>
          <t>1218421</t>
        </is>
      </c>
      <c r="AW2434" t="inlineStr">
        <is>
          <t>991003627889702656</t>
        </is>
      </c>
      <c r="AX2434" t="inlineStr">
        <is>
          <t>991003627889702656</t>
        </is>
      </c>
      <c r="AY2434" t="inlineStr">
        <is>
          <t>2271801860002656</t>
        </is>
      </c>
      <c r="AZ2434" t="inlineStr">
        <is>
          <t>BOOK</t>
        </is>
      </c>
      <c r="BB2434" t="inlineStr">
        <is>
          <t>9780262021166</t>
        </is>
      </c>
      <c r="BC2434" t="inlineStr">
        <is>
          <t>32285001346534</t>
        </is>
      </c>
      <c r="BD2434" t="inlineStr">
        <is>
          <t>893781210</t>
        </is>
      </c>
    </row>
    <row r="2435">
      <c r="A2435" t="inlineStr">
        <is>
          <t>No</t>
        </is>
      </c>
      <c r="B2435" t="inlineStr">
        <is>
          <t>HQ767.5.U5 C666 1998</t>
        </is>
      </c>
      <c r="C2435" t="inlineStr">
        <is>
          <t>0                      HQ 0767500U  5                  C  666         1998</t>
        </is>
      </c>
      <c r="D2435" t="inlineStr">
        <is>
          <t>Divided passions : public opinions on abortion and the death penalty / Kimberly J. Cook.</t>
        </is>
      </c>
      <c r="F2435" t="inlineStr">
        <is>
          <t>No</t>
        </is>
      </c>
      <c r="G2435" t="inlineStr">
        <is>
          <t>1</t>
        </is>
      </c>
      <c r="H2435" t="inlineStr">
        <is>
          <t>No</t>
        </is>
      </c>
      <c r="I2435" t="inlineStr">
        <is>
          <t>No</t>
        </is>
      </c>
      <c r="J2435" t="inlineStr">
        <is>
          <t>0</t>
        </is>
      </c>
      <c r="K2435" t="inlineStr">
        <is>
          <t>Cook, Kimberly J., 1961-</t>
        </is>
      </c>
      <c r="L2435" t="inlineStr">
        <is>
          <t>Boston : Northeastern University Press, c1998.</t>
        </is>
      </c>
      <c r="M2435" t="inlineStr">
        <is>
          <t>1998</t>
        </is>
      </c>
      <c r="O2435" t="inlineStr">
        <is>
          <t>eng</t>
        </is>
      </c>
      <c r="P2435" t="inlineStr">
        <is>
          <t>mau</t>
        </is>
      </c>
      <c r="Q2435" t="inlineStr">
        <is>
          <t>The Northeastern series on gender, crime, and law</t>
        </is>
      </c>
      <c r="R2435" t="inlineStr">
        <is>
          <t xml:space="preserve">HQ </t>
        </is>
      </c>
      <c r="S2435" t="n">
        <v>9</v>
      </c>
      <c r="T2435" t="n">
        <v>9</v>
      </c>
      <c r="U2435" t="inlineStr">
        <is>
          <t>2007-04-04</t>
        </is>
      </c>
      <c r="V2435" t="inlineStr">
        <is>
          <t>2007-04-04</t>
        </is>
      </c>
      <c r="W2435" t="inlineStr">
        <is>
          <t>1998-04-23</t>
        </is>
      </c>
      <c r="X2435" t="inlineStr">
        <is>
          <t>1998-04-23</t>
        </is>
      </c>
      <c r="Y2435" t="n">
        <v>515</v>
      </c>
      <c r="Z2435" t="n">
        <v>469</v>
      </c>
      <c r="AA2435" t="n">
        <v>479</v>
      </c>
      <c r="AB2435" t="n">
        <v>3</v>
      </c>
      <c r="AC2435" t="n">
        <v>3</v>
      </c>
      <c r="AD2435" t="n">
        <v>28</v>
      </c>
      <c r="AE2435" t="n">
        <v>28</v>
      </c>
      <c r="AF2435" t="n">
        <v>9</v>
      </c>
      <c r="AG2435" t="n">
        <v>9</v>
      </c>
      <c r="AH2435" t="n">
        <v>5</v>
      </c>
      <c r="AI2435" t="n">
        <v>5</v>
      </c>
      <c r="AJ2435" t="n">
        <v>14</v>
      </c>
      <c r="AK2435" t="n">
        <v>14</v>
      </c>
      <c r="AL2435" t="n">
        <v>2</v>
      </c>
      <c r="AM2435" t="n">
        <v>2</v>
      </c>
      <c r="AN2435" t="n">
        <v>6</v>
      </c>
      <c r="AO2435" t="n">
        <v>6</v>
      </c>
      <c r="AP2435" t="inlineStr">
        <is>
          <t>No</t>
        </is>
      </c>
      <c r="AQ2435" t="inlineStr">
        <is>
          <t>Yes</t>
        </is>
      </c>
      <c r="AR2435">
        <f>HYPERLINK("http://catalog.hathitrust.org/Record/003971513","HathiTrust Record")</f>
        <v/>
      </c>
      <c r="AS2435">
        <f>HYPERLINK("https://creighton-primo.hosted.exlibrisgroup.com/primo-explore/search?tab=default_tab&amp;search_scope=EVERYTHING&amp;vid=01CRU&amp;lang=en_US&amp;offset=0&amp;query=any,contains,991002809089702656","Catalog Record")</f>
        <v/>
      </c>
      <c r="AT2435">
        <f>HYPERLINK("http://www.worldcat.org/oclc/36900982","WorldCat Record")</f>
        <v/>
      </c>
      <c r="AU2435" t="inlineStr">
        <is>
          <t>836954330:eng</t>
        </is>
      </c>
      <c r="AV2435" t="inlineStr">
        <is>
          <t>36900982</t>
        </is>
      </c>
      <c r="AW2435" t="inlineStr">
        <is>
          <t>991002809089702656</t>
        </is>
      </c>
      <c r="AX2435" t="inlineStr">
        <is>
          <t>991002809089702656</t>
        </is>
      </c>
      <c r="AY2435" t="inlineStr">
        <is>
          <t>2271960470002656</t>
        </is>
      </c>
      <c r="AZ2435" t="inlineStr">
        <is>
          <t>BOOK</t>
        </is>
      </c>
      <c r="BB2435" t="inlineStr">
        <is>
          <t>9781555533304</t>
        </is>
      </c>
      <c r="BC2435" t="inlineStr">
        <is>
          <t>32285003376935</t>
        </is>
      </c>
      <c r="BD2435" t="inlineStr">
        <is>
          <t>893805067</t>
        </is>
      </c>
    </row>
    <row r="2436">
      <c r="A2436" t="inlineStr">
        <is>
          <t>No</t>
        </is>
      </c>
      <c r="B2436" t="inlineStr">
        <is>
          <t>HQ767.5.U5 C67 1996</t>
        </is>
      </c>
      <c r="C2436" t="inlineStr">
        <is>
          <t>0                      HQ 0767500U  5                  C  67          1996</t>
        </is>
      </c>
      <c r="D2436" t="inlineStr">
        <is>
          <t>Abortion : a reference handbook / Marie Costa.</t>
        </is>
      </c>
      <c r="F2436" t="inlineStr">
        <is>
          <t>No</t>
        </is>
      </c>
      <c r="G2436" t="inlineStr">
        <is>
          <t>1</t>
        </is>
      </c>
      <c r="H2436" t="inlineStr">
        <is>
          <t>No</t>
        </is>
      </c>
      <c r="I2436" t="inlineStr">
        <is>
          <t>No</t>
        </is>
      </c>
      <c r="J2436" t="inlineStr">
        <is>
          <t>0</t>
        </is>
      </c>
      <c r="K2436" t="inlineStr">
        <is>
          <t>Costa, Marie, 1951-</t>
        </is>
      </c>
      <c r="L2436" t="inlineStr">
        <is>
          <t>Santa Barbara, CA : ABC-CLIO, 1996.</t>
        </is>
      </c>
      <c r="M2436" t="inlineStr">
        <is>
          <t>1996</t>
        </is>
      </c>
      <c r="N2436" t="inlineStr">
        <is>
          <t>2nd ed.</t>
        </is>
      </c>
      <c r="O2436" t="inlineStr">
        <is>
          <t>eng</t>
        </is>
      </c>
      <c r="P2436" t="inlineStr">
        <is>
          <t>cau</t>
        </is>
      </c>
      <c r="Q2436" t="inlineStr">
        <is>
          <t>Contemporary world issues</t>
        </is>
      </c>
      <c r="R2436" t="inlineStr">
        <is>
          <t xml:space="preserve">HQ </t>
        </is>
      </c>
      <c r="S2436" t="n">
        <v>6</v>
      </c>
      <c r="T2436" t="n">
        <v>6</v>
      </c>
      <c r="U2436" t="inlineStr">
        <is>
          <t>2002-03-19</t>
        </is>
      </c>
      <c r="V2436" t="inlineStr">
        <is>
          <t>2002-03-19</t>
        </is>
      </c>
      <c r="W2436" t="inlineStr">
        <is>
          <t>1998-07-13</t>
        </is>
      </c>
      <c r="X2436" t="inlineStr">
        <is>
          <t>1998-07-13</t>
        </is>
      </c>
      <c r="Y2436" t="n">
        <v>656</v>
      </c>
      <c r="Z2436" t="n">
        <v>618</v>
      </c>
      <c r="AA2436" t="n">
        <v>1860</v>
      </c>
      <c r="AB2436" t="n">
        <v>7</v>
      </c>
      <c r="AC2436" t="n">
        <v>13</v>
      </c>
      <c r="AD2436" t="n">
        <v>20</v>
      </c>
      <c r="AE2436" t="n">
        <v>46</v>
      </c>
      <c r="AF2436" t="n">
        <v>6</v>
      </c>
      <c r="AG2436" t="n">
        <v>17</v>
      </c>
      <c r="AH2436" t="n">
        <v>3</v>
      </c>
      <c r="AI2436" t="n">
        <v>8</v>
      </c>
      <c r="AJ2436" t="n">
        <v>9</v>
      </c>
      <c r="AK2436" t="n">
        <v>19</v>
      </c>
      <c r="AL2436" t="n">
        <v>5</v>
      </c>
      <c r="AM2436" t="n">
        <v>9</v>
      </c>
      <c r="AN2436" t="n">
        <v>1</v>
      </c>
      <c r="AO2436" t="n">
        <v>4</v>
      </c>
      <c r="AP2436" t="inlineStr">
        <is>
          <t>No</t>
        </is>
      </c>
      <c r="AQ2436" t="inlineStr">
        <is>
          <t>No</t>
        </is>
      </c>
      <c r="AS2436">
        <f>HYPERLINK("https://creighton-primo.hosted.exlibrisgroup.com/primo-explore/search?tab=default_tab&amp;search_scope=EVERYTHING&amp;vid=01CRU&amp;lang=en_US&amp;offset=0&amp;query=any,contains,991002757259702656","Catalog Record")</f>
        <v/>
      </c>
      <c r="AT2436">
        <f>HYPERLINK("http://www.worldcat.org/oclc/34355646","WorldCat Record")</f>
        <v/>
      </c>
      <c r="AU2436" t="inlineStr">
        <is>
          <t>1033260:eng</t>
        </is>
      </c>
      <c r="AV2436" t="inlineStr">
        <is>
          <t>34355646</t>
        </is>
      </c>
      <c r="AW2436" t="inlineStr">
        <is>
          <t>991002757259702656</t>
        </is>
      </c>
      <c r="AX2436" t="inlineStr">
        <is>
          <t>991002757259702656</t>
        </is>
      </c>
      <c r="AY2436" t="inlineStr">
        <is>
          <t>2266549240002656</t>
        </is>
      </c>
      <c r="AZ2436" t="inlineStr">
        <is>
          <t>BOOK</t>
        </is>
      </c>
      <c r="BB2436" t="inlineStr">
        <is>
          <t>9780874368277</t>
        </is>
      </c>
      <c r="BC2436" t="inlineStr">
        <is>
          <t>32285003431847</t>
        </is>
      </c>
      <c r="BD2436" t="inlineStr">
        <is>
          <t>893227231</t>
        </is>
      </c>
    </row>
    <row r="2437">
      <c r="A2437" t="inlineStr">
        <is>
          <t>No</t>
        </is>
      </c>
      <c r="B2437" t="inlineStr">
        <is>
          <t>HQ767.5.U5 F77 1990</t>
        </is>
      </c>
      <c r="C2437" t="inlineStr">
        <is>
          <t>0                      HQ 0767500U  5                  F  77          1990</t>
        </is>
      </c>
      <c r="D2437" t="inlineStr">
        <is>
          <t>From abortion to reproductive freedom : transforming a movement / Marlene Gerber Fried, editor.</t>
        </is>
      </c>
      <c r="F2437" t="inlineStr">
        <is>
          <t>No</t>
        </is>
      </c>
      <c r="G2437" t="inlineStr">
        <is>
          <t>1</t>
        </is>
      </c>
      <c r="H2437" t="inlineStr">
        <is>
          <t>No</t>
        </is>
      </c>
      <c r="I2437" t="inlineStr">
        <is>
          <t>No</t>
        </is>
      </c>
      <c r="J2437" t="inlineStr">
        <is>
          <t>0</t>
        </is>
      </c>
      <c r="L2437" t="inlineStr">
        <is>
          <t>Boston, MA : South End Press, c1990.</t>
        </is>
      </c>
      <c r="M2437" t="inlineStr">
        <is>
          <t>1990</t>
        </is>
      </c>
      <c r="N2437" t="inlineStr">
        <is>
          <t>1st ed.</t>
        </is>
      </c>
      <c r="O2437" t="inlineStr">
        <is>
          <t>eng</t>
        </is>
      </c>
      <c r="P2437" t="inlineStr">
        <is>
          <t>mau</t>
        </is>
      </c>
      <c r="R2437" t="inlineStr">
        <is>
          <t xml:space="preserve">HQ </t>
        </is>
      </c>
      <c r="S2437" t="n">
        <v>12</v>
      </c>
      <c r="T2437" t="n">
        <v>12</v>
      </c>
      <c r="U2437" t="inlineStr">
        <is>
          <t>2004-03-19</t>
        </is>
      </c>
      <c r="V2437" t="inlineStr">
        <is>
          <t>2004-03-19</t>
        </is>
      </c>
      <c r="W2437" t="inlineStr">
        <is>
          <t>1991-06-04</t>
        </is>
      </c>
      <c r="X2437" t="inlineStr">
        <is>
          <t>1991-06-04</t>
        </is>
      </c>
      <c r="Y2437" t="n">
        <v>761</v>
      </c>
      <c r="Z2437" t="n">
        <v>683</v>
      </c>
      <c r="AA2437" t="n">
        <v>688</v>
      </c>
      <c r="AB2437" t="n">
        <v>5</v>
      </c>
      <c r="AC2437" t="n">
        <v>5</v>
      </c>
      <c r="AD2437" t="n">
        <v>37</v>
      </c>
      <c r="AE2437" t="n">
        <v>37</v>
      </c>
      <c r="AF2437" t="n">
        <v>10</v>
      </c>
      <c r="AG2437" t="n">
        <v>10</v>
      </c>
      <c r="AH2437" t="n">
        <v>7</v>
      </c>
      <c r="AI2437" t="n">
        <v>7</v>
      </c>
      <c r="AJ2437" t="n">
        <v>12</v>
      </c>
      <c r="AK2437" t="n">
        <v>12</v>
      </c>
      <c r="AL2437" t="n">
        <v>4</v>
      </c>
      <c r="AM2437" t="n">
        <v>4</v>
      </c>
      <c r="AN2437" t="n">
        <v>9</v>
      </c>
      <c r="AO2437" t="n">
        <v>9</v>
      </c>
      <c r="AP2437" t="inlineStr">
        <is>
          <t>No</t>
        </is>
      </c>
      <c r="AQ2437" t="inlineStr">
        <is>
          <t>Yes</t>
        </is>
      </c>
      <c r="AR2437">
        <f>HYPERLINK("http://catalog.hathitrust.org/Record/002453254","HathiTrust Record")</f>
        <v/>
      </c>
      <c r="AS2437">
        <f>HYPERLINK("https://creighton-primo.hosted.exlibrisgroup.com/primo-explore/search?tab=default_tab&amp;search_scope=EVERYTHING&amp;vid=01CRU&amp;lang=en_US&amp;offset=0&amp;query=any,contains,991001730809702656","Catalog Record")</f>
        <v/>
      </c>
      <c r="AT2437">
        <f>HYPERLINK("http://www.worldcat.org/oclc/21910906","WorldCat Record")</f>
        <v/>
      </c>
      <c r="AU2437" t="inlineStr">
        <is>
          <t>894521965:eng</t>
        </is>
      </c>
      <c r="AV2437" t="inlineStr">
        <is>
          <t>21910906</t>
        </is>
      </c>
      <c r="AW2437" t="inlineStr">
        <is>
          <t>991001730809702656</t>
        </is>
      </c>
      <c r="AX2437" t="inlineStr">
        <is>
          <t>991001730809702656</t>
        </is>
      </c>
      <c r="AY2437" t="inlineStr">
        <is>
          <t>2264084820002656</t>
        </is>
      </c>
      <c r="AZ2437" t="inlineStr">
        <is>
          <t>BOOK</t>
        </is>
      </c>
      <c r="BB2437" t="inlineStr">
        <is>
          <t>9780896083882</t>
        </is>
      </c>
      <c r="BC2437" t="inlineStr">
        <is>
          <t>32285000591742</t>
        </is>
      </c>
      <c r="BD2437" t="inlineStr">
        <is>
          <t>893866433</t>
        </is>
      </c>
    </row>
    <row r="2438">
      <c r="A2438" t="inlineStr">
        <is>
          <t>No</t>
        </is>
      </c>
      <c r="B2438" t="inlineStr">
        <is>
          <t>HQ767.5.U5 G68 1998</t>
        </is>
      </c>
      <c r="C2438" t="inlineStr">
        <is>
          <t>0                      HQ 0767500U  5                  G  68          1998</t>
        </is>
      </c>
      <c r="D2438" t="inlineStr">
        <is>
          <t>Articles of faith : a frontline history of the abortion wars / Cynthia Gorney.</t>
        </is>
      </c>
      <c r="F2438" t="inlineStr">
        <is>
          <t>No</t>
        </is>
      </c>
      <c r="G2438" t="inlineStr">
        <is>
          <t>1</t>
        </is>
      </c>
      <c r="H2438" t="inlineStr">
        <is>
          <t>Yes</t>
        </is>
      </c>
      <c r="I2438" t="inlineStr">
        <is>
          <t>No</t>
        </is>
      </c>
      <c r="J2438" t="inlineStr">
        <is>
          <t>0</t>
        </is>
      </c>
      <c r="K2438" t="inlineStr">
        <is>
          <t>Gorney, Cynthia.</t>
        </is>
      </c>
      <c r="L2438" t="inlineStr">
        <is>
          <t>New York, NY : Simon &amp; Schuster, c1998.</t>
        </is>
      </c>
      <c r="M2438" t="inlineStr">
        <is>
          <t>1998</t>
        </is>
      </c>
      <c r="O2438" t="inlineStr">
        <is>
          <t>eng</t>
        </is>
      </c>
      <c r="P2438" t="inlineStr">
        <is>
          <t>nyu</t>
        </is>
      </c>
      <c r="R2438" t="inlineStr">
        <is>
          <t xml:space="preserve">HQ </t>
        </is>
      </c>
      <c r="S2438" t="n">
        <v>9</v>
      </c>
      <c r="T2438" t="n">
        <v>12</v>
      </c>
      <c r="U2438" t="inlineStr">
        <is>
          <t>2006-11-21</t>
        </is>
      </c>
      <c r="V2438" t="inlineStr">
        <is>
          <t>2010-11-30</t>
        </is>
      </c>
      <c r="W2438" t="inlineStr">
        <is>
          <t>1998-08-20</t>
        </is>
      </c>
      <c r="X2438" t="inlineStr">
        <is>
          <t>1998-09-08</t>
        </is>
      </c>
      <c r="Y2438" t="n">
        <v>1109</v>
      </c>
      <c r="Z2438" t="n">
        <v>1049</v>
      </c>
      <c r="AA2438" t="n">
        <v>1142</v>
      </c>
      <c r="AB2438" t="n">
        <v>9</v>
      </c>
      <c r="AC2438" t="n">
        <v>9</v>
      </c>
      <c r="AD2438" t="n">
        <v>38</v>
      </c>
      <c r="AE2438" t="n">
        <v>38</v>
      </c>
      <c r="AF2438" t="n">
        <v>15</v>
      </c>
      <c r="AG2438" t="n">
        <v>15</v>
      </c>
      <c r="AH2438" t="n">
        <v>8</v>
      </c>
      <c r="AI2438" t="n">
        <v>8</v>
      </c>
      <c r="AJ2438" t="n">
        <v>15</v>
      </c>
      <c r="AK2438" t="n">
        <v>15</v>
      </c>
      <c r="AL2438" t="n">
        <v>5</v>
      </c>
      <c r="AM2438" t="n">
        <v>5</v>
      </c>
      <c r="AN2438" t="n">
        <v>5</v>
      </c>
      <c r="AO2438" t="n">
        <v>5</v>
      </c>
      <c r="AP2438" t="inlineStr">
        <is>
          <t>No</t>
        </is>
      </c>
      <c r="AQ2438" t="inlineStr">
        <is>
          <t>Yes</t>
        </is>
      </c>
      <c r="AR2438">
        <f>HYPERLINK("http://catalog.hathitrust.org/Record/003961878","HathiTrust Record")</f>
        <v/>
      </c>
      <c r="AS2438">
        <f>HYPERLINK("https://creighton-primo.hosted.exlibrisgroup.com/primo-explore/search?tab=default_tab&amp;search_scope=EVERYTHING&amp;vid=01CRU&amp;lang=en_US&amp;offset=0&amp;query=any,contains,991001676609702656","Catalog Record")</f>
        <v/>
      </c>
      <c r="AT2438">
        <f>HYPERLINK("http://www.worldcat.org/oclc/37694169","WorldCat Record")</f>
        <v/>
      </c>
      <c r="AU2438" t="inlineStr">
        <is>
          <t>572065:eng</t>
        </is>
      </c>
      <c r="AV2438" t="inlineStr">
        <is>
          <t>37694169</t>
        </is>
      </c>
      <c r="AW2438" t="inlineStr">
        <is>
          <t>991001676609702656</t>
        </is>
      </c>
      <c r="AX2438" t="inlineStr">
        <is>
          <t>991001676609702656</t>
        </is>
      </c>
      <c r="AY2438" t="inlineStr">
        <is>
          <t>2269580530002656</t>
        </is>
      </c>
      <c r="AZ2438" t="inlineStr">
        <is>
          <t>BOOK</t>
        </is>
      </c>
      <c r="BB2438" t="inlineStr">
        <is>
          <t>9780684809045</t>
        </is>
      </c>
      <c r="BC2438" t="inlineStr">
        <is>
          <t>32285003460903</t>
        </is>
      </c>
      <c r="BD2438" t="inlineStr">
        <is>
          <t>893696932</t>
        </is>
      </c>
    </row>
    <row r="2439">
      <c r="A2439" t="inlineStr">
        <is>
          <t>No</t>
        </is>
      </c>
      <c r="B2439" t="inlineStr">
        <is>
          <t>HQ767.5.U5 H37</t>
        </is>
      </c>
      <c r="C2439" t="inlineStr">
        <is>
          <t>0                      HQ 0767500U  5                  H  37</t>
        </is>
      </c>
      <c r="D2439" t="inlineStr">
        <is>
          <t>Stalking the wild taboo / [by] Garrett Hardin.</t>
        </is>
      </c>
      <c r="F2439" t="inlineStr">
        <is>
          <t>No</t>
        </is>
      </c>
      <c r="G2439" t="inlineStr">
        <is>
          <t>1</t>
        </is>
      </c>
      <c r="H2439" t="inlineStr">
        <is>
          <t>No</t>
        </is>
      </c>
      <c r="I2439" t="inlineStr">
        <is>
          <t>No</t>
        </is>
      </c>
      <c r="J2439" t="inlineStr">
        <is>
          <t>0</t>
        </is>
      </c>
      <c r="K2439" t="inlineStr">
        <is>
          <t>Hardin, Garrett, 1915-2003.</t>
        </is>
      </c>
      <c r="L2439" t="inlineStr">
        <is>
          <t>Los Altos, Calif. : W. Kaufmann, [1973]</t>
        </is>
      </c>
      <c r="M2439" t="inlineStr">
        <is>
          <t>1973</t>
        </is>
      </c>
      <c r="O2439" t="inlineStr">
        <is>
          <t>eng</t>
        </is>
      </c>
      <c r="P2439" t="inlineStr">
        <is>
          <t>cau</t>
        </is>
      </c>
      <c r="R2439" t="inlineStr">
        <is>
          <t xml:space="preserve">HQ </t>
        </is>
      </c>
      <c r="S2439" t="n">
        <v>1</v>
      </c>
      <c r="T2439" t="n">
        <v>1</v>
      </c>
      <c r="U2439" t="inlineStr">
        <is>
          <t>1992-04-11</t>
        </is>
      </c>
      <c r="V2439" t="inlineStr">
        <is>
          <t>1992-04-11</t>
        </is>
      </c>
      <c r="W2439" t="inlineStr">
        <is>
          <t>1991-10-18</t>
        </is>
      </c>
      <c r="X2439" t="inlineStr">
        <is>
          <t>1991-10-18</t>
        </is>
      </c>
      <c r="Y2439" t="n">
        <v>582</v>
      </c>
      <c r="Z2439" t="n">
        <v>520</v>
      </c>
      <c r="AA2439" t="n">
        <v>842</v>
      </c>
      <c r="AB2439" t="n">
        <v>4</v>
      </c>
      <c r="AC2439" t="n">
        <v>4</v>
      </c>
      <c r="AD2439" t="n">
        <v>16</v>
      </c>
      <c r="AE2439" t="n">
        <v>29</v>
      </c>
      <c r="AF2439" t="n">
        <v>7</v>
      </c>
      <c r="AG2439" t="n">
        <v>15</v>
      </c>
      <c r="AH2439" t="n">
        <v>3</v>
      </c>
      <c r="AI2439" t="n">
        <v>4</v>
      </c>
      <c r="AJ2439" t="n">
        <v>6</v>
      </c>
      <c r="AK2439" t="n">
        <v>12</v>
      </c>
      <c r="AL2439" t="n">
        <v>3</v>
      </c>
      <c r="AM2439" t="n">
        <v>3</v>
      </c>
      <c r="AN2439" t="n">
        <v>0</v>
      </c>
      <c r="AO2439" t="n">
        <v>1</v>
      </c>
      <c r="AP2439" t="inlineStr">
        <is>
          <t>No</t>
        </is>
      </c>
      <c r="AQ2439" t="inlineStr">
        <is>
          <t>Yes</t>
        </is>
      </c>
      <c r="AR2439">
        <f>HYPERLINK("http://catalog.hathitrust.org/Record/001108344","HathiTrust Record")</f>
        <v/>
      </c>
      <c r="AS2439">
        <f>HYPERLINK("https://creighton-primo.hosted.exlibrisgroup.com/primo-explore/search?tab=default_tab&amp;search_scope=EVERYTHING&amp;vid=01CRU&amp;lang=en_US&amp;offset=0&amp;query=any,contains,991002899799702656","Catalog Record")</f>
        <v/>
      </c>
      <c r="AT2439">
        <f>HYPERLINK("http://www.worldcat.org/oclc/516278","WorldCat Record")</f>
        <v/>
      </c>
      <c r="AU2439" t="inlineStr">
        <is>
          <t>149488100:eng</t>
        </is>
      </c>
      <c r="AV2439" t="inlineStr">
        <is>
          <t>516278</t>
        </is>
      </c>
      <c r="AW2439" t="inlineStr">
        <is>
          <t>991002899799702656</t>
        </is>
      </c>
      <c r="AX2439" t="inlineStr">
        <is>
          <t>991002899799702656</t>
        </is>
      </c>
      <c r="AY2439" t="inlineStr">
        <is>
          <t>2256647270002656</t>
        </is>
      </c>
      <c r="AZ2439" t="inlineStr">
        <is>
          <t>BOOK</t>
        </is>
      </c>
      <c r="BB2439" t="inlineStr">
        <is>
          <t>9780913232033</t>
        </is>
      </c>
      <c r="BC2439" t="inlineStr">
        <is>
          <t>32285000775071</t>
        </is>
      </c>
      <c r="BD2439" t="inlineStr">
        <is>
          <t>893233576</t>
        </is>
      </c>
    </row>
    <row r="2440">
      <c r="A2440" t="inlineStr">
        <is>
          <t>No</t>
        </is>
      </c>
      <c r="B2440" t="inlineStr">
        <is>
          <t>HQ767.5.U5 H47 1991</t>
        </is>
      </c>
      <c r="C2440" t="inlineStr">
        <is>
          <t>0                      HQ 0767500U  5                  H  47          1991</t>
        </is>
      </c>
      <c r="D2440" t="inlineStr">
        <is>
          <t>Caught in the crossfire : a year on abortion's front line / Sue Hertz.</t>
        </is>
      </c>
      <c r="F2440" t="inlineStr">
        <is>
          <t>No</t>
        </is>
      </c>
      <c r="G2440" t="inlineStr">
        <is>
          <t>1</t>
        </is>
      </c>
      <c r="H2440" t="inlineStr">
        <is>
          <t>No</t>
        </is>
      </c>
      <c r="I2440" t="inlineStr">
        <is>
          <t>No</t>
        </is>
      </c>
      <c r="J2440" t="inlineStr">
        <is>
          <t>0</t>
        </is>
      </c>
      <c r="K2440" t="inlineStr">
        <is>
          <t>Hertz, Sue.</t>
        </is>
      </c>
      <c r="L2440" t="inlineStr">
        <is>
          <t>New York : Prentice Hall Press, c1991.</t>
        </is>
      </c>
      <c r="M2440" t="inlineStr">
        <is>
          <t>1991</t>
        </is>
      </c>
      <c r="N2440" t="inlineStr">
        <is>
          <t>1st ed.</t>
        </is>
      </c>
      <c r="O2440" t="inlineStr">
        <is>
          <t>eng</t>
        </is>
      </c>
      <c r="P2440" t="inlineStr">
        <is>
          <t>nyu</t>
        </is>
      </c>
      <c r="R2440" t="inlineStr">
        <is>
          <t xml:space="preserve">HQ </t>
        </is>
      </c>
      <c r="S2440" t="n">
        <v>4</v>
      </c>
      <c r="T2440" t="n">
        <v>4</v>
      </c>
      <c r="U2440" t="inlineStr">
        <is>
          <t>2004-10-27</t>
        </is>
      </c>
      <c r="V2440" t="inlineStr">
        <is>
          <t>2004-10-27</t>
        </is>
      </c>
      <c r="W2440" t="inlineStr">
        <is>
          <t>1991-12-19</t>
        </is>
      </c>
      <c r="X2440" t="inlineStr">
        <is>
          <t>1991-12-19</t>
        </is>
      </c>
      <c r="Y2440" t="n">
        <v>701</v>
      </c>
      <c r="Z2440" t="n">
        <v>671</v>
      </c>
      <c r="AA2440" t="n">
        <v>681</v>
      </c>
      <c r="AB2440" t="n">
        <v>5</v>
      </c>
      <c r="AC2440" t="n">
        <v>5</v>
      </c>
      <c r="AD2440" t="n">
        <v>13</v>
      </c>
      <c r="AE2440" t="n">
        <v>14</v>
      </c>
      <c r="AF2440" t="n">
        <v>2</v>
      </c>
      <c r="AG2440" t="n">
        <v>3</v>
      </c>
      <c r="AH2440" t="n">
        <v>5</v>
      </c>
      <c r="AI2440" t="n">
        <v>5</v>
      </c>
      <c r="AJ2440" t="n">
        <v>3</v>
      </c>
      <c r="AK2440" t="n">
        <v>3</v>
      </c>
      <c r="AL2440" t="n">
        <v>3</v>
      </c>
      <c r="AM2440" t="n">
        <v>3</v>
      </c>
      <c r="AN2440" t="n">
        <v>1</v>
      </c>
      <c r="AO2440" t="n">
        <v>1</v>
      </c>
      <c r="AP2440" t="inlineStr">
        <is>
          <t>No</t>
        </is>
      </c>
      <c r="AQ2440" t="inlineStr">
        <is>
          <t>Yes</t>
        </is>
      </c>
      <c r="AR2440">
        <f>HYPERLINK("http://catalog.hathitrust.org/Record/002533308","HathiTrust Record")</f>
        <v/>
      </c>
      <c r="AS2440">
        <f>HYPERLINK("https://creighton-primo.hosted.exlibrisgroup.com/primo-explore/search?tab=default_tab&amp;search_scope=EVERYTHING&amp;vid=01CRU&amp;lang=en_US&amp;offset=0&amp;query=any,contains,991001855559702656","Catalog Record")</f>
        <v/>
      </c>
      <c r="AT2440">
        <f>HYPERLINK("http://www.worldcat.org/oclc/23286793","WorldCat Record")</f>
        <v/>
      </c>
      <c r="AU2440" t="inlineStr">
        <is>
          <t>25386460:eng</t>
        </is>
      </c>
      <c r="AV2440" t="inlineStr">
        <is>
          <t>23286793</t>
        </is>
      </c>
      <c r="AW2440" t="inlineStr">
        <is>
          <t>991001855559702656</t>
        </is>
      </c>
      <c r="AX2440" t="inlineStr">
        <is>
          <t>991001855559702656</t>
        </is>
      </c>
      <c r="AY2440" t="inlineStr">
        <is>
          <t>2272123300002656</t>
        </is>
      </c>
      <c r="AZ2440" t="inlineStr">
        <is>
          <t>BOOK</t>
        </is>
      </c>
      <c r="BB2440" t="inlineStr">
        <is>
          <t>9780133819144</t>
        </is>
      </c>
      <c r="BC2440" t="inlineStr">
        <is>
          <t>32285000861327</t>
        </is>
      </c>
      <c r="BD2440" t="inlineStr">
        <is>
          <t>893690973</t>
        </is>
      </c>
    </row>
    <row r="2441">
      <c r="A2441" t="inlineStr">
        <is>
          <t>No</t>
        </is>
      </c>
      <c r="B2441" t="inlineStr">
        <is>
          <t>HQ767.5.U5 H86 1994</t>
        </is>
      </c>
      <c r="C2441" t="inlineStr">
        <is>
          <t>0                      HQ 0767500U  5                  H  86          1994</t>
        </is>
      </c>
      <c r="D2441" t="inlineStr">
        <is>
          <t>Before the shooting begins : searching for democracy in America's culture war / James Davison Hunter.</t>
        </is>
      </c>
      <c r="F2441" t="inlineStr">
        <is>
          <t>No</t>
        </is>
      </c>
      <c r="G2441" t="inlineStr">
        <is>
          <t>1</t>
        </is>
      </c>
      <c r="H2441" t="inlineStr">
        <is>
          <t>No</t>
        </is>
      </c>
      <c r="I2441" t="inlineStr">
        <is>
          <t>No</t>
        </is>
      </c>
      <c r="J2441" t="inlineStr">
        <is>
          <t>0</t>
        </is>
      </c>
      <c r="K2441" t="inlineStr">
        <is>
          <t>Hunter, James Davison, 1955-</t>
        </is>
      </c>
      <c r="L2441" t="inlineStr">
        <is>
          <t>New York : Free Press ; Toronto : Maxwell Macmillan Canada ; New York : Maxwell Macmillan International, c1994.</t>
        </is>
      </c>
      <c r="M2441" t="inlineStr">
        <is>
          <t>1994</t>
        </is>
      </c>
      <c r="O2441" t="inlineStr">
        <is>
          <t>eng</t>
        </is>
      </c>
      <c r="P2441" t="inlineStr">
        <is>
          <t>nyu</t>
        </is>
      </c>
      <c r="R2441" t="inlineStr">
        <is>
          <t xml:space="preserve">HQ </t>
        </is>
      </c>
      <c r="S2441" t="n">
        <v>8</v>
      </c>
      <c r="T2441" t="n">
        <v>8</v>
      </c>
      <c r="U2441" t="inlineStr">
        <is>
          <t>2007-04-04</t>
        </is>
      </c>
      <c r="V2441" t="inlineStr">
        <is>
          <t>2007-04-04</t>
        </is>
      </c>
      <c r="W2441" t="inlineStr">
        <is>
          <t>1995-02-01</t>
        </is>
      </c>
      <c r="X2441" t="inlineStr">
        <is>
          <t>1995-02-01</t>
        </is>
      </c>
      <c r="Y2441" t="n">
        <v>697</v>
      </c>
      <c r="Z2441" t="n">
        <v>646</v>
      </c>
      <c r="AA2441" t="n">
        <v>666</v>
      </c>
      <c r="AB2441" t="n">
        <v>6</v>
      </c>
      <c r="AC2441" t="n">
        <v>6</v>
      </c>
      <c r="AD2441" t="n">
        <v>32</v>
      </c>
      <c r="AE2441" t="n">
        <v>32</v>
      </c>
      <c r="AF2441" t="n">
        <v>11</v>
      </c>
      <c r="AG2441" t="n">
        <v>11</v>
      </c>
      <c r="AH2441" t="n">
        <v>8</v>
      </c>
      <c r="AI2441" t="n">
        <v>8</v>
      </c>
      <c r="AJ2441" t="n">
        <v>14</v>
      </c>
      <c r="AK2441" t="n">
        <v>14</v>
      </c>
      <c r="AL2441" t="n">
        <v>5</v>
      </c>
      <c r="AM2441" t="n">
        <v>5</v>
      </c>
      <c r="AN2441" t="n">
        <v>2</v>
      </c>
      <c r="AO2441" t="n">
        <v>2</v>
      </c>
      <c r="AP2441" t="inlineStr">
        <is>
          <t>No</t>
        </is>
      </c>
      <c r="AQ2441" t="inlineStr">
        <is>
          <t>No</t>
        </is>
      </c>
      <c r="AS2441">
        <f>HYPERLINK("https://creighton-primo.hosted.exlibrisgroup.com/primo-explore/search?tab=default_tab&amp;search_scope=EVERYTHING&amp;vid=01CRU&amp;lang=en_US&amp;offset=0&amp;query=any,contains,991002268919702656","Catalog Record")</f>
        <v/>
      </c>
      <c r="AT2441">
        <f>HYPERLINK("http://www.worldcat.org/oclc/29429628","WorldCat Record")</f>
        <v/>
      </c>
      <c r="AU2441" t="inlineStr">
        <is>
          <t>31580450:eng</t>
        </is>
      </c>
      <c r="AV2441" t="inlineStr">
        <is>
          <t>29429628</t>
        </is>
      </c>
      <c r="AW2441" t="inlineStr">
        <is>
          <t>991002268919702656</t>
        </is>
      </c>
      <c r="AX2441" t="inlineStr">
        <is>
          <t>991002268919702656</t>
        </is>
      </c>
      <c r="AY2441" t="inlineStr">
        <is>
          <t>2271415070002656</t>
        </is>
      </c>
      <c r="AZ2441" t="inlineStr">
        <is>
          <t>BOOK</t>
        </is>
      </c>
      <c r="BB2441" t="inlineStr">
        <is>
          <t>9780029155011</t>
        </is>
      </c>
      <c r="BC2441" t="inlineStr">
        <is>
          <t>32285001995926</t>
        </is>
      </c>
      <c r="BD2441" t="inlineStr">
        <is>
          <t>893879694</t>
        </is>
      </c>
    </row>
    <row r="2442">
      <c r="A2442" t="inlineStr">
        <is>
          <t>No</t>
        </is>
      </c>
      <c r="B2442" t="inlineStr">
        <is>
          <t>HQ767.5.U5 I54 1976</t>
        </is>
      </c>
      <c r="C2442" t="inlineStr">
        <is>
          <t>0                      HQ 0767500U  5                  I  54          1976</t>
        </is>
      </c>
      <c r="D2442" t="inlineStr">
        <is>
          <t>Pregnancy, birth, and abortion / Paul H. Gebhard ... [et al.] of the Institute for Sex Research, inc., Indiana University, Bloomington, Indiana.</t>
        </is>
      </c>
      <c r="F2442" t="inlineStr">
        <is>
          <t>No</t>
        </is>
      </c>
      <c r="G2442" t="inlineStr">
        <is>
          <t>1</t>
        </is>
      </c>
      <c r="H2442" t="inlineStr">
        <is>
          <t>No</t>
        </is>
      </c>
      <c r="I2442" t="inlineStr">
        <is>
          <t>No</t>
        </is>
      </c>
      <c r="J2442" t="inlineStr">
        <is>
          <t>0</t>
        </is>
      </c>
      <c r="K2442" t="inlineStr">
        <is>
          <t>Institute for Sex Research.</t>
        </is>
      </c>
      <c r="L2442" t="inlineStr">
        <is>
          <t>Westport, Conn. : Greenwood Press, 1976, c1958.</t>
        </is>
      </c>
      <c r="M2442" t="inlineStr">
        <is>
          <t>1976</t>
        </is>
      </c>
      <c r="O2442" t="inlineStr">
        <is>
          <t>eng</t>
        </is>
      </c>
      <c r="P2442" t="inlineStr">
        <is>
          <t>ctu</t>
        </is>
      </c>
      <c r="R2442" t="inlineStr">
        <is>
          <t xml:space="preserve">HQ </t>
        </is>
      </c>
      <c r="S2442" t="n">
        <v>10</v>
      </c>
      <c r="T2442" t="n">
        <v>10</v>
      </c>
      <c r="U2442" t="inlineStr">
        <is>
          <t>2000-03-30</t>
        </is>
      </c>
      <c r="V2442" t="inlineStr">
        <is>
          <t>2000-03-30</t>
        </is>
      </c>
      <c r="W2442" t="inlineStr">
        <is>
          <t>1991-10-18</t>
        </is>
      </c>
      <c r="X2442" t="inlineStr">
        <is>
          <t>1991-10-18</t>
        </is>
      </c>
      <c r="Y2442" t="n">
        <v>133</v>
      </c>
      <c r="Z2442" t="n">
        <v>123</v>
      </c>
      <c r="AA2442" t="n">
        <v>569</v>
      </c>
      <c r="AB2442" t="n">
        <v>1</v>
      </c>
      <c r="AC2442" t="n">
        <v>3</v>
      </c>
      <c r="AD2442" t="n">
        <v>4</v>
      </c>
      <c r="AE2442" t="n">
        <v>19</v>
      </c>
      <c r="AF2442" t="n">
        <v>1</v>
      </c>
      <c r="AG2442" t="n">
        <v>7</v>
      </c>
      <c r="AH2442" t="n">
        <v>3</v>
      </c>
      <c r="AI2442" t="n">
        <v>5</v>
      </c>
      <c r="AJ2442" t="n">
        <v>2</v>
      </c>
      <c r="AK2442" t="n">
        <v>9</v>
      </c>
      <c r="AL2442" t="n">
        <v>0</v>
      </c>
      <c r="AM2442" t="n">
        <v>2</v>
      </c>
      <c r="AN2442" t="n">
        <v>0</v>
      </c>
      <c r="AO2442" t="n">
        <v>0</v>
      </c>
      <c r="AP2442" t="inlineStr">
        <is>
          <t>No</t>
        </is>
      </c>
      <c r="AQ2442" t="inlineStr">
        <is>
          <t>Yes</t>
        </is>
      </c>
      <c r="AR2442">
        <f>HYPERLINK("http://catalog.hathitrust.org/Record/102017496","HathiTrust Record")</f>
        <v/>
      </c>
      <c r="AS2442">
        <f>HYPERLINK("https://creighton-primo.hosted.exlibrisgroup.com/primo-explore/search?tab=default_tab&amp;search_scope=EVERYTHING&amp;vid=01CRU&amp;lang=en_US&amp;offset=0&amp;query=any,contains,991004017549702656","Catalog Record")</f>
        <v/>
      </c>
      <c r="AT2442">
        <f>HYPERLINK("http://www.worldcat.org/oclc/2117104","WorldCat Record")</f>
        <v/>
      </c>
      <c r="AU2442" t="inlineStr">
        <is>
          <t>428684320:eng</t>
        </is>
      </c>
      <c r="AV2442" t="inlineStr">
        <is>
          <t>2117104</t>
        </is>
      </c>
      <c r="AW2442" t="inlineStr">
        <is>
          <t>991004017549702656</t>
        </is>
      </c>
      <c r="AX2442" t="inlineStr">
        <is>
          <t>991004017549702656</t>
        </is>
      </c>
      <c r="AY2442" t="inlineStr">
        <is>
          <t>2264637170002656</t>
        </is>
      </c>
      <c r="AZ2442" t="inlineStr">
        <is>
          <t>BOOK</t>
        </is>
      </c>
      <c r="BB2442" t="inlineStr">
        <is>
          <t>9780837186634</t>
        </is>
      </c>
      <c r="BC2442" t="inlineStr">
        <is>
          <t>32285000775105</t>
        </is>
      </c>
      <c r="BD2442" t="inlineStr">
        <is>
          <t>893417127</t>
        </is>
      </c>
    </row>
    <row r="2443">
      <c r="A2443" t="inlineStr">
        <is>
          <t>No</t>
        </is>
      </c>
      <c r="B2443" t="inlineStr">
        <is>
          <t>HQ767.5.U5 J33</t>
        </is>
      </c>
      <c r="C2443" t="inlineStr">
        <is>
          <t>0                      HQ 0767500U  5                  J  33</t>
        </is>
      </c>
      <c r="D2443" t="inlineStr">
        <is>
          <t>Abortion politics : private morality and public policy / by Frederick S. Jaffe, Barbara L. Lindheim, Philip R. Lee.</t>
        </is>
      </c>
      <c r="F2443" t="inlineStr">
        <is>
          <t>No</t>
        </is>
      </c>
      <c r="G2443" t="inlineStr">
        <is>
          <t>1</t>
        </is>
      </c>
      <c r="H2443" t="inlineStr">
        <is>
          <t>No</t>
        </is>
      </c>
      <c r="I2443" t="inlineStr">
        <is>
          <t>No</t>
        </is>
      </c>
      <c r="J2443" t="inlineStr">
        <is>
          <t>0</t>
        </is>
      </c>
      <c r="K2443" t="inlineStr">
        <is>
          <t>Jaffe, Frederick S.</t>
        </is>
      </c>
      <c r="L2443" t="inlineStr">
        <is>
          <t>New York : McGraw-Hill, c1981.</t>
        </is>
      </c>
      <c r="M2443" t="inlineStr">
        <is>
          <t>1981</t>
        </is>
      </c>
      <c r="O2443" t="inlineStr">
        <is>
          <t>eng</t>
        </is>
      </c>
      <c r="P2443" t="inlineStr">
        <is>
          <t>nyu</t>
        </is>
      </c>
      <c r="R2443" t="inlineStr">
        <is>
          <t xml:space="preserve">HQ </t>
        </is>
      </c>
      <c r="S2443" t="n">
        <v>17</v>
      </c>
      <c r="T2443" t="n">
        <v>17</v>
      </c>
      <c r="U2443" t="inlineStr">
        <is>
          <t>1998-09-27</t>
        </is>
      </c>
      <c r="V2443" t="inlineStr">
        <is>
          <t>1998-09-27</t>
        </is>
      </c>
      <c r="W2443" t="inlineStr">
        <is>
          <t>1991-12-06</t>
        </is>
      </c>
      <c r="X2443" t="inlineStr">
        <is>
          <t>1991-12-06</t>
        </is>
      </c>
      <c r="Y2443" t="n">
        <v>1082</v>
      </c>
      <c r="Z2443" t="n">
        <v>987</v>
      </c>
      <c r="AA2443" t="n">
        <v>999</v>
      </c>
      <c r="AB2443" t="n">
        <v>8</v>
      </c>
      <c r="AC2443" t="n">
        <v>8</v>
      </c>
      <c r="AD2443" t="n">
        <v>37</v>
      </c>
      <c r="AE2443" t="n">
        <v>37</v>
      </c>
      <c r="AF2443" t="n">
        <v>12</v>
      </c>
      <c r="AG2443" t="n">
        <v>12</v>
      </c>
      <c r="AH2443" t="n">
        <v>5</v>
      </c>
      <c r="AI2443" t="n">
        <v>5</v>
      </c>
      <c r="AJ2443" t="n">
        <v>12</v>
      </c>
      <c r="AK2443" t="n">
        <v>12</v>
      </c>
      <c r="AL2443" t="n">
        <v>4</v>
      </c>
      <c r="AM2443" t="n">
        <v>4</v>
      </c>
      <c r="AN2443" t="n">
        <v>11</v>
      </c>
      <c r="AO2443" t="n">
        <v>11</v>
      </c>
      <c r="AP2443" t="inlineStr">
        <is>
          <t>No</t>
        </is>
      </c>
      <c r="AQ2443" t="inlineStr">
        <is>
          <t>No</t>
        </is>
      </c>
      <c r="AS2443">
        <f>HYPERLINK("https://creighton-primo.hosted.exlibrisgroup.com/primo-explore/search?tab=default_tab&amp;search_scope=EVERYTHING&amp;vid=01CRU&amp;lang=en_US&amp;offset=0&amp;query=any,contains,991004979719702656","Catalog Record")</f>
        <v/>
      </c>
      <c r="AT2443">
        <f>HYPERLINK("http://www.worldcat.org/oclc/6421396","WorldCat Record")</f>
        <v/>
      </c>
      <c r="AU2443" t="inlineStr">
        <is>
          <t>252275821:eng</t>
        </is>
      </c>
      <c r="AV2443" t="inlineStr">
        <is>
          <t>6421396</t>
        </is>
      </c>
      <c r="AW2443" t="inlineStr">
        <is>
          <t>991004979719702656</t>
        </is>
      </c>
      <c r="AX2443" t="inlineStr">
        <is>
          <t>991004979719702656</t>
        </is>
      </c>
      <c r="AY2443" t="inlineStr">
        <is>
          <t>2270578930002656</t>
        </is>
      </c>
      <c r="AZ2443" t="inlineStr">
        <is>
          <t>BOOK</t>
        </is>
      </c>
      <c r="BB2443" t="inlineStr">
        <is>
          <t>9780070321892</t>
        </is>
      </c>
      <c r="BC2443" t="inlineStr">
        <is>
          <t>32285000829274</t>
        </is>
      </c>
      <c r="BD2443" t="inlineStr">
        <is>
          <t>893430672</t>
        </is>
      </c>
    </row>
    <row r="2444">
      <c r="A2444" t="inlineStr">
        <is>
          <t>No</t>
        </is>
      </c>
      <c r="B2444" t="inlineStr">
        <is>
          <t>HQ767.5.U5 L3 1997</t>
        </is>
      </c>
      <c r="C2444" t="inlineStr">
        <is>
          <t>0                      HQ 0767500U  5                  L  3           1997</t>
        </is>
      </c>
      <c r="D2444" t="inlineStr">
        <is>
          <t>Public opinion about abortion : twenty-five years after Roe v. Wade / Everett Carll Ladd and Karlyn H. Bowman.</t>
        </is>
      </c>
      <c r="F2444" t="inlineStr">
        <is>
          <t>No</t>
        </is>
      </c>
      <c r="G2444" t="inlineStr">
        <is>
          <t>1</t>
        </is>
      </c>
      <c r="H2444" t="inlineStr">
        <is>
          <t>No</t>
        </is>
      </c>
      <c r="I2444" t="inlineStr">
        <is>
          <t>No</t>
        </is>
      </c>
      <c r="J2444" t="inlineStr">
        <is>
          <t>0</t>
        </is>
      </c>
      <c r="K2444" t="inlineStr">
        <is>
          <t>Ladd, Everett Carll.</t>
        </is>
      </c>
      <c r="L2444" t="inlineStr">
        <is>
          <t>Washington, D.C. : AEI Press, 1997.</t>
        </is>
      </c>
      <c r="M2444" t="inlineStr">
        <is>
          <t>1997</t>
        </is>
      </c>
      <c r="O2444" t="inlineStr">
        <is>
          <t>eng</t>
        </is>
      </c>
      <c r="P2444" t="inlineStr">
        <is>
          <t>dcu</t>
        </is>
      </c>
      <c r="Q2444" t="inlineStr">
        <is>
          <t>AEI studies in public opinion</t>
        </is>
      </c>
      <c r="R2444" t="inlineStr">
        <is>
          <t xml:space="preserve">HQ </t>
        </is>
      </c>
      <c r="S2444" t="n">
        <v>16</v>
      </c>
      <c r="T2444" t="n">
        <v>16</v>
      </c>
      <c r="U2444" t="inlineStr">
        <is>
          <t>2008-03-12</t>
        </is>
      </c>
      <c r="V2444" t="inlineStr">
        <is>
          <t>2008-03-12</t>
        </is>
      </c>
      <c r="W2444" t="inlineStr">
        <is>
          <t>1997-12-23</t>
        </is>
      </c>
      <c r="X2444" t="inlineStr">
        <is>
          <t>1997-12-23</t>
        </is>
      </c>
      <c r="Y2444" t="n">
        <v>279</v>
      </c>
      <c r="Z2444" t="n">
        <v>260</v>
      </c>
      <c r="AA2444" t="n">
        <v>652</v>
      </c>
      <c r="AB2444" t="n">
        <v>2</v>
      </c>
      <c r="AC2444" t="n">
        <v>6</v>
      </c>
      <c r="AD2444" t="n">
        <v>18</v>
      </c>
      <c r="AE2444" t="n">
        <v>37</v>
      </c>
      <c r="AF2444" t="n">
        <v>6</v>
      </c>
      <c r="AG2444" t="n">
        <v>14</v>
      </c>
      <c r="AH2444" t="n">
        <v>4</v>
      </c>
      <c r="AI2444" t="n">
        <v>8</v>
      </c>
      <c r="AJ2444" t="n">
        <v>10</v>
      </c>
      <c r="AK2444" t="n">
        <v>14</v>
      </c>
      <c r="AL2444" t="n">
        <v>1</v>
      </c>
      <c r="AM2444" t="n">
        <v>5</v>
      </c>
      <c r="AN2444" t="n">
        <v>1</v>
      </c>
      <c r="AO2444" t="n">
        <v>3</v>
      </c>
      <c r="AP2444" t="inlineStr">
        <is>
          <t>No</t>
        </is>
      </c>
      <c r="AQ2444" t="inlineStr">
        <is>
          <t>No</t>
        </is>
      </c>
      <c r="AS2444">
        <f>HYPERLINK("https://creighton-primo.hosted.exlibrisgroup.com/primo-explore/search?tab=default_tab&amp;search_scope=EVERYTHING&amp;vid=01CRU&amp;lang=en_US&amp;offset=0&amp;query=any,contains,991002850239702656","Catalog Record")</f>
        <v/>
      </c>
      <c r="AT2444">
        <f>HYPERLINK("http://www.worldcat.org/oclc/37559856","WorldCat Record")</f>
        <v/>
      </c>
      <c r="AU2444" t="inlineStr">
        <is>
          <t>44786153:eng</t>
        </is>
      </c>
      <c r="AV2444" t="inlineStr">
        <is>
          <t>37559856</t>
        </is>
      </c>
      <c r="AW2444" t="inlineStr">
        <is>
          <t>991002850239702656</t>
        </is>
      </c>
      <c r="AX2444" t="inlineStr">
        <is>
          <t>991002850239702656</t>
        </is>
      </c>
      <c r="AY2444" t="inlineStr">
        <is>
          <t>2259900880002656</t>
        </is>
      </c>
      <c r="AZ2444" t="inlineStr">
        <is>
          <t>BOOK</t>
        </is>
      </c>
      <c r="BB2444" t="inlineStr">
        <is>
          <t>9780844770987</t>
        </is>
      </c>
      <c r="BC2444" t="inlineStr">
        <is>
          <t>32285003284428</t>
        </is>
      </c>
      <c r="BD2444" t="inlineStr">
        <is>
          <t>893317331</t>
        </is>
      </c>
    </row>
    <row r="2445">
      <c r="A2445" t="inlineStr">
        <is>
          <t>No</t>
        </is>
      </c>
      <c r="B2445" t="inlineStr">
        <is>
          <t>HQ767.5.U5 M33 1992</t>
        </is>
      </c>
      <c r="C2445" t="inlineStr">
        <is>
          <t>0                      HQ 0767500U  5                  M  33          1992</t>
        </is>
      </c>
      <c r="D2445" t="inlineStr">
        <is>
          <t>Birth or abortion? : private struggles in a political world / Kate Maloy and Maggie Jones Patterson.</t>
        </is>
      </c>
      <c r="F2445" t="inlineStr">
        <is>
          <t>No</t>
        </is>
      </c>
      <c r="G2445" t="inlineStr">
        <is>
          <t>1</t>
        </is>
      </c>
      <c r="H2445" t="inlineStr">
        <is>
          <t>No</t>
        </is>
      </c>
      <c r="I2445" t="inlineStr">
        <is>
          <t>No</t>
        </is>
      </c>
      <c r="J2445" t="inlineStr">
        <is>
          <t>0</t>
        </is>
      </c>
      <c r="K2445" t="inlineStr">
        <is>
          <t>Maloy, Kate.</t>
        </is>
      </c>
      <c r="L2445" t="inlineStr">
        <is>
          <t>New York : Plenum Press, c1992.</t>
        </is>
      </c>
      <c r="M2445" t="inlineStr">
        <is>
          <t>1992</t>
        </is>
      </c>
      <c r="O2445" t="inlineStr">
        <is>
          <t>eng</t>
        </is>
      </c>
      <c r="P2445" t="inlineStr">
        <is>
          <t>nyu</t>
        </is>
      </c>
      <c r="R2445" t="inlineStr">
        <is>
          <t xml:space="preserve">HQ </t>
        </is>
      </c>
      <c r="S2445" t="n">
        <v>18</v>
      </c>
      <c r="T2445" t="n">
        <v>18</v>
      </c>
      <c r="U2445" t="inlineStr">
        <is>
          <t>2008-12-07</t>
        </is>
      </c>
      <c r="V2445" t="inlineStr">
        <is>
          <t>2008-12-07</t>
        </is>
      </c>
      <c r="W2445" t="inlineStr">
        <is>
          <t>1993-03-25</t>
        </is>
      </c>
      <c r="X2445" t="inlineStr">
        <is>
          <t>1993-03-25</t>
        </is>
      </c>
      <c r="Y2445" t="n">
        <v>511</v>
      </c>
      <c r="Z2445" t="n">
        <v>442</v>
      </c>
      <c r="AA2445" t="n">
        <v>629</v>
      </c>
      <c r="AB2445" t="n">
        <v>4</v>
      </c>
      <c r="AC2445" t="n">
        <v>11</v>
      </c>
      <c r="AD2445" t="n">
        <v>16</v>
      </c>
      <c r="AE2445" t="n">
        <v>27</v>
      </c>
      <c r="AF2445" t="n">
        <v>5</v>
      </c>
      <c r="AG2445" t="n">
        <v>8</v>
      </c>
      <c r="AH2445" t="n">
        <v>5</v>
      </c>
      <c r="AI2445" t="n">
        <v>6</v>
      </c>
      <c r="AJ2445" t="n">
        <v>8</v>
      </c>
      <c r="AK2445" t="n">
        <v>10</v>
      </c>
      <c r="AL2445" t="n">
        <v>2</v>
      </c>
      <c r="AM2445" t="n">
        <v>8</v>
      </c>
      <c r="AN2445" t="n">
        <v>1</v>
      </c>
      <c r="AO2445" t="n">
        <v>1</v>
      </c>
      <c r="AP2445" t="inlineStr">
        <is>
          <t>No</t>
        </is>
      </c>
      <c r="AQ2445" t="inlineStr">
        <is>
          <t>Yes</t>
        </is>
      </c>
      <c r="AR2445">
        <f>HYPERLINK("http://catalog.hathitrust.org/Record/002581822","HathiTrust Record")</f>
        <v/>
      </c>
      <c r="AS2445">
        <f>HYPERLINK("https://creighton-primo.hosted.exlibrisgroup.com/primo-explore/search?tab=default_tab&amp;search_scope=EVERYTHING&amp;vid=01CRU&amp;lang=en_US&amp;offset=0&amp;query=any,contains,991002041439702656","Catalog Record")</f>
        <v/>
      </c>
      <c r="AT2445">
        <f>HYPERLINK("http://www.worldcat.org/oclc/26054165","WorldCat Record")</f>
        <v/>
      </c>
      <c r="AU2445" t="inlineStr">
        <is>
          <t>797238223:eng</t>
        </is>
      </c>
      <c r="AV2445" t="inlineStr">
        <is>
          <t>26054165</t>
        </is>
      </c>
      <c r="AW2445" t="inlineStr">
        <is>
          <t>991002041439702656</t>
        </is>
      </c>
      <c r="AX2445" t="inlineStr">
        <is>
          <t>991002041439702656</t>
        </is>
      </c>
      <c r="AY2445" t="inlineStr">
        <is>
          <t>2256456850002656</t>
        </is>
      </c>
      <c r="AZ2445" t="inlineStr">
        <is>
          <t>BOOK</t>
        </is>
      </c>
      <c r="BC2445" t="inlineStr">
        <is>
          <t>32285001498632</t>
        </is>
      </c>
      <c r="BD2445" t="inlineStr">
        <is>
          <t>893232495</t>
        </is>
      </c>
    </row>
    <row r="2446">
      <c r="A2446" t="inlineStr">
        <is>
          <t>No</t>
        </is>
      </c>
      <c r="B2446" t="inlineStr">
        <is>
          <t>HQ767.5.U5 M476 1993</t>
        </is>
      </c>
      <c r="C2446" t="inlineStr">
        <is>
          <t>0                      HQ 0767500U  5                  M  476         1993</t>
        </is>
      </c>
      <c r="D2446" t="inlineStr">
        <is>
          <t>The politics of virtue : is abortion debatable? / Elizabeth Mensch &amp; Alan Freeman.</t>
        </is>
      </c>
      <c r="F2446" t="inlineStr">
        <is>
          <t>No</t>
        </is>
      </c>
      <c r="G2446" t="inlineStr">
        <is>
          <t>1</t>
        </is>
      </c>
      <c r="H2446" t="inlineStr">
        <is>
          <t>Yes</t>
        </is>
      </c>
      <c r="I2446" t="inlineStr">
        <is>
          <t>No</t>
        </is>
      </c>
      <c r="J2446" t="inlineStr">
        <is>
          <t>0</t>
        </is>
      </c>
      <c r="K2446" t="inlineStr">
        <is>
          <t>Mensch, Elizabeth.</t>
        </is>
      </c>
      <c r="L2446" t="inlineStr">
        <is>
          <t>Durham : Duke University Press, 1993.</t>
        </is>
      </c>
      <c r="M2446" t="inlineStr">
        <is>
          <t>1993</t>
        </is>
      </c>
      <c r="O2446" t="inlineStr">
        <is>
          <t>eng</t>
        </is>
      </c>
      <c r="P2446" t="inlineStr">
        <is>
          <t>ncu</t>
        </is>
      </c>
      <c r="R2446" t="inlineStr">
        <is>
          <t xml:space="preserve">HQ </t>
        </is>
      </c>
      <c r="S2446" t="n">
        <v>3</v>
      </c>
      <c r="T2446" t="n">
        <v>8</v>
      </c>
      <c r="U2446" t="inlineStr">
        <is>
          <t>2000-11-26</t>
        </is>
      </c>
      <c r="V2446" t="inlineStr">
        <is>
          <t>2000-11-26</t>
        </is>
      </c>
      <c r="W2446" t="inlineStr">
        <is>
          <t>1999-12-15</t>
        </is>
      </c>
      <c r="X2446" t="inlineStr">
        <is>
          <t>1999-12-15</t>
        </is>
      </c>
      <c r="Y2446" t="n">
        <v>748</v>
      </c>
      <c r="Z2446" t="n">
        <v>665</v>
      </c>
      <c r="AA2446" t="n">
        <v>672</v>
      </c>
      <c r="AB2446" t="n">
        <v>6</v>
      </c>
      <c r="AC2446" t="n">
        <v>6</v>
      </c>
      <c r="AD2446" t="n">
        <v>44</v>
      </c>
      <c r="AE2446" t="n">
        <v>44</v>
      </c>
      <c r="AF2446" t="n">
        <v>14</v>
      </c>
      <c r="AG2446" t="n">
        <v>14</v>
      </c>
      <c r="AH2446" t="n">
        <v>8</v>
      </c>
      <c r="AI2446" t="n">
        <v>8</v>
      </c>
      <c r="AJ2446" t="n">
        <v>15</v>
      </c>
      <c r="AK2446" t="n">
        <v>15</v>
      </c>
      <c r="AL2446" t="n">
        <v>3</v>
      </c>
      <c r="AM2446" t="n">
        <v>3</v>
      </c>
      <c r="AN2446" t="n">
        <v>13</v>
      </c>
      <c r="AO2446" t="n">
        <v>13</v>
      </c>
      <c r="AP2446" t="inlineStr">
        <is>
          <t>No</t>
        </is>
      </c>
      <c r="AQ2446" t="inlineStr">
        <is>
          <t>Yes</t>
        </is>
      </c>
      <c r="AR2446">
        <f>HYPERLINK("http://catalog.hathitrust.org/Record/002789755","HathiTrust Record")</f>
        <v/>
      </c>
      <c r="AS2446">
        <f>HYPERLINK("https://creighton-primo.hosted.exlibrisgroup.com/primo-explore/search?tab=default_tab&amp;search_scope=EVERYTHING&amp;vid=01CRU&amp;lang=en_US&amp;offset=0&amp;query=any,contains,991001656369702656","Catalog Record")</f>
        <v/>
      </c>
      <c r="AT2446">
        <f>HYPERLINK("http://www.worldcat.org/oclc/27150310","WorldCat Record")</f>
        <v/>
      </c>
      <c r="AU2446" t="inlineStr">
        <is>
          <t>836895146:eng</t>
        </is>
      </c>
      <c r="AV2446" t="inlineStr">
        <is>
          <t>27150310</t>
        </is>
      </c>
      <c r="AW2446" t="inlineStr">
        <is>
          <t>991001656369702656</t>
        </is>
      </c>
      <c r="AX2446" t="inlineStr">
        <is>
          <t>991001656369702656</t>
        </is>
      </c>
      <c r="AY2446" t="inlineStr">
        <is>
          <t>2267038510002656</t>
        </is>
      </c>
      <c r="AZ2446" t="inlineStr">
        <is>
          <t>BOOK</t>
        </is>
      </c>
      <c r="BB2446" t="inlineStr">
        <is>
          <t>9780822313311</t>
        </is>
      </c>
      <c r="BC2446" t="inlineStr">
        <is>
          <t>32285003633483</t>
        </is>
      </c>
      <c r="BD2446" t="inlineStr">
        <is>
          <t>893244279</t>
        </is>
      </c>
    </row>
    <row r="2447">
      <c r="A2447" t="inlineStr">
        <is>
          <t>No</t>
        </is>
      </c>
      <c r="B2447" t="inlineStr">
        <is>
          <t>HQ767.5.U5 M54 1993</t>
        </is>
      </c>
      <c r="C2447" t="inlineStr">
        <is>
          <t>0                      HQ 0767500U  5                  M  54          1993</t>
        </is>
      </c>
      <c r="D2447" t="inlineStr">
        <is>
          <t>The worst of times / Patricia G. Miller.</t>
        </is>
      </c>
      <c r="F2447" t="inlineStr">
        <is>
          <t>No</t>
        </is>
      </c>
      <c r="G2447" t="inlineStr">
        <is>
          <t>1</t>
        </is>
      </c>
      <c r="H2447" t="inlineStr">
        <is>
          <t>No</t>
        </is>
      </c>
      <c r="I2447" t="inlineStr">
        <is>
          <t>No</t>
        </is>
      </c>
      <c r="J2447" t="inlineStr">
        <is>
          <t>0</t>
        </is>
      </c>
      <c r="K2447" t="inlineStr">
        <is>
          <t>Miller, Patricia G., 1933-</t>
        </is>
      </c>
      <c r="L2447" t="inlineStr">
        <is>
          <t>New York, NY : HarperCollins, c1993.</t>
        </is>
      </c>
      <c r="M2447" t="inlineStr">
        <is>
          <t>1993</t>
        </is>
      </c>
      <c r="N2447" t="inlineStr">
        <is>
          <t>1st ed.</t>
        </is>
      </c>
      <c r="O2447" t="inlineStr">
        <is>
          <t>eng</t>
        </is>
      </c>
      <c r="P2447" t="inlineStr">
        <is>
          <t>nyu</t>
        </is>
      </c>
      <c r="R2447" t="inlineStr">
        <is>
          <t xml:space="preserve">HQ </t>
        </is>
      </c>
      <c r="S2447" t="n">
        <v>6</v>
      </c>
      <c r="T2447" t="n">
        <v>6</v>
      </c>
      <c r="U2447" t="inlineStr">
        <is>
          <t>1998-07-03</t>
        </is>
      </c>
      <c r="V2447" t="inlineStr">
        <is>
          <t>1998-07-03</t>
        </is>
      </c>
      <c r="W2447" t="inlineStr">
        <is>
          <t>1993-10-16</t>
        </is>
      </c>
      <c r="X2447" t="inlineStr">
        <is>
          <t>1993-10-16</t>
        </is>
      </c>
      <c r="Y2447" t="n">
        <v>869</v>
      </c>
      <c r="Z2447" t="n">
        <v>845</v>
      </c>
      <c r="AA2447" t="n">
        <v>948</v>
      </c>
      <c r="AB2447" t="n">
        <v>5</v>
      </c>
      <c r="AC2447" t="n">
        <v>5</v>
      </c>
      <c r="AD2447" t="n">
        <v>30</v>
      </c>
      <c r="AE2447" t="n">
        <v>32</v>
      </c>
      <c r="AF2447" t="n">
        <v>9</v>
      </c>
      <c r="AG2447" t="n">
        <v>10</v>
      </c>
      <c r="AH2447" t="n">
        <v>6</v>
      </c>
      <c r="AI2447" t="n">
        <v>6</v>
      </c>
      <c r="AJ2447" t="n">
        <v>12</v>
      </c>
      <c r="AK2447" t="n">
        <v>13</v>
      </c>
      <c r="AL2447" t="n">
        <v>4</v>
      </c>
      <c r="AM2447" t="n">
        <v>4</v>
      </c>
      <c r="AN2447" t="n">
        <v>6</v>
      </c>
      <c r="AO2447" t="n">
        <v>6</v>
      </c>
      <c r="AP2447" t="inlineStr">
        <is>
          <t>No</t>
        </is>
      </c>
      <c r="AQ2447" t="inlineStr">
        <is>
          <t>Yes</t>
        </is>
      </c>
      <c r="AR2447">
        <f>HYPERLINK("http://catalog.hathitrust.org/Record/002612172","HathiTrust Record")</f>
        <v/>
      </c>
      <c r="AS2447">
        <f>HYPERLINK("https://creighton-primo.hosted.exlibrisgroup.com/primo-explore/search?tab=default_tab&amp;search_scope=EVERYTHING&amp;vid=01CRU&amp;lang=en_US&amp;offset=0&amp;query=any,contains,991002049179702656","Catalog Record")</f>
        <v/>
      </c>
      <c r="AT2447">
        <f>HYPERLINK("http://www.worldcat.org/oclc/26158933","WorldCat Record")</f>
        <v/>
      </c>
      <c r="AU2447" t="inlineStr">
        <is>
          <t>28715817:eng</t>
        </is>
      </c>
      <c r="AV2447" t="inlineStr">
        <is>
          <t>26158933</t>
        </is>
      </c>
      <c r="AW2447" t="inlineStr">
        <is>
          <t>991002049179702656</t>
        </is>
      </c>
      <c r="AX2447" t="inlineStr">
        <is>
          <t>991002049179702656</t>
        </is>
      </c>
      <c r="AY2447" t="inlineStr">
        <is>
          <t>2259550830002656</t>
        </is>
      </c>
      <c r="AZ2447" t="inlineStr">
        <is>
          <t>BOOK</t>
        </is>
      </c>
      <c r="BB2447" t="inlineStr">
        <is>
          <t>9780060190347</t>
        </is>
      </c>
      <c r="BC2447" t="inlineStr">
        <is>
          <t>32285001786432</t>
        </is>
      </c>
      <c r="BD2447" t="inlineStr">
        <is>
          <t>893615631</t>
        </is>
      </c>
    </row>
    <row r="2448">
      <c r="A2448" t="inlineStr">
        <is>
          <t>No</t>
        </is>
      </c>
      <c r="B2448" t="inlineStr">
        <is>
          <t>HQ767.5.U5 O3 1996</t>
        </is>
      </c>
      <c r="C2448" t="inlineStr">
        <is>
          <t>0                      HQ 0767500U  5                  O  3           1996</t>
        </is>
      </c>
      <c r="D2448" t="inlineStr">
        <is>
          <t>No neutral ground? : abortion politics in an age of absolutes / Karen O'Connor.</t>
        </is>
      </c>
      <c r="F2448" t="inlineStr">
        <is>
          <t>No</t>
        </is>
      </c>
      <c r="G2448" t="inlineStr">
        <is>
          <t>1</t>
        </is>
      </c>
      <c r="H2448" t="inlineStr">
        <is>
          <t>No</t>
        </is>
      </c>
      <c r="I2448" t="inlineStr">
        <is>
          <t>No</t>
        </is>
      </c>
      <c r="J2448" t="inlineStr">
        <is>
          <t>0</t>
        </is>
      </c>
      <c r="K2448" t="inlineStr">
        <is>
          <t>O'Connor, Karen, 1952-</t>
        </is>
      </c>
      <c r="L2448" t="inlineStr">
        <is>
          <t>Boulder : Westview Press, 1996.</t>
        </is>
      </c>
      <c r="M2448" t="inlineStr">
        <is>
          <t>1996</t>
        </is>
      </c>
      <c r="O2448" t="inlineStr">
        <is>
          <t>eng</t>
        </is>
      </c>
      <c r="P2448" t="inlineStr">
        <is>
          <t>cou</t>
        </is>
      </c>
      <c r="Q2448" t="inlineStr">
        <is>
          <t>Dilemmas in American politics</t>
        </is>
      </c>
      <c r="R2448" t="inlineStr">
        <is>
          <t xml:space="preserve">HQ </t>
        </is>
      </c>
      <c r="S2448" t="n">
        <v>6</v>
      </c>
      <c r="T2448" t="n">
        <v>6</v>
      </c>
      <c r="U2448" t="inlineStr">
        <is>
          <t>1999-04-18</t>
        </is>
      </c>
      <c r="V2448" t="inlineStr">
        <is>
          <t>1999-04-18</t>
        </is>
      </c>
      <c r="W2448" t="inlineStr">
        <is>
          <t>1996-10-24</t>
        </is>
      </c>
      <c r="X2448" t="inlineStr">
        <is>
          <t>1996-10-24</t>
        </is>
      </c>
      <c r="Y2448" t="n">
        <v>636</v>
      </c>
      <c r="Z2448" t="n">
        <v>564</v>
      </c>
      <c r="AA2448" t="n">
        <v>574</v>
      </c>
      <c r="AB2448" t="n">
        <v>3</v>
      </c>
      <c r="AC2448" t="n">
        <v>3</v>
      </c>
      <c r="AD2448" t="n">
        <v>33</v>
      </c>
      <c r="AE2448" t="n">
        <v>33</v>
      </c>
      <c r="AF2448" t="n">
        <v>11</v>
      </c>
      <c r="AG2448" t="n">
        <v>11</v>
      </c>
      <c r="AH2448" t="n">
        <v>6</v>
      </c>
      <c r="AI2448" t="n">
        <v>6</v>
      </c>
      <c r="AJ2448" t="n">
        <v>15</v>
      </c>
      <c r="AK2448" t="n">
        <v>15</v>
      </c>
      <c r="AL2448" t="n">
        <v>2</v>
      </c>
      <c r="AM2448" t="n">
        <v>2</v>
      </c>
      <c r="AN2448" t="n">
        <v>6</v>
      </c>
      <c r="AO2448" t="n">
        <v>6</v>
      </c>
      <c r="AP2448" t="inlineStr">
        <is>
          <t>No</t>
        </is>
      </c>
      <c r="AQ2448" t="inlineStr">
        <is>
          <t>Yes</t>
        </is>
      </c>
      <c r="AR2448">
        <f>HYPERLINK("http://catalog.hathitrust.org/Record/003089259","HathiTrust Record")</f>
        <v/>
      </c>
      <c r="AS2448">
        <f>HYPERLINK("https://creighton-primo.hosted.exlibrisgroup.com/primo-explore/search?tab=default_tab&amp;search_scope=EVERYTHING&amp;vid=01CRU&amp;lang=en_US&amp;offset=0&amp;query=any,contains,991002677319702656","Catalog Record")</f>
        <v/>
      </c>
      <c r="AT2448">
        <f>HYPERLINK("http://www.worldcat.org/oclc/35001743","WorldCat Record")</f>
        <v/>
      </c>
      <c r="AU2448" t="inlineStr">
        <is>
          <t>502673278:eng</t>
        </is>
      </c>
      <c r="AV2448" t="inlineStr">
        <is>
          <t>35001743</t>
        </is>
      </c>
      <c r="AW2448" t="inlineStr">
        <is>
          <t>991002677319702656</t>
        </is>
      </c>
      <c r="AX2448" t="inlineStr">
        <is>
          <t>991002677319702656</t>
        </is>
      </c>
      <c r="AY2448" t="inlineStr">
        <is>
          <t>2266027770002656</t>
        </is>
      </c>
      <c r="AZ2448" t="inlineStr">
        <is>
          <t>BOOK</t>
        </is>
      </c>
      <c r="BB2448" t="inlineStr">
        <is>
          <t>9780813319452</t>
        </is>
      </c>
      <c r="BC2448" t="inlineStr">
        <is>
          <t>32285002368727</t>
        </is>
      </c>
      <c r="BD2448" t="inlineStr">
        <is>
          <t>893227144</t>
        </is>
      </c>
    </row>
    <row r="2449">
      <c r="A2449" t="inlineStr">
        <is>
          <t>No</t>
        </is>
      </c>
      <c r="B2449" t="inlineStr">
        <is>
          <t>HQ767.5.U5 P73 1999</t>
        </is>
      </c>
      <c r="C2449" t="inlineStr">
        <is>
          <t>0                      HQ 0767500U  5                  P  73          1999</t>
        </is>
      </c>
      <c r="D2449" t="inlineStr">
        <is>
          <t>Speaking of abortion : television and authority in the lives of women / Andrea L. Press &amp; Elizabeth R. Cole.</t>
        </is>
      </c>
      <c r="F2449" t="inlineStr">
        <is>
          <t>No</t>
        </is>
      </c>
      <c r="G2449" t="inlineStr">
        <is>
          <t>1</t>
        </is>
      </c>
      <c r="H2449" t="inlineStr">
        <is>
          <t>No</t>
        </is>
      </c>
      <c r="I2449" t="inlineStr">
        <is>
          <t>No</t>
        </is>
      </c>
      <c r="J2449" t="inlineStr">
        <is>
          <t>0</t>
        </is>
      </c>
      <c r="K2449" t="inlineStr">
        <is>
          <t>Press, Andrea Lee.</t>
        </is>
      </c>
      <c r="L2449" t="inlineStr">
        <is>
          <t>Chicago, Ill. : University of Chicago Press, 1999.</t>
        </is>
      </c>
      <c r="M2449" t="inlineStr">
        <is>
          <t>1999</t>
        </is>
      </c>
      <c r="O2449" t="inlineStr">
        <is>
          <t>eng</t>
        </is>
      </c>
      <c r="P2449" t="inlineStr">
        <is>
          <t>ilu</t>
        </is>
      </c>
      <c r="Q2449" t="inlineStr">
        <is>
          <t>Morality and society</t>
        </is>
      </c>
      <c r="R2449" t="inlineStr">
        <is>
          <t xml:space="preserve">HQ </t>
        </is>
      </c>
      <c r="S2449" t="n">
        <v>5</v>
      </c>
      <c r="T2449" t="n">
        <v>5</v>
      </c>
      <c r="U2449" t="inlineStr">
        <is>
          <t>2001-10-30</t>
        </is>
      </c>
      <c r="V2449" t="inlineStr">
        <is>
          <t>2001-10-30</t>
        </is>
      </c>
      <c r="W2449" t="inlineStr">
        <is>
          <t>1999-09-14</t>
        </is>
      </c>
      <c r="X2449" t="inlineStr">
        <is>
          <t>1999-09-14</t>
        </is>
      </c>
      <c r="Y2449" t="n">
        <v>612</v>
      </c>
      <c r="Z2449" t="n">
        <v>531</v>
      </c>
      <c r="AA2449" t="n">
        <v>536</v>
      </c>
      <c r="AB2449" t="n">
        <v>4</v>
      </c>
      <c r="AC2449" t="n">
        <v>4</v>
      </c>
      <c r="AD2449" t="n">
        <v>29</v>
      </c>
      <c r="AE2449" t="n">
        <v>29</v>
      </c>
      <c r="AF2449" t="n">
        <v>11</v>
      </c>
      <c r="AG2449" t="n">
        <v>11</v>
      </c>
      <c r="AH2449" t="n">
        <v>6</v>
      </c>
      <c r="AI2449" t="n">
        <v>6</v>
      </c>
      <c r="AJ2449" t="n">
        <v>15</v>
      </c>
      <c r="AK2449" t="n">
        <v>15</v>
      </c>
      <c r="AL2449" t="n">
        <v>2</v>
      </c>
      <c r="AM2449" t="n">
        <v>2</v>
      </c>
      <c r="AN2449" t="n">
        <v>2</v>
      </c>
      <c r="AO2449" t="n">
        <v>2</v>
      </c>
      <c r="AP2449" t="inlineStr">
        <is>
          <t>No</t>
        </is>
      </c>
      <c r="AQ2449" t="inlineStr">
        <is>
          <t>No</t>
        </is>
      </c>
      <c r="AS2449">
        <f>HYPERLINK("https://creighton-primo.hosted.exlibrisgroup.com/primo-explore/search?tab=default_tab&amp;search_scope=EVERYTHING&amp;vid=01CRU&amp;lang=en_US&amp;offset=0&amp;query=any,contains,991002945129702656","Catalog Record")</f>
        <v/>
      </c>
      <c r="AT2449">
        <f>HYPERLINK("http://www.worldcat.org/oclc/39216786","WorldCat Record")</f>
        <v/>
      </c>
      <c r="AU2449" t="inlineStr">
        <is>
          <t>41826376:eng</t>
        </is>
      </c>
      <c r="AV2449" t="inlineStr">
        <is>
          <t>39216786</t>
        </is>
      </c>
      <c r="AW2449" t="inlineStr">
        <is>
          <t>991002945129702656</t>
        </is>
      </c>
      <c r="AX2449" t="inlineStr">
        <is>
          <t>991002945129702656</t>
        </is>
      </c>
      <c r="AY2449" t="inlineStr">
        <is>
          <t>2257554150002656</t>
        </is>
      </c>
      <c r="AZ2449" t="inlineStr">
        <is>
          <t>BOOK</t>
        </is>
      </c>
      <c r="BB2449" t="inlineStr">
        <is>
          <t>9780226680316</t>
        </is>
      </c>
      <c r="BC2449" t="inlineStr">
        <is>
          <t>32285003588505</t>
        </is>
      </c>
      <c r="BD2449" t="inlineStr">
        <is>
          <t>893786778</t>
        </is>
      </c>
    </row>
    <row r="2450">
      <c r="A2450" t="inlineStr">
        <is>
          <t>No</t>
        </is>
      </c>
      <c r="B2450" t="inlineStr">
        <is>
          <t>HQ767.5.U5 R38 1987a</t>
        </is>
      </c>
      <c r="C2450" t="inlineStr">
        <is>
          <t>0                      HQ 0767500U  5                  R  38          1987a</t>
        </is>
      </c>
      <c r="D2450" t="inlineStr">
        <is>
          <t>Aborted women : silent no more / David C. Reardon ; foreword by Nancyjo Mann.</t>
        </is>
      </c>
      <c r="F2450" t="inlineStr">
        <is>
          <t>No</t>
        </is>
      </c>
      <c r="G2450" t="inlineStr">
        <is>
          <t>1</t>
        </is>
      </c>
      <c r="H2450" t="inlineStr">
        <is>
          <t>No</t>
        </is>
      </c>
      <c r="I2450" t="inlineStr">
        <is>
          <t>No</t>
        </is>
      </c>
      <c r="J2450" t="inlineStr">
        <is>
          <t>0</t>
        </is>
      </c>
      <c r="K2450" t="inlineStr">
        <is>
          <t>Reardon, David C.</t>
        </is>
      </c>
      <c r="L2450" t="inlineStr">
        <is>
          <t>Westchester, Ill. : Crossway Books, c1987.</t>
        </is>
      </c>
      <c r="M2450" t="inlineStr">
        <is>
          <t>1987</t>
        </is>
      </c>
      <c r="O2450" t="inlineStr">
        <is>
          <t>eng</t>
        </is>
      </c>
      <c r="P2450" t="inlineStr">
        <is>
          <t>ilu</t>
        </is>
      </c>
      <c r="R2450" t="inlineStr">
        <is>
          <t xml:space="preserve">HQ </t>
        </is>
      </c>
      <c r="S2450" t="n">
        <v>27</v>
      </c>
      <c r="T2450" t="n">
        <v>27</v>
      </c>
      <c r="U2450" t="inlineStr">
        <is>
          <t>2009-10-05</t>
        </is>
      </c>
      <c r="V2450" t="inlineStr">
        <is>
          <t>2009-10-05</t>
        </is>
      </c>
      <c r="W2450" t="inlineStr">
        <is>
          <t>1989-11-27</t>
        </is>
      </c>
      <c r="X2450" t="inlineStr">
        <is>
          <t>1989-11-27</t>
        </is>
      </c>
      <c r="Y2450" t="n">
        <v>133</v>
      </c>
      <c r="Z2450" t="n">
        <v>125</v>
      </c>
      <c r="AA2450" t="n">
        <v>867</v>
      </c>
      <c r="AB2450" t="n">
        <v>3</v>
      </c>
      <c r="AC2450" t="n">
        <v>10</v>
      </c>
      <c r="AD2450" t="n">
        <v>5</v>
      </c>
      <c r="AE2450" t="n">
        <v>31</v>
      </c>
      <c r="AF2450" t="n">
        <v>1</v>
      </c>
      <c r="AG2450" t="n">
        <v>9</v>
      </c>
      <c r="AH2450" t="n">
        <v>2</v>
      </c>
      <c r="AI2450" t="n">
        <v>7</v>
      </c>
      <c r="AJ2450" t="n">
        <v>1</v>
      </c>
      <c r="AK2450" t="n">
        <v>17</v>
      </c>
      <c r="AL2450" t="n">
        <v>2</v>
      </c>
      <c r="AM2450" t="n">
        <v>4</v>
      </c>
      <c r="AN2450" t="n">
        <v>0</v>
      </c>
      <c r="AO2450" t="n">
        <v>3</v>
      </c>
      <c r="AP2450" t="inlineStr">
        <is>
          <t>No</t>
        </is>
      </c>
      <c r="AQ2450" t="inlineStr">
        <is>
          <t>No</t>
        </is>
      </c>
      <c r="AS2450">
        <f>HYPERLINK("https://creighton-primo.hosted.exlibrisgroup.com/primo-explore/search?tab=default_tab&amp;search_scope=EVERYTHING&amp;vid=01CRU&amp;lang=en_US&amp;offset=0&amp;query=any,contains,991001263759702656","Catalog Record")</f>
        <v/>
      </c>
      <c r="AT2450">
        <f>HYPERLINK("http://www.worldcat.org/oclc/17784556","WorldCat Record")</f>
        <v/>
      </c>
      <c r="AU2450" t="inlineStr">
        <is>
          <t>9317176:eng</t>
        </is>
      </c>
      <c r="AV2450" t="inlineStr">
        <is>
          <t>17784556</t>
        </is>
      </c>
      <c r="AW2450" t="inlineStr">
        <is>
          <t>991001263759702656</t>
        </is>
      </c>
      <c r="AX2450" t="inlineStr">
        <is>
          <t>991001263759702656</t>
        </is>
      </c>
      <c r="AY2450" t="inlineStr">
        <is>
          <t>2265242770002656</t>
        </is>
      </c>
      <c r="AZ2450" t="inlineStr">
        <is>
          <t>BOOK</t>
        </is>
      </c>
      <c r="BB2450" t="inlineStr">
        <is>
          <t>9780891074519</t>
        </is>
      </c>
      <c r="BC2450" t="inlineStr">
        <is>
          <t>32285000015411</t>
        </is>
      </c>
      <c r="BD2450" t="inlineStr">
        <is>
          <t>893590158</t>
        </is>
      </c>
    </row>
    <row r="2451">
      <c r="A2451" t="inlineStr">
        <is>
          <t>No</t>
        </is>
      </c>
      <c r="B2451" t="inlineStr">
        <is>
          <t>HQ767.5.U5 R67 1992</t>
        </is>
      </c>
      <c r="C2451" t="inlineStr">
        <is>
          <t>0                      HQ 0767500U  5                  R  67          1992</t>
        </is>
      </c>
      <c r="D2451" t="inlineStr">
        <is>
          <t>Life itself : abortion in the American mind / by Roger Rosenblatt.</t>
        </is>
      </c>
      <c r="F2451" t="inlineStr">
        <is>
          <t>No</t>
        </is>
      </c>
      <c r="G2451" t="inlineStr">
        <is>
          <t>1</t>
        </is>
      </c>
      <c r="H2451" t="inlineStr">
        <is>
          <t>No</t>
        </is>
      </c>
      <c r="I2451" t="inlineStr">
        <is>
          <t>No</t>
        </is>
      </c>
      <c r="J2451" t="inlineStr">
        <is>
          <t>0</t>
        </is>
      </c>
      <c r="K2451" t="inlineStr">
        <is>
          <t>Rosenblatt, Roger.</t>
        </is>
      </c>
      <c r="L2451" t="inlineStr">
        <is>
          <t>New York, N.Y. : Random House, c1992.</t>
        </is>
      </c>
      <c r="M2451" t="inlineStr">
        <is>
          <t>1992</t>
        </is>
      </c>
      <c r="N2451" t="inlineStr">
        <is>
          <t>1st ed.</t>
        </is>
      </c>
      <c r="O2451" t="inlineStr">
        <is>
          <t>eng</t>
        </is>
      </c>
      <c r="P2451" t="inlineStr">
        <is>
          <t>nyu</t>
        </is>
      </c>
      <c r="R2451" t="inlineStr">
        <is>
          <t xml:space="preserve">HQ </t>
        </is>
      </c>
      <c r="S2451" t="n">
        <v>4</v>
      </c>
      <c r="T2451" t="n">
        <v>4</v>
      </c>
      <c r="U2451" t="inlineStr">
        <is>
          <t>2004-11-19</t>
        </is>
      </c>
      <c r="V2451" t="inlineStr">
        <is>
          <t>2004-11-19</t>
        </is>
      </c>
      <c r="W2451" t="inlineStr">
        <is>
          <t>1992-05-22</t>
        </is>
      </c>
      <c r="X2451" t="inlineStr">
        <is>
          <t>1992-05-22</t>
        </is>
      </c>
      <c r="Y2451" t="n">
        <v>1337</v>
      </c>
      <c r="Z2451" t="n">
        <v>1294</v>
      </c>
      <c r="AA2451" t="n">
        <v>1377</v>
      </c>
      <c r="AB2451" t="n">
        <v>7</v>
      </c>
      <c r="AC2451" t="n">
        <v>7</v>
      </c>
      <c r="AD2451" t="n">
        <v>37</v>
      </c>
      <c r="AE2451" t="n">
        <v>40</v>
      </c>
      <c r="AF2451" t="n">
        <v>12</v>
      </c>
      <c r="AG2451" t="n">
        <v>13</v>
      </c>
      <c r="AH2451" t="n">
        <v>9</v>
      </c>
      <c r="AI2451" t="n">
        <v>9</v>
      </c>
      <c r="AJ2451" t="n">
        <v>13</v>
      </c>
      <c r="AK2451" t="n">
        <v>16</v>
      </c>
      <c r="AL2451" t="n">
        <v>3</v>
      </c>
      <c r="AM2451" t="n">
        <v>3</v>
      </c>
      <c r="AN2451" t="n">
        <v>8</v>
      </c>
      <c r="AO2451" t="n">
        <v>8</v>
      </c>
      <c r="AP2451" t="inlineStr">
        <is>
          <t>No</t>
        </is>
      </c>
      <c r="AQ2451" t="inlineStr">
        <is>
          <t>Yes</t>
        </is>
      </c>
      <c r="AR2451">
        <f>HYPERLINK("http://catalog.hathitrust.org/Record/002528832","HathiTrust Record")</f>
        <v/>
      </c>
      <c r="AS2451">
        <f>HYPERLINK("https://creighton-primo.hosted.exlibrisgroup.com/primo-explore/search?tab=default_tab&amp;search_scope=EVERYTHING&amp;vid=01CRU&amp;lang=en_US&amp;offset=0&amp;query=any,contains,991001952709702656","Catalog Record")</f>
        <v/>
      </c>
      <c r="AT2451">
        <f>HYPERLINK("http://www.worldcat.org/oclc/24694119","WorldCat Record")</f>
        <v/>
      </c>
      <c r="AU2451" t="inlineStr">
        <is>
          <t>796697761:eng</t>
        </is>
      </c>
      <c r="AV2451" t="inlineStr">
        <is>
          <t>24694119</t>
        </is>
      </c>
      <c r="AW2451" t="inlineStr">
        <is>
          <t>991001952709702656</t>
        </is>
      </c>
      <c r="AX2451" t="inlineStr">
        <is>
          <t>991001952709702656</t>
        </is>
      </c>
      <c r="AY2451" t="inlineStr">
        <is>
          <t>2265898030002656</t>
        </is>
      </c>
      <c r="AZ2451" t="inlineStr">
        <is>
          <t>BOOK</t>
        </is>
      </c>
      <c r="BB2451" t="inlineStr">
        <is>
          <t>9780394582443</t>
        </is>
      </c>
      <c r="BC2451" t="inlineStr">
        <is>
          <t>32285001118123</t>
        </is>
      </c>
      <c r="BD2451" t="inlineStr">
        <is>
          <t>893444884</t>
        </is>
      </c>
    </row>
    <row r="2452">
      <c r="A2452" t="inlineStr">
        <is>
          <t>No</t>
        </is>
      </c>
      <c r="B2452" t="inlineStr">
        <is>
          <t>HQ767.5.U5 S25 1974</t>
        </is>
      </c>
      <c r="C2452" t="inlineStr">
        <is>
          <t>0                      HQ 0767500U  5                  S  25          1974</t>
        </is>
      </c>
      <c r="D2452" t="inlineStr">
        <is>
          <t>The abortion controversy [by] Betty Sarvis and Hyman Rodman.</t>
        </is>
      </c>
      <c r="F2452" t="inlineStr">
        <is>
          <t>No</t>
        </is>
      </c>
      <c r="G2452" t="inlineStr">
        <is>
          <t>1</t>
        </is>
      </c>
      <c r="H2452" t="inlineStr">
        <is>
          <t>Yes</t>
        </is>
      </c>
      <c r="I2452" t="inlineStr">
        <is>
          <t>Yes</t>
        </is>
      </c>
      <c r="J2452" t="inlineStr">
        <is>
          <t>0</t>
        </is>
      </c>
      <c r="K2452" t="inlineStr">
        <is>
          <t>Sarvis, Betty, 1943-</t>
        </is>
      </c>
      <c r="L2452" t="inlineStr">
        <is>
          <t>New York, Columbia University Press, 1974.</t>
        </is>
      </c>
      <c r="M2452" t="inlineStr">
        <is>
          <t>1974</t>
        </is>
      </c>
      <c r="N2452" t="inlineStr">
        <is>
          <t>2d ed.</t>
        </is>
      </c>
      <c r="O2452" t="inlineStr">
        <is>
          <t>eng</t>
        </is>
      </c>
      <c r="P2452" t="inlineStr">
        <is>
          <t>nyu</t>
        </is>
      </c>
      <c r="R2452" t="inlineStr">
        <is>
          <t xml:space="preserve">HQ </t>
        </is>
      </c>
      <c r="S2452" t="n">
        <v>12</v>
      </c>
      <c r="T2452" t="n">
        <v>12</v>
      </c>
      <c r="U2452" t="inlineStr">
        <is>
          <t>2002-11-14</t>
        </is>
      </c>
      <c r="V2452" t="inlineStr">
        <is>
          <t>2002-11-14</t>
        </is>
      </c>
      <c r="W2452" t="inlineStr">
        <is>
          <t>1991-10-29</t>
        </is>
      </c>
      <c r="X2452" t="inlineStr">
        <is>
          <t>1992-07-21</t>
        </is>
      </c>
      <c r="Y2452" t="n">
        <v>656</v>
      </c>
      <c r="Z2452" t="n">
        <v>563</v>
      </c>
      <c r="AA2452" t="n">
        <v>1031</v>
      </c>
      <c r="AB2452" t="n">
        <v>6</v>
      </c>
      <c r="AC2452" t="n">
        <v>12</v>
      </c>
      <c r="AD2452" t="n">
        <v>28</v>
      </c>
      <c r="AE2452" t="n">
        <v>39</v>
      </c>
      <c r="AF2452" t="n">
        <v>10</v>
      </c>
      <c r="AG2452" t="n">
        <v>14</v>
      </c>
      <c r="AH2452" t="n">
        <v>5</v>
      </c>
      <c r="AI2452" t="n">
        <v>7</v>
      </c>
      <c r="AJ2452" t="n">
        <v>12</v>
      </c>
      <c r="AK2452" t="n">
        <v>17</v>
      </c>
      <c r="AL2452" t="n">
        <v>2</v>
      </c>
      <c r="AM2452" t="n">
        <v>5</v>
      </c>
      <c r="AN2452" t="n">
        <v>6</v>
      </c>
      <c r="AO2452" t="n">
        <v>6</v>
      </c>
      <c r="AP2452" t="inlineStr">
        <is>
          <t>No</t>
        </is>
      </c>
      <c r="AQ2452" t="inlineStr">
        <is>
          <t>No</t>
        </is>
      </c>
      <c r="AS2452">
        <f>HYPERLINK("https://creighton-primo.hosted.exlibrisgroup.com/primo-explore/search?tab=default_tab&amp;search_scope=EVERYTHING&amp;vid=01CRU&amp;lang=en_US&amp;offset=0&amp;query=any,contains,991001681449702656","Catalog Record")</f>
        <v/>
      </c>
      <c r="AT2452">
        <f>HYPERLINK("http://www.worldcat.org/oclc/803726","WorldCat Record")</f>
        <v/>
      </c>
      <c r="AU2452" t="inlineStr">
        <is>
          <t>419882:eng</t>
        </is>
      </c>
      <c r="AV2452" t="inlineStr">
        <is>
          <t>803726</t>
        </is>
      </c>
      <c r="AW2452" t="inlineStr">
        <is>
          <t>991001681449702656</t>
        </is>
      </c>
      <c r="AX2452" t="inlineStr">
        <is>
          <t>991001681449702656</t>
        </is>
      </c>
      <c r="AY2452" t="inlineStr">
        <is>
          <t>2269040050002656</t>
        </is>
      </c>
      <c r="AZ2452" t="inlineStr">
        <is>
          <t>BOOK</t>
        </is>
      </c>
      <c r="BB2452" t="inlineStr">
        <is>
          <t>9780231038713</t>
        </is>
      </c>
      <c r="BC2452" t="inlineStr">
        <is>
          <t>32285000802834</t>
        </is>
      </c>
      <c r="BD2452" t="inlineStr">
        <is>
          <t>893885471</t>
        </is>
      </c>
    </row>
    <row r="2453">
      <c r="A2453" t="inlineStr">
        <is>
          <t>No</t>
        </is>
      </c>
      <c r="B2453" t="inlineStr">
        <is>
          <t>HQ767.5.U5 S73 1982</t>
        </is>
      </c>
      <c r="C2453" t="inlineStr">
        <is>
          <t>0                      HQ 0767500U  5                  S  73          1982</t>
        </is>
      </c>
      <c r="D2453" t="inlineStr">
        <is>
          <t>Concepts of self and morality : women's reasoning about abortion / Judith G. Smetana.</t>
        </is>
      </c>
      <c r="F2453" t="inlineStr">
        <is>
          <t>No</t>
        </is>
      </c>
      <c r="G2453" t="inlineStr">
        <is>
          <t>1</t>
        </is>
      </c>
      <c r="H2453" t="inlineStr">
        <is>
          <t>No</t>
        </is>
      </c>
      <c r="I2453" t="inlineStr">
        <is>
          <t>No</t>
        </is>
      </c>
      <c r="J2453" t="inlineStr">
        <is>
          <t>0</t>
        </is>
      </c>
      <c r="K2453" t="inlineStr">
        <is>
          <t>Smetana, Judith G., 1951-</t>
        </is>
      </c>
      <c r="L2453" t="inlineStr">
        <is>
          <t>New York : Praeger, 1982.</t>
        </is>
      </c>
      <c r="M2453" t="inlineStr">
        <is>
          <t>1982</t>
        </is>
      </c>
      <c r="O2453" t="inlineStr">
        <is>
          <t>eng</t>
        </is>
      </c>
      <c r="P2453" t="inlineStr">
        <is>
          <t>nyu</t>
        </is>
      </c>
      <c r="R2453" t="inlineStr">
        <is>
          <t xml:space="preserve">HQ </t>
        </is>
      </c>
      <c r="S2453" t="n">
        <v>5</v>
      </c>
      <c r="T2453" t="n">
        <v>5</v>
      </c>
      <c r="U2453" t="inlineStr">
        <is>
          <t>2006-10-23</t>
        </is>
      </c>
      <c r="V2453" t="inlineStr">
        <is>
          <t>2006-10-23</t>
        </is>
      </c>
      <c r="W2453" t="inlineStr">
        <is>
          <t>1991-10-16</t>
        </is>
      </c>
      <c r="X2453" t="inlineStr">
        <is>
          <t>1991-10-16</t>
        </is>
      </c>
      <c r="Y2453" t="n">
        <v>270</v>
      </c>
      <c r="Z2453" t="n">
        <v>220</v>
      </c>
      <c r="AA2453" t="n">
        <v>227</v>
      </c>
      <c r="AB2453" t="n">
        <v>2</v>
      </c>
      <c r="AC2453" t="n">
        <v>2</v>
      </c>
      <c r="AD2453" t="n">
        <v>4</v>
      </c>
      <c r="AE2453" t="n">
        <v>4</v>
      </c>
      <c r="AF2453" t="n">
        <v>0</v>
      </c>
      <c r="AG2453" t="n">
        <v>0</v>
      </c>
      <c r="AH2453" t="n">
        <v>2</v>
      </c>
      <c r="AI2453" t="n">
        <v>2</v>
      </c>
      <c r="AJ2453" t="n">
        <v>3</v>
      </c>
      <c r="AK2453" t="n">
        <v>3</v>
      </c>
      <c r="AL2453" t="n">
        <v>0</v>
      </c>
      <c r="AM2453" t="n">
        <v>0</v>
      </c>
      <c r="AN2453" t="n">
        <v>0</v>
      </c>
      <c r="AO2453" t="n">
        <v>0</v>
      </c>
      <c r="AP2453" t="inlineStr">
        <is>
          <t>No</t>
        </is>
      </c>
      <c r="AQ2453" t="inlineStr">
        <is>
          <t>Yes</t>
        </is>
      </c>
      <c r="AR2453">
        <f>HYPERLINK("http://catalog.hathitrust.org/Record/007110270","HathiTrust Record")</f>
        <v/>
      </c>
      <c r="AS2453">
        <f>HYPERLINK("https://creighton-primo.hosted.exlibrisgroup.com/primo-explore/search?tab=default_tab&amp;search_scope=EVERYTHING&amp;vid=01CRU&amp;lang=en_US&amp;offset=0&amp;query=any,contains,991005151949702656","Catalog Record")</f>
        <v/>
      </c>
      <c r="AT2453">
        <f>HYPERLINK("http://www.worldcat.org/oclc/7733506","WorldCat Record")</f>
        <v/>
      </c>
      <c r="AU2453" t="inlineStr">
        <is>
          <t>432342:eng</t>
        </is>
      </c>
      <c r="AV2453" t="inlineStr">
        <is>
          <t>7733506</t>
        </is>
      </c>
      <c r="AW2453" t="inlineStr">
        <is>
          <t>991005151949702656</t>
        </is>
      </c>
      <c r="AX2453" t="inlineStr">
        <is>
          <t>991005151949702656</t>
        </is>
      </c>
      <c r="AY2453" t="inlineStr">
        <is>
          <t>2257005250002656</t>
        </is>
      </c>
      <c r="AZ2453" t="inlineStr">
        <is>
          <t>BOOK</t>
        </is>
      </c>
      <c r="BB2453" t="inlineStr">
        <is>
          <t>9780030577031</t>
        </is>
      </c>
      <c r="BC2453" t="inlineStr">
        <is>
          <t>32285000775113</t>
        </is>
      </c>
      <c r="BD2453" t="inlineStr">
        <is>
          <t>893600712</t>
        </is>
      </c>
    </row>
    <row r="2454">
      <c r="A2454" t="inlineStr">
        <is>
          <t>No</t>
        </is>
      </c>
      <c r="B2454" t="inlineStr">
        <is>
          <t>HQ767.5.U5 T37</t>
        </is>
      </c>
      <c r="C2454" t="inlineStr">
        <is>
          <t>0                      HQ 0767500U  5                  T  37</t>
        </is>
      </c>
      <c r="D2454" t="inlineStr">
        <is>
          <t>The politics of abortion : a study of community conflict in public policy making / by Raymond Tatalovich and Byron W. Daynes.</t>
        </is>
      </c>
      <c r="F2454" t="inlineStr">
        <is>
          <t>No</t>
        </is>
      </c>
      <c r="G2454" t="inlineStr">
        <is>
          <t>1</t>
        </is>
      </c>
      <c r="H2454" t="inlineStr">
        <is>
          <t>No</t>
        </is>
      </c>
      <c r="I2454" t="inlineStr">
        <is>
          <t>No</t>
        </is>
      </c>
      <c r="J2454" t="inlineStr">
        <is>
          <t>0</t>
        </is>
      </c>
      <c r="K2454" t="inlineStr">
        <is>
          <t>Tatalovich, Raymond.</t>
        </is>
      </c>
      <c r="L2454" t="inlineStr">
        <is>
          <t>New York, N.Y. : Praeger Publishers, 1981.</t>
        </is>
      </c>
      <c r="M2454" t="inlineStr">
        <is>
          <t>1981</t>
        </is>
      </c>
      <c r="O2454" t="inlineStr">
        <is>
          <t>eng</t>
        </is>
      </c>
      <c r="P2454" t="inlineStr">
        <is>
          <t>nyu</t>
        </is>
      </c>
      <c r="R2454" t="inlineStr">
        <is>
          <t xml:space="preserve">HQ </t>
        </is>
      </c>
      <c r="S2454" t="n">
        <v>6</v>
      </c>
      <c r="T2454" t="n">
        <v>6</v>
      </c>
      <c r="U2454" t="inlineStr">
        <is>
          <t>2009-06-24</t>
        </is>
      </c>
      <c r="V2454" t="inlineStr">
        <is>
          <t>2009-06-24</t>
        </is>
      </c>
      <c r="W2454" t="inlineStr">
        <is>
          <t>1991-10-29</t>
        </is>
      </c>
      <c r="X2454" t="inlineStr">
        <is>
          <t>1991-10-29</t>
        </is>
      </c>
      <c r="Y2454" t="n">
        <v>451</v>
      </c>
      <c r="Z2454" t="n">
        <v>389</v>
      </c>
      <c r="AA2454" t="n">
        <v>391</v>
      </c>
      <c r="AB2454" t="n">
        <v>4</v>
      </c>
      <c r="AC2454" t="n">
        <v>4</v>
      </c>
      <c r="AD2454" t="n">
        <v>18</v>
      </c>
      <c r="AE2454" t="n">
        <v>18</v>
      </c>
      <c r="AF2454" t="n">
        <v>8</v>
      </c>
      <c r="AG2454" t="n">
        <v>8</v>
      </c>
      <c r="AH2454" t="n">
        <v>3</v>
      </c>
      <c r="AI2454" t="n">
        <v>3</v>
      </c>
      <c r="AJ2454" t="n">
        <v>7</v>
      </c>
      <c r="AK2454" t="n">
        <v>7</v>
      </c>
      <c r="AL2454" t="n">
        <v>2</v>
      </c>
      <c r="AM2454" t="n">
        <v>2</v>
      </c>
      <c r="AN2454" t="n">
        <v>3</v>
      </c>
      <c r="AO2454" t="n">
        <v>3</v>
      </c>
      <c r="AP2454" t="inlineStr">
        <is>
          <t>No</t>
        </is>
      </c>
      <c r="AQ2454" t="inlineStr">
        <is>
          <t>Yes</t>
        </is>
      </c>
      <c r="AR2454">
        <f>HYPERLINK("http://catalog.hathitrust.org/Record/000187118","HathiTrust Record")</f>
        <v/>
      </c>
      <c r="AS2454">
        <f>HYPERLINK("https://creighton-primo.hosted.exlibrisgroup.com/primo-explore/search?tab=default_tab&amp;search_scope=EVERYTHING&amp;vid=01CRU&amp;lang=en_US&amp;offset=0&amp;query=any,contains,991005141849702656","Catalog Record")</f>
        <v/>
      </c>
      <c r="AT2454">
        <f>HYPERLINK("http://www.worldcat.org/oclc/7615641","WorldCat Record")</f>
        <v/>
      </c>
      <c r="AU2454" t="inlineStr">
        <is>
          <t>432037:eng</t>
        </is>
      </c>
      <c r="AV2454" t="inlineStr">
        <is>
          <t>7615641</t>
        </is>
      </c>
      <c r="AW2454" t="inlineStr">
        <is>
          <t>991005141849702656</t>
        </is>
      </c>
      <c r="AX2454" t="inlineStr">
        <is>
          <t>991005141849702656</t>
        </is>
      </c>
      <c r="AY2454" t="inlineStr">
        <is>
          <t>2255425460002656</t>
        </is>
      </c>
      <c r="AZ2454" t="inlineStr">
        <is>
          <t>BOOK</t>
        </is>
      </c>
      <c r="BB2454" t="inlineStr">
        <is>
          <t>9780030580369</t>
        </is>
      </c>
      <c r="BC2454" t="inlineStr">
        <is>
          <t>32285000802842</t>
        </is>
      </c>
      <c r="BD2454" t="inlineStr">
        <is>
          <t>893430927</t>
        </is>
      </c>
    </row>
    <row r="2455">
      <c r="A2455" t="inlineStr">
        <is>
          <t>No</t>
        </is>
      </c>
      <c r="B2455" t="inlineStr">
        <is>
          <t>HQ767.5.U5 T73 1990</t>
        </is>
      </c>
      <c r="C2455" t="inlineStr">
        <is>
          <t>0                      HQ 0767500U  5                  T  73          1990</t>
        </is>
      </c>
      <c r="D2455" t="inlineStr">
        <is>
          <t>Abortion : the clash of absolutes / Laurence H. Tribe.</t>
        </is>
      </c>
      <c r="F2455" t="inlineStr">
        <is>
          <t>No</t>
        </is>
      </c>
      <c r="G2455" t="inlineStr">
        <is>
          <t>1</t>
        </is>
      </c>
      <c r="H2455" t="inlineStr">
        <is>
          <t>Yes</t>
        </is>
      </c>
      <c r="I2455" t="inlineStr">
        <is>
          <t>No</t>
        </is>
      </c>
      <c r="J2455" t="inlineStr">
        <is>
          <t>0</t>
        </is>
      </c>
      <c r="K2455" t="inlineStr">
        <is>
          <t>Tribe, Laurence H.</t>
        </is>
      </c>
      <c r="L2455" t="inlineStr">
        <is>
          <t>New York : Norton, 1990.</t>
        </is>
      </c>
      <c r="M2455" t="inlineStr">
        <is>
          <t>1990</t>
        </is>
      </c>
      <c r="N2455" t="inlineStr">
        <is>
          <t>1st ed.</t>
        </is>
      </c>
      <c r="O2455" t="inlineStr">
        <is>
          <t>eng</t>
        </is>
      </c>
      <c r="P2455" t="inlineStr">
        <is>
          <t>nyu</t>
        </is>
      </c>
      <c r="R2455" t="inlineStr">
        <is>
          <t xml:space="preserve">HQ </t>
        </is>
      </c>
      <c r="S2455" t="n">
        <v>19</v>
      </c>
      <c r="T2455" t="n">
        <v>31</v>
      </c>
      <c r="U2455" t="inlineStr">
        <is>
          <t>2002-10-26</t>
        </is>
      </c>
      <c r="V2455" t="inlineStr">
        <is>
          <t>2009-04-16</t>
        </is>
      </c>
      <c r="W2455" t="inlineStr">
        <is>
          <t>1990-07-27</t>
        </is>
      </c>
      <c r="X2455" t="inlineStr">
        <is>
          <t>1992-01-02</t>
        </is>
      </c>
      <c r="Y2455" t="n">
        <v>2101</v>
      </c>
      <c r="Z2455" t="n">
        <v>1926</v>
      </c>
      <c r="AA2455" t="n">
        <v>2168</v>
      </c>
      <c r="AB2455" t="n">
        <v>16</v>
      </c>
      <c r="AC2455" t="n">
        <v>19</v>
      </c>
      <c r="AD2455" t="n">
        <v>65</v>
      </c>
      <c r="AE2455" t="n">
        <v>74</v>
      </c>
      <c r="AF2455" t="n">
        <v>16</v>
      </c>
      <c r="AG2455" t="n">
        <v>20</v>
      </c>
      <c r="AH2455" t="n">
        <v>8</v>
      </c>
      <c r="AI2455" t="n">
        <v>10</v>
      </c>
      <c r="AJ2455" t="n">
        <v>21</v>
      </c>
      <c r="AK2455" t="n">
        <v>23</v>
      </c>
      <c r="AL2455" t="n">
        <v>7</v>
      </c>
      <c r="AM2455" t="n">
        <v>8</v>
      </c>
      <c r="AN2455" t="n">
        <v>23</v>
      </c>
      <c r="AO2455" t="n">
        <v>24</v>
      </c>
      <c r="AP2455" t="inlineStr">
        <is>
          <t>No</t>
        </is>
      </c>
      <c r="AQ2455" t="inlineStr">
        <is>
          <t>No</t>
        </is>
      </c>
      <c r="AS2455">
        <f>HYPERLINK("https://creighton-primo.hosted.exlibrisgroup.com/primo-explore/search?tab=default_tab&amp;search_scope=EVERYTHING&amp;vid=01CRU&amp;lang=en_US&amp;offset=0&amp;query=any,contains,991001644739702656","Catalog Record")</f>
        <v/>
      </c>
      <c r="AT2455">
        <f>HYPERLINK("http://www.worldcat.org/oclc/21231169","WorldCat Record")</f>
        <v/>
      </c>
      <c r="AU2455" t="inlineStr">
        <is>
          <t>793200388:eng</t>
        </is>
      </c>
      <c r="AV2455" t="inlineStr">
        <is>
          <t>21231169</t>
        </is>
      </c>
      <c r="AW2455" t="inlineStr">
        <is>
          <t>991001644739702656</t>
        </is>
      </c>
      <c r="AX2455" t="inlineStr">
        <is>
          <t>991001644739702656</t>
        </is>
      </c>
      <c r="AY2455" t="inlineStr">
        <is>
          <t>2263023860002656</t>
        </is>
      </c>
      <c r="AZ2455" t="inlineStr">
        <is>
          <t>BOOK</t>
        </is>
      </c>
      <c r="BB2455" t="inlineStr">
        <is>
          <t>9780393028454</t>
        </is>
      </c>
      <c r="BC2455" t="inlineStr">
        <is>
          <t>32285000240811</t>
        </is>
      </c>
      <c r="BD2455" t="inlineStr">
        <is>
          <t>893684457</t>
        </is>
      </c>
    </row>
    <row r="2456">
      <c r="A2456" t="inlineStr">
        <is>
          <t>No</t>
        </is>
      </c>
      <c r="B2456" t="inlineStr">
        <is>
          <t>HQ767.5.U5 U55 1995</t>
        </is>
      </c>
      <c r="C2456" t="inlineStr">
        <is>
          <t>0                      HQ 0767500U  5                  U  55          1995</t>
        </is>
      </c>
      <c r="D2456" t="inlineStr">
        <is>
          <t>Life and learning V : proceedings of the fifth University Faculty for Life Conference June 1995 at Marquette University / edited by Joseph W. Koterski.</t>
        </is>
      </c>
      <c r="F2456" t="inlineStr">
        <is>
          <t>No</t>
        </is>
      </c>
      <c r="G2456" t="inlineStr">
        <is>
          <t>1</t>
        </is>
      </c>
      <c r="H2456" t="inlineStr">
        <is>
          <t>No</t>
        </is>
      </c>
      <c r="I2456" t="inlineStr">
        <is>
          <t>No</t>
        </is>
      </c>
      <c r="J2456" t="inlineStr">
        <is>
          <t>0</t>
        </is>
      </c>
      <c r="K2456" t="inlineStr">
        <is>
          <t>University Faculty for Life. Conference (5th : 1995 : Marquette University)</t>
        </is>
      </c>
      <c r="L2456" t="inlineStr">
        <is>
          <t>Washington, D.C. : University Faculty for Life, c1996.</t>
        </is>
      </c>
      <c r="M2456" t="inlineStr">
        <is>
          <t>1996</t>
        </is>
      </c>
      <c r="O2456" t="inlineStr">
        <is>
          <t>eng</t>
        </is>
      </c>
      <c r="P2456" t="inlineStr">
        <is>
          <t>dcu</t>
        </is>
      </c>
      <c r="R2456" t="inlineStr">
        <is>
          <t xml:space="preserve">HQ </t>
        </is>
      </c>
      <c r="S2456" t="n">
        <v>4</v>
      </c>
      <c r="T2456" t="n">
        <v>4</v>
      </c>
      <c r="U2456" t="inlineStr">
        <is>
          <t>2008-04-06</t>
        </is>
      </c>
      <c r="V2456" t="inlineStr">
        <is>
          <t>2008-04-06</t>
        </is>
      </c>
      <c r="W2456" t="inlineStr">
        <is>
          <t>1996-08-27</t>
        </is>
      </c>
      <c r="X2456" t="inlineStr">
        <is>
          <t>1996-08-27</t>
        </is>
      </c>
      <c r="Y2456" t="n">
        <v>208</v>
      </c>
      <c r="Z2456" t="n">
        <v>208</v>
      </c>
      <c r="AA2456" t="n">
        <v>209</v>
      </c>
      <c r="AB2456" t="n">
        <v>2</v>
      </c>
      <c r="AC2456" t="n">
        <v>2</v>
      </c>
      <c r="AD2456" t="n">
        <v>14</v>
      </c>
      <c r="AE2456" t="n">
        <v>14</v>
      </c>
      <c r="AF2456" t="n">
        <v>7</v>
      </c>
      <c r="AG2456" t="n">
        <v>7</v>
      </c>
      <c r="AH2456" t="n">
        <v>3</v>
      </c>
      <c r="AI2456" t="n">
        <v>3</v>
      </c>
      <c r="AJ2456" t="n">
        <v>6</v>
      </c>
      <c r="AK2456" t="n">
        <v>6</v>
      </c>
      <c r="AL2456" t="n">
        <v>1</v>
      </c>
      <c r="AM2456" t="n">
        <v>1</v>
      </c>
      <c r="AN2456" t="n">
        <v>0</v>
      </c>
      <c r="AO2456" t="n">
        <v>0</v>
      </c>
      <c r="AP2456" t="inlineStr">
        <is>
          <t>No</t>
        </is>
      </c>
      <c r="AQ2456" t="inlineStr">
        <is>
          <t>No</t>
        </is>
      </c>
      <c r="AS2456">
        <f>HYPERLINK("https://creighton-primo.hosted.exlibrisgroup.com/primo-explore/search?tab=default_tab&amp;search_scope=EVERYTHING&amp;vid=01CRU&amp;lang=en_US&amp;offset=0&amp;query=any,contains,991002679439702656","Catalog Record")</f>
        <v/>
      </c>
      <c r="AT2456">
        <f>HYPERLINK("http://www.worldcat.org/oclc/35025675","WorldCat Record")</f>
        <v/>
      </c>
      <c r="AU2456" t="inlineStr">
        <is>
          <t>40170119:eng</t>
        </is>
      </c>
      <c r="AV2456" t="inlineStr">
        <is>
          <t>35025675</t>
        </is>
      </c>
      <c r="AW2456" t="inlineStr">
        <is>
          <t>991002679439702656</t>
        </is>
      </c>
      <c r="AX2456" t="inlineStr">
        <is>
          <t>991002679439702656</t>
        </is>
      </c>
      <c r="AY2456" t="inlineStr">
        <is>
          <t>2265782920002656</t>
        </is>
      </c>
      <c r="AZ2456" t="inlineStr">
        <is>
          <t>BOOK</t>
        </is>
      </c>
      <c r="BB2456" t="inlineStr">
        <is>
          <t>9781886387034</t>
        </is>
      </c>
      <c r="BC2456" t="inlineStr">
        <is>
          <t>32285002292190</t>
        </is>
      </c>
      <c r="BD2456" t="inlineStr">
        <is>
          <t>893262412</t>
        </is>
      </c>
    </row>
    <row r="2457">
      <c r="A2457" t="inlineStr">
        <is>
          <t>No</t>
        </is>
      </c>
      <c r="B2457" t="inlineStr">
        <is>
          <t>HQ767.5.U5 U55 2001</t>
        </is>
      </c>
      <c r="C2457" t="inlineStr">
        <is>
          <t>0                      HQ 0767500U  5                  U  55          2001</t>
        </is>
      </c>
      <c r="D2457" t="inlineStr">
        <is>
          <t>Life and learning XI : proceedings of the eleventh University Faculty for Life conference : June 2001 at St. Joseph's University, Washington, D.C. / edited by Joseph W. Koterski.</t>
        </is>
      </c>
      <c r="F2457" t="inlineStr">
        <is>
          <t>No</t>
        </is>
      </c>
      <c r="G2457" t="inlineStr">
        <is>
          <t>1</t>
        </is>
      </c>
      <c r="H2457" t="inlineStr">
        <is>
          <t>No</t>
        </is>
      </c>
      <c r="I2457" t="inlineStr">
        <is>
          <t>No</t>
        </is>
      </c>
      <c r="J2457" t="inlineStr">
        <is>
          <t>0</t>
        </is>
      </c>
      <c r="K2457" t="inlineStr">
        <is>
          <t>University Faculty for Life. Conference (11th : 2001 : Saint Joseph's University)</t>
        </is>
      </c>
      <c r="L2457" t="inlineStr">
        <is>
          <t>Washington, DC : University Faculty for Life, c2002.</t>
        </is>
      </c>
      <c r="M2457" t="inlineStr">
        <is>
          <t>2002</t>
        </is>
      </c>
      <c r="O2457" t="inlineStr">
        <is>
          <t>eng</t>
        </is>
      </c>
      <c r="P2457" t="inlineStr">
        <is>
          <t>dcu</t>
        </is>
      </c>
      <c r="R2457" t="inlineStr">
        <is>
          <t xml:space="preserve">HQ </t>
        </is>
      </c>
      <c r="S2457" t="n">
        <v>5</v>
      </c>
      <c r="T2457" t="n">
        <v>5</v>
      </c>
      <c r="U2457" t="inlineStr">
        <is>
          <t>2009-11-16</t>
        </is>
      </c>
      <c r="V2457" t="inlineStr">
        <is>
          <t>2009-11-16</t>
        </is>
      </c>
      <c r="W2457" t="inlineStr">
        <is>
          <t>2002-12-11</t>
        </is>
      </c>
      <c r="X2457" t="inlineStr">
        <is>
          <t>2002-12-11</t>
        </is>
      </c>
      <c r="Y2457" t="n">
        <v>149</v>
      </c>
      <c r="Z2457" t="n">
        <v>149</v>
      </c>
      <c r="AA2457" t="n">
        <v>151</v>
      </c>
      <c r="AB2457" t="n">
        <v>1</v>
      </c>
      <c r="AC2457" t="n">
        <v>1</v>
      </c>
      <c r="AD2457" t="n">
        <v>10</v>
      </c>
      <c r="AE2457" t="n">
        <v>10</v>
      </c>
      <c r="AF2457" t="n">
        <v>6</v>
      </c>
      <c r="AG2457" t="n">
        <v>6</v>
      </c>
      <c r="AH2457" t="n">
        <v>2</v>
      </c>
      <c r="AI2457" t="n">
        <v>2</v>
      </c>
      <c r="AJ2457" t="n">
        <v>6</v>
      </c>
      <c r="AK2457" t="n">
        <v>6</v>
      </c>
      <c r="AL2457" t="n">
        <v>0</v>
      </c>
      <c r="AM2457" t="n">
        <v>0</v>
      </c>
      <c r="AN2457" t="n">
        <v>0</v>
      </c>
      <c r="AO2457" t="n">
        <v>0</v>
      </c>
      <c r="AP2457" t="inlineStr">
        <is>
          <t>No</t>
        </is>
      </c>
      <c r="AQ2457" t="inlineStr">
        <is>
          <t>Yes</t>
        </is>
      </c>
      <c r="AR2457">
        <f>HYPERLINK("http://catalog.hathitrust.org/Record/009926625","HathiTrust Record")</f>
        <v/>
      </c>
      <c r="AS2457">
        <f>HYPERLINK("https://creighton-primo.hosted.exlibrisgroup.com/primo-explore/search?tab=default_tab&amp;search_scope=EVERYTHING&amp;vid=01CRU&amp;lang=en_US&amp;offset=0&amp;query=any,contains,991003960429702656","Catalog Record")</f>
        <v/>
      </c>
      <c r="AT2457">
        <f>HYPERLINK("http://www.worldcat.org/oclc/51202715","WorldCat Record")</f>
        <v/>
      </c>
      <c r="AU2457" t="inlineStr">
        <is>
          <t>6882149:eng</t>
        </is>
      </c>
      <c r="AV2457" t="inlineStr">
        <is>
          <t>51202715</t>
        </is>
      </c>
      <c r="AW2457" t="inlineStr">
        <is>
          <t>991003960429702656</t>
        </is>
      </c>
      <c r="AX2457" t="inlineStr">
        <is>
          <t>991003960429702656</t>
        </is>
      </c>
      <c r="AY2457" t="inlineStr">
        <is>
          <t>2269652300002656</t>
        </is>
      </c>
      <c r="AZ2457" t="inlineStr">
        <is>
          <t>BOOK</t>
        </is>
      </c>
      <c r="BC2457" t="inlineStr">
        <is>
          <t>32285004690474</t>
        </is>
      </c>
      <c r="BD2457" t="inlineStr">
        <is>
          <t>893705836</t>
        </is>
      </c>
    </row>
    <row r="2458">
      <c r="A2458" t="inlineStr">
        <is>
          <t>No</t>
        </is>
      </c>
      <c r="B2458" t="inlineStr">
        <is>
          <t>HQ767.5.U5 U55 2006</t>
        </is>
      </c>
      <c r="C2458" t="inlineStr">
        <is>
          <t>0                      HQ 0767500U  5                  U  55          2006</t>
        </is>
      </c>
      <c r="D2458" t="inlineStr">
        <is>
          <t>Life and learning XVI : proceedings of the sixteenth University Faculty for Life conference at Villanova University, 2006 / edited by Joseph W. Koterski.</t>
        </is>
      </c>
      <c r="F2458" t="inlineStr">
        <is>
          <t>No</t>
        </is>
      </c>
      <c r="G2458" t="inlineStr">
        <is>
          <t>1</t>
        </is>
      </c>
      <c r="H2458" t="inlineStr">
        <is>
          <t>No</t>
        </is>
      </c>
      <c r="I2458" t="inlineStr">
        <is>
          <t>No</t>
        </is>
      </c>
      <c r="J2458" t="inlineStr">
        <is>
          <t>0</t>
        </is>
      </c>
      <c r="K2458" t="inlineStr">
        <is>
          <t>University Faculty for Life. Conference (16th : 2006 : Villanova University)</t>
        </is>
      </c>
      <c r="L2458" t="inlineStr">
        <is>
          <t>Washington, D.C. : University Faculty for Life, c2007.</t>
        </is>
      </c>
      <c r="M2458" t="inlineStr">
        <is>
          <t>2007</t>
        </is>
      </c>
      <c r="O2458" t="inlineStr">
        <is>
          <t>eng</t>
        </is>
      </c>
      <c r="P2458" t="inlineStr">
        <is>
          <t>dcu</t>
        </is>
      </c>
      <c r="R2458" t="inlineStr">
        <is>
          <t xml:space="preserve">HQ </t>
        </is>
      </c>
      <c r="S2458" t="n">
        <v>3</v>
      </c>
      <c r="T2458" t="n">
        <v>3</v>
      </c>
      <c r="U2458" t="inlineStr">
        <is>
          <t>2008-12-07</t>
        </is>
      </c>
      <c r="V2458" t="inlineStr">
        <is>
          <t>2008-12-07</t>
        </is>
      </c>
      <c r="W2458" t="inlineStr">
        <is>
          <t>2008-01-09</t>
        </is>
      </c>
      <c r="X2458" t="inlineStr">
        <is>
          <t>2008-01-09</t>
        </is>
      </c>
      <c r="Y2458" t="n">
        <v>184</v>
      </c>
      <c r="Z2458" t="n">
        <v>184</v>
      </c>
      <c r="AA2458" t="n">
        <v>190</v>
      </c>
      <c r="AB2458" t="n">
        <v>1</v>
      </c>
      <c r="AC2458" t="n">
        <v>1</v>
      </c>
      <c r="AD2458" t="n">
        <v>10</v>
      </c>
      <c r="AE2458" t="n">
        <v>10</v>
      </c>
      <c r="AF2458" t="n">
        <v>4</v>
      </c>
      <c r="AG2458" t="n">
        <v>4</v>
      </c>
      <c r="AH2458" t="n">
        <v>4</v>
      </c>
      <c r="AI2458" t="n">
        <v>4</v>
      </c>
      <c r="AJ2458" t="n">
        <v>7</v>
      </c>
      <c r="AK2458" t="n">
        <v>7</v>
      </c>
      <c r="AL2458" t="n">
        <v>0</v>
      </c>
      <c r="AM2458" t="n">
        <v>0</v>
      </c>
      <c r="AN2458" t="n">
        <v>0</v>
      </c>
      <c r="AO2458" t="n">
        <v>0</v>
      </c>
      <c r="AP2458" t="inlineStr">
        <is>
          <t>No</t>
        </is>
      </c>
      <c r="AQ2458" t="inlineStr">
        <is>
          <t>Yes</t>
        </is>
      </c>
      <c r="AR2458">
        <f>HYPERLINK("http://catalog.hathitrust.org/Record/102056794","HathiTrust Record")</f>
        <v/>
      </c>
      <c r="AS2458">
        <f>HYPERLINK("https://creighton-primo.hosted.exlibrisgroup.com/primo-explore/search?tab=default_tab&amp;search_scope=EVERYTHING&amp;vid=01CRU&amp;lang=en_US&amp;offset=0&amp;query=any,contains,991005169349702656","Catalog Record")</f>
        <v/>
      </c>
      <c r="AT2458">
        <f>HYPERLINK("http://www.worldcat.org/oclc/181591876","WorldCat Record")</f>
        <v/>
      </c>
      <c r="AU2458" t="inlineStr">
        <is>
          <t>4242311536:eng</t>
        </is>
      </c>
      <c r="AV2458" t="inlineStr">
        <is>
          <t>181591876</t>
        </is>
      </c>
      <c r="AW2458" t="inlineStr">
        <is>
          <t>991005169349702656</t>
        </is>
      </c>
      <c r="AX2458" t="inlineStr">
        <is>
          <t>991005169349702656</t>
        </is>
      </c>
      <c r="AY2458" t="inlineStr">
        <is>
          <t>2269802910002656</t>
        </is>
      </c>
      <c r="AZ2458" t="inlineStr">
        <is>
          <t>BOOK</t>
        </is>
      </c>
      <c r="BC2458" t="inlineStr">
        <is>
          <t>32285005375901</t>
        </is>
      </c>
      <c r="BD2458" t="inlineStr">
        <is>
          <t>893344749</t>
        </is>
      </c>
    </row>
    <row r="2459">
      <c r="A2459" t="inlineStr">
        <is>
          <t>No</t>
        </is>
      </c>
      <c r="B2459" t="inlineStr">
        <is>
          <t>HQ767.5.U5 W55 1991</t>
        </is>
      </c>
      <c r="C2459" t="inlineStr">
        <is>
          <t>0                      HQ 0767500U  5                  W  55          1991</t>
        </is>
      </c>
      <c r="D2459" t="inlineStr">
        <is>
          <t>Whose life? : a balanced, comprehensive view of abortion from its historical context to the current debate / Catherine Whitney.</t>
        </is>
      </c>
      <c r="F2459" t="inlineStr">
        <is>
          <t>No</t>
        </is>
      </c>
      <c r="G2459" t="inlineStr">
        <is>
          <t>1</t>
        </is>
      </c>
      <c r="H2459" t="inlineStr">
        <is>
          <t>No</t>
        </is>
      </c>
      <c r="I2459" t="inlineStr">
        <is>
          <t>No</t>
        </is>
      </c>
      <c r="J2459" t="inlineStr">
        <is>
          <t>0</t>
        </is>
      </c>
      <c r="K2459" t="inlineStr">
        <is>
          <t>Whitney, Catherine.</t>
        </is>
      </c>
      <c r="L2459" t="inlineStr">
        <is>
          <t>New York, N.Y. : W. Morrow, 1991.</t>
        </is>
      </c>
      <c r="M2459" t="inlineStr">
        <is>
          <t>1991</t>
        </is>
      </c>
      <c r="N2459" t="inlineStr">
        <is>
          <t>1st ed.</t>
        </is>
      </c>
      <c r="O2459" t="inlineStr">
        <is>
          <t>eng</t>
        </is>
      </c>
      <c r="P2459" t="inlineStr">
        <is>
          <t>nyu</t>
        </is>
      </c>
      <c r="R2459" t="inlineStr">
        <is>
          <t xml:space="preserve">HQ </t>
        </is>
      </c>
      <c r="S2459" t="n">
        <v>11</v>
      </c>
      <c r="T2459" t="n">
        <v>11</v>
      </c>
      <c r="U2459" t="inlineStr">
        <is>
          <t>1998-11-08</t>
        </is>
      </c>
      <c r="V2459" t="inlineStr">
        <is>
          <t>1998-11-08</t>
        </is>
      </c>
      <c r="W2459" t="inlineStr">
        <is>
          <t>1991-08-08</t>
        </is>
      </c>
      <c r="X2459" t="inlineStr">
        <is>
          <t>1991-08-08</t>
        </is>
      </c>
      <c r="Y2459" t="n">
        <v>927</v>
      </c>
      <c r="Z2459" t="n">
        <v>882</v>
      </c>
      <c r="AA2459" t="n">
        <v>889</v>
      </c>
      <c r="AB2459" t="n">
        <v>8</v>
      </c>
      <c r="AC2459" t="n">
        <v>8</v>
      </c>
      <c r="AD2459" t="n">
        <v>33</v>
      </c>
      <c r="AE2459" t="n">
        <v>33</v>
      </c>
      <c r="AF2459" t="n">
        <v>9</v>
      </c>
      <c r="AG2459" t="n">
        <v>9</v>
      </c>
      <c r="AH2459" t="n">
        <v>6</v>
      </c>
      <c r="AI2459" t="n">
        <v>6</v>
      </c>
      <c r="AJ2459" t="n">
        <v>9</v>
      </c>
      <c r="AK2459" t="n">
        <v>9</v>
      </c>
      <c r="AL2459" t="n">
        <v>3</v>
      </c>
      <c r="AM2459" t="n">
        <v>3</v>
      </c>
      <c r="AN2459" t="n">
        <v>11</v>
      </c>
      <c r="AO2459" t="n">
        <v>11</v>
      </c>
      <c r="AP2459" t="inlineStr">
        <is>
          <t>No</t>
        </is>
      </c>
      <c r="AQ2459" t="inlineStr">
        <is>
          <t>Yes</t>
        </is>
      </c>
      <c r="AR2459">
        <f>HYPERLINK("http://catalog.hathitrust.org/Record/004498623","HathiTrust Record")</f>
        <v/>
      </c>
      <c r="AS2459">
        <f>HYPERLINK("https://creighton-primo.hosted.exlibrisgroup.com/primo-explore/search?tab=default_tab&amp;search_scope=EVERYTHING&amp;vid=01CRU&amp;lang=en_US&amp;offset=0&amp;query=any,contains,991001804029702656","Catalog Record")</f>
        <v/>
      </c>
      <c r="AT2459">
        <f>HYPERLINK("http://www.worldcat.org/oclc/22665491","WorldCat Record")</f>
        <v/>
      </c>
      <c r="AU2459" t="inlineStr">
        <is>
          <t>473942392:eng</t>
        </is>
      </c>
      <c r="AV2459" t="inlineStr">
        <is>
          <t>22665491</t>
        </is>
      </c>
      <c r="AW2459" t="inlineStr">
        <is>
          <t>991001804029702656</t>
        </is>
      </c>
      <c r="AX2459" t="inlineStr">
        <is>
          <t>991001804029702656</t>
        </is>
      </c>
      <c r="AY2459" t="inlineStr">
        <is>
          <t>2256837070002656</t>
        </is>
      </c>
      <c r="AZ2459" t="inlineStr">
        <is>
          <t>BOOK</t>
        </is>
      </c>
      <c r="BB2459" t="inlineStr">
        <is>
          <t>9780688096229</t>
        </is>
      </c>
      <c r="BC2459" t="inlineStr">
        <is>
          <t>32285000700251</t>
        </is>
      </c>
      <c r="BD2459" t="inlineStr">
        <is>
          <t>893522870</t>
        </is>
      </c>
    </row>
    <row r="2460">
      <c r="A2460" t="inlineStr">
        <is>
          <t>No</t>
        </is>
      </c>
      <c r="B2460" t="inlineStr">
        <is>
          <t>HQ767.5.U5 W65 1988</t>
        </is>
      </c>
      <c r="C2460" t="inlineStr">
        <is>
          <t>0                      HQ 0767500U  5                  W  65          1988</t>
        </is>
      </c>
      <c r="D2460" t="inlineStr">
        <is>
          <t>Women under attack : victories, backlash, and the fight for reproductive freedom / by the Committee for Abortion Rights and Against Sterilization Abuse ; edited by Susan E. Davis.</t>
        </is>
      </c>
      <c r="F2460" t="inlineStr">
        <is>
          <t>No</t>
        </is>
      </c>
      <c r="G2460" t="inlineStr">
        <is>
          <t>1</t>
        </is>
      </c>
      <c r="H2460" t="inlineStr">
        <is>
          <t>No</t>
        </is>
      </c>
      <c r="I2460" t="inlineStr">
        <is>
          <t>No</t>
        </is>
      </c>
      <c r="J2460" t="inlineStr">
        <is>
          <t>0</t>
        </is>
      </c>
      <c r="L2460" t="inlineStr">
        <is>
          <t>Boston, MA : South End Press, c1988.</t>
        </is>
      </c>
      <c r="M2460" t="inlineStr">
        <is>
          <t>1988</t>
        </is>
      </c>
      <c r="N2460" t="inlineStr">
        <is>
          <t>1st ed.</t>
        </is>
      </c>
      <c r="O2460" t="inlineStr">
        <is>
          <t>eng</t>
        </is>
      </c>
      <c r="P2460" t="inlineStr">
        <is>
          <t>mau</t>
        </is>
      </c>
      <c r="Q2460" t="inlineStr">
        <is>
          <t>South End Press pamphlet ; no. 7</t>
        </is>
      </c>
      <c r="R2460" t="inlineStr">
        <is>
          <t xml:space="preserve">HQ </t>
        </is>
      </c>
      <c r="S2460" t="n">
        <v>19</v>
      </c>
      <c r="T2460" t="n">
        <v>19</v>
      </c>
      <c r="U2460" t="inlineStr">
        <is>
          <t>2006-10-23</t>
        </is>
      </c>
      <c r="V2460" t="inlineStr">
        <is>
          <t>2006-10-23</t>
        </is>
      </c>
      <c r="W2460" t="inlineStr">
        <is>
          <t>1991-12-09</t>
        </is>
      </c>
      <c r="X2460" t="inlineStr">
        <is>
          <t>1991-12-09</t>
        </is>
      </c>
      <c r="Y2460" t="n">
        <v>308</v>
      </c>
      <c r="Z2460" t="n">
        <v>272</v>
      </c>
      <c r="AA2460" t="n">
        <v>277</v>
      </c>
      <c r="AB2460" t="n">
        <v>3</v>
      </c>
      <c r="AC2460" t="n">
        <v>3</v>
      </c>
      <c r="AD2460" t="n">
        <v>14</v>
      </c>
      <c r="AE2460" t="n">
        <v>14</v>
      </c>
      <c r="AF2460" t="n">
        <v>5</v>
      </c>
      <c r="AG2460" t="n">
        <v>5</v>
      </c>
      <c r="AH2460" t="n">
        <v>2</v>
      </c>
      <c r="AI2460" t="n">
        <v>2</v>
      </c>
      <c r="AJ2460" t="n">
        <v>4</v>
      </c>
      <c r="AK2460" t="n">
        <v>4</v>
      </c>
      <c r="AL2460" t="n">
        <v>2</v>
      </c>
      <c r="AM2460" t="n">
        <v>2</v>
      </c>
      <c r="AN2460" t="n">
        <v>3</v>
      </c>
      <c r="AO2460" t="n">
        <v>3</v>
      </c>
      <c r="AP2460" t="inlineStr">
        <is>
          <t>No</t>
        </is>
      </c>
      <c r="AQ2460" t="inlineStr">
        <is>
          <t>No</t>
        </is>
      </c>
      <c r="AS2460">
        <f>HYPERLINK("https://creighton-primo.hosted.exlibrisgroup.com/primo-explore/search?tab=default_tab&amp;search_scope=EVERYTHING&amp;vid=01CRU&amp;lang=en_US&amp;offset=0&amp;query=any,contains,991001346049702656","Catalog Record")</f>
        <v/>
      </c>
      <c r="AT2460">
        <f>HYPERLINK("http://www.worldcat.org/oclc/18414234","WorldCat Record")</f>
        <v/>
      </c>
      <c r="AU2460" t="inlineStr">
        <is>
          <t>475773642:eng</t>
        </is>
      </c>
      <c r="AV2460" t="inlineStr">
        <is>
          <t>18414234</t>
        </is>
      </c>
      <c r="AW2460" t="inlineStr">
        <is>
          <t>991001346049702656</t>
        </is>
      </c>
      <c r="AX2460" t="inlineStr">
        <is>
          <t>991001346049702656</t>
        </is>
      </c>
      <c r="AY2460" t="inlineStr">
        <is>
          <t>2256032570002656</t>
        </is>
      </c>
      <c r="AZ2460" t="inlineStr">
        <is>
          <t>BOOK</t>
        </is>
      </c>
      <c r="BB2460" t="inlineStr">
        <is>
          <t>9780896083561</t>
        </is>
      </c>
      <c r="BC2460" t="inlineStr">
        <is>
          <t>32285000872951</t>
        </is>
      </c>
      <c r="BD2460" t="inlineStr">
        <is>
          <t>893702949</t>
        </is>
      </c>
    </row>
    <row r="2461">
      <c r="A2461" t="inlineStr">
        <is>
          <t>No</t>
        </is>
      </c>
      <c r="B2461" t="inlineStr">
        <is>
          <t>HQ767.5.U5 Z55 1977</t>
        </is>
      </c>
      <c r="C2461" t="inlineStr">
        <is>
          <t>0                      HQ 0767500U  5                  Z  55          1977</t>
        </is>
      </c>
      <c r="D2461" t="inlineStr">
        <is>
          <t>Passage through abortion : the personal and social reality of women's experiences / Mary K. Zimmerman ; foreword by Harold Finestone.</t>
        </is>
      </c>
      <c r="F2461" t="inlineStr">
        <is>
          <t>No</t>
        </is>
      </c>
      <c r="G2461" t="inlineStr">
        <is>
          <t>1</t>
        </is>
      </c>
      <c r="H2461" t="inlineStr">
        <is>
          <t>No</t>
        </is>
      </c>
      <c r="I2461" t="inlineStr">
        <is>
          <t>No</t>
        </is>
      </c>
      <c r="J2461" t="inlineStr">
        <is>
          <t>0</t>
        </is>
      </c>
      <c r="K2461" t="inlineStr">
        <is>
          <t>Zimmerman, Mary K.</t>
        </is>
      </c>
      <c r="L2461" t="inlineStr">
        <is>
          <t>New York : Praeger, 1977.</t>
        </is>
      </c>
      <c r="M2461" t="inlineStr">
        <is>
          <t>1977</t>
        </is>
      </c>
      <c r="O2461" t="inlineStr">
        <is>
          <t>eng</t>
        </is>
      </c>
      <c r="P2461" t="inlineStr">
        <is>
          <t>nyu</t>
        </is>
      </c>
      <c r="Q2461" t="inlineStr">
        <is>
          <t>Praeger special studies in U.S. economic, social, and political issues</t>
        </is>
      </c>
      <c r="R2461" t="inlineStr">
        <is>
          <t xml:space="preserve">HQ </t>
        </is>
      </c>
      <c r="S2461" t="n">
        <v>12</v>
      </c>
      <c r="T2461" t="n">
        <v>12</v>
      </c>
      <c r="U2461" t="inlineStr">
        <is>
          <t>1999-04-12</t>
        </is>
      </c>
      <c r="V2461" t="inlineStr">
        <is>
          <t>1999-04-12</t>
        </is>
      </c>
      <c r="W2461" t="inlineStr">
        <is>
          <t>1991-10-29</t>
        </is>
      </c>
      <c r="X2461" t="inlineStr">
        <is>
          <t>1991-10-29</t>
        </is>
      </c>
      <c r="Y2461" t="n">
        <v>510</v>
      </c>
      <c r="Z2461" t="n">
        <v>451</v>
      </c>
      <c r="AA2461" t="n">
        <v>458</v>
      </c>
      <c r="AB2461" t="n">
        <v>3</v>
      </c>
      <c r="AC2461" t="n">
        <v>3</v>
      </c>
      <c r="AD2461" t="n">
        <v>18</v>
      </c>
      <c r="AE2461" t="n">
        <v>18</v>
      </c>
      <c r="AF2461" t="n">
        <v>7</v>
      </c>
      <c r="AG2461" t="n">
        <v>7</v>
      </c>
      <c r="AH2461" t="n">
        <v>4</v>
      </c>
      <c r="AI2461" t="n">
        <v>4</v>
      </c>
      <c r="AJ2461" t="n">
        <v>8</v>
      </c>
      <c r="AK2461" t="n">
        <v>8</v>
      </c>
      <c r="AL2461" t="n">
        <v>2</v>
      </c>
      <c r="AM2461" t="n">
        <v>2</v>
      </c>
      <c r="AN2461" t="n">
        <v>0</v>
      </c>
      <c r="AO2461" t="n">
        <v>0</v>
      </c>
      <c r="AP2461" t="inlineStr">
        <is>
          <t>No</t>
        </is>
      </c>
      <c r="AQ2461" t="inlineStr">
        <is>
          <t>Yes</t>
        </is>
      </c>
      <c r="AR2461">
        <f>HYPERLINK("http://catalog.hathitrust.org/Record/000747324","HathiTrust Record")</f>
        <v/>
      </c>
      <c r="AS2461">
        <f>HYPERLINK("https://creighton-primo.hosted.exlibrisgroup.com/primo-explore/search?tab=default_tab&amp;search_scope=EVERYTHING&amp;vid=01CRU&amp;lang=en_US&amp;offset=0&amp;query=any,contains,991004394759702656","Catalog Record")</f>
        <v/>
      </c>
      <c r="AT2461">
        <f>HYPERLINK("http://www.worldcat.org/oclc/3275394","WorldCat Record")</f>
        <v/>
      </c>
      <c r="AU2461" t="inlineStr">
        <is>
          <t>1027368279:eng</t>
        </is>
      </c>
      <c r="AV2461" t="inlineStr">
        <is>
          <t>3275394</t>
        </is>
      </c>
      <c r="AW2461" t="inlineStr">
        <is>
          <t>991004394759702656</t>
        </is>
      </c>
      <c r="AX2461" t="inlineStr">
        <is>
          <t>991004394759702656</t>
        </is>
      </c>
      <c r="AY2461" t="inlineStr">
        <is>
          <t>2255523990002656</t>
        </is>
      </c>
      <c r="AZ2461" t="inlineStr">
        <is>
          <t>BOOK</t>
        </is>
      </c>
      <c r="BB2461" t="inlineStr">
        <is>
          <t>9780030298165</t>
        </is>
      </c>
      <c r="BC2461" t="inlineStr">
        <is>
          <t>32285000802859</t>
        </is>
      </c>
      <c r="BD2461" t="inlineStr">
        <is>
          <t>893331541</t>
        </is>
      </c>
    </row>
    <row r="2462">
      <c r="A2462" t="inlineStr">
        <is>
          <t>No</t>
        </is>
      </c>
      <c r="B2462" t="inlineStr">
        <is>
          <t>HQ767.85 .C45 1984, v...</t>
        </is>
      </c>
      <c r="C2462" t="inlineStr">
        <is>
          <t>0                      HQ 0767850C  45          1984                                        v...</t>
        </is>
      </c>
      <c r="D2462" t="inlineStr">
        <is>
          <t>Child development research and social policy / edited by Harold W. Stevenson and Alberta E. Siegel.</t>
        </is>
      </c>
      <c r="E2462" t="inlineStr">
        <is>
          <t>V. 1</t>
        </is>
      </c>
      <c r="F2462" t="inlineStr">
        <is>
          <t>No</t>
        </is>
      </c>
      <c r="G2462" t="inlineStr">
        <is>
          <t>1</t>
        </is>
      </c>
      <c r="H2462" t="inlineStr">
        <is>
          <t>No</t>
        </is>
      </c>
      <c r="I2462" t="inlineStr">
        <is>
          <t>No</t>
        </is>
      </c>
      <c r="J2462" t="inlineStr">
        <is>
          <t>0</t>
        </is>
      </c>
      <c r="L2462" t="inlineStr">
        <is>
          <t>Chicago : University of Chicago Press, 1984-</t>
        </is>
      </c>
      <c r="M2462" t="inlineStr">
        <is>
          <t>1984</t>
        </is>
      </c>
      <c r="O2462" t="inlineStr">
        <is>
          <t>eng</t>
        </is>
      </c>
      <c r="P2462" t="inlineStr">
        <is>
          <t>ilu</t>
        </is>
      </c>
      <c r="R2462" t="inlineStr">
        <is>
          <t xml:space="preserve">HQ </t>
        </is>
      </c>
      <c r="S2462" t="n">
        <v>4</v>
      </c>
      <c r="T2462" t="n">
        <v>4</v>
      </c>
      <c r="U2462" t="inlineStr">
        <is>
          <t>1995-06-06</t>
        </is>
      </c>
      <c r="V2462" t="inlineStr">
        <is>
          <t>1995-06-06</t>
        </is>
      </c>
      <c r="W2462" t="inlineStr">
        <is>
          <t>1992-11-10</t>
        </is>
      </c>
      <c r="X2462" t="inlineStr">
        <is>
          <t>1992-11-10</t>
        </is>
      </c>
      <c r="Y2462" t="n">
        <v>382</v>
      </c>
      <c r="Z2462" t="n">
        <v>317</v>
      </c>
      <c r="AA2462" t="n">
        <v>318</v>
      </c>
      <c r="AB2462" t="n">
        <v>4</v>
      </c>
      <c r="AC2462" t="n">
        <v>4</v>
      </c>
      <c r="AD2462" t="n">
        <v>15</v>
      </c>
      <c r="AE2462" t="n">
        <v>15</v>
      </c>
      <c r="AF2462" t="n">
        <v>4</v>
      </c>
      <c r="AG2462" t="n">
        <v>4</v>
      </c>
      <c r="AH2462" t="n">
        <v>4</v>
      </c>
      <c r="AI2462" t="n">
        <v>4</v>
      </c>
      <c r="AJ2462" t="n">
        <v>7</v>
      </c>
      <c r="AK2462" t="n">
        <v>7</v>
      </c>
      <c r="AL2462" t="n">
        <v>3</v>
      </c>
      <c r="AM2462" t="n">
        <v>3</v>
      </c>
      <c r="AN2462" t="n">
        <v>0</v>
      </c>
      <c r="AO2462" t="n">
        <v>0</v>
      </c>
      <c r="AP2462" t="inlineStr">
        <is>
          <t>No</t>
        </is>
      </c>
      <c r="AQ2462" t="inlineStr">
        <is>
          <t>No</t>
        </is>
      </c>
      <c r="AS2462">
        <f>HYPERLINK("https://creighton-primo.hosted.exlibrisgroup.com/primo-explore/search?tab=default_tab&amp;search_scope=EVERYTHING&amp;vid=01CRU&amp;lang=en_US&amp;offset=0&amp;query=any,contains,991000587089702656","Catalog Record")</f>
        <v/>
      </c>
      <c r="AT2462">
        <f>HYPERLINK("http://www.worldcat.org/oclc/11765321","WorldCat Record")</f>
        <v/>
      </c>
      <c r="AU2462" t="inlineStr">
        <is>
          <t>4409287:eng</t>
        </is>
      </c>
      <c r="AV2462" t="inlineStr">
        <is>
          <t>11765321</t>
        </is>
      </c>
      <c r="AW2462" t="inlineStr">
        <is>
          <t>991000587089702656</t>
        </is>
      </c>
      <c r="AX2462" t="inlineStr">
        <is>
          <t>991000587089702656</t>
        </is>
      </c>
      <c r="AY2462" t="inlineStr">
        <is>
          <t>2270147470002656</t>
        </is>
      </c>
      <c r="AZ2462" t="inlineStr">
        <is>
          <t>BOOK</t>
        </is>
      </c>
      <c r="BB2462" t="inlineStr">
        <is>
          <t>9780226773971</t>
        </is>
      </c>
      <c r="BC2462" t="inlineStr">
        <is>
          <t>32285001395242</t>
        </is>
      </c>
      <c r="BD2462" t="inlineStr">
        <is>
          <t>893508917</t>
        </is>
      </c>
    </row>
    <row r="2463">
      <c r="A2463" t="inlineStr">
        <is>
          <t>No</t>
        </is>
      </c>
      <c r="B2463" t="inlineStr">
        <is>
          <t>HQ767.87 .A73 1993</t>
        </is>
      </c>
      <c r="C2463" t="inlineStr">
        <is>
          <t>0                      HQ 0767870A  73          1993</t>
        </is>
      </c>
      <c r="D2463" t="inlineStr">
        <is>
          <t>Children : rights and childhood / David Archard.</t>
        </is>
      </c>
      <c r="F2463" t="inlineStr">
        <is>
          <t>No</t>
        </is>
      </c>
      <c r="G2463" t="inlineStr">
        <is>
          <t>1</t>
        </is>
      </c>
      <c r="H2463" t="inlineStr">
        <is>
          <t>No</t>
        </is>
      </c>
      <c r="I2463" t="inlineStr">
        <is>
          <t>No</t>
        </is>
      </c>
      <c r="J2463" t="inlineStr">
        <is>
          <t>0</t>
        </is>
      </c>
      <c r="K2463" t="inlineStr">
        <is>
          <t>Archard, David.</t>
        </is>
      </c>
      <c r="L2463" t="inlineStr">
        <is>
          <t>London ; New York : Routledge, 1993.</t>
        </is>
      </c>
      <c r="M2463" t="inlineStr">
        <is>
          <t>1993</t>
        </is>
      </c>
      <c r="O2463" t="inlineStr">
        <is>
          <t>eng</t>
        </is>
      </c>
      <c r="P2463" t="inlineStr">
        <is>
          <t>enk</t>
        </is>
      </c>
      <c r="Q2463" t="inlineStr">
        <is>
          <t>Ideas</t>
        </is>
      </c>
      <c r="R2463" t="inlineStr">
        <is>
          <t xml:space="preserve">HQ </t>
        </is>
      </c>
      <c r="S2463" t="n">
        <v>14</v>
      </c>
      <c r="T2463" t="n">
        <v>14</v>
      </c>
      <c r="U2463" t="inlineStr">
        <is>
          <t>2005-03-15</t>
        </is>
      </c>
      <c r="V2463" t="inlineStr">
        <is>
          <t>2005-03-15</t>
        </is>
      </c>
      <c r="W2463" t="inlineStr">
        <is>
          <t>1993-12-30</t>
        </is>
      </c>
      <c r="X2463" t="inlineStr">
        <is>
          <t>1993-12-30</t>
        </is>
      </c>
      <c r="Y2463" t="n">
        <v>496</v>
      </c>
      <c r="Z2463" t="n">
        <v>290</v>
      </c>
      <c r="AA2463" t="n">
        <v>855</v>
      </c>
      <c r="AB2463" t="n">
        <v>3</v>
      </c>
      <c r="AC2463" t="n">
        <v>6</v>
      </c>
      <c r="AD2463" t="n">
        <v>22</v>
      </c>
      <c r="AE2463" t="n">
        <v>36</v>
      </c>
      <c r="AF2463" t="n">
        <v>7</v>
      </c>
      <c r="AG2463" t="n">
        <v>12</v>
      </c>
      <c r="AH2463" t="n">
        <v>3</v>
      </c>
      <c r="AI2463" t="n">
        <v>5</v>
      </c>
      <c r="AJ2463" t="n">
        <v>9</v>
      </c>
      <c r="AK2463" t="n">
        <v>13</v>
      </c>
      <c r="AL2463" t="n">
        <v>2</v>
      </c>
      <c r="AM2463" t="n">
        <v>5</v>
      </c>
      <c r="AN2463" t="n">
        <v>6</v>
      </c>
      <c r="AO2463" t="n">
        <v>9</v>
      </c>
      <c r="AP2463" t="inlineStr">
        <is>
          <t>No</t>
        </is>
      </c>
      <c r="AQ2463" t="inlineStr">
        <is>
          <t>No</t>
        </is>
      </c>
      <c r="AS2463">
        <f>HYPERLINK("https://creighton-primo.hosted.exlibrisgroup.com/primo-explore/search?tab=default_tab&amp;search_scope=EVERYTHING&amp;vid=01CRU&amp;lang=en_US&amp;offset=0&amp;query=any,contains,991005415819702656","Catalog Record")</f>
        <v/>
      </c>
      <c r="AT2463">
        <f>HYPERLINK("http://www.worldcat.org/oclc/26674725","WorldCat Record")</f>
        <v/>
      </c>
      <c r="AU2463" t="inlineStr">
        <is>
          <t>353254156:eng</t>
        </is>
      </c>
      <c r="AV2463" t="inlineStr">
        <is>
          <t>26674725</t>
        </is>
      </c>
      <c r="AW2463" t="inlineStr">
        <is>
          <t>991005415819702656</t>
        </is>
      </c>
      <c r="AX2463" t="inlineStr">
        <is>
          <t>991005415819702656</t>
        </is>
      </c>
      <c r="AY2463" t="inlineStr">
        <is>
          <t>2266990200002656</t>
        </is>
      </c>
      <c r="AZ2463" t="inlineStr">
        <is>
          <t>BOOK</t>
        </is>
      </c>
      <c r="BB2463" t="inlineStr">
        <is>
          <t>9780415082518</t>
        </is>
      </c>
      <c r="BC2463" t="inlineStr">
        <is>
          <t>32285001819118</t>
        </is>
      </c>
      <c r="BD2463" t="inlineStr">
        <is>
          <t>893351241</t>
        </is>
      </c>
    </row>
    <row r="2464">
      <c r="A2464" t="inlineStr">
        <is>
          <t>No</t>
        </is>
      </c>
      <c r="B2464" t="inlineStr">
        <is>
          <t>HQ767.87 .B74 1990</t>
        </is>
      </c>
      <c r="C2464" t="inlineStr">
        <is>
          <t>0                      HQ 0767870B  74          1990</t>
        </is>
      </c>
      <c r="D2464" t="inlineStr">
        <is>
          <t>Slaughter of the innocents : child abuse through the ages and today / Sander J. Breiner.</t>
        </is>
      </c>
      <c r="F2464" t="inlineStr">
        <is>
          <t>No</t>
        </is>
      </c>
      <c r="G2464" t="inlineStr">
        <is>
          <t>1</t>
        </is>
      </c>
      <c r="H2464" t="inlineStr">
        <is>
          <t>No</t>
        </is>
      </c>
      <c r="I2464" t="inlineStr">
        <is>
          <t>No</t>
        </is>
      </c>
      <c r="J2464" t="inlineStr">
        <is>
          <t>0</t>
        </is>
      </c>
      <c r="K2464" t="inlineStr">
        <is>
          <t>Breiner, Sander J.</t>
        </is>
      </c>
      <c r="L2464" t="inlineStr">
        <is>
          <t>New York : Plenum Press, c1990.</t>
        </is>
      </c>
      <c r="M2464" t="inlineStr">
        <is>
          <t>1990</t>
        </is>
      </c>
      <c r="O2464" t="inlineStr">
        <is>
          <t>eng</t>
        </is>
      </c>
      <c r="P2464" t="inlineStr">
        <is>
          <t>nyu</t>
        </is>
      </c>
      <c r="R2464" t="inlineStr">
        <is>
          <t xml:space="preserve">HQ </t>
        </is>
      </c>
      <c r="S2464" t="n">
        <v>14</v>
      </c>
      <c r="T2464" t="n">
        <v>14</v>
      </c>
      <c r="U2464" t="inlineStr">
        <is>
          <t>2004-10-26</t>
        </is>
      </c>
      <c r="V2464" t="inlineStr">
        <is>
          <t>2004-10-26</t>
        </is>
      </c>
      <c r="W2464" t="inlineStr">
        <is>
          <t>1993-08-16</t>
        </is>
      </c>
      <c r="X2464" t="inlineStr">
        <is>
          <t>1993-08-16</t>
        </is>
      </c>
      <c r="Y2464" t="n">
        <v>705</v>
      </c>
      <c r="Z2464" t="n">
        <v>589</v>
      </c>
      <c r="AA2464" t="n">
        <v>612</v>
      </c>
      <c r="AB2464" t="n">
        <v>7</v>
      </c>
      <c r="AC2464" t="n">
        <v>7</v>
      </c>
      <c r="AD2464" t="n">
        <v>29</v>
      </c>
      <c r="AE2464" t="n">
        <v>29</v>
      </c>
      <c r="AF2464" t="n">
        <v>10</v>
      </c>
      <c r="AG2464" t="n">
        <v>10</v>
      </c>
      <c r="AH2464" t="n">
        <v>5</v>
      </c>
      <c r="AI2464" t="n">
        <v>5</v>
      </c>
      <c r="AJ2464" t="n">
        <v>13</v>
      </c>
      <c r="AK2464" t="n">
        <v>13</v>
      </c>
      <c r="AL2464" t="n">
        <v>5</v>
      </c>
      <c r="AM2464" t="n">
        <v>5</v>
      </c>
      <c r="AN2464" t="n">
        <v>2</v>
      </c>
      <c r="AO2464" t="n">
        <v>2</v>
      </c>
      <c r="AP2464" t="inlineStr">
        <is>
          <t>No</t>
        </is>
      </c>
      <c r="AQ2464" t="inlineStr">
        <is>
          <t>Yes</t>
        </is>
      </c>
      <c r="AR2464">
        <f>HYPERLINK("http://catalog.hathitrust.org/Record/001950803","HathiTrust Record")</f>
        <v/>
      </c>
      <c r="AS2464">
        <f>HYPERLINK("https://creighton-primo.hosted.exlibrisgroup.com/primo-explore/search?tab=default_tab&amp;search_scope=EVERYTHING&amp;vid=01CRU&amp;lang=en_US&amp;offset=0&amp;query=any,contains,991001595809702656","Catalog Record")</f>
        <v/>
      </c>
      <c r="AT2464">
        <f>HYPERLINK("http://www.worldcat.org/oclc/20628200","WorldCat Record")</f>
        <v/>
      </c>
      <c r="AU2464" t="inlineStr">
        <is>
          <t>199977586:eng</t>
        </is>
      </c>
      <c r="AV2464" t="inlineStr">
        <is>
          <t>20628200</t>
        </is>
      </c>
      <c r="AW2464" t="inlineStr">
        <is>
          <t>991001595809702656</t>
        </is>
      </c>
      <c r="AX2464" t="inlineStr">
        <is>
          <t>991001595809702656</t>
        </is>
      </c>
      <c r="AY2464" t="inlineStr">
        <is>
          <t>2266263260002656</t>
        </is>
      </c>
      <c r="AZ2464" t="inlineStr">
        <is>
          <t>BOOK</t>
        </is>
      </c>
      <c r="BB2464" t="inlineStr">
        <is>
          <t>9780306434594</t>
        </is>
      </c>
      <c r="BC2464" t="inlineStr">
        <is>
          <t>32285001726693</t>
        </is>
      </c>
      <c r="BD2464" t="inlineStr">
        <is>
          <t>893596562</t>
        </is>
      </c>
    </row>
    <row r="2465">
      <c r="A2465" t="inlineStr">
        <is>
          <t>No</t>
        </is>
      </c>
      <c r="B2465" t="inlineStr">
        <is>
          <t>HQ767.87 .P64 1983</t>
        </is>
      </c>
      <c r="C2465" t="inlineStr">
        <is>
          <t>0                      HQ 0767870P  64          1983</t>
        </is>
      </c>
      <c r="D2465" t="inlineStr">
        <is>
          <t>Forgotten children : parent-child relations from 1500 to 1900 / Linda A. Pollock.</t>
        </is>
      </c>
      <c r="F2465" t="inlineStr">
        <is>
          <t>No</t>
        </is>
      </c>
      <c r="G2465" t="inlineStr">
        <is>
          <t>1</t>
        </is>
      </c>
      <c r="H2465" t="inlineStr">
        <is>
          <t>No</t>
        </is>
      </c>
      <c r="I2465" t="inlineStr">
        <is>
          <t>No</t>
        </is>
      </c>
      <c r="J2465" t="inlineStr">
        <is>
          <t>0</t>
        </is>
      </c>
      <c r="K2465" t="inlineStr">
        <is>
          <t>Pollock, Linda A.</t>
        </is>
      </c>
      <c r="L2465" t="inlineStr">
        <is>
          <t>Cambridge [Cambridgeshire] ; New York : Cambridge University Press, c1983, 1985 printing.</t>
        </is>
      </c>
      <c r="M2465" t="inlineStr">
        <is>
          <t>1983</t>
        </is>
      </c>
      <c r="O2465" t="inlineStr">
        <is>
          <t>eng</t>
        </is>
      </c>
      <c r="P2465" t="inlineStr">
        <is>
          <t>enk</t>
        </is>
      </c>
      <c r="R2465" t="inlineStr">
        <is>
          <t xml:space="preserve">HQ </t>
        </is>
      </c>
      <c r="S2465" t="n">
        <v>9</v>
      </c>
      <c r="T2465" t="n">
        <v>9</v>
      </c>
      <c r="U2465" t="inlineStr">
        <is>
          <t>2004-10-15</t>
        </is>
      </c>
      <c r="V2465" t="inlineStr">
        <is>
          <t>2004-10-15</t>
        </is>
      </c>
      <c r="W2465" t="inlineStr">
        <is>
          <t>1992-11-10</t>
        </is>
      </c>
      <c r="X2465" t="inlineStr">
        <is>
          <t>1992-11-10</t>
        </is>
      </c>
      <c r="Y2465" t="n">
        <v>943</v>
      </c>
      <c r="Z2465" t="n">
        <v>683</v>
      </c>
      <c r="AA2465" t="n">
        <v>693</v>
      </c>
      <c r="AB2465" t="n">
        <v>4</v>
      </c>
      <c r="AC2465" t="n">
        <v>4</v>
      </c>
      <c r="AD2465" t="n">
        <v>37</v>
      </c>
      <c r="AE2465" t="n">
        <v>37</v>
      </c>
      <c r="AF2465" t="n">
        <v>16</v>
      </c>
      <c r="AG2465" t="n">
        <v>16</v>
      </c>
      <c r="AH2465" t="n">
        <v>9</v>
      </c>
      <c r="AI2465" t="n">
        <v>9</v>
      </c>
      <c r="AJ2465" t="n">
        <v>20</v>
      </c>
      <c r="AK2465" t="n">
        <v>20</v>
      </c>
      <c r="AL2465" t="n">
        <v>3</v>
      </c>
      <c r="AM2465" t="n">
        <v>3</v>
      </c>
      <c r="AN2465" t="n">
        <v>0</v>
      </c>
      <c r="AO2465" t="n">
        <v>0</v>
      </c>
      <c r="AP2465" t="inlineStr">
        <is>
          <t>No</t>
        </is>
      </c>
      <c r="AQ2465" t="inlineStr">
        <is>
          <t>No</t>
        </is>
      </c>
      <c r="AS2465">
        <f>HYPERLINK("https://creighton-primo.hosted.exlibrisgroup.com/primo-explore/search?tab=default_tab&amp;search_scope=EVERYTHING&amp;vid=01CRU&amp;lang=en_US&amp;offset=0&amp;query=any,contains,991000196889702656","Catalog Record")</f>
        <v/>
      </c>
      <c r="AT2465">
        <f>HYPERLINK("http://www.worldcat.org/oclc/9441941","WorldCat Record")</f>
        <v/>
      </c>
      <c r="AU2465" t="inlineStr">
        <is>
          <t>45133589:eng</t>
        </is>
      </c>
      <c r="AV2465" t="inlineStr">
        <is>
          <t>9441941</t>
        </is>
      </c>
      <c r="AW2465" t="inlineStr">
        <is>
          <t>991000196889702656</t>
        </is>
      </c>
      <c r="AX2465" t="inlineStr">
        <is>
          <t>991000196889702656</t>
        </is>
      </c>
      <c r="AY2465" t="inlineStr">
        <is>
          <t>2265039830002656</t>
        </is>
      </c>
      <c r="AZ2465" t="inlineStr">
        <is>
          <t>BOOK</t>
        </is>
      </c>
      <c r="BB2465" t="inlineStr">
        <is>
          <t>9780521271332</t>
        </is>
      </c>
      <c r="BC2465" t="inlineStr">
        <is>
          <t>32285001395259</t>
        </is>
      </c>
      <c r="BD2465" t="inlineStr">
        <is>
          <t>893339379</t>
        </is>
      </c>
    </row>
    <row r="2466">
      <c r="A2466" t="inlineStr">
        <is>
          <t>No</t>
        </is>
      </c>
      <c r="B2466" t="inlineStr">
        <is>
          <t>HQ767.87 .S66 1982</t>
        </is>
      </c>
      <c r="C2466" t="inlineStr">
        <is>
          <t>0                      HQ 0767870S  66          1982</t>
        </is>
      </c>
      <c r="D2466" t="inlineStr">
        <is>
          <t>The rise and fall of childhood / C. John Sommerville.</t>
        </is>
      </c>
      <c r="F2466" t="inlineStr">
        <is>
          <t>No</t>
        </is>
      </c>
      <c r="G2466" t="inlineStr">
        <is>
          <t>1</t>
        </is>
      </c>
      <c r="H2466" t="inlineStr">
        <is>
          <t>No</t>
        </is>
      </c>
      <c r="I2466" t="inlineStr">
        <is>
          <t>No</t>
        </is>
      </c>
      <c r="J2466" t="inlineStr">
        <is>
          <t>0</t>
        </is>
      </c>
      <c r="K2466" t="inlineStr">
        <is>
          <t>Sommerville, C. John (Charles John), 1938-</t>
        </is>
      </c>
      <c r="L2466" t="inlineStr">
        <is>
          <t>Beverly Hills, Calif. : Sage Publications, c1982.</t>
        </is>
      </c>
      <c r="M2466" t="inlineStr">
        <is>
          <t>1982</t>
        </is>
      </c>
      <c r="O2466" t="inlineStr">
        <is>
          <t>eng</t>
        </is>
      </c>
      <c r="P2466" t="inlineStr">
        <is>
          <t>cau</t>
        </is>
      </c>
      <c r="Q2466" t="inlineStr">
        <is>
          <t>Sage library of social research ; v. 140</t>
        </is>
      </c>
      <c r="R2466" t="inlineStr">
        <is>
          <t xml:space="preserve">HQ </t>
        </is>
      </c>
      <c r="S2466" t="n">
        <v>14</v>
      </c>
      <c r="T2466" t="n">
        <v>14</v>
      </c>
      <c r="U2466" t="inlineStr">
        <is>
          <t>2005-03-15</t>
        </is>
      </c>
      <c r="V2466" t="inlineStr">
        <is>
          <t>2005-03-15</t>
        </is>
      </c>
      <c r="W2466" t="inlineStr">
        <is>
          <t>1992-11-10</t>
        </is>
      </c>
      <c r="X2466" t="inlineStr">
        <is>
          <t>1992-11-10</t>
        </is>
      </c>
      <c r="Y2466" t="n">
        <v>630</v>
      </c>
      <c r="Z2466" t="n">
        <v>469</v>
      </c>
      <c r="AA2466" t="n">
        <v>590</v>
      </c>
      <c r="AB2466" t="n">
        <v>4</v>
      </c>
      <c r="AC2466" t="n">
        <v>5</v>
      </c>
      <c r="AD2466" t="n">
        <v>18</v>
      </c>
      <c r="AE2466" t="n">
        <v>25</v>
      </c>
      <c r="AF2466" t="n">
        <v>6</v>
      </c>
      <c r="AG2466" t="n">
        <v>9</v>
      </c>
      <c r="AH2466" t="n">
        <v>3</v>
      </c>
      <c r="AI2466" t="n">
        <v>5</v>
      </c>
      <c r="AJ2466" t="n">
        <v>13</v>
      </c>
      <c r="AK2466" t="n">
        <v>15</v>
      </c>
      <c r="AL2466" t="n">
        <v>3</v>
      </c>
      <c r="AM2466" t="n">
        <v>4</v>
      </c>
      <c r="AN2466" t="n">
        <v>0</v>
      </c>
      <c r="AO2466" t="n">
        <v>0</v>
      </c>
      <c r="AP2466" t="inlineStr">
        <is>
          <t>No</t>
        </is>
      </c>
      <c r="AQ2466" t="inlineStr">
        <is>
          <t>No</t>
        </is>
      </c>
      <c r="AS2466">
        <f>HYPERLINK("https://creighton-primo.hosted.exlibrisgroup.com/primo-explore/search?tab=default_tab&amp;search_scope=EVERYTHING&amp;vid=01CRU&amp;lang=en_US&amp;offset=0&amp;query=any,contains,991005394009702656","Catalog Record")</f>
        <v/>
      </c>
      <c r="AT2466">
        <f>HYPERLINK("http://www.worldcat.org/oclc/8195173","WorldCat Record")</f>
        <v/>
      </c>
      <c r="AU2466" t="inlineStr">
        <is>
          <t>457348:eng</t>
        </is>
      </c>
      <c r="AV2466" t="inlineStr">
        <is>
          <t>8195173</t>
        </is>
      </c>
      <c r="AW2466" t="inlineStr">
        <is>
          <t>991005394009702656</t>
        </is>
      </c>
      <c r="AX2466" t="inlineStr">
        <is>
          <t>991005394009702656</t>
        </is>
      </c>
      <c r="AY2466" t="inlineStr">
        <is>
          <t>2268197800002656</t>
        </is>
      </c>
      <c r="AZ2466" t="inlineStr">
        <is>
          <t>BOOK</t>
        </is>
      </c>
      <c r="BB2466" t="inlineStr">
        <is>
          <t>9780803918238</t>
        </is>
      </c>
      <c r="BC2466" t="inlineStr">
        <is>
          <t>32285001395267</t>
        </is>
      </c>
      <c r="BD2466" t="inlineStr">
        <is>
          <t>893871110</t>
        </is>
      </c>
    </row>
    <row r="2467">
      <c r="A2467" t="inlineStr">
        <is>
          <t>No</t>
        </is>
      </c>
      <c r="B2467" t="inlineStr">
        <is>
          <t>HQ767.9 .B73 2000</t>
        </is>
      </c>
      <c r="C2467" t="inlineStr">
        <is>
          <t>0                      HQ 0767900B  73          2000</t>
        </is>
      </c>
      <c r="D2467" t="inlineStr">
        <is>
          <t>The irreducible needs of children : what every child must have to grow, learn, and flourish / T. Berry Brazelton, Stanley I. Greenspan.</t>
        </is>
      </c>
      <c r="F2467" t="inlineStr">
        <is>
          <t>No</t>
        </is>
      </c>
      <c r="G2467" t="inlineStr">
        <is>
          <t>1</t>
        </is>
      </c>
      <c r="H2467" t="inlineStr">
        <is>
          <t>No</t>
        </is>
      </c>
      <c r="I2467" t="inlineStr">
        <is>
          <t>No</t>
        </is>
      </c>
      <c r="J2467" t="inlineStr">
        <is>
          <t>0</t>
        </is>
      </c>
      <c r="K2467" t="inlineStr">
        <is>
          <t>Brazelton, T. Berry, 1918-2018.</t>
        </is>
      </c>
      <c r="L2467" t="inlineStr">
        <is>
          <t>Cambridge, Mass. : Perseus Publishing, c2000.</t>
        </is>
      </c>
      <c r="M2467" t="inlineStr">
        <is>
          <t>2000</t>
        </is>
      </c>
      <c r="O2467" t="inlineStr">
        <is>
          <t>eng</t>
        </is>
      </c>
      <c r="P2467" t="inlineStr">
        <is>
          <t>mau</t>
        </is>
      </c>
      <c r="R2467" t="inlineStr">
        <is>
          <t xml:space="preserve">HQ </t>
        </is>
      </c>
      <c r="S2467" t="n">
        <v>2</v>
      </c>
      <c r="T2467" t="n">
        <v>2</v>
      </c>
      <c r="U2467" t="inlineStr">
        <is>
          <t>2007-08-31</t>
        </is>
      </c>
      <c r="V2467" t="inlineStr">
        <is>
          <t>2007-08-31</t>
        </is>
      </c>
      <c r="W2467" t="inlineStr">
        <is>
          <t>2001-01-09</t>
        </is>
      </c>
      <c r="X2467" t="inlineStr">
        <is>
          <t>2001-01-09</t>
        </is>
      </c>
      <c r="Y2467" t="n">
        <v>1782</v>
      </c>
      <c r="Z2467" t="n">
        <v>1660</v>
      </c>
      <c r="AA2467" t="n">
        <v>1688</v>
      </c>
      <c r="AB2467" t="n">
        <v>17</v>
      </c>
      <c r="AC2467" t="n">
        <v>17</v>
      </c>
      <c r="AD2467" t="n">
        <v>36</v>
      </c>
      <c r="AE2467" t="n">
        <v>36</v>
      </c>
      <c r="AF2467" t="n">
        <v>16</v>
      </c>
      <c r="AG2467" t="n">
        <v>16</v>
      </c>
      <c r="AH2467" t="n">
        <v>5</v>
      </c>
      <c r="AI2467" t="n">
        <v>5</v>
      </c>
      <c r="AJ2467" t="n">
        <v>11</v>
      </c>
      <c r="AK2467" t="n">
        <v>11</v>
      </c>
      <c r="AL2467" t="n">
        <v>9</v>
      </c>
      <c r="AM2467" t="n">
        <v>9</v>
      </c>
      <c r="AN2467" t="n">
        <v>0</v>
      </c>
      <c r="AO2467" t="n">
        <v>0</v>
      </c>
      <c r="AP2467" t="inlineStr">
        <is>
          <t>No</t>
        </is>
      </c>
      <c r="AQ2467" t="inlineStr">
        <is>
          <t>Yes</t>
        </is>
      </c>
      <c r="AR2467">
        <f>HYPERLINK("http://catalog.hathitrust.org/Record/004121004","HathiTrust Record")</f>
        <v/>
      </c>
      <c r="AS2467">
        <f>HYPERLINK("https://creighton-primo.hosted.exlibrisgroup.com/primo-explore/search?tab=default_tab&amp;search_scope=EVERYTHING&amp;vid=01CRU&amp;lang=en_US&amp;offset=0&amp;query=any,contains,991003358669702656","Catalog Record")</f>
        <v/>
      </c>
      <c r="AT2467">
        <f>HYPERLINK("http://www.worldcat.org/oclc/45119842","WorldCat Record")</f>
        <v/>
      </c>
      <c r="AU2467" t="inlineStr">
        <is>
          <t>8169137:eng</t>
        </is>
      </c>
      <c r="AV2467" t="inlineStr">
        <is>
          <t>45119842</t>
        </is>
      </c>
      <c r="AW2467" t="inlineStr">
        <is>
          <t>991003358669702656</t>
        </is>
      </c>
      <c r="AX2467" t="inlineStr">
        <is>
          <t>991003358669702656</t>
        </is>
      </c>
      <c r="AY2467" t="inlineStr">
        <is>
          <t>2264334760002656</t>
        </is>
      </c>
      <c r="AZ2467" t="inlineStr">
        <is>
          <t>BOOK</t>
        </is>
      </c>
      <c r="BB2467" t="inlineStr">
        <is>
          <t>9780738203256</t>
        </is>
      </c>
      <c r="BC2467" t="inlineStr">
        <is>
          <t>32285004281514</t>
        </is>
      </c>
      <c r="BD2467" t="inlineStr">
        <is>
          <t>893246285</t>
        </is>
      </c>
    </row>
    <row r="2468">
      <c r="A2468" t="inlineStr">
        <is>
          <t>No</t>
        </is>
      </c>
      <c r="B2468" t="inlineStr">
        <is>
          <t>HQ767.9 .B87 1986</t>
        </is>
      </c>
      <c r="C2468" t="inlineStr">
        <is>
          <t>0                      HQ 0767900B  87          1986</t>
        </is>
      </c>
      <c r="D2468" t="inlineStr">
        <is>
          <t>Child development : a text for the caring professions / Robert B. Burns.</t>
        </is>
      </c>
      <c r="F2468" t="inlineStr">
        <is>
          <t>No</t>
        </is>
      </c>
      <c r="G2468" t="inlineStr">
        <is>
          <t>1</t>
        </is>
      </c>
      <c r="H2468" t="inlineStr">
        <is>
          <t>No</t>
        </is>
      </c>
      <c r="I2468" t="inlineStr">
        <is>
          <t>No</t>
        </is>
      </c>
      <c r="J2468" t="inlineStr">
        <is>
          <t>0</t>
        </is>
      </c>
      <c r="K2468" t="inlineStr">
        <is>
          <t>Burns, R. B.</t>
        </is>
      </c>
      <c r="L2468" t="inlineStr">
        <is>
          <t>London : Croom Helm ; New York : Nichols Pub. Co., 1986.</t>
        </is>
      </c>
      <c r="M2468" t="inlineStr">
        <is>
          <t>1986</t>
        </is>
      </c>
      <c r="O2468" t="inlineStr">
        <is>
          <t>eng</t>
        </is>
      </c>
      <c r="P2468" t="inlineStr">
        <is>
          <t>enk</t>
        </is>
      </c>
      <c r="R2468" t="inlineStr">
        <is>
          <t xml:space="preserve">HQ </t>
        </is>
      </c>
      <c r="S2468" t="n">
        <v>9</v>
      </c>
      <c r="T2468" t="n">
        <v>9</v>
      </c>
      <c r="U2468" t="inlineStr">
        <is>
          <t>2007-02-25</t>
        </is>
      </c>
      <c r="V2468" t="inlineStr">
        <is>
          <t>2007-02-25</t>
        </is>
      </c>
      <c r="W2468" t="inlineStr">
        <is>
          <t>1992-11-01</t>
        </is>
      </c>
      <c r="X2468" t="inlineStr">
        <is>
          <t>1992-11-01</t>
        </is>
      </c>
      <c r="Y2468" t="n">
        <v>236</v>
      </c>
      <c r="Z2468" t="n">
        <v>148</v>
      </c>
      <c r="AA2468" t="n">
        <v>163</v>
      </c>
      <c r="AB2468" t="n">
        <v>3</v>
      </c>
      <c r="AC2468" t="n">
        <v>3</v>
      </c>
      <c r="AD2468" t="n">
        <v>5</v>
      </c>
      <c r="AE2468" t="n">
        <v>5</v>
      </c>
      <c r="AF2468" t="n">
        <v>1</v>
      </c>
      <c r="AG2468" t="n">
        <v>1</v>
      </c>
      <c r="AH2468" t="n">
        <v>0</v>
      </c>
      <c r="AI2468" t="n">
        <v>0</v>
      </c>
      <c r="AJ2468" t="n">
        <v>3</v>
      </c>
      <c r="AK2468" t="n">
        <v>3</v>
      </c>
      <c r="AL2468" t="n">
        <v>2</v>
      </c>
      <c r="AM2468" t="n">
        <v>2</v>
      </c>
      <c r="AN2468" t="n">
        <v>0</v>
      </c>
      <c r="AO2468" t="n">
        <v>0</v>
      </c>
      <c r="AP2468" t="inlineStr">
        <is>
          <t>No</t>
        </is>
      </c>
      <c r="AQ2468" t="inlineStr">
        <is>
          <t>Yes</t>
        </is>
      </c>
      <c r="AR2468">
        <f>HYPERLINK("http://catalog.hathitrust.org/Record/000662275","HathiTrust Record")</f>
        <v/>
      </c>
      <c r="AS2468">
        <f>HYPERLINK("https://creighton-primo.hosted.exlibrisgroup.com/primo-explore/search?tab=default_tab&amp;search_scope=EVERYTHING&amp;vid=01CRU&amp;lang=en_US&amp;offset=0&amp;query=any,contains,991000714459702656","Catalog Record")</f>
        <v/>
      </c>
      <c r="AT2468">
        <f>HYPERLINK("http://www.worldcat.org/oclc/12585766","WorldCat Record")</f>
        <v/>
      </c>
      <c r="AU2468" t="inlineStr">
        <is>
          <t>375260335:eng</t>
        </is>
      </c>
      <c r="AV2468" t="inlineStr">
        <is>
          <t>12585766</t>
        </is>
      </c>
      <c r="AW2468" t="inlineStr">
        <is>
          <t>991000714459702656</t>
        </is>
      </c>
      <c r="AX2468" t="inlineStr">
        <is>
          <t>991000714459702656</t>
        </is>
      </c>
      <c r="AY2468" t="inlineStr">
        <is>
          <t>2259833580002656</t>
        </is>
      </c>
      <c r="AZ2468" t="inlineStr">
        <is>
          <t>BOOK</t>
        </is>
      </c>
      <c r="BB2468" t="inlineStr">
        <is>
          <t>9780893972363</t>
        </is>
      </c>
      <c r="BC2468" t="inlineStr">
        <is>
          <t>32285001380145</t>
        </is>
      </c>
      <c r="BD2468" t="inlineStr">
        <is>
          <t>893771907</t>
        </is>
      </c>
    </row>
    <row r="2469">
      <c r="A2469" t="inlineStr">
        <is>
          <t>No</t>
        </is>
      </c>
      <c r="B2469" t="inlineStr">
        <is>
          <t>HQ767.9 .C4436 1986</t>
        </is>
      </c>
      <c r="C2469" t="inlineStr">
        <is>
          <t>0                      HQ 0767900C  4436        1986</t>
        </is>
      </c>
      <c r="D2469" t="inlineStr">
        <is>
          <t>Child development and education in Japan / edited by Harold Stevenson, Hiroshi Azuma, Kenji Hakuta.</t>
        </is>
      </c>
      <c r="F2469" t="inlineStr">
        <is>
          <t>No</t>
        </is>
      </c>
      <c r="G2469" t="inlineStr">
        <is>
          <t>1</t>
        </is>
      </c>
      <c r="H2469" t="inlineStr">
        <is>
          <t>No</t>
        </is>
      </c>
      <c r="I2469" t="inlineStr">
        <is>
          <t>No</t>
        </is>
      </c>
      <c r="J2469" t="inlineStr">
        <is>
          <t>0</t>
        </is>
      </c>
      <c r="L2469" t="inlineStr">
        <is>
          <t>New York, N.Y. : W.H. Freeman, c1986.</t>
        </is>
      </c>
      <c r="M2469" t="inlineStr">
        <is>
          <t>1986</t>
        </is>
      </c>
      <c r="O2469" t="inlineStr">
        <is>
          <t>eng</t>
        </is>
      </c>
      <c r="P2469" t="inlineStr">
        <is>
          <t>nyu</t>
        </is>
      </c>
      <c r="Q2469" t="inlineStr">
        <is>
          <t>A Series of books in psychology</t>
        </is>
      </c>
      <c r="R2469" t="inlineStr">
        <is>
          <t xml:space="preserve">HQ </t>
        </is>
      </c>
      <c r="S2469" t="n">
        <v>13</v>
      </c>
      <c r="T2469" t="n">
        <v>13</v>
      </c>
      <c r="U2469" t="inlineStr">
        <is>
          <t>2005-09-04</t>
        </is>
      </c>
      <c r="V2469" t="inlineStr">
        <is>
          <t>2005-09-04</t>
        </is>
      </c>
      <c r="W2469" t="inlineStr">
        <is>
          <t>1995-06-30</t>
        </is>
      </c>
      <c r="X2469" t="inlineStr">
        <is>
          <t>1995-06-30</t>
        </is>
      </c>
      <c r="Y2469" t="n">
        <v>658</v>
      </c>
      <c r="Z2469" t="n">
        <v>538</v>
      </c>
      <c r="AA2469" t="n">
        <v>556</v>
      </c>
      <c r="AB2469" t="n">
        <v>3</v>
      </c>
      <c r="AC2469" t="n">
        <v>3</v>
      </c>
      <c r="AD2469" t="n">
        <v>20</v>
      </c>
      <c r="AE2469" t="n">
        <v>21</v>
      </c>
      <c r="AF2469" t="n">
        <v>7</v>
      </c>
      <c r="AG2469" t="n">
        <v>8</v>
      </c>
      <c r="AH2469" t="n">
        <v>4</v>
      </c>
      <c r="AI2469" t="n">
        <v>4</v>
      </c>
      <c r="AJ2469" t="n">
        <v>13</v>
      </c>
      <c r="AK2469" t="n">
        <v>14</v>
      </c>
      <c r="AL2469" t="n">
        <v>2</v>
      </c>
      <c r="AM2469" t="n">
        <v>2</v>
      </c>
      <c r="AN2469" t="n">
        <v>0</v>
      </c>
      <c r="AO2469" t="n">
        <v>0</v>
      </c>
      <c r="AP2469" t="inlineStr">
        <is>
          <t>No</t>
        </is>
      </c>
      <c r="AQ2469" t="inlineStr">
        <is>
          <t>No</t>
        </is>
      </c>
      <c r="AS2469">
        <f>HYPERLINK("https://creighton-primo.hosted.exlibrisgroup.com/primo-explore/search?tab=default_tab&amp;search_scope=EVERYTHING&amp;vid=01CRU&amp;lang=en_US&amp;offset=0&amp;query=any,contains,991000675179702656","Catalog Record")</f>
        <v/>
      </c>
      <c r="AT2469">
        <f>HYPERLINK("http://www.worldcat.org/oclc/12344434","WorldCat Record")</f>
        <v/>
      </c>
      <c r="AU2469" t="inlineStr">
        <is>
          <t>351348687:eng</t>
        </is>
      </c>
      <c r="AV2469" t="inlineStr">
        <is>
          <t>12344434</t>
        </is>
      </c>
      <c r="AW2469" t="inlineStr">
        <is>
          <t>991000675179702656</t>
        </is>
      </c>
      <c r="AX2469" t="inlineStr">
        <is>
          <t>991000675179702656</t>
        </is>
      </c>
      <c r="AY2469" t="inlineStr">
        <is>
          <t>2265311370002656</t>
        </is>
      </c>
      <c r="AZ2469" t="inlineStr">
        <is>
          <t>BOOK</t>
        </is>
      </c>
      <c r="BB2469" t="inlineStr">
        <is>
          <t>9780716717416</t>
        </is>
      </c>
      <c r="BC2469" t="inlineStr">
        <is>
          <t>32285002021557</t>
        </is>
      </c>
      <c r="BD2469" t="inlineStr">
        <is>
          <t>893413582</t>
        </is>
      </c>
    </row>
    <row r="2470">
      <c r="A2470" t="inlineStr">
        <is>
          <t>No</t>
        </is>
      </c>
      <c r="B2470" t="inlineStr">
        <is>
          <t>HQ767.9 .C4445 1988</t>
        </is>
      </c>
      <c r="C2470" t="inlineStr">
        <is>
          <t>0                      HQ 0767900C  4445        1988</t>
        </is>
      </c>
      <c r="D2470" t="inlineStr">
        <is>
          <t>Child development in life-span perspective / edited by E. Mavis Hetherington, Richard M. Lerner, Marion Perlmutter ; sponsored by the Social Science Research Council.</t>
        </is>
      </c>
      <c r="F2470" t="inlineStr">
        <is>
          <t>No</t>
        </is>
      </c>
      <c r="G2470" t="inlineStr">
        <is>
          <t>1</t>
        </is>
      </c>
      <c r="H2470" t="inlineStr">
        <is>
          <t>No</t>
        </is>
      </c>
      <c r="I2470" t="inlineStr">
        <is>
          <t>No</t>
        </is>
      </c>
      <c r="J2470" t="inlineStr">
        <is>
          <t>0</t>
        </is>
      </c>
      <c r="L2470" t="inlineStr">
        <is>
          <t>Hillsdale, N.J. : Lawrence Erlbaum Associates, 1988.</t>
        </is>
      </c>
      <c r="M2470" t="inlineStr">
        <is>
          <t>1988</t>
        </is>
      </c>
      <c r="O2470" t="inlineStr">
        <is>
          <t>eng</t>
        </is>
      </c>
      <c r="P2470" t="inlineStr">
        <is>
          <t>nju</t>
        </is>
      </c>
      <c r="R2470" t="inlineStr">
        <is>
          <t xml:space="preserve">HQ </t>
        </is>
      </c>
      <c r="S2470" t="n">
        <v>13</v>
      </c>
      <c r="T2470" t="n">
        <v>13</v>
      </c>
      <c r="U2470" t="inlineStr">
        <is>
          <t>2004-07-12</t>
        </is>
      </c>
      <c r="V2470" t="inlineStr">
        <is>
          <t>2004-07-12</t>
        </is>
      </c>
      <c r="W2470" t="inlineStr">
        <is>
          <t>1992-11-10</t>
        </is>
      </c>
      <c r="X2470" t="inlineStr">
        <is>
          <t>1992-11-10</t>
        </is>
      </c>
      <c r="Y2470" t="n">
        <v>348</v>
      </c>
      <c r="Z2470" t="n">
        <v>255</v>
      </c>
      <c r="AA2470" t="n">
        <v>278</v>
      </c>
      <c r="AB2470" t="n">
        <v>4</v>
      </c>
      <c r="AC2470" t="n">
        <v>4</v>
      </c>
      <c r="AD2470" t="n">
        <v>18</v>
      </c>
      <c r="AE2470" t="n">
        <v>18</v>
      </c>
      <c r="AF2470" t="n">
        <v>4</v>
      </c>
      <c r="AG2470" t="n">
        <v>4</v>
      </c>
      <c r="AH2470" t="n">
        <v>4</v>
      </c>
      <c r="AI2470" t="n">
        <v>4</v>
      </c>
      <c r="AJ2470" t="n">
        <v>11</v>
      </c>
      <c r="AK2470" t="n">
        <v>11</v>
      </c>
      <c r="AL2470" t="n">
        <v>3</v>
      </c>
      <c r="AM2470" t="n">
        <v>3</v>
      </c>
      <c r="AN2470" t="n">
        <v>0</v>
      </c>
      <c r="AO2470" t="n">
        <v>0</v>
      </c>
      <c r="AP2470" t="inlineStr">
        <is>
          <t>No</t>
        </is>
      </c>
      <c r="AQ2470" t="inlineStr">
        <is>
          <t>No</t>
        </is>
      </c>
      <c r="AS2470">
        <f>HYPERLINK("https://creighton-primo.hosted.exlibrisgroup.com/primo-explore/search?tab=default_tab&amp;search_scope=EVERYTHING&amp;vid=01CRU&amp;lang=en_US&amp;offset=0&amp;query=any,contains,991001118539702656","Catalog Record")</f>
        <v/>
      </c>
      <c r="AT2470">
        <f>HYPERLINK("http://www.worldcat.org/oclc/16577367","WorldCat Record")</f>
        <v/>
      </c>
      <c r="AU2470" t="inlineStr">
        <is>
          <t>12371094:eng</t>
        </is>
      </c>
      <c r="AV2470" t="inlineStr">
        <is>
          <t>16577367</t>
        </is>
      </c>
      <c r="AW2470" t="inlineStr">
        <is>
          <t>991001118539702656</t>
        </is>
      </c>
      <c r="AX2470" t="inlineStr">
        <is>
          <t>991001118539702656</t>
        </is>
      </c>
      <c r="AY2470" t="inlineStr">
        <is>
          <t>2256075190002656</t>
        </is>
      </c>
      <c r="AZ2470" t="inlineStr">
        <is>
          <t>BOOK</t>
        </is>
      </c>
      <c r="BB2470" t="inlineStr">
        <is>
          <t>9780805801903</t>
        </is>
      </c>
      <c r="BC2470" t="inlineStr">
        <is>
          <t>32285001395283</t>
        </is>
      </c>
      <c r="BD2470" t="inlineStr">
        <is>
          <t>893772331</t>
        </is>
      </c>
    </row>
    <row r="2471">
      <c r="A2471" t="inlineStr">
        <is>
          <t>No</t>
        </is>
      </c>
      <c r="B2471" t="inlineStr">
        <is>
          <t>HQ767.9 .C4455 2002</t>
        </is>
      </c>
      <c r="C2471" t="inlineStr">
        <is>
          <t>0                      HQ 0767900C  4455        2002</t>
        </is>
      </c>
      <c r="D2471" t="inlineStr">
        <is>
          <t>Childhood and its discontents : the first Seamus Heaney lectures / edited by Joseph Dunne and James Kelly ; foreword by Seamus Heaney.</t>
        </is>
      </c>
      <c r="F2471" t="inlineStr">
        <is>
          <t>No</t>
        </is>
      </c>
      <c r="G2471" t="inlineStr">
        <is>
          <t>1</t>
        </is>
      </c>
      <c r="H2471" t="inlineStr">
        <is>
          <t>No</t>
        </is>
      </c>
      <c r="I2471" t="inlineStr">
        <is>
          <t>No</t>
        </is>
      </c>
      <c r="J2471" t="inlineStr">
        <is>
          <t>0</t>
        </is>
      </c>
      <c r="L2471" t="inlineStr">
        <is>
          <t>Dublin : Liffey Press, 2002.</t>
        </is>
      </c>
      <c r="M2471" t="inlineStr">
        <is>
          <t>2002</t>
        </is>
      </c>
      <c r="O2471" t="inlineStr">
        <is>
          <t>eng</t>
        </is>
      </c>
      <c r="P2471" t="inlineStr">
        <is>
          <t xml:space="preserve">ie </t>
        </is>
      </c>
      <c r="R2471" t="inlineStr">
        <is>
          <t xml:space="preserve">HQ </t>
        </is>
      </c>
      <c r="S2471" t="n">
        <v>1</v>
      </c>
      <c r="T2471" t="n">
        <v>1</v>
      </c>
      <c r="U2471" t="inlineStr">
        <is>
          <t>2010-01-07</t>
        </is>
      </c>
      <c r="V2471" t="inlineStr">
        <is>
          <t>2010-01-07</t>
        </is>
      </c>
      <c r="W2471" t="inlineStr">
        <is>
          <t>2005-12-21</t>
        </is>
      </c>
      <c r="X2471" t="inlineStr">
        <is>
          <t>2005-12-21</t>
        </is>
      </c>
      <c r="Y2471" t="n">
        <v>84</v>
      </c>
      <c r="Z2471" t="n">
        <v>68</v>
      </c>
      <c r="AA2471" t="n">
        <v>98</v>
      </c>
      <c r="AB2471" t="n">
        <v>1</v>
      </c>
      <c r="AC2471" t="n">
        <v>1</v>
      </c>
      <c r="AD2471" t="n">
        <v>4</v>
      </c>
      <c r="AE2471" t="n">
        <v>5</v>
      </c>
      <c r="AF2471" t="n">
        <v>0</v>
      </c>
      <c r="AG2471" t="n">
        <v>0</v>
      </c>
      <c r="AH2471" t="n">
        <v>2</v>
      </c>
      <c r="AI2471" t="n">
        <v>3</v>
      </c>
      <c r="AJ2471" t="n">
        <v>3</v>
      </c>
      <c r="AK2471" t="n">
        <v>3</v>
      </c>
      <c r="AL2471" t="n">
        <v>0</v>
      </c>
      <c r="AM2471" t="n">
        <v>0</v>
      </c>
      <c r="AN2471" t="n">
        <v>0</v>
      </c>
      <c r="AO2471" t="n">
        <v>0</v>
      </c>
      <c r="AP2471" t="inlineStr">
        <is>
          <t>No</t>
        </is>
      </c>
      <c r="AQ2471" t="inlineStr">
        <is>
          <t>Yes</t>
        </is>
      </c>
      <c r="AR2471">
        <f>HYPERLINK("http://catalog.hathitrust.org/Record/004329818","HathiTrust Record")</f>
        <v/>
      </c>
      <c r="AS2471">
        <f>HYPERLINK("https://creighton-primo.hosted.exlibrisgroup.com/primo-explore/search?tab=default_tab&amp;search_scope=EVERYTHING&amp;vid=01CRU&amp;lang=en_US&amp;offset=0&amp;query=any,contains,991004702419702656","Catalog Record")</f>
        <v/>
      </c>
      <c r="AT2471">
        <f>HYPERLINK("http://www.worldcat.org/oclc/51107784","WorldCat Record")</f>
        <v/>
      </c>
      <c r="AU2471" t="inlineStr">
        <is>
          <t>839793533:eng</t>
        </is>
      </c>
      <c r="AV2471" t="inlineStr">
        <is>
          <t>51107784</t>
        </is>
      </c>
      <c r="AW2471" t="inlineStr">
        <is>
          <t>991004702419702656</t>
        </is>
      </c>
      <c r="AX2471" t="inlineStr">
        <is>
          <t>991004702419702656</t>
        </is>
      </c>
      <c r="AY2471" t="inlineStr">
        <is>
          <t>2268521750002656</t>
        </is>
      </c>
      <c r="AZ2471" t="inlineStr">
        <is>
          <t>BOOK</t>
        </is>
      </c>
      <c r="BB2471" t="inlineStr">
        <is>
          <t>9781904148173</t>
        </is>
      </c>
      <c r="BC2471" t="inlineStr">
        <is>
          <t>32285005152912</t>
        </is>
      </c>
      <c r="BD2471" t="inlineStr">
        <is>
          <t>893350298</t>
        </is>
      </c>
    </row>
    <row r="2472">
      <c r="A2472" t="inlineStr">
        <is>
          <t>No</t>
        </is>
      </c>
      <c r="B2472" t="inlineStr">
        <is>
          <t>HQ767.9 .C455 1989</t>
        </is>
      </c>
      <c r="C2472" t="inlineStr">
        <is>
          <t>0                      HQ 0767900C  455         1989</t>
        </is>
      </c>
      <c r="D2472" t="inlineStr">
        <is>
          <t>Children, parents, and politics / edited by Geoffrey Scarre.</t>
        </is>
      </c>
      <c r="F2472" t="inlineStr">
        <is>
          <t>No</t>
        </is>
      </c>
      <c r="G2472" t="inlineStr">
        <is>
          <t>1</t>
        </is>
      </c>
      <c r="H2472" t="inlineStr">
        <is>
          <t>No</t>
        </is>
      </c>
      <c r="I2472" t="inlineStr">
        <is>
          <t>No</t>
        </is>
      </c>
      <c r="J2472" t="inlineStr">
        <is>
          <t>0</t>
        </is>
      </c>
      <c r="L2472" t="inlineStr">
        <is>
          <t>Cambridge ; New York : Cambridge University Press, 1989.</t>
        </is>
      </c>
      <c r="M2472" t="inlineStr">
        <is>
          <t>1989</t>
        </is>
      </c>
      <c r="O2472" t="inlineStr">
        <is>
          <t>eng</t>
        </is>
      </c>
      <c r="P2472" t="inlineStr">
        <is>
          <t>enk</t>
        </is>
      </c>
      <c r="R2472" t="inlineStr">
        <is>
          <t xml:space="preserve">HQ </t>
        </is>
      </c>
      <c r="S2472" t="n">
        <v>2</v>
      </c>
      <c r="T2472" t="n">
        <v>2</v>
      </c>
      <c r="U2472" t="inlineStr">
        <is>
          <t>2004-10-15</t>
        </is>
      </c>
      <c r="V2472" t="inlineStr">
        <is>
          <t>2004-10-15</t>
        </is>
      </c>
      <c r="W2472" t="inlineStr">
        <is>
          <t>1989-10-19</t>
        </is>
      </c>
      <c r="X2472" t="inlineStr">
        <is>
          <t>1989-10-19</t>
        </is>
      </c>
      <c r="Y2472" t="n">
        <v>423</v>
      </c>
      <c r="Z2472" t="n">
        <v>267</v>
      </c>
      <c r="AA2472" t="n">
        <v>276</v>
      </c>
      <c r="AB2472" t="n">
        <v>4</v>
      </c>
      <c r="AC2472" t="n">
        <v>4</v>
      </c>
      <c r="AD2472" t="n">
        <v>12</v>
      </c>
      <c r="AE2472" t="n">
        <v>12</v>
      </c>
      <c r="AF2472" t="n">
        <v>1</v>
      </c>
      <c r="AG2472" t="n">
        <v>1</v>
      </c>
      <c r="AH2472" t="n">
        <v>4</v>
      </c>
      <c r="AI2472" t="n">
        <v>4</v>
      </c>
      <c r="AJ2472" t="n">
        <v>6</v>
      </c>
      <c r="AK2472" t="n">
        <v>6</v>
      </c>
      <c r="AL2472" t="n">
        <v>3</v>
      </c>
      <c r="AM2472" t="n">
        <v>3</v>
      </c>
      <c r="AN2472" t="n">
        <v>1</v>
      </c>
      <c r="AO2472" t="n">
        <v>1</v>
      </c>
      <c r="AP2472" t="inlineStr">
        <is>
          <t>No</t>
        </is>
      </c>
      <c r="AQ2472" t="inlineStr">
        <is>
          <t>No</t>
        </is>
      </c>
      <c r="AS2472">
        <f>HYPERLINK("https://creighton-primo.hosted.exlibrisgroup.com/primo-explore/search?tab=default_tab&amp;search_scope=EVERYTHING&amp;vid=01CRU&amp;lang=en_US&amp;offset=0&amp;query=any,contains,991001272979702656","Catalog Record")</f>
        <v/>
      </c>
      <c r="AT2472">
        <f>HYPERLINK("http://www.worldcat.org/oclc/17842464","WorldCat Record")</f>
        <v/>
      </c>
      <c r="AU2472" t="inlineStr">
        <is>
          <t>17000319:eng</t>
        </is>
      </c>
      <c r="AV2472" t="inlineStr">
        <is>
          <t>17842464</t>
        </is>
      </c>
      <c r="AW2472" t="inlineStr">
        <is>
          <t>991001272979702656</t>
        </is>
      </c>
      <c r="AX2472" t="inlineStr">
        <is>
          <t>991001272979702656</t>
        </is>
      </c>
      <c r="AY2472" t="inlineStr">
        <is>
          <t>2260642220002656</t>
        </is>
      </c>
      <c r="AZ2472" t="inlineStr">
        <is>
          <t>BOOK</t>
        </is>
      </c>
      <c r="BB2472" t="inlineStr">
        <is>
          <t>9780521369350</t>
        </is>
      </c>
      <c r="BC2472" t="inlineStr">
        <is>
          <t>32285000000454</t>
        </is>
      </c>
      <c r="BD2472" t="inlineStr">
        <is>
          <t>893516074</t>
        </is>
      </c>
    </row>
    <row r="2473">
      <c r="A2473" t="inlineStr">
        <is>
          <t>No</t>
        </is>
      </c>
      <c r="B2473" t="inlineStr">
        <is>
          <t>HQ767.9 .G47 1977</t>
        </is>
      </c>
      <c r="C2473" t="inlineStr">
        <is>
          <t>0                      HQ 0767900G  47          1977</t>
        </is>
      </c>
      <c r="D2473" t="inlineStr">
        <is>
          <t>The child from five to ten / Arnold Gesell, Frances L. Ilg, and Louise Bates Ames, in collaboration with Glenna E. Bullis.</t>
        </is>
      </c>
      <c r="F2473" t="inlineStr">
        <is>
          <t>No</t>
        </is>
      </c>
      <c r="G2473" t="inlineStr">
        <is>
          <t>1</t>
        </is>
      </c>
      <c r="H2473" t="inlineStr">
        <is>
          <t>No</t>
        </is>
      </c>
      <c r="I2473" t="inlineStr">
        <is>
          <t>Yes</t>
        </is>
      </c>
      <c r="J2473" t="inlineStr">
        <is>
          <t>0</t>
        </is>
      </c>
      <c r="K2473" t="inlineStr">
        <is>
          <t>Gesell, Arnold, 1880-1961.</t>
        </is>
      </c>
      <c r="L2473" t="inlineStr">
        <is>
          <t>New York : Harper &amp; Row, c1977.</t>
        </is>
      </c>
      <c r="M2473" t="inlineStr">
        <is>
          <t>1977</t>
        </is>
      </c>
      <c r="N2473" t="inlineStr">
        <is>
          <t>Rev. ed.</t>
        </is>
      </c>
      <c r="O2473" t="inlineStr">
        <is>
          <t>eng</t>
        </is>
      </c>
      <c r="P2473" t="inlineStr">
        <is>
          <t>nyu</t>
        </is>
      </c>
      <c r="R2473" t="inlineStr">
        <is>
          <t xml:space="preserve">HQ </t>
        </is>
      </c>
      <c r="S2473" t="n">
        <v>2</v>
      </c>
      <c r="T2473" t="n">
        <v>2</v>
      </c>
      <c r="U2473" t="inlineStr">
        <is>
          <t>1999-03-30</t>
        </is>
      </c>
      <c r="V2473" t="inlineStr">
        <is>
          <t>1999-03-30</t>
        </is>
      </c>
      <c r="W2473" t="inlineStr">
        <is>
          <t>1997-08-12</t>
        </is>
      </c>
      <c r="X2473" t="inlineStr">
        <is>
          <t>1997-08-12</t>
        </is>
      </c>
      <c r="Y2473" t="n">
        <v>1222</v>
      </c>
      <c r="Z2473" t="n">
        <v>1076</v>
      </c>
      <c r="AA2473" t="n">
        <v>2032</v>
      </c>
      <c r="AB2473" t="n">
        <v>9</v>
      </c>
      <c r="AC2473" t="n">
        <v>16</v>
      </c>
      <c r="AD2473" t="n">
        <v>22</v>
      </c>
      <c r="AE2473" t="n">
        <v>50</v>
      </c>
      <c r="AF2473" t="n">
        <v>9</v>
      </c>
      <c r="AG2473" t="n">
        <v>20</v>
      </c>
      <c r="AH2473" t="n">
        <v>5</v>
      </c>
      <c r="AI2473" t="n">
        <v>11</v>
      </c>
      <c r="AJ2473" t="n">
        <v>8</v>
      </c>
      <c r="AK2473" t="n">
        <v>21</v>
      </c>
      <c r="AL2473" t="n">
        <v>4</v>
      </c>
      <c r="AM2473" t="n">
        <v>9</v>
      </c>
      <c r="AN2473" t="n">
        <v>0</v>
      </c>
      <c r="AO2473" t="n">
        <v>0</v>
      </c>
      <c r="AP2473" t="inlineStr">
        <is>
          <t>No</t>
        </is>
      </c>
      <c r="AQ2473" t="inlineStr">
        <is>
          <t>Yes</t>
        </is>
      </c>
      <c r="AR2473">
        <f>HYPERLINK("http://catalog.hathitrust.org/Record/000723440","HathiTrust Record")</f>
        <v/>
      </c>
      <c r="AS2473">
        <f>HYPERLINK("https://creighton-primo.hosted.exlibrisgroup.com/primo-explore/search?tab=default_tab&amp;search_scope=EVERYTHING&amp;vid=01CRU&amp;lang=en_US&amp;offset=0&amp;query=any,contains,991004266489702656","Catalog Record")</f>
        <v/>
      </c>
      <c r="AT2473">
        <f>HYPERLINK("http://www.worldcat.org/oclc/2867880","WorldCat Record")</f>
        <v/>
      </c>
      <c r="AU2473" t="inlineStr">
        <is>
          <t>402300:eng</t>
        </is>
      </c>
      <c r="AV2473" t="inlineStr">
        <is>
          <t>2867880</t>
        </is>
      </c>
      <c r="AW2473" t="inlineStr">
        <is>
          <t>991004266489702656</t>
        </is>
      </c>
      <c r="AX2473" t="inlineStr">
        <is>
          <t>991004266489702656</t>
        </is>
      </c>
      <c r="AY2473" t="inlineStr">
        <is>
          <t>2265574490002656</t>
        </is>
      </c>
      <c r="AZ2473" t="inlineStr">
        <is>
          <t>BOOK</t>
        </is>
      </c>
      <c r="BB2473" t="inlineStr">
        <is>
          <t>9780060115012</t>
        </is>
      </c>
      <c r="BC2473" t="inlineStr">
        <is>
          <t>32285003100285</t>
        </is>
      </c>
      <c r="BD2473" t="inlineStr">
        <is>
          <t>893241218</t>
        </is>
      </c>
    </row>
    <row r="2474">
      <c r="A2474" t="inlineStr">
        <is>
          <t>No</t>
        </is>
      </c>
      <c r="B2474" t="inlineStr">
        <is>
          <t>HQ767.9 .H346 2003</t>
        </is>
      </c>
      <c r="C2474" t="inlineStr">
        <is>
          <t>0                      HQ 0767900H  346         2003</t>
        </is>
      </c>
      <c r="D2474" t="inlineStr">
        <is>
          <t>Handbook of applied developmental science : promoting positive child, adolescent, and family development through research, policies, and programs / editors, Richard M. Lerner, Francine Jacobs, Donald Wertlieb.</t>
        </is>
      </c>
      <c r="E2474" t="inlineStr">
        <is>
          <t>V. 3</t>
        </is>
      </c>
      <c r="F2474" t="inlineStr">
        <is>
          <t>Yes</t>
        </is>
      </c>
      <c r="G2474" t="inlineStr">
        <is>
          <t>1</t>
        </is>
      </c>
      <c r="H2474" t="inlineStr">
        <is>
          <t>No</t>
        </is>
      </c>
      <c r="I2474" t="inlineStr">
        <is>
          <t>No</t>
        </is>
      </c>
      <c r="J2474" t="inlineStr">
        <is>
          <t>0</t>
        </is>
      </c>
      <c r="L2474" t="inlineStr">
        <is>
          <t>Thousand Oaks, Calif. : Sage Publications, 2003.</t>
        </is>
      </c>
      <c r="M2474" t="inlineStr">
        <is>
          <t>2003</t>
        </is>
      </c>
      <c r="O2474" t="inlineStr">
        <is>
          <t>eng</t>
        </is>
      </c>
      <c r="P2474" t="inlineStr">
        <is>
          <t>cau</t>
        </is>
      </c>
      <c r="R2474" t="inlineStr">
        <is>
          <t xml:space="preserve">HQ </t>
        </is>
      </c>
      <c r="S2474" t="n">
        <v>1</v>
      </c>
      <c r="T2474" t="n">
        <v>6</v>
      </c>
      <c r="U2474" t="inlineStr">
        <is>
          <t>2003-04-02</t>
        </is>
      </c>
      <c r="V2474" t="inlineStr">
        <is>
          <t>2005-11-14</t>
        </is>
      </c>
      <c r="W2474" t="inlineStr">
        <is>
          <t>2003-04-02</t>
        </is>
      </c>
      <c r="X2474" t="inlineStr">
        <is>
          <t>2003-04-02</t>
        </is>
      </c>
      <c r="Y2474" t="n">
        <v>286</v>
      </c>
      <c r="Z2474" t="n">
        <v>238</v>
      </c>
      <c r="AA2474" t="n">
        <v>311</v>
      </c>
      <c r="AB2474" t="n">
        <v>3</v>
      </c>
      <c r="AC2474" t="n">
        <v>3</v>
      </c>
      <c r="AD2474" t="n">
        <v>11</v>
      </c>
      <c r="AE2474" t="n">
        <v>14</v>
      </c>
      <c r="AF2474" t="n">
        <v>3</v>
      </c>
      <c r="AG2474" t="n">
        <v>5</v>
      </c>
      <c r="AH2474" t="n">
        <v>4</v>
      </c>
      <c r="AI2474" t="n">
        <v>5</v>
      </c>
      <c r="AJ2474" t="n">
        <v>5</v>
      </c>
      <c r="AK2474" t="n">
        <v>6</v>
      </c>
      <c r="AL2474" t="n">
        <v>2</v>
      </c>
      <c r="AM2474" t="n">
        <v>2</v>
      </c>
      <c r="AN2474" t="n">
        <v>0</v>
      </c>
      <c r="AO2474" t="n">
        <v>0</v>
      </c>
      <c r="AP2474" t="inlineStr">
        <is>
          <t>No</t>
        </is>
      </c>
      <c r="AQ2474" t="inlineStr">
        <is>
          <t>Yes</t>
        </is>
      </c>
      <c r="AR2474">
        <f>HYPERLINK("http://catalog.hathitrust.org/Record/004271228","HathiTrust Record")</f>
        <v/>
      </c>
      <c r="AS2474">
        <f>HYPERLINK("https://creighton-primo.hosted.exlibrisgroup.com/primo-explore/search?tab=default_tab&amp;search_scope=EVERYTHING&amp;vid=01CRU&amp;lang=en_US&amp;offset=0&amp;query=any,contains,991003988779702656","Catalog Record")</f>
        <v/>
      </c>
      <c r="AT2474">
        <f>HYPERLINK("http://www.worldcat.org/oclc/50270766","WorldCat Record")</f>
        <v/>
      </c>
      <c r="AU2474" t="inlineStr">
        <is>
          <t>890629587:eng</t>
        </is>
      </c>
      <c r="AV2474" t="inlineStr">
        <is>
          <t>50270766</t>
        </is>
      </c>
      <c r="AW2474" t="inlineStr">
        <is>
          <t>991003988779702656</t>
        </is>
      </c>
      <c r="AX2474" t="inlineStr">
        <is>
          <t>991003988779702656</t>
        </is>
      </c>
      <c r="AY2474" t="inlineStr">
        <is>
          <t>2263895880002656</t>
        </is>
      </c>
      <c r="AZ2474" t="inlineStr">
        <is>
          <t>BOOK</t>
        </is>
      </c>
      <c r="BB2474" t="inlineStr">
        <is>
          <t>9780761922780</t>
        </is>
      </c>
      <c r="BC2474" t="inlineStr">
        <is>
          <t>32285004689336</t>
        </is>
      </c>
      <c r="BD2474" t="inlineStr">
        <is>
          <t>893259183</t>
        </is>
      </c>
    </row>
    <row r="2475">
      <c r="A2475" t="inlineStr">
        <is>
          <t>No</t>
        </is>
      </c>
      <c r="B2475" t="inlineStr">
        <is>
          <t>HQ767.9 .H346 2003</t>
        </is>
      </c>
      <c r="C2475" t="inlineStr">
        <is>
          <t>0                      HQ 0767900H  346         2003</t>
        </is>
      </c>
      <c r="D2475" t="inlineStr">
        <is>
          <t>Handbook of applied developmental science : promoting positive child, adolescent, and family development through research, policies, and programs / editors, Richard M. Lerner, Francine Jacobs, Donald Wertlieb.</t>
        </is>
      </c>
      <c r="E2475" t="inlineStr">
        <is>
          <t>V. 4</t>
        </is>
      </c>
      <c r="F2475" t="inlineStr">
        <is>
          <t>Yes</t>
        </is>
      </c>
      <c r="G2475" t="inlineStr">
        <is>
          <t>1</t>
        </is>
      </c>
      <c r="H2475" t="inlineStr">
        <is>
          <t>No</t>
        </is>
      </c>
      <c r="I2475" t="inlineStr">
        <is>
          <t>No</t>
        </is>
      </c>
      <c r="J2475" t="inlineStr">
        <is>
          <t>0</t>
        </is>
      </c>
      <c r="L2475" t="inlineStr">
        <is>
          <t>Thousand Oaks, Calif. : Sage Publications, 2003.</t>
        </is>
      </c>
      <c r="M2475" t="inlineStr">
        <is>
          <t>2003</t>
        </is>
      </c>
      <c r="O2475" t="inlineStr">
        <is>
          <t>eng</t>
        </is>
      </c>
      <c r="P2475" t="inlineStr">
        <is>
          <t>cau</t>
        </is>
      </c>
      <c r="R2475" t="inlineStr">
        <is>
          <t xml:space="preserve">HQ </t>
        </is>
      </c>
      <c r="S2475" t="n">
        <v>2</v>
      </c>
      <c r="T2475" t="n">
        <v>6</v>
      </c>
      <c r="U2475" t="inlineStr">
        <is>
          <t>2004-03-20</t>
        </is>
      </c>
      <c r="V2475" t="inlineStr">
        <is>
          <t>2005-11-14</t>
        </is>
      </c>
      <c r="W2475" t="inlineStr">
        <is>
          <t>2003-04-02</t>
        </is>
      </c>
      <c r="X2475" t="inlineStr">
        <is>
          <t>2003-04-02</t>
        </is>
      </c>
      <c r="Y2475" t="n">
        <v>286</v>
      </c>
      <c r="Z2475" t="n">
        <v>238</v>
      </c>
      <c r="AA2475" t="n">
        <v>311</v>
      </c>
      <c r="AB2475" t="n">
        <v>3</v>
      </c>
      <c r="AC2475" t="n">
        <v>3</v>
      </c>
      <c r="AD2475" t="n">
        <v>11</v>
      </c>
      <c r="AE2475" t="n">
        <v>14</v>
      </c>
      <c r="AF2475" t="n">
        <v>3</v>
      </c>
      <c r="AG2475" t="n">
        <v>5</v>
      </c>
      <c r="AH2475" t="n">
        <v>4</v>
      </c>
      <c r="AI2475" t="n">
        <v>5</v>
      </c>
      <c r="AJ2475" t="n">
        <v>5</v>
      </c>
      <c r="AK2475" t="n">
        <v>6</v>
      </c>
      <c r="AL2475" t="n">
        <v>2</v>
      </c>
      <c r="AM2475" t="n">
        <v>2</v>
      </c>
      <c r="AN2475" t="n">
        <v>0</v>
      </c>
      <c r="AO2475" t="n">
        <v>0</v>
      </c>
      <c r="AP2475" t="inlineStr">
        <is>
          <t>No</t>
        </is>
      </c>
      <c r="AQ2475" t="inlineStr">
        <is>
          <t>Yes</t>
        </is>
      </c>
      <c r="AR2475">
        <f>HYPERLINK("http://catalog.hathitrust.org/Record/004271228","HathiTrust Record")</f>
        <v/>
      </c>
      <c r="AS2475">
        <f>HYPERLINK("https://creighton-primo.hosted.exlibrisgroup.com/primo-explore/search?tab=default_tab&amp;search_scope=EVERYTHING&amp;vid=01CRU&amp;lang=en_US&amp;offset=0&amp;query=any,contains,991003988779702656","Catalog Record")</f>
        <v/>
      </c>
      <c r="AT2475">
        <f>HYPERLINK("http://www.worldcat.org/oclc/50270766","WorldCat Record")</f>
        <v/>
      </c>
      <c r="AU2475" t="inlineStr">
        <is>
          <t>890629587:eng</t>
        </is>
      </c>
      <c r="AV2475" t="inlineStr">
        <is>
          <t>50270766</t>
        </is>
      </c>
      <c r="AW2475" t="inlineStr">
        <is>
          <t>991003988779702656</t>
        </is>
      </c>
      <c r="AX2475" t="inlineStr">
        <is>
          <t>991003988779702656</t>
        </is>
      </c>
      <c r="AY2475" t="inlineStr">
        <is>
          <t>2263895880002656</t>
        </is>
      </c>
      <c r="AZ2475" t="inlineStr">
        <is>
          <t>BOOK</t>
        </is>
      </c>
      <c r="BB2475" t="inlineStr">
        <is>
          <t>9780761922780</t>
        </is>
      </c>
      <c r="BC2475" t="inlineStr">
        <is>
          <t>32285004689344</t>
        </is>
      </c>
      <c r="BD2475" t="inlineStr">
        <is>
          <t>893228771</t>
        </is>
      </c>
    </row>
    <row r="2476">
      <c r="A2476" t="inlineStr">
        <is>
          <t>No</t>
        </is>
      </c>
      <c r="B2476" t="inlineStr">
        <is>
          <t>HQ767.9 .H346 2003</t>
        </is>
      </c>
      <c r="C2476" t="inlineStr">
        <is>
          <t>0                      HQ 0767900H  346         2003</t>
        </is>
      </c>
      <c r="D2476" t="inlineStr">
        <is>
          <t>Handbook of applied developmental science : promoting positive child, adolescent, and family development through research, policies, and programs / editors, Richard M. Lerner, Francine Jacobs, Donald Wertlieb.</t>
        </is>
      </c>
      <c r="E2476" t="inlineStr">
        <is>
          <t>V. 2</t>
        </is>
      </c>
      <c r="F2476" t="inlineStr">
        <is>
          <t>Yes</t>
        </is>
      </c>
      <c r="G2476" t="inlineStr">
        <is>
          <t>1</t>
        </is>
      </c>
      <c r="H2476" t="inlineStr">
        <is>
          <t>No</t>
        </is>
      </c>
      <c r="I2476" t="inlineStr">
        <is>
          <t>No</t>
        </is>
      </c>
      <c r="J2476" t="inlineStr">
        <is>
          <t>0</t>
        </is>
      </c>
      <c r="L2476" t="inlineStr">
        <is>
          <t>Thousand Oaks, Calif. : Sage Publications, 2003.</t>
        </is>
      </c>
      <c r="M2476" t="inlineStr">
        <is>
          <t>2003</t>
        </is>
      </c>
      <c r="O2476" t="inlineStr">
        <is>
          <t>eng</t>
        </is>
      </c>
      <c r="P2476" t="inlineStr">
        <is>
          <t>cau</t>
        </is>
      </c>
      <c r="R2476" t="inlineStr">
        <is>
          <t xml:space="preserve">HQ </t>
        </is>
      </c>
      <c r="S2476" t="n">
        <v>1</v>
      </c>
      <c r="T2476" t="n">
        <v>6</v>
      </c>
      <c r="U2476" t="inlineStr">
        <is>
          <t>2003-04-02</t>
        </is>
      </c>
      <c r="V2476" t="inlineStr">
        <is>
          <t>2005-11-14</t>
        </is>
      </c>
      <c r="W2476" t="inlineStr">
        <is>
          <t>2003-04-02</t>
        </is>
      </c>
      <c r="X2476" t="inlineStr">
        <is>
          <t>2003-04-02</t>
        </is>
      </c>
      <c r="Y2476" t="n">
        <v>286</v>
      </c>
      <c r="Z2476" t="n">
        <v>238</v>
      </c>
      <c r="AA2476" t="n">
        <v>311</v>
      </c>
      <c r="AB2476" t="n">
        <v>3</v>
      </c>
      <c r="AC2476" t="n">
        <v>3</v>
      </c>
      <c r="AD2476" t="n">
        <v>11</v>
      </c>
      <c r="AE2476" t="n">
        <v>14</v>
      </c>
      <c r="AF2476" t="n">
        <v>3</v>
      </c>
      <c r="AG2476" t="n">
        <v>5</v>
      </c>
      <c r="AH2476" t="n">
        <v>4</v>
      </c>
      <c r="AI2476" t="n">
        <v>5</v>
      </c>
      <c r="AJ2476" t="n">
        <v>5</v>
      </c>
      <c r="AK2476" t="n">
        <v>6</v>
      </c>
      <c r="AL2476" t="n">
        <v>2</v>
      </c>
      <c r="AM2476" t="n">
        <v>2</v>
      </c>
      <c r="AN2476" t="n">
        <v>0</v>
      </c>
      <c r="AO2476" t="n">
        <v>0</v>
      </c>
      <c r="AP2476" t="inlineStr">
        <is>
          <t>No</t>
        </is>
      </c>
      <c r="AQ2476" t="inlineStr">
        <is>
          <t>Yes</t>
        </is>
      </c>
      <c r="AR2476">
        <f>HYPERLINK("http://catalog.hathitrust.org/Record/004271228","HathiTrust Record")</f>
        <v/>
      </c>
      <c r="AS2476">
        <f>HYPERLINK("https://creighton-primo.hosted.exlibrisgroup.com/primo-explore/search?tab=default_tab&amp;search_scope=EVERYTHING&amp;vid=01CRU&amp;lang=en_US&amp;offset=0&amp;query=any,contains,991003988779702656","Catalog Record")</f>
        <v/>
      </c>
      <c r="AT2476">
        <f>HYPERLINK("http://www.worldcat.org/oclc/50270766","WorldCat Record")</f>
        <v/>
      </c>
      <c r="AU2476" t="inlineStr">
        <is>
          <t>890629587:eng</t>
        </is>
      </c>
      <c r="AV2476" t="inlineStr">
        <is>
          <t>50270766</t>
        </is>
      </c>
      <c r="AW2476" t="inlineStr">
        <is>
          <t>991003988779702656</t>
        </is>
      </c>
      <c r="AX2476" t="inlineStr">
        <is>
          <t>991003988779702656</t>
        </is>
      </c>
      <c r="AY2476" t="inlineStr">
        <is>
          <t>2263895880002656</t>
        </is>
      </c>
      <c r="AZ2476" t="inlineStr">
        <is>
          <t>BOOK</t>
        </is>
      </c>
      <c r="BB2476" t="inlineStr">
        <is>
          <t>9780761922780</t>
        </is>
      </c>
      <c r="BC2476" t="inlineStr">
        <is>
          <t>32285004689328</t>
        </is>
      </c>
      <c r="BD2476" t="inlineStr">
        <is>
          <t>893247018</t>
        </is>
      </c>
    </row>
    <row r="2477">
      <c r="A2477" t="inlineStr">
        <is>
          <t>No</t>
        </is>
      </c>
      <c r="B2477" t="inlineStr">
        <is>
          <t>HQ767.9 .H346 2003</t>
        </is>
      </c>
      <c r="C2477" t="inlineStr">
        <is>
          <t>0                      HQ 0767900H  346         2003</t>
        </is>
      </c>
      <c r="D2477" t="inlineStr">
        <is>
          <t>Handbook of applied developmental science : promoting positive child, adolescent, and family development through research, policies, and programs / editors, Richard M. Lerner, Francine Jacobs, Donald Wertlieb.</t>
        </is>
      </c>
      <c r="E2477" t="inlineStr">
        <is>
          <t>V. 1</t>
        </is>
      </c>
      <c r="F2477" t="inlineStr">
        <is>
          <t>Yes</t>
        </is>
      </c>
      <c r="G2477" t="inlineStr">
        <is>
          <t>1</t>
        </is>
      </c>
      <c r="H2477" t="inlineStr">
        <is>
          <t>No</t>
        </is>
      </c>
      <c r="I2477" t="inlineStr">
        <is>
          <t>No</t>
        </is>
      </c>
      <c r="J2477" t="inlineStr">
        <is>
          <t>0</t>
        </is>
      </c>
      <c r="L2477" t="inlineStr">
        <is>
          <t>Thousand Oaks, Calif. : Sage Publications, 2003.</t>
        </is>
      </c>
      <c r="M2477" t="inlineStr">
        <is>
          <t>2003</t>
        </is>
      </c>
      <c r="O2477" t="inlineStr">
        <is>
          <t>eng</t>
        </is>
      </c>
      <c r="P2477" t="inlineStr">
        <is>
          <t>cau</t>
        </is>
      </c>
      <c r="R2477" t="inlineStr">
        <is>
          <t xml:space="preserve">HQ </t>
        </is>
      </c>
      <c r="S2477" t="n">
        <v>2</v>
      </c>
      <c r="T2477" t="n">
        <v>6</v>
      </c>
      <c r="U2477" t="inlineStr">
        <is>
          <t>2005-11-14</t>
        </is>
      </c>
      <c r="V2477" t="inlineStr">
        <is>
          <t>2005-11-14</t>
        </is>
      </c>
      <c r="W2477" t="inlineStr">
        <is>
          <t>2003-04-02</t>
        </is>
      </c>
      <c r="X2477" t="inlineStr">
        <is>
          <t>2003-04-02</t>
        </is>
      </c>
      <c r="Y2477" t="n">
        <v>286</v>
      </c>
      <c r="Z2477" t="n">
        <v>238</v>
      </c>
      <c r="AA2477" t="n">
        <v>311</v>
      </c>
      <c r="AB2477" t="n">
        <v>3</v>
      </c>
      <c r="AC2477" t="n">
        <v>3</v>
      </c>
      <c r="AD2477" t="n">
        <v>11</v>
      </c>
      <c r="AE2477" t="n">
        <v>14</v>
      </c>
      <c r="AF2477" t="n">
        <v>3</v>
      </c>
      <c r="AG2477" t="n">
        <v>5</v>
      </c>
      <c r="AH2477" t="n">
        <v>4</v>
      </c>
      <c r="AI2477" t="n">
        <v>5</v>
      </c>
      <c r="AJ2477" t="n">
        <v>5</v>
      </c>
      <c r="AK2477" t="n">
        <v>6</v>
      </c>
      <c r="AL2477" t="n">
        <v>2</v>
      </c>
      <c r="AM2477" t="n">
        <v>2</v>
      </c>
      <c r="AN2477" t="n">
        <v>0</v>
      </c>
      <c r="AO2477" t="n">
        <v>0</v>
      </c>
      <c r="AP2477" t="inlineStr">
        <is>
          <t>No</t>
        </is>
      </c>
      <c r="AQ2477" t="inlineStr">
        <is>
          <t>Yes</t>
        </is>
      </c>
      <c r="AR2477">
        <f>HYPERLINK("http://catalog.hathitrust.org/Record/004271228","HathiTrust Record")</f>
        <v/>
      </c>
      <c r="AS2477">
        <f>HYPERLINK("https://creighton-primo.hosted.exlibrisgroup.com/primo-explore/search?tab=default_tab&amp;search_scope=EVERYTHING&amp;vid=01CRU&amp;lang=en_US&amp;offset=0&amp;query=any,contains,991003988779702656","Catalog Record")</f>
        <v/>
      </c>
      <c r="AT2477">
        <f>HYPERLINK("http://www.worldcat.org/oclc/50270766","WorldCat Record")</f>
        <v/>
      </c>
      <c r="AU2477" t="inlineStr">
        <is>
          <t>890629587:eng</t>
        </is>
      </c>
      <c r="AV2477" t="inlineStr">
        <is>
          <t>50270766</t>
        </is>
      </c>
      <c r="AW2477" t="inlineStr">
        <is>
          <t>991003988779702656</t>
        </is>
      </c>
      <c r="AX2477" t="inlineStr">
        <is>
          <t>991003988779702656</t>
        </is>
      </c>
      <c r="AY2477" t="inlineStr">
        <is>
          <t>2263895880002656</t>
        </is>
      </c>
      <c r="AZ2477" t="inlineStr">
        <is>
          <t>BOOK</t>
        </is>
      </c>
      <c r="BB2477" t="inlineStr">
        <is>
          <t>9780761922780</t>
        </is>
      </c>
      <c r="BC2477" t="inlineStr">
        <is>
          <t>32285004689310</t>
        </is>
      </c>
      <c r="BD2477" t="inlineStr">
        <is>
          <t>893253109</t>
        </is>
      </c>
    </row>
    <row r="2478">
      <c r="A2478" t="inlineStr">
        <is>
          <t>No</t>
        </is>
      </c>
      <c r="B2478" t="inlineStr">
        <is>
          <t>HQ767.9 .H68 1981</t>
        </is>
      </c>
      <c r="C2478" t="inlineStr">
        <is>
          <t>0                      HQ 0767900H  68          1981</t>
        </is>
      </c>
      <c r="D2478" t="inlineStr">
        <is>
          <t>The child and other cultural inventions : Houston Symposium 4 / edited by Frank S. Kessel, Alexander W. Siegel.</t>
        </is>
      </c>
      <c r="F2478" t="inlineStr">
        <is>
          <t>No</t>
        </is>
      </c>
      <c r="G2478" t="inlineStr">
        <is>
          <t>1</t>
        </is>
      </c>
      <c r="H2478" t="inlineStr">
        <is>
          <t>No</t>
        </is>
      </c>
      <c r="I2478" t="inlineStr">
        <is>
          <t>No</t>
        </is>
      </c>
      <c r="J2478" t="inlineStr">
        <is>
          <t>0</t>
        </is>
      </c>
      <c r="K2478" t="inlineStr">
        <is>
          <t>Houston Symposium (4th : 1981 : University of Houston)</t>
        </is>
      </c>
      <c r="L2478" t="inlineStr">
        <is>
          <t>New York : Praeger, 1983.</t>
        </is>
      </c>
      <c r="M2478" t="inlineStr">
        <is>
          <t>1983</t>
        </is>
      </c>
      <c r="O2478" t="inlineStr">
        <is>
          <t>eng</t>
        </is>
      </c>
      <c r="P2478" t="inlineStr">
        <is>
          <t>nyu</t>
        </is>
      </c>
      <c r="Q2478" t="inlineStr">
        <is>
          <t>Houston symposium series ; v. 4</t>
        </is>
      </c>
      <c r="R2478" t="inlineStr">
        <is>
          <t xml:space="preserve">HQ </t>
        </is>
      </c>
      <c r="S2478" t="n">
        <v>1</v>
      </c>
      <c r="T2478" t="n">
        <v>1</v>
      </c>
      <c r="U2478" t="inlineStr">
        <is>
          <t>1997-11-08</t>
        </is>
      </c>
      <c r="V2478" t="inlineStr">
        <is>
          <t>1997-11-08</t>
        </is>
      </c>
      <c r="W2478" t="inlineStr">
        <is>
          <t>1992-11-10</t>
        </is>
      </c>
      <c r="X2478" t="inlineStr">
        <is>
          <t>1992-11-10</t>
        </is>
      </c>
      <c r="Y2478" t="n">
        <v>244</v>
      </c>
      <c r="Z2478" t="n">
        <v>192</v>
      </c>
      <c r="AA2478" t="n">
        <v>197</v>
      </c>
      <c r="AB2478" t="n">
        <v>3</v>
      </c>
      <c r="AC2478" t="n">
        <v>3</v>
      </c>
      <c r="AD2478" t="n">
        <v>8</v>
      </c>
      <c r="AE2478" t="n">
        <v>8</v>
      </c>
      <c r="AF2478" t="n">
        <v>1</v>
      </c>
      <c r="AG2478" t="n">
        <v>1</v>
      </c>
      <c r="AH2478" t="n">
        <v>2</v>
      </c>
      <c r="AI2478" t="n">
        <v>2</v>
      </c>
      <c r="AJ2478" t="n">
        <v>4</v>
      </c>
      <c r="AK2478" t="n">
        <v>4</v>
      </c>
      <c r="AL2478" t="n">
        <v>2</v>
      </c>
      <c r="AM2478" t="n">
        <v>2</v>
      </c>
      <c r="AN2478" t="n">
        <v>0</v>
      </c>
      <c r="AO2478" t="n">
        <v>0</v>
      </c>
      <c r="AP2478" t="inlineStr">
        <is>
          <t>No</t>
        </is>
      </c>
      <c r="AQ2478" t="inlineStr">
        <is>
          <t>Yes</t>
        </is>
      </c>
      <c r="AR2478">
        <f>HYPERLINK("http://catalog.hathitrust.org/Record/000247579","HathiTrust Record")</f>
        <v/>
      </c>
      <c r="AS2478">
        <f>HYPERLINK("https://creighton-primo.hosted.exlibrisgroup.com/primo-explore/search?tab=default_tab&amp;search_scope=EVERYTHING&amp;vid=01CRU&amp;lang=en_US&amp;offset=0&amp;query=any,contains,991000236229702656","Catalog Record")</f>
        <v/>
      </c>
      <c r="AT2478">
        <f>HYPERLINK("http://www.worldcat.org/oclc/9647182","WorldCat Record")</f>
        <v/>
      </c>
      <c r="AU2478" t="inlineStr">
        <is>
          <t>429782835:eng</t>
        </is>
      </c>
      <c r="AV2478" t="inlineStr">
        <is>
          <t>9647182</t>
        </is>
      </c>
      <c r="AW2478" t="inlineStr">
        <is>
          <t>991000236229702656</t>
        </is>
      </c>
      <c r="AX2478" t="inlineStr">
        <is>
          <t>991000236229702656</t>
        </is>
      </c>
      <c r="AY2478" t="inlineStr">
        <is>
          <t>2270652970002656</t>
        </is>
      </c>
      <c r="AZ2478" t="inlineStr">
        <is>
          <t>BOOK</t>
        </is>
      </c>
      <c r="BB2478" t="inlineStr">
        <is>
          <t>9780030640117</t>
        </is>
      </c>
      <c r="BC2478" t="inlineStr">
        <is>
          <t>32285001395309</t>
        </is>
      </c>
      <c r="BD2478" t="inlineStr">
        <is>
          <t>893871526</t>
        </is>
      </c>
    </row>
    <row r="2479">
      <c r="A2479" t="inlineStr">
        <is>
          <t>No</t>
        </is>
      </c>
      <c r="B2479" t="inlineStr">
        <is>
          <t>HQ767.9 .I55 1996</t>
        </is>
      </c>
      <c r="C2479" t="inlineStr">
        <is>
          <t>0                      HQ 0767900I  55          1996</t>
        </is>
      </c>
      <c r="D2479" t="inlineStr">
        <is>
          <t>Images of childhood / edited by C. Philip Hwang, Michael E. Lamb, Irving E. Sigel.</t>
        </is>
      </c>
      <c r="F2479" t="inlineStr">
        <is>
          <t>No</t>
        </is>
      </c>
      <c r="G2479" t="inlineStr">
        <is>
          <t>1</t>
        </is>
      </c>
      <c r="H2479" t="inlineStr">
        <is>
          <t>No</t>
        </is>
      </c>
      <c r="I2479" t="inlineStr">
        <is>
          <t>No</t>
        </is>
      </c>
      <c r="J2479" t="inlineStr">
        <is>
          <t>0</t>
        </is>
      </c>
      <c r="L2479" t="inlineStr">
        <is>
          <t>Mahwah, NJ : Lawrence Erlbaum Associates, c1996.</t>
        </is>
      </c>
      <c r="M2479" t="inlineStr">
        <is>
          <t>1996</t>
        </is>
      </c>
      <c r="O2479" t="inlineStr">
        <is>
          <t>eng</t>
        </is>
      </c>
      <c r="P2479" t="inlineStr">
        <is>
          <t>nju</t>
        </is>
      </c>
      <c r="R2479" t="inlineStr">
        <is>
          <t xml:space="preserve">HQ </t>
        </is>
      </c>
      <c r="S2479" t="n">
        <v>14</v>
      </c>
      <c r="T2479" t="n">
        <v>14</v>
      </c>
      <c r="U2479" t="inlineStr">
        <is>
          <t>2005-09-11</t>
        </is>
      </c>
      <c r="V2479" t="inlineStr">
        <is>
          <t>2005-09-11</t>
        </is>
      </c>
      <c r="W2479" t="inlineStr">
        <is>
          <t>1996-09-26</t>
        </is>
      </c>
      <c r="X2479" t="inlineStr">
        <is>
          <t>1996-09-26</t>
        </is>
      </c>
      <c r="Y2479" t="n">
        <v>318</v>
      </c>
      <c r="Z2479" t="n">
        <v>245</v>
      </c>
      <c r="AA2479" t="n">
        <v>264</v>
      </c>
      <c r="AB2479" t="n">
        <v>3</v>
      </c>
      <c r="AC2479" t="n">
        <v>3</v>
      </c>
      <c r="AD2479" t="n">
        <v>16</v>
      </c>
      <c r="AE2479" t="n">
        <v>16</v>
      </c>
      <c r="AF2479" t="n">
        <v>5</v>
      </c>
      <c r="AG2479" t="n">
        <v>5</v>
      </c>
      <c r="AH2479" t="n">
        <v>4</v>
      </c>
      <c r="AI2479" t="n">
        <v>4</v>
      </c>
      <c r="AJ2479" t="n">
        <v>10</v>
      </c>
      <c r="AK2479" t="n">
        <v>10</v>
      </c>
      <c r="AL2479" t="n">
        <v>2</v>
      </c>
      <c r="AM2479" t="n">
        <v>2</v>
      </c>
      <c r="AN2479" t="n">
        <v>0</v>
      </c>
      <c r="AO2479" t="n">
        <v>0</v>
      </c>
      <c r="AP2479" t="inlineStr">
        <is>
          <t>No</t>
        </is>
      </c>
      <c r="AQ2479" t="inlineStr">
        <is>
          <t>Yes</t>
        </is>
      </c>
      <c r="AR2479">
        <f>HYPERLINK("http://catalog.hathitrust.org/Record/003073438","HathiTrust Record")</f>
        <v/>
      </c>
      <c r="AS2479">
        <f>HYPERLINK("https://creighton-primo.hosted.exlibrisgroup.com/primo-explore/search?tab=default_tab&amp;search_scope=EVERYTHING&amp;vid=01CRU&amp;lang=en_US&amp;offset=0&amp;query=any,contains,991005422979702656","Catalog Record")</f>
        <v/>
      </c>
      <c r="AT2479">
        <f>HYPERLINK("http://www.worldcat.org/oclc/33971421","WorldCat Record")</f>
        <v/>
      </c>
      <c r="AU2479" t="inlineStr">
        <is>
          <t>350072046:eng</t>
        </is>
      </c>
      <c r="AV2479" t="inlineStr">
        <is>
          <t>33971421</t>
        </is>
      </c>
      <c r="AW2479" t="inlineStr">
        <is>
          <t>991005422979702656</t>
        </is>
      </c>
      <c r="AX2479" t="inlineStr">
        <is>
          <t>991005422979702656</t>
        </is>
      </c>
      <c r="AY2479" t="inlineStr">
        <is>
          <t>2264349450002656</t>
        </is>
      </c>
      <c r="AZ2479" t="inlineStr">
        <is>
          <t>BOOK</t>
        </is>
      </c>
      <c r="BB2479" t="inlineStr">
        <is>
          <t>9780805817010</t>
        </is>
      </c>
      <c r="BC2479" t="inlineStr">
        <is>
          <t>32285002320066</t>
        </is>
      </c>
      <c r="BD2479" t="inlineStr">
        <is>
          <t>893707902</t>
        </is>
      </c>
    </row>
    <row r="2480">
      <c r="A2480" t="inlineStr">
        <is>
          <t>No</t>
        </is>
      </c>
      <c r="B2480" t="inlineStr">
        <is>
          <t>HQ767.9 .L65</t>
        </is>
      </c>
      <c r="C2480" t="inlineStr">
        <is>
          <t>0                      HQ 0767900L  65</t>
        </is>
      </c>
      <c r="D2480" t="inlineStr">
        <is>
          <t>Science and patterns of child care / Elizabeth M. R. Lomax, in collaboration with Jerome Kagan, Barbara G. Rosenkrantz.</t>
        </is>
      </c>
      <c r="F2480" t="inlineStr">
        <is>
          <t>No</t>
        </is>
      </c>
      <c r="G2480" t="inlineStr">
        <is>
          <t>1</t>
        </is>
      </c>
      <c r="H2480" t="inlineStr">
        <is>
          <t>No</t>
        </is>
      </c>
      <c r="I2480" t="inlineStr">
        <is>
          <t>No</t>
        </is>
      </c>
      <c r="J2480" t="inlineStr">
        <is>
          <t>0</t>
        </is>
      </c>
      <c r="K2480" t="inlineStr">
        <is>
          <t>Lomax, Elizabeth M. R.</t>
        </is>
      </c>
      <c r="L2480" t="inlineStr">
        <is>
          <t>San Francisco : W. H. Freeman, c1978.</t>
        </is>
      </c>
      <c r="M2480" t="inlineStr">
        <is>
          <t>1978</t>
        </is>
      </c>
      <c r="O2480" t="inlineStr">
        <is>
          <t>eng</t>
        </is>
      </c>
      <c r="P2480" t="inlineStr">
        <is>
          <t>cau</t>
        </is>
      </c>
      <c r="Q2480" t="inlineStr">
        <is>
          <t>A Series of books in psychology</t>
        </is>
      </c>
      <c r="R2480" t="inlineStr">
        <is>
          <t xml:space="preserve">HQ </t>
        </is>
      </c>
      <c r="S2480" t="n">
        <v>6</v>
      </c>
      <c r="T2480" t="n">
        <v>6</v>
      </c>
      <c r="U2480" t="inlineStr">
        <is>
          <t>1999-09-25</t>
        </is>
      </c>
      <c r="V2480" t="inlineStr">
        <is>
          <t>1999-09-25</t>
        </is>
      </c>
      <c r="W2480" t="inlineStr">
        <is>
          <t>1992-11-10</t>
        </is>
      </c>
      <c r="X2480" t="inlineStr">
        <is>
          <t>1992-11-10</t>
        </is>
      </c>
      <c r="Y2480" t="n">
        <v>679</v>
      </c>
      <c r="Z2480" t="n">
        <v>559</v>
      </c>
      <c r="AA2480" t="n">
        <v>565</v>
      </c>
      <c r="AB2480" t="n">
        <v>5</v>
      </c>
      <c r="AC2480" t="n">
        <v>5</v>
      </c>
      <c r="AD2480" t="n">
        <v>23</v>
      </c>
      <c r="AE2480" t="n">
        <v>23</v>
      </c>
      <c r="AF2480" t="n">
        <v>11</v>
      </c>
      <c r="AG2480" t="n">
        <v>11</v>
      </c>
      <c r="AH2480" t="n">
        <v>6</v>
      </c>
      <c r="AI2480" t="n">
        <v>6</v>
      </c>
      <c r="AJ2480" t="n">
        <v>10</v>
      </c>
      <c r="AK2480" t="n">
        <v>10</v>
      </c>
      <c r="AL2480" t="n">
        <v>3</v>
      </c>
      <c r="AM2480" t="n">
        <v>3</v>
      </c>
      <c r="AN2480" t="n">
        <v>0</v>
      </c>
      <c r="AO2480" t="n">
        <v>0</v>
      </c>
      <c r="AP2480" t="inlineStr">
        <is>
          <t>No</t>
        </is>
      </c>
      <c r="AQ2480" t="inlineStr">
        <is>
          <t>No</t>
        </is>
      </c>
      <c r="AS2480">
        <f>HYPERLINK("https://creighton-primo.hosted.exlibrisgroup.com/primo-explore/search?tab=default_tab&amp;search_scope=EVERYTHING&amp;vid=01CRU&amp;lang=en_US&amp;offset=0&amp;query=any,contains,991004512259702656","Catalog Record")</f>
        <v/>
      </c>
      <c r="AT2480">
        <f>HYPERLINK("http://www.worldcat.org/oclc/3770825","WorldCat Record")</f>
        <v/>
      </c>
      <c r="AU2480" t="inlineStr">
        <is>
          <t>12220656:eng</t>
        </is>
      </c>
      <c r="AV2480" t="inlineStr">
        <is>
          <t>3770825</t>
        </is>
      </c>
      <c r="AW2480" t="inlineStr">
        <is>
          <t>991004512259702656</t>
        </is>
      </c>
      <c r="AX2480" t="inlineStr">
        <is>
          <t>991004512259702656</t>
        </is>
      </c>
      <c r="AY2480" t="inlineStr">
        <is>
          <t>2260879220002656</t>
        </is>
      </c>
      <c r="AZ2480" t="inlineStr">
        <is>
          <t>BOOK</t>
        </is>
      </c>
      <c r="BB2480" t="inlineStr">
        <is>
          <t>9780716702962</t>
        </is>
      </c>
      <c r="BC2480" t="inlineStr">
        <is>
          <t>32285001395317</t>
        </is>
      </c>
      <c r="BD2480" t="inlineStr">
        <is>
          <t>893694023</t>
        </is>
      </c>
    </row>
    <row r="2481">
      <c r="A2481" t="inlineStr">
        <is>
          <t>No</t>
        </is>
      </c>
      <c r="B2481" t="inlineStr">
        <is>
          <t>HQ767.9 .N295 1990</t>
        </is>
      </c>
      <c r="C2481" t="inlineStr">
        <is>
          <t>0                      HQ 0767900N  295         1990</t>
        </is>
      </c>
      <c r="D2481" t="inlineStr">
        <is>
          <t>Making decisions about children : psychological questions and answers / H. Rudolph Schaffer.</t>
        </is>
      </c>
      <c r="F2481" t="inlineStr">
        <is>
          <t>No</t>
        </is>
      </c>
      <c r="G2481" t="inlineStr">
        <is>
          <t>1</t>
        </is>
      </c>
      <c r="H2481" t="inlineStr">
        <is>
          <t>No</t>
        </is>
      </c>
      <c r="I2481" t="inlineStr">
        <is>
          <t>No</t>
        </is>
      </c>
      <c r="J2481" t="inlineStr">
        <is>
          <t>0</t>
        </is>
      </c>
      <c r="K2481" t="inlineStr">
        <is>
          <t>Schaffer, H. Rudolph.</t>
        </is>
      </c>
      <c r="L2481" t="inlineStr">
        <is>
          <t>Oxford, UK ; Cambridge, Mass., USA : Blackwell, 1990.</t>
        </is>
      </c>
      <c r="M2481" t="inlineStr">
        <is>
          <t>1990</t>
        </is>
      </c>
      <c r="O2481" t="inlineStr">
        <is>
          <t>eng</t>
        </is>
      </c>
      <c r="P2481" t="inlineStr">
        <is>
          <t>enk</t>
        </is>
      </c>
      <c r="Q2481" t="inlineStr">
        <is>
          <t>Understanding children's worlds</t>
        </is>
      </c>
      <c r="R2481" t="inlineStr">
        <is>
          <t xml:space="preserve">HQ </t>
        </is>
      </c>
      <c r="S2481" t="n">
        <v>7</v>
      </c>
      <c r="T2481" t="n">
        <v>7</v>
      </c>
      <c r="U2481" t="inlineStr">
        <is>
          <t>2000-03-18</t>
        </is>
      </c>
      <c r="V2481" t="inlineStr">
        <is>
          <t>2000-03-18</t>
        </is>
      </c>
      <c r="W2481" t="inlineStr">
        <is>
          <t>1991-02-08</t>
        </is>
      </c>
      <c r="X2481" t="inlineStr">
        <is>
          <t>1991-02-08</t>
        </is>
      </c>
      <c r="Y2481" t="n">
        <v>567</v>
      </c>
      <c r="Z2481" t="n">
        <v>382</v>
      </c>
      <c r="AA2481" t="n">
        <v>1062</v>
      </c>
      <c r="AB2481" t="n">
        <v>4</v>
      </c>
      <c r="AC2481" t="n">
        <v>4</v>
      </c>
      <c r="AD2481" t="n">
        <v>18</v>
      </c>
      <c r="AE2481" t="n">
        <v>26</v>
      </c>
      <c r="AF2481" t="n">
        <v>4</v>
      </c>
      <c r="AG2481" t="n">
        <v>9</v>
      </c>
      <c r="AH2481" t="n">
        <v>7</v>
      </c>
      <c r="AI2481" t="n">
        <v>8</v>
      </c>
      <c r="AJ2481" t="n">
        <v>9</v>
      </c>
      <c r="AK2481" t="n">
        <v>15</v>
      </c>
      <c r="AL2481" t="n">
        <v>3</v>
      </c>
      <c r="AM2481" t="n">
        <v>3</v>
      </c>
      <c r="AN2481" t="n">
        <v>0</v>
      </c>
      <c r="AO2481" t="n">
        <v>0</v>
      </c>
      <c r="AP2481" t="inlineStr">
        <is>
          <t>No</t>
        </is>
      </c>
      <c r="AQ2481" t="inlineStr">
        <is>
          <t>No</t>
        </is>
      </c>
      <c r="AS2481">
        <f>HYPERLINK("https://creighton-primo.hosted.exlibrisgroup.com/primo-explore/search?tab=default_tab&amp;search_scope=EVERYTHING&amp;vid=01CRU&amp;lang=en_US&amp;offset=0&amp;query=any,contains,991001600659702656","Catalog Record")</f>
        <v/>
      </c>
      <c r="AT2481">
        <f>HYPERLINK("http://www.worldcat.org/oclc/20670367","WorldCat Record")</f>
        <v/>
      </c>
      <c r="AU2481" t="inlineStr">
        <is>
          <t>566314:eng</t>
        </is>
      </c>
      <c r="AV2481" t="inlineStr">
        <is>
          <t>20670367</t>
        </is>
      </c>
      <c r="AW2481" t="inlineStr">
        <is>
          <t>991001600659702656</t>
        </is>
      </c>
      <c r="AX2481" t="inlineStr">
        <is>
          <t>991001600659702656</t>
        </is>
      </c>
      <c r="AY2481" t="inlineStr">
        <is>
          <t>2261769760002656</t>
        </is>
      </c>
      <c r="AZ2481" t="inlineStr">
        <is>
          <t>BOOK</t>
        </is>
      </c>
      <c r="BB2481" t="inlineStr">
        <is>
          <t>9780631171676</t>
        </is>
      </c>
      <c r="BC2481" t="inlineStr">
        <is>
          <t>32285000463744</t>
        </is>
      </c>
      <c r="BD2481" t="inlineStr">
        <is>
          <t>893897896</t>
        </is>
      </c>
    </row>
    <row r="2482">
      <c r="A2482" t="inlineStr">
        <is>
          <t>No</t>
        </is>
      </c>
      <c r="B2482" t="inlineStr">
        <is>
          <t>HQ767.9 .R37 1995</t>
        </is>
      </c>
      <c r="C2482" t="inlineStr">
        <is>
          <t>0                      HQ 0767900R  37          1995</t>
        </is>
      </c>
      <c r="D2482" t="inlineStr">
        <is>
          <t>Thinking and writing about the world of children / Spencer A. Rathus ; with the assistance of Algea Harrison.</t>
        </is>
      </c>
      <c r="F2482" t="inlineStr">
        <is>
          <t>No</t>
        </is>
      </c>
      <c r="G2482" t="inlineStr">
        <is>
          <t>1</t>
        </is>
      </c>
      <c r="H2482" t="inlineStr">
        <is>
          <t>No</t>
        </is>
      </c>
      <c r="I2482" t="inlineStr">
        <is>
          <t>No</t>
        </is>
      </c>
      <c r="J2482" t="inlineStr">
        <is>
          <t>0</t>
        </is>
      </c>
      <c r="K2482" t="inlineStr">
        <is>
          <t>Rathus, Spencer A.</t>
        </is>
      </c>
      <c r="L2482" t="inlineStr">
        <is>
          <t>Fort Worth : Harcourt Brace College Publishers, c1995.</t>
        </is>
      </c>
      <c r="M2482" t="inlineStr">
        <is>
          <t>1995</t>
        </is>
      </c>
      <c r="O2482" t="inlineStr">
        <is>
          <t>eng</t>
        </is>
      </c>
      <c r="P2482" t="inlineStr">
        <is>
          <t>txu</t>
        </is>
      </c>
      <c r="R2482" t="inlineStr">
        <is>
          <t xml:space="preserve">HQ </t>
        </is>
      </c>
      <c r="S2482" t="n">
        <v>1</v>
      </c>
      <c r="T2482" t="n">
        <v>1</v>
      </c>
      <c r="U2482" t="inlineStr">
        <is>
          <t>2006-11-06</t>
        </is>
      </c>
      <c r="V2482" t="inlineStr">
        <is>
          <t>2006-11-06</t>
        </is>
      </c>
      <c r="W2482" t="inlineStr">
        <is>
          <t>2006-11-06</t>
        </is>
      </c>
      <c r="X2482" t="inlineStr">
        <is>
          <t>2006-11-06</t>
        </is>
      </c>
      <c r="Y2482" t="n">
        <v>44</v>
      </c>
      <c r="Z2482" t="n">
        <v>25</v>
      </c>
      <c r="AA2482" t="n">
        <v>25</v>
      </c>
      <c r="AB2482" t="n">
        <v>2</v>
      </c>
      <c r="AC2482" t="n">
        <v>2</v>
      </c>
      <c r="AD2482" t="n">
        <v>2</v>
      </c>
      <c r="AE2482" t="n">
        <v>2</v>
      </c>
      <c r="AF2482" t="n">
        <v>1</v>
      </c>
      <c r="AG2482" t="n">
        <v>1</v>
      </c>
      <c r="AH2482" t="n">
        <v>0</v>
      </c>
      <c r="AI2482" t="n">
        <v>0</v>
      </c>
      <c r="AJ2482" t="n">
        <v>0</v>
      </c>
      <c r="AK2482" t="n">
        <v>0</v>
      </c>
      <c r="AL2482" t="n">
        <v>1</v>
      </c>
      <c r="AM2482" t="n">
        <v>1</v>
      </c>
      <c r="AN2482" t="n">
        <v>0</v>
      </c>
      <c r="AO2482" t="n">
        <v>0</v>
      </c>
      <c r="AP2482" t="inlineStr">
        <is>
          <t>No</t>
        </is>
      </c>
      <c r="AQ2482" t="inlineStr">
        <is>
          <t>No</t>
        </is>
      </c>
      <c r="AS2482">
        <f>HYPERLINK("https://creighton-primo.hosted.exlibrisgroup.com/primo-explore/search?tab=default_tab&amp;search_scope=EVERYTHING&amp;vid=01CRU&amp;lang=en_US&amp;offset=0&amp;query=any,contains,991004968489702656","Catalog Record")</f>
        <v/>
      </c>
      <c r="AT2482">
        <f>HYPERLINK("http://www.worldcat.org/oclc/36854741","WorldCat Record")</f>
        <v/>
      </c>
      <c r="AU2482" t="inlineStr">
        <is>
          <t>40360226:eng</t>
        </is>
      </c>
      <c r="AV2482" t="inlineStr">
        <is>
          <t>36854741</t>
        </is>
      </c>
      <c r="AW2482" t="inlineStr">
        <is>
          <t>991004968489702656</t>
        </is>
      </c>
      <c r="AX2482" t="inlineStr">
        <is>
          <t>991004968489702656</t>
        </is>
      </c>
      <c r="AY2482" t="inlineStr">
        <is>
          <t>2261051380002656</t>
        </is>
      </c>
      <c r="AZ2482" t="inlineStr">
        <is>
          <t>BOOK</t>
        </is>
      </c>
      <c r="BB2482" t="inlineStr">
        <is>
          <t>9780155022058</t>
        </is>
      </c>
      <c r="BC2482" t="inlineStr">
        <is>
          <t>32285005236822</t>
        </is>
      </c>
      <c r="BD2482" t="inlineStr">
        <is>
          <t>893436971</t>
        </is>
      </c>
    </row>
    <row r="2483">
      <c r="A2483" t="inlineStr">
        <is>
          <t>No</t>
        </is>
      </c>
      <c r="B2483" t="inlineStr">
        <is>
          <t>HQ767.9 .R42 1991</t>
        </is>
      </c>
      <c r="C2483" t="inlineStr">
        <is>
          <t>0                      HQ 0767900R  42          1991</t>
        </is>
      </c>
      <c r="D2483" t="inlineStr">
        <is>
          <t>Readings in child development / [compiled by] Nancy Lauter-Klatell.</t>
        </is>
      </c>
      <c r="F2483" t="inlineStr">
        <is>
          <t>No</t>
        </is>
      </c>
      <c r="G2483" t="inlineStr">
        <is>
          <t>1</t>
        </is>
      </c>
      <c r="H2483" t="inlineStr">
        <is>
          <t>Yes</t>
        </is>
      </c>
      <c r="I2483" t="inlineStr">
        <is>
          <t>No</t>
        </is>
      </c>
      <c r="J2483" t="inlineStr">
        <is>
          <t>0</t>
        </is>
      </c>
      <c r="L2483" t="inlineStr">
        <is>
          <t>Mountain View, Calif. : Mayfield Pub. Co., 1991.</t>
        </is>
      </c>
      <c r="M2483" t="inlineStr">
        <is>
          <t>1991</t>
        </is>
      </c>
      <c r="O2483" t="inlineStr">
        <is>
          <t>eng</t>
        </is>
      </c>
      <c r="P2483" t="inlineStr">
        <is>
          <t>cau</t>
        </is>
      </c>
      <c r="R2483" t="inlineStr">
        <is>
          <t xml:space="preserve">HQ </t>
        </is>
      </c>
      <c r="S2483" t="n">
        <v>12</v>
      </c>
      <c r="T2483" t="n">
        <v>12</v>
      </c>
      <c r="U2483" t="inlineStr">
        <is>
          <t>1997-05-03</t>
        </is>
      </c>
      <c r="V2483" t="inlineStr">
        <is>
          <t>1997-05-03</t>
        </is>
      </c>
      <c r="W2483" t="inlineStr">
        <is>
          <t>1991-04-09</t>
        </is>
      </c>
      <c r="X2483" t="inlineStr">
        <is>
          <t>1995-07-31</t>
        </is>
      </c>
      <c r="Y2483" t="n">
        <v>103</v>
      </c>
      <c r="Z2483" t="n">
        <v>77</v>
      </c>
      <c r="AA2483" t="n">
        <v>82</v>
      </c>
      <c r="AB2483" t="n">
        <v>2</v>
      </c>
      <c r="AC2483" t="n">
        <v>2</v>
      </c>
      <c r="AD2483" t="n">
        <v>1</v>
      </c>
      <c r="AE2483" t="n">
        <v>1</v>
      </c>
      <c r="AF2483" t="n">
        <v>0</v>
      </c>
      <c r="AG2483" t="n">
        <v>0</v>
      </c>
      <c r="AH2483" t="n">
        <v>1</v>
      </c>
      <c r="AI2483" t="n">
        <v>1</v>
      </c>
      <c r="AJ2483" t="n">
        <v>1</v>
      </c>
      <c r="AK2483" t="n">
        <v>1</v>
      </c>
      <c r="AL2483" t="n">
        <v>0</v>
      </c>
      <c r="AM2483" t="n">
        <v>0</v>
      </c>
      <c r="AN2483" t="n">
        <v>0</v>
      </c>
      <c r="AO2483" t="n">
        <v>0</v>
      </c>
      <c r="AP2483" t="inlineStr">
        <is>
          <t>No</t>
        </is>
      </c>
      <c r="AQ2483" t="inlineStr">
        <is>
          <t>No</t>
        </is>
      </c>
      <c r="AS2483">
        <f>HYPERLINK("https://creighton-primo.hosted.exlibrisgroup.com/primo-explore/search?tab=default_tab&amp;search_scope=EVERYTHING&amp;vid=01CRU&amp;lang=en_US&amp;offset=0&amp;query=any,contains,991001646509702656","Catalog Record")</f>
        <v/>
      </c>
      <c r="AT2483">
        <f>HYPERLINK("http://www.worldcat.org/oclc/22344912","WorldCat Record")</f>
        <v/>
      </c>
      <c r="AU2483" t="inlineStr">
        <is>
          <t>55384503:eng</t>
        </is>
      </c>
      <c r="AV2483" t="inlineStr">
        <is>
          <t>22344912</t>
        </is>
      </c>
      <c r="AW2483" t="inlineStr">
        <is>
          <t>991001646509702656</t>
        </is>
      </c>
      <c r="AX2483" t="inlineStr">
        <is>
          <t>991001646509702656</t>
        </is>
      </c>
      <c r="AY2483" t="inlineStr">
        <is>
          <t>2256374570002656</t>
        </is>
      </c>
      <c r="AZ2483" t="inlineStr">
        <is>
          <t>BOOK</t>
        </is>
      </c>
      <c r="BC2483" t="inlineStr">
        <is>
          <t>32285000566454</t>
        </is>
      </c>
      <c r="BD2483" t="inlineStr">
        <is>
          <t>893885439</t>
        </is>
      </c>
    </row>
    <row r="2484">
      <c r="A2484" t="inlineStr">
        <is>
          <t>No</t>
        </is>
      </c>
      <c r="B2484" t="inlineStr">
        <is>
          <t>HQ767.9 .S3 1983</t>
        </is>
      </c>
      <c r="C2484" t="inlineStr">
        <is>
          <t>0                      HQ 0767900S  3           1983</t>
        </is>
      </c>
      <c r="D2484" t="inlineStr">
        <is>
          <t>Resources for early childhood : an annotated bibliography and guide for educators, librarians, health care professionals, and parents / Hannah Nuba Scheffler.</t>
        </is>
      </c>
      <c r="F2484" t="inlineStr">
        <is>
          <t>No</t>
        </is>
      </c>
      <c r="G2484" t="inlineStr">
        <is>
          <t>1</t>
        </is>
      </c>
      <c r="H2484" t="inlineStr">
        <is>
          <t>No</t>
        </is>
      </c>
      <c r="I2484" t="inlineStr">
        <is>
          <t>No</t>
        </is>
      </c>
      <c r="J2484" t="inlineStr">
        <is>
          <t>0</t>
        </is>
      </c>
      <c r="K2484" t="inlineStr">
        <is>
          <t>Nuba, Hannah, 1924-</t>
        </is>
      </c>
      <c r="L2484" t="inlineStr">
        <is>
          <t>New York : Garland Pub., 1983.</t>
        </is>
      </c>
      <c r="M2484" t="inlineStr">
        <is>
          <t>1983</t>
        </is>
      </c>
      <c r="O2484" t="inlineStr">
        <is>
          <t>eng</t>
        </is>
      </c>
      <c r="P2484" t="inlineStr">
        <is>
          <t>nyu</t>
        </is>
      </c>
      <c r="Q2484" t="inlineStr">
        <is>
          <t>Garland reference library of social science ; v. 118</t>
        </is>
      </c>
      <c r="R2484" t="inlineStr">
        <is>
          <t xml:space="preserve">HQ </t>
        </is>
      </c>
      <c r="S2484" t="n">
        <v>3</v>
      </c>
      <c r="T2484" t="n">
        <v>3</v>
      </c>
      <c r="U2484" t="inlineStr">
        <is>
          <t>2007-02-25</t>
        </is>
      </c>
      <c r="V2484" t="inlineStr">
        <is>
          <t>2007-02-25</t>
        </is>
      </c>
      <c r="W2484" t="inlineStr">
        <is>
          <t>1992-11-03</t>
        </is>
      </c>
      <c r="X2484" t="inlineStr">
        <is>
          <t>1992-11-03</t>
        </is>
      </c>
      <c r="Y2484" t="n">
        <v>381</v>
      </c>
      <c r="Z2484" t="n">
        <v>322</v>
      </c>
      <c r="AA2484" t="n">
        <v>334</v>
      </c>
      <c r="AB2484" t="n">
        <v>2</v>
      </c>
      <c r="AC2484" t="n">
        <v>2</v>
      </c>
      <c r="AD2484" t="n">
        <v>11</v>
      </c>
      <c r="AE2484" t="n">
        <v>11</v>
      </c>
      <c r="AF2484" t="n">
        <v>3</v>
      </c>
      <c r="AG2484" t="n">
        <v>3</v>
      </c>
      <c r="AH2484" t="n">
        <v>2</v>
      </c>
      <c r="AI2484" t="n">
        <v>2</v>
      </c>
      <c r="AJ2484" t="n">
        <v>6</v>
      </c>
      <c r="AK2484" t="n">
        <v>6</v>
      </c>
      <c r="AL2484" t="n">
        <v>1</v>
      </c>
      <c r="AM2484" t="n">
        <v>1</v>
      </c>
      <c r="AN2484" t="n">
        <v>0</v>
      </c>
      <c r="AO2484" t="n">
        <v>0</v>
      </c>
      <c r="AP2484" t="inlineStr">
        <is>
          <t>No</t>
        </is>
      </c>
      <c r="AQ2484" t="inlineStr">
        <is>
          <t>Yes</t>
        </is>
      </c>
      <c r="AR2484">
        <f>HYPERLINK("http://catalog.hathitrust.org/Record/000117651","HathiTrust Record")</f>
        <v/>
      </c>
      <c r="AS2484">
        <f>HYPERLINK("https://creighton-primo.hosted.exlibrisgroup.com/primo-explore/search?tab=default_tab&amp;search_scope=EVERYTHING&amp;vid=01CRU&amp;lang=en_US&amp;offset=0&amp;query=any,contains,991000100449702656","Catalog Record")</f>
        <v/>
      </c>
      <c r="AT2484">
        <f>HYPERLINK("http://www.worldcat.org/oclc/8952502","WorldCat Record")</f>
        <v/>
      </c>
      <c r="AU2484" t="inlineStr">
        <is>
          <t>43129632:eng</t>
        </is>
      </c>
      <c r="AV2484" t="inlineStr">
        <is>
          <t>8952502</t>
        </is>
      </c>
      <c r="AW2484" t="inlineStr">
        <is>
          <t>991000100449702656</t>
        </is>
      </c>
      <c r="AX2484" t="inlineStr">
        <is>
          <t>991000100449702656</t>
        </is>
      </c>
      <c r="AY2484" t="inlineStr">
        <is>
          <t>2272138460002656</t>
        </is>
      </c>
      <c r="AZ2484" t="inlineStr">
        <is>
          <t>BOOK</t>
        </is>
      </c>
      <c r="BB2484" t="inlineStr">
        <is>
          <t>9780824093907</t>
        </is>
      </c>
      <c r="BC2484" t="inlineStr">
        <is>
          <t>32285001380566</t>
        </is>
      </c>
      <c r="BD2484" t="inlineStr">
        <is>
          <t>893720576</t>
        </is>
      </c>
    </row>
    <row r="2485">
      <c r="A2485" t="inlineStr">
        <is>
          <t>No</t>
        </is>
      </c>
      <c r="B2485" t="inlineStr">
        <is>
          <t>HQ767.9 .S48 1988</t>
        </is>
      </c>
      <c r="C2485" t="inlineStr">
        <is>
          <t>0                      HQ 0767900S  48          1988</t>
        </is>
      </c>
      <c r="D2485" t="inlineStr">
        <is>
          <t>Resources for middle childhood : a source book / Deborah Lovitky Sheiman, Maureen Slonim.</t>
        </is>
      </c>
      <c r="F2485" t="inlineStr">
        <is>
          <t>No</t>
        </is>
      </c>
      <c r="G2485" t="inlineStr">
        <is>
          <t>1</t>
        </is>
      </c>
      <c r="H2485" t="inlineStr">
        <is>
          <t>No</t>
        </is>
      </c>
      <c r="I2485" t="inlineStr">
        <is>
          <t>No</t>
        </is>
      </c>
      <c r="J2485" t="inlineStr">
        <is>
          <t>0</t>
        </is>
      </c>
      <c r="K2485" t="inlineStr">
        <is>
          <t>Sheiman, Deborah Lovitky.</t>
        </is>
      </c>
      <c r="L2485" t="inlineStr">
        <is>
          <t>New York : Garland, 1988.</t>
        </is>
      </c>
      <c r="M2485" t="inlineStr">
        <is>
          <t>1988</t>
        </is>
      </c>
      <c r="O2485" t="inlineStr">
        <is>
          <t>eng</t>
        </is>
      </c>
      <c r="P2485" t="inlineStr">
        <is>
          <t>nyu</t>
        </is>
      </c>
      <c r="Q2485" t="inlineStr">
        <is>
          <t>Reference books on family issues ; vol. 12</t>
        </is>
      </c>
      <c r="R2485" t="inlineStr">
        <is>
          <t xml:space="preserve">HQ </t>
        </is>
      </c>
      <c r="S2485" t="n">
        <v>5</v>
      </c>
      <c r="T2485" t="n">
        <v>5</v>
      </c>
      <c r="U2485" t="inlineStr">
        <is>
          <t>1994-11-01</t>
        </is>
      </c>
      <c r="V2485" t="inlineStr">
        <is>
          <t>1994-11-01</t>
        </is>
      </c>
      <c r="W2485" t="inlineStr">
        <is>
          <t>1990-04-10</t>
        </is>
      </c>
      <c r="X2485" t="inlineStr">
        <is>
          <t>1990-04-10</t>
        </is>
      </c>
      <c r="Y2485" t="n">
        <v>332</v>
      </c>
      <c r="Z2485" t="n">
        <v>295</v>
      </c>
      <c r="AA2485" t="n">
        <v>295</v>
      </c>
      <c r="AB2485" t="n">
        <v>5</v>
      </c>
      <c r="AC2485" t="n">
        <v>5</v>
      </c>
      <c r="AD2485" t="n">
        <v>10</v>
      </c>
      <c r="AE2485" t="n">
        <v>10</v>
      </c>
      <c r="AF2485" t="n">
        <v>2</v>
      </c>
      <c r="AG2485" t="n">
        <v>2</v>
      </c>
      <c r="AH2485" t="n">
        <v>1</v>
      </c>
      <c r="AI2485" t="n">
        <v>1</v>
      </c>
      <c r="AJ2485" t="n">
        <v>4</v>
      </c>
      <c r="AK2485" t="n">
        <v>4</v>
      </c>
      <c r="AL2485" t="n">
        <v>4</v>
      </c>
      <c r="AM2485" t="n">
        <v>4</v>
      </c>
      <c r="AN2485" t="n">
        <v>0</v>
      </c>
      <c r="AO2485" t="n">
        <v>0</v>
      </c>
      <c r="AP2485" t="inlineStr">
        <is>
          <t>No</t>
        </is>
      </c>
      <c r="AQ2485" t="inlineStr">
        <is>
          <t>No</t>
        </is>
      </c>
      <c r="AS2485">
        <f>HYPERLINK("https://creighton-primo.hosted.exlibrisgroup.com/primo-explore/search?tab=default_tab&amp;search_scope=EVERYTHING&amp;vid=01CRU&amp;lang=en_US&amp;offset=0&amp;query=any,contains,991001292409702656","Catalog Record")</f>
        <v/>
      </c>
      <c r="AT2485">
        <f>HYPERLINK("http://www.worldcat.org/oclc/18013865","WorldCat Record")</f>
        <v/>
      </c>
      <c r="AU2485" t="inlineStr">
        <is>
          <t>913104:eng</t>
        </is>
      </c>
      <c r="AV2485" t="inlineStr">
        <is>
          <t>18013865</t>
        </is>
      </c>
      <c r="AW2485" t="inlineStr">
        <is>
          <t>991001292409702656</t>
        </is>
      </c>
      <c r="AX2485" t="inlineStr">
        <is>
          <t>991001292409702656</t>
        </is>
      </c>
      <c r="AY2485" t="inlineStr">
        <is>
          <t>2267066420002656</t>
        </is>
      </c>
      <c r="AZ2485" t="inlineStr">
        <is>
          <t>BOOK</t>
        </is>
      </c>
      <c r="BB2485" t="inlineStr">
        <is>
          <t>9780824077778</t>
        </is>
      </c>
      <c r="BC2485" t="inlineStr">
        <is>
          <t>32285000120211</t>
        </is>
      </c>
      <c r="BD2485" t="inlineStr">
        <is>
          <t>893328041</t>
        </is>
      </c>
    </row>
    <row r="2486">
      <c r="A2486" t="inlineStr">
        <is>
          <t>No</t>
        </is>
      </c>
      <c r="B2486" t="inlineStr">
        <is>
          <t>HQ767.9 .S65 2010</t>
        </is>
      </c>
      <c r="C2486" t="inlineStr">
        <is>
          <t>0                      HQ 0767900S  65          2010</t>
        </is>
      </c>
      <c r="D2486" t="inlineStr">
        <is>
          <t>A universal child? / by Roger Smith.</t>
        </is>
      </c>
      <c r="F2486" t="inlineStr">
        <is>
          <t>No</t>
        </is>
      </c>
      <c r="G2486" t="inlineStr">
        <is>
          <t>1</t>
        </is>
      </c>
      <c r="H2486" t="inlineStr">
        <is>
          <t>No</t>
        </is>
      </c>
      <c r="I2486" t="inlineStr">
        <is>
          <t>No</t>
        </is>
      </c>
      <c r="J2486" t="inlineStr">
        <is>
          <t>0</t>
        </is>
      </c>
      <c r="K2486" t="inlineStr">
        <is>
          <t>Smith, Roger S. (Roger Shipley), 1953-</t>
        </is>
      </c>
      <c r="L2486" t="inlineStr">
        <is>
          <t>Basingstoke ; New York : Palgrave Macmillan, 2010.</t>
        </is>
      </c>
      <c r="M2486" t="inlineStr">
        <is>
          <t>2010</t>
        </is>
      </c>
      <c r="O2486" t="inlineStr">
        <is>
          <t>eng</t>
        </is>
      </c>
      <c r="P2486" t="inlineStr">
        <is>
          <t>enk</t>
        </is>
      </c>
      <c r="R2486" t="inlineStr">
        <is>
          <t xml:space="preserve">HQ </t>
        </is>
      </c>
      <c r="S2486" t="n">
        <v>1</v>
      </c>
      <c r="T2486" t="n">
        <v>1</v>
      </c>
      <c r="U2486" t="inlineStr">
        <is>
          <t>2010-11-09</t>
        </is>
      </c>
      <c r="V2486" t="inlineStr">
        <is>
          <t>2010-11-09</t>
        </is>
      </c>
      <c r="W2486" t="inlineStr">
        <is>
          <t>2010-11-09</t>
        </is>
      </c>
      <c r="X2486" t="inlineStr">
        <is>
          <t>2010-11-09</t>
        </is>
      </c>
      <c r="Y2486" t="n">
        <v>297</v>
      </c>
      <c r="Z2486" t="n">
        <v>217</v>
      </c>
      <c r="AA2486" t="n">
        <v>229</v>
      </c>
      <c r="AB2486" t="n">
        <v>2</v>
      </c>
      <c r="AC2486" t="n">
        <v>2</v>
      </c>
      <c r="AD2486" t="n">
        <v>11</v>
      </c>
      <c r="AE2486" t="n">
        <v>11</v>
      </c>
      <c r="AF2486" t="n">
        <v>3</v>
      </c>
      <c r="AG2486" t="n">
        <v>3</v>
      </c>
      <c r="AH2486" t="n">
        <v>2</v>
      </c>
      <c r="AI2486" t="n">
        <v>2</v>
      </c>
      <c r="AJ2486" t="n">
        <v>8</v>
      </c>
      <c r="AK2486" t="n">
        <v>8</v>
      </c>
      <c r="AL2486" t="n">
        <v>1</v>
      </c>
      <c r="AM2486" t="n">
        <v>1</v>
      </c>
      <c r="AN2486" t="n">
        <v>0</v>
      </c>
      <c r="AO2486" t="n">
        <v>0</v>
      </c>
      <c r="AP2486" t="inlineStr">
        <is>
          <t>No</t>
        </is>
      </c>
      <c r="AQ2486" t="inlineStr">
        <is>
          <t>No</t>
        </is>
      </c>
      <c r="AS2486">
        <f>HYPERLINK("https://creighton-primo.hosted.exlibrisgroup.com/primo-explore/search?tab=default_tab&amp;search_scope=EVERYTHING&amp;vid=01CRU&amp;lang=en_US&amp;offset=0&amp;query=any,contains,991000214289702656","Catalog Record")</f>
        <v/>
      </c>
      <c r="AT2486">
        <f>HYPERLINK("http://www.worldcat.org/oclc/429601372","WorldCat Record")</f>
        <v/>
      </c>
      <c r="AU2486" t="inlineStr">
        <is>
          <t>506636820:eng</t>
        </is>
      </c>
      <c r="AV2486" t="inlineStr">
        <is>
          <t>429601372</t>
        </is>
      </c>
      <c r="AW2486" t="inlineStr">
        <is>
          <t>991000214289702656</t>
        </is>
      </c>
      <c r="AX2486" t="inlineStr">
        <is>
          <t>991000214289702656</t>
        </is>
      </c>
      <c r="AY2486" t="inlineStr">
        <is>
          <t>2260920450002656</t>
        </is>
      </c>
      <c r="AZ2486" t="inlineStr">
        <is>
          <t>BOOK</t>
        </is>
      </c>
      <c r="BB2486" t="inlineStr">
        <is>
          <t>9781403907844</t>
        </is>
      </c>
      <c r="BC2486" t="inlineStr">
        <is>
          <t>32285005605273</t>
        </is>
      </c>
      <c r="BD2486" t="inlineStr">
        <is>
          <t>893714423</t>
        </is>
      </c>
    </row>
    <row r="2487">
      <c r="A2487" t="inlineStr">
        <is>
          <t>No</t>
        </is>
      </c>
      <c r="B2487" t="inlineStr">
        <is>
          <t>HQ767.9 .S662 1988</t>
        </is>
      </c>
      <c r="C2487" t="inlineStr">
        <is>
          <t>0                      HQ 0767900S  662         1988</t>
        </is>
      </c>
      <c r="D2487" t="inlineStr">
        <is>
          <t>Social networks of children, adolescents, and college students / edited by Suzanne Salzinger, John Antrobus, Muriel Hammer.</t>
        </is>
      </c>
      <c r="F2487" t="inlineStr">
        <is>
          <t>No</t>
        </is>
      </c>
      <c r="G2487" t="inlineStr">
        <is>
          <t>1</t>
        </is>
      </c>
      <c r="H2487" t="inlineStr">
        <is>
          <t>No</t>
        </is>
      </c>
      <c r="I2487" t="inlineStr">
        <is>
          <t>No</t>
        </is>
      </c>
      <c r="J2487" t="inlineStr">
        <is>
          <t>0</t>
        </is>
      </c>
      <c r="L2487" t="inlineStr">
        <is>
          <t>Hillsdale, N.J. : L. Erlbaum Associates, 1988.</t>
        </is>
      </c>
      <c r="M2487" t="inlineStr">
        <is>
          <t>1988</t>
        </is>
      </c>
      <c r="O2487" t="inlineStr">
        <is>
          <t>eng</t>
        </is>
      </c>
      <c r="P2487" t="inlineStr">
        <is>
          <t>nju</t>
        </is>
      </c>
      <c r="R2487" t="inlineStr">
        <is>
          <t xml:space="preserve">HQ </t>
        </is>
      </c>
      <c r="S2487" t="n">
        <v>7</v>
      </c>
      <c r="T2487" t="n">
        <v>7</v>
      </c>
      <c r="U2487" t="inlineStr">
        <is>
          <t>2001-10-30</t>
        </is>
      </c>
      <c r="V2487" t="inlineStr">
        <is>
          <t>2001-10-30</t>
        </is>
      </c>
      <c r="W2487" t="inlineStr">
        <is>
          <t>1990-02-16</t>
        </is>
      </c>
      <c r="X2487" t="inlineStr">
        <is>
          <t>1990-02-16</t>
        </is>
      </c>
      <c r="Y2487" t="n">
        <v>302</v>
      </c>
      <c r="Z2487" t="n">
        <v>248</v>
      </c>
      <c r="AA2487" t="n">
        <v>277</v>
      </c>
      <c r="AB2487" t="n">
        <v>2</v>
      </c>
      <c r="AC2487" t="n">
        <v>2</v>
      </c>
      <c r="AD2487" t="n">
        <v>13</v>
      </c>
      <c r="AE2487" t="n">
        <v>13</v>
      </c>
      <c r="AF2487" t="n">
        <v>5</v>
      </c>
      <c r="AG2487" t="n">
        <v>5</v>
      </c>
      <c r="AH2487" t="n">
        <v>4</v>
      </c>
      <c r="AI2487" t="n">
        <v>4</v>
      </c>
      <c r="AJ2487" t="n">
        <v>9</v>
      </c>
      <c r="AK2487" t="n">
        <v>9</v>
      </c>
      <c r="AL2487" t="n">
        <v>1</v>
      </c>
      <c r="AM2487" t="n">
        <v>1</v>
      </c>
      <c r="AN2487" t="n">
        <v>0</v>
      </c>
      <c r="AO2487" t="n">
        <v>0</v>
      </c>
      <c r="AP2487" t="inlineStr">
        <is>
          <t>No</t>
        </is>
      </c>
      <c r="AQ2487" t="inlineStr">
        <is>
          <t>No</t>
        </is>
      </c>
      <c r="AS2487">
        <f>HYPERLINK("https://creighton-primo.hosted.exlibrisgroup.com/primo-explore/search?tab=default_tab&amp;search_scope=EVERYTHING&amp;vid=01CRU&amp;lang=en_US&amp;offset=0&amp;query=any,contains,991001019769702656","Catalog Record")</f>
        <v/>
      </c>
      <c r="AT2487">
        <f>HYPERLINK("http://www.worldcat.org/oclc/15366062","WorldCat Record")</f>
        <v/>
      </c>
      <c r="AU2487" t="inlineStr">
        <is>
          <t>350163838:eng</t>
        </is>
      </c>
      <c r="AV2487" t="inlineStr">
        <is>
          <t>15366062</t>
        </is>
      </c>
      <c r="AW2487" t="inlineStr">
        <is>
          <t>991001019769702656</t>
        </is>
      </c>
      <c r="AX2487" t="inlineStr">
        <is>
          <t>991001019769702656</t>
        </is>
      </c>
      <c r="AY2487" t="inlineStr">
        <is>
          <t>2261791120002656</t>
        </is>
      </c>
      <c r="AZ2487" t="inlineStr">
        <is>
          <t>BOOK</t>
        </is>
      </c>
      <c r="BB2487" t="inlineStr">
        <is>
          <t>9780898599794</t>
        </is>
      </c>
      <c r="BC2487" t="inlineStr">
        <is>
          <t>32285000038769</t>
        </is>
      </c>
      <c r="BD2487" t="inlineStr">
        <is>
          <t>893407753</t>
        </is>
      </c>
    </row>
    <row r="2488">
      <c r="A2488" t="inlineStr">
        <is>
          <t>No</t>
        </is>
      </c>
      <c r="B2488" t="inlineStr">
        <is>
          <t>HQ767.9 .T34 1995</t>
        </is>
      </c>
      <c r="C2488" t="inlineStr">
        <is>
          <t>0                      HQ 0767900T  34          1995</t>
        </is>
      </c>
      <c r="D2488" t="inlineStr">
        <is>
          <t>Taking sides. Clashing views on controversial issues in childhood and society / edited, selected, and with introductions by Robert L. DelCampo and Diana S. DelCampo.</t>
        </is>
      </c>
      <c r="F2488" t="inlineStr">
        <is>
          <t>No</t>
        </is>
      </c>
      <c r="G2488" t="inlineStr">
        <is>
          <t>1</t>
        </is>
      </c>
      <c r="H2488" t="inlineStr">
        <is>
          <t>No</t>
        </is>
      </c>
      <c r="I2488" t="inlineStr">
        <is>
          <t>Yes</t>
        </is>
      </c>
      <c r="J2488" t="inlineStr">
        <is>
          <t>0</t>
        </is>
      </c>
      <c r="L2488" t="inlineStr">
        <is>
          <t>Guilford, Conn. : Dushkin Pub. Group, c1995.</t>
        </is>
      </c>
      <c r="M2488" t="inlineStr">
        <is>
          <t>1995</t>
        </is>
      </c>
      <c r="N2488" t="inlineStr">
        <is>
          <t>1st ed.</t>
        </is>
      </c>
      <c r="O2488" t="inlineStr">
        <is>
          <t>eng</t>
        </is>
      </c>
      <c r="P2488" t="inlineStr">
        <is>
          <t>ctu</t>
        </is>
      </c>
      <c r="R2488" t="inlineStr">
        <is>
          <t xml:space="preserve">HQ </t>
        </is>
      </c>
      <c r="S2488" t="n">
        <v>9</v>
      </c>
      <c r="T2488" t="n">
        <v>9</v>
      </c>
      <c r="U2488" t="inlineStr">
        <is>
          <t>2000-01-20</t>
        </is>
      </c>
      <c r="V2488" t="inlineStr">
        <is>
          <t>2000-01-20</t>
        </is>
      </c>
      <c r="W2488" t="inlineStr">
        <is>
          <t>1997-02-03</t>
        </is>
      </c>
      <c r="X2488" t="inlineStr">
        <is>
          <t>1997-02-03</t>
        </is>
      </c>
      <c r="Y2488" t="n">
        <v>341</v>
      </c>
      <c r="Z2488" t="n">
        <v>324</v>
      </c>
      <c r="AA2488" t="n">
        <v>835</v>
      </c>
      <c r="AB2488" t="n">
        <v>2</v>
      </c>
      <c r="AC2488" t="n">
        <v>5</v>
      </c>
      <c r="AD2488" t="n">
        <v>7</v>
      </c>
      <c r="AE2488" t="n">
        <v>20</v>
      </c>
      <c r="AF2488" t="n">
        <v>4</v>
      </c>
      <c r="AG2488" t="n">
        <v>8</v>
      </c>
      <c r="AH2488" t="n">
        <v>1</v>
      </c>
      <c r="AI2488" t="n">
        <v>3</v>
      </c>
      <c r="AJ2488" t="n">
        <v>3</v>
      </c>
      <c r="AK2488" t="n">
        <v>7</v>
      </c>
      <c r="AL2488" t="n">
        <v>1</v>
      </c>
      <c r="AM2488" t="n">
        <v>4</v>
      </c>
      <c r="AN2488" t="n">
        <v>0</v>
      </c>
      <c r="AO2488" t="n">
        <v>0</v>
      </c>
      <c r="AP2488" t="inlineStr">
        <is>
          <t>No</t>
        </is>
      </c>
      <c r="AQ2488" t="inlineStr">
        <is>
          <t>No</t>
        </is>
      </c>
      <c r="AS2488">
        <f>HYPERLINK("https://creighton-primo.hosted.exlibrisgroup.com/primo-explore/search?tab=default_tab&amp;search_scope=EVERYTHING&amp;vid=01CRU&amp;lang=en_US&amp;offset=0&amp;query=any,contains,991002634519702656","Catalog Record")</f>
        <v/>
      </c>
      <c r="AT2488">
        <f>HYPERLINK("http://www.worldcat.org/oclc/31970132","WorldCat Record")</f>
        <v/>
      </c>
      <c r="AU2488" t="inlineStr">
        <is>
          <t>476550291:eng</t>
        </is>
      </c>
      <c r="AV2488" t="inlineStr">
        <is>
          <t>31970132</t>
        </is>
      </c>
      <c r="AW2488" t="inlineStr">
        <is>
          <t>991002634519702656</t>
        </is>
      </c>
      <c r="AX2488" t="inlineStr">
        <is>
          <t>991002634519702656</t>
        </is>
      </c>
      <c r="AY2488" t="inlineStr">
        <is>
          <t>2270044160002656</t>
        </is>
      </c>
      <c r="AZ2488" t="inlineStr">
        <is>
          <t>BOOK</t>
        </is>
      </c>
      <c r="BB2488" t="inlineStr">
        <is>
          <t>9781561343331</t>
        </is>
      </c>
      <c r="BC2488" t="inlineStr">
        <is>
          <t>32285002412186</t>
        </is>
      </c>
      <c r="BD2488" t="inlineStr">
        <is>
          <t>893341655</t>
        </is>
      </c>
    </row>
    <row r="2489">
      <c r="A2489" t="inlineStr">
        <is>
          <t>No</t>
        </is>
      </c>
      <c r="B2489" t="inlineStr">
        <is>
          <t>HQ767.9 .T34 2000</t>
        </is>
      </c>
      <c r="C2489" t="inlineStr">
        <is>
          <t>0                      HQ 0767900T  34          2000</t>
        </is>
      </c>
      <c r="D2489" t="inlineStr">
        <is>
          <t>Taking sides. Clashing views on controversial issues in childhood and society / edited, selected, and with introductions by Diana S. DelCampo and Robert L. DelCampo.</t>
        </is>
      </c>
      <c r="F2489" t="inlineStr">
        <is>
          <t>No</t>
        </is>
      </c>
      <c r="G2489" t="inlineStr">
        <is>
          <t>1</t>
        </is>
      </c>
      <c r="H2489" t="inlineStr">
        <is>
          <t>No</t>
        </is>
      </c>
      <c r="I2489" t="inlineStr">
        <is>
          <t>Yes</t>
        </is>
      </c>
      <c r="J2489" t="inlineStr">
        <is>
          <t>0</t>
        </is>
      </c>
      <c r="L2489" t="inlineStr">
        <is>
          <t>Guilford, Conn. : Dushkin/McGraw-Hill, 2000.</t>
        </is>
      </c>
      <c r="M2489" t="inlineStr">
        <is>
          <t>2000</t>
        </is>
      </c>
      <c r="N2489" t="inlineStr">
        <is>
          <t>3rd ed.</t>
        </is>
      </c>
      <c r="O2489" t="inlineStr">
        <is>
          <t>eng</t>
        </is>
      </c>
      <c r="P2489" t="inlineStr">
        <is>
          <t>ctu</t>
        </is>
      </c>
      <c r="R2489" t="inlineStr">
        <is>
          <t xml:space="preserve">HQ </t>
        </is>
      </c>
      <c r="S2489" t="n">
        <v>7</v>
      </c>
      <c r="T2489" t="n">
        <v>7</v>
      </c>
      <c r="U2489" t="inlineStr">
        <is>
          <t>2006-11-16</t>
        </is>
      </c>
      <c r="V2489" t="inlineStr">
        <is>
          <t>2006-11-16</t>
        </is>
      </c>
      <c r="W2489" t="inlineStr">
        <is>
          <t>1999-12-02</t>
        </is>
      </c>
      <c r="X2489" t="inlineStr">
        <is>
          <t>1999-12-02</t>
        </is>
      </c>
      <c r="Y2489" t="n">
        <v>117</v>
      </c>
      <c r="Z2489" t="n">
        <v>93</v>
      </c>
      <c r="AA2489" t="n">
        <v>835</v>
      </c>
      <c r="AB2489" t="n">
        <v>1</v>
      </c>
      <c r="AC2489" t="n">
        <v>5</v>
      </c>
      <c r="AD2489" t="n">
        <v>2</v>
      </c>
      <c r="AE2489" t="n">
        <v>20</v>
      </c>
      <c r="AF2489" t="n">
        <v>1</v>
      </c>
      <c r="AG2489" t="n">
        <v>8</v>
      </c>
      <c r="AH2489" t="n">
        <v>0</v>
      </c>
      <c r="AI2489" t="n">
        <v>3</v>
      </c>
      <c r="AJ2489" t="n">
        <v>1</v>
      </c>
      <c r="AK2489" t="n">
        <v>7</v>
      </c>
      <c r="AL2489" t="n">
        <v>0</v>
      </c>
      <c r="AM2489" t="n">
        <v>4</v>
      </c>
      <c r="AN2489" t="n">
        <v>0</v>
      </c>
      <c r="AO2489" t="n">
        <v>0</v>
      </c>
      <c r="AP2489" t="inlineStr">
        <is>
          <t>No</t>
        </is>
      </c>
      <c r="AQ2489" t="inlineStr">
        <is>
          <t>Yes</t>
        </is>
      </c>
      <c r="AR2489">
        <f>HYPERLINK("http://catalog.hathitrust.org/Record/008316150","HathiTrust Record")</f>
        <v/>
      </c>
      <c r="AS2489">
        <f>HYPERLINK("https://creighton-primo.hosted.exlibrisgroup.com/primo-explore/search?tab=default_tab&amp;search_scope=EVERYTHING&amp;vid=01CRU&amp;lang=en_US&amp;offset=0&amp;query=any,contains,991003050539702656","Catalog Record")</f>
        <v/>
      </c>
      <c r="AT2489">
        <f>HYPERLINK("http://www.worldcat.org/oclc/42916013","WorldCat Record")</f>
        <v/>
      </c>
      <c r="AU2489" t="inlineStr">
        <is>
          <t>476550291:eng</t>
        </is>
      </c>
      <c r="AV2489" t="inlineStr">
        <is>
          <t>42916013</t>
        </is>
      </c>
      <c r="AW2489" t="inlineStr">
        <is>
          <t>991003050539702656</t>
        </is>
      </c>
      <c r="AX2489" t="inlineStr">
        <is>
          <t>991003050539702656</t>
        </is>
      </c>
      <c r="AY2489" t="inlineStr">
        <is>
          <t>2272237160002656</t>
        </is>
      </c>
      <c r="AZ2489" t="inlineStr">
        <is>
          <t>BOOK</t>
        </is>
      </c>
      <c r="BB2489" t="inlineStr">
        <is>
          <t>9780073031897</t>
        </is>
      </c>
      <c r="BC2489" t="inlineStr">
        <is>
          <t>32285003564266</t>
        </is>
      </c>
      <c r="BD2489" t="inlineStr">
        <is>
          <t>893348287</t>
        </is>
      </c>
    </row>
    <row r="2490">
      <c r="A2490" t="inlineStr">
        <is>
          <t>No</t>
        </is>
      </c>
      <c r="B2490" t="inlineStr">
        <is>
          <t>HQ767.9 .T65 1985</t>
        </is>
      </c>
      <c r="C2490" t="inlineStr">
        <is>
          <t>0                      HQ 0767900T  65          1985</t>
        </is>
      </c>
      <c r="D2490" t="inlineStr">
        <is>
          <t>Child development : psychological, sociocultural, and biological factors / Carol Tomlinson-Keasey.</t>
        </is>
      </c>
      <c r="F2490" t="inlineStr">
        <is>
          <t>No</t>
        </is>
      </c>
      <c r="G2490" t="inlineStr">
        <is>
          <t>1</t>
        </is>
      </c>
      <c r="H2490" t="inlineStr">
        <is>
          <t>No</t>
        </is>
      </c>
      <c r="I2490" t="inlineStr">
        <is>
          <t>No</t>
        </is>
      </c>
      <c r="J2490" t="inlineStr">
        <is>
          <t>0</t>
        </is>
      </c>
      <c r="K2490" t="inlineStr">
        <is>
          <t>Tomlinson-Keasey, Carol.</t>
        </is>
      </c>
      <c r="L2490" t="inlineStr">
        <is>
          <t>Homewood, Ill. : Dorsey Press, 1985.</t>
        </is>
      </c>
      <c r="M2490" t="inlineStr">
        <is>
          <t>1985</t>
        </is>
      </c>
      <c r="O2490" t="inlineStr">
        <is>
          <t>eng</t>
        </is>
      </c>
      <c r="P2490" t="inlineStr">
        <is>
          <t>ilu</t>
        </is>
      </c>
      <c r="Q2490" t="inlineStr">
        <is>
          <t>The Dorsey series in psychology</t>
        </is>
      </c>
      <c r="R2490" t="inlineStr">
        <is>
          <t xml:space="preserve">HQ </t>
        </is>
      </c>
      <c r="S2490" t="n">
        <v>15</v>
      </c>
      <c r="T2490" t="n">
        <v>15</v>
      </c>
      <c r="U2490" t="inlineStr">
        <is>
          <t>2005-04-02</t>
        </is>
      </c>
      <c r="V2490" t="inlineStr">
        <is>
          <t>2005-04-02</t>
        </is>
      </c>
      <c r="W2490" t="inlineStr">
        <is>
          <t>1990-04-03</t>
        </is>
      </c>
      <c r="X2490" t="inlineStr">
        <is>
          <t>1990-04-03</t>
        </is>
      </c>
      <c r="Y2490" t="n">
        <v>153</v>
      </c>
      <c r="Z2490" t="n">
        <v>116</v>
      </c>
      <c r="AA2490" t="n">
        <v>121</v>
      </c>
      <c r="AB2490" t="n">
        <v>2</v>
      </c>
      <c r="AC2490" t="n">
        <v>2</v>
      </c>
      <c r="AD2490" t="n">
        <v>3</v>
      </c>
      <c r="AE2490" t="n">
        <v>3</v>
      </c>
      <c r="AF2490" t="n">
        <v>0</v>
      </c>
      <c r="AG2490" t="n">
        <v>0</v>
      </c>
      <c r="AH2490" t="n">
        <v>1</v>
      </c>
      <c r="AI2490" t="n">
        <v>1</v>
      </c>
      <c r="AJ2490" t="n">
        <v>2</v>
      </c>
      <c r="AK2490" t="n">
        <v>2</v>
      </c>
      <c r="AL2490" t="n">
        <v>1</v>
      </c>
      <c r="AM2490" t="n">
        <v>1</v>
      </c>
      <c r="AN2490" t="n">
        <v>0</v>
      </c>
      <c r="AO2490" t="n">
        <v>0</v>
      </c>
      <c r="AP2490" t="inlineStr">
        <is>
          <t>No</t>
        </is>
      </c>
      <c r="AQ2490" t="inlineStr">
        <is>
          <t>No</t>
        </is>
      </c>
      <c r="AS2490">
        <f>HYPERLINK("https://creighton-primo.hosted.exlibrisgroup.com/primo-explore/search?tab=default_tab&amp;search_scope=EVERYTHING&amp;vid=01CRU&amp;lang=en_US&amp;offset=0&amp;query=any,contains,991000665719702656","Catalog Record")</f>
        <v/>
      </c>
      <c r="AT2490">
        <f>HYPERLINK("http://www.worldcat.org/oclc/12276305","WorldCat Record")</f>
        <v/>
      </c>
      <c r="AU2490" t="inlineStr">
        <is>
          <t>5065058:eng</t>
        </is>
      </c>
      <c r="AV2490" t="inlineStr">
        <is>
          <t>12276305</t>
        </is>
      </c>
      <c r="AW2490" t="inlineStr">
        <is>
          <t>991000665719702656</t>
        </is>
      </c>
      <c r="AX2490" t="inlineStr">
        <is>
          <t>991000665719702656</t>
        </is>
      </c>
      <c r="AY2490" t="inlineStr">
        <is>
          <t>2256222710002656</t>
        </is>
      </c>
      <c r="AZ2490" t="inlineStr">
        <is>
          <t>BOOK</t>
        </is>
      </c>
      <c r="BB2490" t="inlineStr">
        <is>
          <t>9780256031041</t>
        </is>
      </c>
      <c r="BC2490" t="inlineStr">
        <is>
          <t>32285000108315</t>
        </is>
      </c>
      <c r="BD2490" t="inlineStr">
        <is>
          <t>893496453</t>
        </is>
      </c>
    </row>
    <row r="2491">
      <c r="A2491" t="inlineStr">
        <is>
          <t>No</t>
        </is>
      </c>
      <c r="B2491" t="inlineStr">
        <is>
          <t>HQ767.9 .W457 2009</t>
        </is>
      </c>
      <c r="C2491" t="inlineStr">
        <is>
          <t>0                      HQ 0767900W  457         2009</t>
        </is>
      </c>
      <c r="D2491" t="inlineStr">
        <is>
          <t>Childhood in a global perspective / Karen Wells.</t>
        </is>
      </c>
      <c r="F2491" t="inlineStr">
        <is>
          <t>No</t>
        </is>
      </c>
      <c r="G2491" t="inlineStr">
        <is>
          <t>1</t>
        </is>
      </c>
      <c r="H2491" t="inlineStr">
        <is>
          <t>No</t>
        </is>
      </c>
      <c r="I2491" t="inlineStr">
        <is>
          <t>No</t>
        </is>
      </c>
      <c r="J2491" t="inlineStr">
        <is>
          <t>0</t>
        </is>
      </c>
      <c r="K2491" t="inlineStr">
        <is>
          <t>Wells, Karen C.</t>
        </is>
      </c>
      <c r="L2491" t="inlineStr">
        <is>
          <t>Cambridge, UK ; Malden, MA : Polity Press, 2009.</t>
        </is>
      </c>
      <c r="M2491" t="inlineStr">
        <is>
          <t>2009</t>
        </is>
      </c>
      <c r="O2491" t="inlineStr">
        <is>
          <t>eng</t>
        </is>
      </c>
      <c r="P2491" t="inlineStr">
        <is>
          <t>enk</t>
        </is>
      </c>
      <c r="R2491" t="inlineStr">
        <is>
          <t xml:space="preserve">HQ </t>
        </is>
      </c>
      <c r="S2491" t="n">
        <v>1</v>
      </c>
      <c r="T2491" t="n">
        <v>1</v>
      </c>
      <c r="U2491" t="inlineStr">
        <is>
          <t>2010-08-16</t>
        </is>
      </c>
      <c r="V2491" t="inlineStr">
        <is>
          <t>2010-08-16</t>
        </is>
      </c>
      <c r="W2491" t="inlineStr">
        <is>
          <t>2010-08-16</t>
        </is>
      </c>
      <c r="X2491" t="inlineStr">
        <is>
          <t>2010-08-16</t>
        </is>
      </c>
      <c r="Y2491" t="n">
        <v>813</v>
      </c>
      <c r="Z2491" t="n">
        <v>643</v>
      </c>
      <c r="AA2491" t="n">
        <v>744</v>
      </c>
      <c r="AB2491" t="n">
        <v>6</v>
      </c>
      <c r="AC2491" t="n">
        <v>8</v>
      </c>
      <c r="AD2491" t="n">
        <v>31</v>
      </c>
      <c r="AE2491" t="n">
        <v>40</v>
      </c>
      <c r="AF2491" t="n">
        <v>15</v>
      </c>
      <c r="AG2491" t="n">
        <v>18</v>
      </c>
      <c r="AH2491" t="n">
        <v>4</v>
      </c>
      <c r="AI2491" t="n">
        <v>7</v>
      </c>
      <c r="AJ2491" t="n">
        <v>14</v>
      </c>
      <c r="AK2491" t="n">
        <v>18</v>
      </c>
      <c r="AL2491" t="n">
        <v>5</v>
      </c>
      <c r="AM2491" t="n">
        <v>7</v>
      </c>
      <c r="AN2491" t="n">
        <v>0</v>
      </c>
      <c r="AO2491" t="n">
        <v>0</v>
      </c>
      <c r="AP2491" t="inlineStr">
        <is>
          <t>No</t>
        </is>
      </c>
      <c r="AQ2491" t="inlineStr">
        <is>
          <t>No</t>
        </is>
      </c>
      <c r="AS2491">
        <f>HYPERLINK("https://creighton-primo.hosted.exlibrisgroup.com/primo-explore/search?tab=default_tab&amp;search_scope=EVERYTHING&amp;vid=01CRU&amp;lang=en_US&amp;offset=0&amp;query=any,contains,991000044409702656","Catalog Record")</f>
        <v/>
      </c>
      <c r="AT2491">
        <f>HYPERLINK("http://www.worldcat.org/oclc/291391561","WorldCat Record")</f>
        <v/>
      </c>
      <c r="AU2491" t="inlineStr">
        <is>
          <t>173062425:eng</t>
        </is>
      </c>
      <c r="AV2491" t="inlineStr">
        <is>
          <t>291391561</t>
        </is>
      </c>
      <c r="AW2491" t="inlineStr">
        <is>
          <t>991000044409702656</t>
        </is>
      </c>
      <c r="AX2491" t="inlineStr">
        <is>
          <t>991000044409702656</t>
        </is>
      </c>
      <c r="AY2491" t="inlineStr">
        <is>
          <t>2271509090002656</t>
        </is>
      </c>
      <c r="AZ2491" t="inlineStr">
        <is>
          <t>BOOK</t>
        </is>
      </c>
      <c r="BB2491" t="inlineStr">
        <is>
          <t>9780745638362</t>
        </is>
      </c>
      <c r="BC2491" t="inlineStr">
        <is>
          <t>32285005592604</t>
        </is>
      </c>
      <c r="BD2491" t="inlineStr">
        <is>
          <t>893514951</t>
        </is>
      </c>
    </row>
    <row r="2492">
      <c r="A2492" t="inlineStr">
        <is>
          <t>No</t>
        </is>
      </c>
      <c r="B2492" t="inlineStr">
        <is>
          <t>HQ767.9 .Z54 1993</t>
        </is>
      </c>
      <c r="C2492" t="inlineStr">
        <is>
          <t>0                      HQ 0767900Z  54          1993</t>
        </is>
      </c>
      <c r="D2492" t="inlineStr">
        <is>
          <t>Children in a changing world : development and social issues / Edward F. Zigler, Matia Finn Stevenson.</t>
        </is>
      </c>
      <c r="F2492" t="inlineStr">
        <is>
          <t>No</t>
        </is>
      </c>
      <c r="G2492" t="inlineStr">
        <is>
          <t>1</t>
        </is>
      </c>
      <c r="H2492" t="inlineStr">
        <is>
          <t>No</t>
        </is>
      </c>
      <c r="I2492" t="inlineStr">
        <is>
          <t>No</t>
        </is>
      </c>
      <c r="J2492" t="inlineStr">
        <is>
          <t>0</t>
        </is>
      </c>
      <c r="K2492" t="inlineStr">
        <is>
          <t>Zigler, Edward, 1930-2019.</t>
        </is>
      </c>
      <c r="L2492" t="inlineStr">
        <is>
          <t>Pacific Grove, Calif. : Brooks/Cole Pub. Co., c1993.</t>
        </is>
      </c>
      <c r="M2492" t="inlineStr">
        <is>
          <t>1993</t>
        </is>
      </c>
      <c r="N2492" t="inlineStr">
        <is>
          <t>2nd ed.</t>
        </is>
      </c>
      <c r="O2492" t="inlineStr">
        <is>
          <t>eng</t>
        </is>
      </c>
      <c r="P2492" t="inlineStr">
        <is>
          <t>cau</t>
        </is>
      </c>
      <c r="R2492" t="inlineStr">
        <is>
          <t xml:space="preserve">HQ </t>
        </is>
      </c>
      <c r="S2492" t="n">
        <v>16</v>
      </c>
      <c r="T2492" t="n">
        <v>16</v>
      </c>
      <c r="U2492" t="inlineStr">
        <is>
          <t>1999-09-25</t>
        </is>
      </c>
      <c r="V2492" t="inlineStr">
        <is>
          <t>1999-09-25</t>
        </is>
      </c>
      <c r="W2492" t="inlineStr">
        <is>
          <t>1994-07-27</t>
        </is>
      </c>
      <c r="X2492" t="inlineStr">
        <is>
          <t>1994-07-27</t>
        </is>
      </c>
      <c r="Y2492" t="n">
        <v>176</v>
      </c>
      <c r="Z2492" t="n">
        <v>130</v>
      </c>
      <c r="AA2492" t="n">
        <v>139</v>
      </c>
      <c r="AB2492" t="n">
        <v>2</v>
      </c>
      <c r="AC2492" t="n">
        <v>2</v>
      </c>
      <c r="AD2492" t="n">
        <v>4</v>
      </c>
      <c r="AE2492" t="n">
        <v>4</v>
      </c>
      <c r="AF2492" t="n">
        <v>2</v>
      </c>
      <c r="AG2492" t="n">
        <v>2</v>
      </c>
      <c r="AH2492" t="n">
        <v>0</v>
      </c>
      <c r="AI2492" t="n">
        <v>0</v>
      </c>
      <c r="AJ2492" t="n">
        <v>2</v>
      </c>
      <c r="AK2492" t="n">
        <v>2</v>
      </c>
      <c r="AL2492" t="n">
        <v>1</v>
      </c>
      <c r="AM2492" t="n">
        <v>1</v>
      </c>
      <c r="AN2492" t="n">
        <v>0</v>
      </c>
      <c r="AO2492" t="n">
        <v>0</v>
      </c>
      <c r="AP2492" t="inlineStr">
        <is>
          <t>No</t>
        </is>
      </c>
      <c r="AQ2492" t="inlineStr">
        <is>
          <t>No</t>
        </is>
      </c>
      <c r="AS2492">
        <f>HYPERLINK("https://creighton-primo.hosted.exlibrisgroup.com/primo-explore/search?tab=default_tab&amp;search_scope=EVERYTHING&amp;vid=01CRU&amp;lang=en_US&amp;offset=0&amp;query=any,contains,991001966639702656","Catalog Record")</f>
        <v/>
      </c>
      <c r="AT2492">
        <f>HYPERLINK("http://www.worldcat.org/oclc/24912977","WorldCat Record")</f>
        <v/>
      </c>
      <c r="AU2492" t="inlineStr">
        <is>
          <t>26634627:eng</t>
        </is>
      </c>
      <c r="AV2492" t="inlineStr">
        <is>
          <t>24912977</t>
        </is>
      </c>
      <c r="AW2492" t="inlineStr">
        <is>
          <t>991001966639702656</t>
        </is>
      </c>
      <c r="AX2492" t="inlineStr">
        <is>
          <t>991001966639702656</t>
        </is>
      </c>
      <c r="AY2492" t="inlineStr">
        <is>
          <t>2265062760002656</t>
        </is>
      </c>
      <c r="AZ2492" t="inlineStr">
        <is>
          <t>BOOK</t>
        </is>
      </c>
      <c r="BB2492" t="inlineStr">
        <is>
          <t>9780534142384</t>
        </is>
      </c>
      <c r="BC2492" t="inlineStr">
        <is>
          <t>32285001934180</t>
        </is>
      </c>
      <c r="BD2492" t="inlineStr">
        <is>
          <t>893346951</t>
        </is>
      </c>
    </row>
    <row r="2493">
      <c r="A2493" t="inlineStr">
        <is>
          <t>No</t>
        </is>
      </c>
      <c r="B2493" t="inlineStr">
        <is>
          <t>HQ767.9 .Z67 2001</t>
        </is>
      </c>
      <c r="C2493" t="inlineStr">
        <is>
          <t>0                      HQ 0767900Z  67          2001</t>
        </is>
      </c>
      <c r="D2493" t="inlineStr">
        <is>
          <t>Inventing the child : culture, ideology, and the story of childhood / Joseph L. Zornado.</t>
        </is>
      </c>
      <c r="F2493" t="inlineStr">
        <is>
          <t>No</t>
        </is>
      </c>
      <c r="G2493" t="inlineStr">
        <is>
          <t>1</t>
        </is>
      </c>
      <c r="H2493" t="inlineStr">
        <is>
          <t>No</t>
        </is>
      </c>
      <c r="I2493" t="inlineStr">
        <is>
          <t>No</t>
        </is>
      </c>
      <c r="J2493" t="inlineStr">
        <is>
          <t>0</t>
        </is>
      </c>
      <c r="K2493" t="inlineStr">
        <is>
          <t>Zornado, Joseph L.</t>
        </is>
      </c>
      <c r="L2493" t="inlineStr">
        <is>
          <t>New York : Garland Pub., 2001.</t>
        </is>
      </c>
      <c r="M2493" t="inlineStr">
        <is>
          <t>2001</t>
        </is>
      </c>
      <c r="O2493" t="inlineStr">
        <is>
          <t>eng</t>
        </is>
      </c>
      <c r="P2493" t="inlineStr">
        <is>
          <t>nyu</t>
        </is>
      </c>
      <c r="Q2493" t="inlineStr">
        <is>
          <t>Children's literature and culture</t>
        </is>
      </c>
      <c r="R2493" t="inlineStr">
        <is>
          <t xml:space="preserve">HQ </t>
        </is>
      </c>
      <c r="S2493" t="n">
        <v>4</v>
      </c>
      <c r="T2493" t="n">
        <v>4</v>
      </c>
      <c r="U2493" t="inlineStr">
        <is>
          <t>2005-11-08</t>
        </is>
      </c>
      <c r="V2493" t="inlineStr">
        <is>
          <t>2005-11-08</t>
        </is>
      </c>
      <c r="W2493" t="inlineStr">
        <is>
          <t>2002-11-13</t>
        </is>
      </c>
      <c r="X2493" t="inlineStr">
        <is>
          <t>2002-11-13</t>
        </is>
      </c>
      <c r="Y2493" t="n">
        <v>392</v>
      </c>
      <c r="Z2493" t="n">
        <v>319</v>
      </c>
      <c r="AA2493" t="n">
        <v>798</v>
      </c>
      <c r="AB2493" t="n">
        <v>4</v>
      </c>
      <c r="AC2493" t="n">
        <v>29</v>
      </c>
      <c r="AD2493" t="n">
        <v>17</v>
      </c>
      <c r="AE2493" t="n">
        <v>44</v>
      </c>
      <c r="AF2493" t="n">
        <v>6</v>
      </c>
      <c r="AG2493" t="n">
        <v>18</v>
      </c>
      <c r="AH2493" t="n">
        <v>5</v>
      </c>
      <c r="AI2493" t="n">
        <v>8</v>
      </c>
      <c r="AJ2493" t="n">
        <v>7</v>
      </c>
      <c r="AK2493" t="n">
        <v>14</v>
      </c>
      <c r="AL2493" t="n">
        <v>3</v>
      </c>
      <c r="AM2493" t="n">
        <v>14</v>
      </c>
      <c r="AN2493" t="n">
        <v>0</v>
      </c>
      <c r="AO2493" t="n">
        <v>0</v>
      </c>
      <c r="AP2493" t="inlineStr">
        <is>
          <t>No</t>
        </is>
      </c>
      <c r="AQ2493" t="inlineStr">
        <is>
          <t>No</t>
        </is>
      </c>
      <c r="AS2493">
        <f>HYPERLINK("https://creighton-primo.hosted.exlibrisgroup.com/primo-explore/search?tab=default_tab&amp;search_scope=EVERYTHING&amp;vid=01CRU&amp;lang=en_US&amp;offset=0&amp;query=any,contains,991003920789702656","Catalog Record")</f>
        <v/>
      </c>
      <c r="AT2493">
        <f>HYPERLINK("http://www.worldcat.org/oclc/43885498","WorldCat Record")</f>
        <v/>
      </c>
      <c r="AU2493" t="inlineStr">
        <is>
          <t>800159966:eng</t>
        </is>
      </c>
      <c r="AV2493" t="inlineStr">
        <is>
          <t>43885498</t>
        </is>
      </c>
      <c r="AW2493" t="inlineStr">
        <is>
          <t>991003920789702656</t>
        </is>
      </c>
      <c r="AX2493" t="inlineStr">
        <is>
          <t>991003920789702656</t>
        </is>
      </c>
      <c r="AY2493" t="inlineStr">
        <is>
          <t>2255441320002656</t>
        </is>
      </c>
      <c r="AZ2493" t="inlineStr">
        <is>
          <t>BOOK</t>
        </is>
      </c>
      <c r="BB2493" t="inlineStr">
        <is>
          <t>9780815335245</t>
        </is>
      </c>
      <c r="BC2493" t="inlineStr">
        <is>
          <t>32285004663273</t>
        </is>
      </c>
      <c r="BD2493" t="inlineStr">
        <is>
          <t>893705779</t>
        </is>
      </c>
    </row>
    <row r="2494">
      <c r="A2494" t="inlineStr">
        <is>
          <t>No</t>
        </is>
      </c>
      <c r="B2494" t="inlineStr">
        <is>
          <t>HQ767.M37 D4</t>
        </is>
      </c>
      <c r="C2494" t="inlineStr">
        <is>
          <t>0                      HQ 0767000M  37                 D  4</t>
        </is>
      </c>
      <c r="D2494" t="inlineStr">
        <is>
          <t>The death peddlers: war on the unborn.</t>
        </is>
      </c>
      <c r="F2494" t="inlineStr">
        <is>
          <t>No</t>
        </is>
      </c>
      <c r="G2494" t="inlineStr">
        <is>
          <t>1</t>
        </is>
      </c>
      <c r="H2494" t="inlineStr">
        <is>
          <t>Yes</t>
        </is>
      </c>
      <c r="I2494" t="inlineStr">
        <is>
          <t>No</t>
        </is>
      </c>
      <c r="J2494" t="inlineStr">
        <is>
          <t>0</t>
        </is>
      </c>
      <c r="K2494" t="inlineStr">
        <is>
          <t>Marx, Paul.</t>
        </is>
      </c>
      <c r="L2494" t="inlineStr">
        <is>
          <t>Collegeville, Minn., Saint John's University Press [c1971]</t>
        </is>
      </c>
      <c r="M2494" t="inlineStr">
        <is>
          <t>1971</t>
        </is>
      </c>
      <c r="O2494" t="inlineStr">
        <is>
          <t>eng</t>
        </is>
      </c>
      <c r="P2494" t="inlineStr">
        <is>
          <t>mnu</t>
        </is>
      </c>
      <c r="R2494" t="inlineStr">
        <is>
          <t xml:space="preserve">HQ </t>
        </is>
      </c>
      <c r="S2494" t="n">
        <v>1</v>
      </c>
      <c r="T2494" t="n">
        <v>6</v>
      </c>
      <c r="V2494" t="inlineStr">
        <is>
          <t>2000-10-11</t>
        </is>
      </c>
      <c r="W2494" t="inlineStr">
        <is>
          <t>1994-11-09</t>
        </is>
      </c>
      <c r="X2494" t="inlineStr">
        <is>
          <t>1994-11-09</t>
        </is>
      </c>
      <c r="Y2494" t="n">
        <v>284</v>
      </c>
      <c r="Z2494" t="n">
        <v>241</v>
      </c>
      <c r="AA2494" t="n">
        <v>246</v>
      </c>
      <c r="AB2494" t="n">
        <v>4</v>
      </c>
      <c r="AC2494" t="n">
        <v>4</v>
      </c>
      <c r="AD2494" t="n">
        <v>15</v>
      </c>
      <c r="AE2494" t="n">
        <v>15</v>
      </c>
      <c r="AF2494" t="n">
        <v>5</v>
      </c>
      <c r="AG2494" t="n">
        <v>5</v>
      </c>
      <c r="AH2494" t="n">
        <v>3</v>
      </c>
      <c r="AI2494" t="n">
        <v>3</v>
      </c>
      <c r="AJ2494" t="n">
        <v>12</v>
      </c>
      <c r="AK2494" t="n">
        <v>12</v>
      </c>
      <c r="AL2494" t="n">
        <v>0</v>
      </c>
      <c r="AM2494" t="n">
        <v>0</v>
      </c>
      <c r="AN2494" t="n">
        <v>0</v>
      </c>
      <c r="AO2494" t="n">
        <v>0</v>
      </c>
      <c r="AP2494" t="inlineStr">
        <is>
          <t>No</t>
        </is>
      </c>
      <c r="AQ2494" t="inlineStr">
        <is>
          <t>Yes</t>
        </is>
      </c>
      <c r="AR2494">
        <f>HYPERLINK("http://catalog.hathitrust.org/Record/007559118","HathiTrust Record")</f>
        <v/>
      </c>
      <c r="AS2494">
        <f>HYPERLINK("https://creighton-primo.hosted.exlibrisgroup.com/primo-explore/search?tab=default_tab&amp;search_scope=EVERYTHING&amp;vid=01CRU&amp;lang=en_US&amp;offset=0&amp;query=any,contains,991001766749702656","Catalog Record")</f>
        <v/>
      </c>
      <c r="AT2494">
        <f>HYPERLINK("http://www.worldcat.org/oclc/852579","WorldCat Record")</f>
        <v/>
      </c>
      <c r="AU2494" t="inlineStr">
        <is>
          <t>60494899:eng</t>
        </is>
      </c>
      <c r="AV2494" t="inlineStr">
        <is>
          <t>852579</t>
        </is>
      </c>
      <c r="AW2494" t="inlineStr">
        <is>
          <t>991001766749702656</t>
        </is>
      </c>
      <c r="AX2494" t="inlineStr">
        <is>
          <t>991001766749702656</t>
        </is>
      </c>
      <c r="AY2494" t="inlineStr">
        <is>
          <t>2266347380002656</t>
        </is>
      </c>
      <c r="AZ2494" t="inlineStr">
        <is>
          <t>BOOK</t>
        </is>
      </c>
      <c r="BB2494" t="inlineStr">
        <is>
          <t>9780814604014</t>
        </is>
      </c>
      <c r="BC2494" t="inlineStr">
        <is>
          <t>32285001965184</t>
        </is>
      </c>
      <c r="BD2494" t="inlineStr">
        <is>
          <t>893885524</t>
        </is>
      </c>
    </row>
    <row r="2495">
      <c r="A2495" t="inlineStr">
        <is>
          <t>No</t>
        </is>
      </c>
      <c r="B2495" t="inlineStr">
        <is>
          <t>HQ769 .B525</t>
        </is>
      </c>
      <c r="C2495" t="inlineStr">
        <is>
          <t>0                      HQ 0769000B  525</t>
        </is>
      </c>
      <c r="D2495" t="inlineStr">
        <is>
          <t>Love is not enough; the treatment of emotionally disturbed children.</t>
        </is>
      </c>
      <c r="F2495" t="inlineStr">
        <is>
          <t>No</t>
        </is>
      </c>
      <c r="G2495" t="inlineStr">
        <is>
          <t>1</t>
        </is>
      </c>
      <c r="H2495" t="inlineStr">
        <is>
          <t>No</t>
        </is>
      </c>
      <c r="I2495" t="inlineStr">
        <is>
          <t>No</t>
        </is>
      </c>
      <c r="J2495" t="inlineStr">
        <is>
          <t>0</t>
        </is>
      </c>
      <c r="K2495" t="inlineStr">
        <is>
          <t>Bettelheim, Bruno.</t>
        </is>
      </c>
      <c r="L2495" t="inlineStr">
        <is>
          <t>Glencoe, Ill., Free Press [1950]</t>
        </is>
      </c>
      <c r="M2495" t="inlineStr">
        <is>
          <t>1950</t>
        </is>
      </c>
      <c r="O2495" t="inlineStr">
        <is>
          <t>eng</t>
        </is>
      </c>
      <c r="P2495" t="inlineStr">
        <is>
          <t>ilu</t>
        </is>
      </c>
      <c r="R2495" t="inlineStr">
        <is>
          <t xml:space="preserve">HQ </t>
        </is>
      </c>
      <c r="S2495" t="n">
        <v>1</v>
      </c>
      <c r="T2495" t="n">
        <v>1</v>
      </c>
      <c r="U2495" t="inlineStr">
        <is>
          <t>2006-10-26</t>
        </is>
      </c>
      <c r="V2495" t="inlineStr">
        <is>
          <t>2006-10-26</t>
        </is>
      </c>
      <c r="W2495" t="inlineStr">
        <is>
          <t>1997-08-12</t>
        </is>
      </c>
      <c r="X2495" t="inlineStr">
        <is>
          <t>1997-08-12</t>
        </is>
      </c>
      <c r="Y2495" t="n">
        <v>1528</v>
      </c>
      <c r="Z2495" t="n">
        <v>1352</v>
      </c>
      <c r="AA2495" t="n">
        <v>1526</v>
      </c>
      <c r="AB2495" t="n">
        <v>9</v>
      </c>
      <c r="AC2495" t="n">
        <v>11</v>
      </c>
      <c r="AD2495" t="n">
        <v>46</v>
      </c>
      <c r="AE2495" t="n">
        <v>52</v>
      </c>
      <c r="AF2495" t="n">
        <v>21</v>
      </c>
      <c r="AG2495" t="n">
        <v>23</v>
      </c>
      <c r="AH2495" t="n">
        <v>10</v>
      </c>
      <c r="AI2495" t="n">
        <v>10</v>
      </c>
      <c r="AJ2495" t="n">
        <v>21</v>
      </c>
      <c r="AK2495" t="n">
        <v>24</v>
      </c>
      <c r="AL2495" t="n">
        <v>7</v>
      </c>
      <c r="AM2495" t="n">
        <v>8</v>
      </c>
      <c r="AN2495" t="n">
        <v>0</v>
      </c>
      <c r="AO2495" t="n">
        <v>0</v>
      </c>
      <c r="AP2495" t="inlineStr">
        <is>
          <t>No</t>
        </is>
      </c>
      <c r="AQ2495" t="inlineStr">
        <is>
          <t>No</t>
        </is>
      </c>
      <c r="AR2495">
        <f>HYPERLINK("http://catalog.hathitrust.org/Record/001108347","HathiTrust Record")</f>
        <v/>
      </c>
      <c r="AS2495">
        <f>HYPERLINK("https://creighton-primo.hosted.exlibrisgroup.com/primo-explore/search?tab=default_tab&amp;search_scope=EVERYTHING&amp;vid=01CRU&amp;lang=en_US&amp;offset=0&amp;query=any,contains,991005257659702656","Catalog Record")</f>
        <v/>
      </c>
      <c r="AT2495">
        <f>HYPERLINK("http://www.worldcat.org/oclc/260067","WorldCat Record")</f>
        <v/>
      </c>
      <c r="AU2495" t="inlineStr">
        <is>
          <t>452070:eng</t>
        </is>
      </c>
      <c r="AV2495" t="inlineStr">
        <is>
          <t>260067</t>
        </is>
      </c>
      <c r="AW2495" t="inlineStr">
        <is>
          <t>991005257659702656</t>
        </is>
      </c>
      <c r="AX2495" t="inlineStr">
        <is>
          <t>991005257659702656</t>
        </is>
      </c>
      <c r="AY2495" t="inlineStr">
        <is>
          <t>2266170800002656</t>
        </is>
      </c>
      <c r="AZ2495" t="inlineStr">
        <is>
          <t>BOOK</t>
        </is>
      </c>
      <c r="BC2495" t="inlineStr">
        <is>
          <t>32285003100418</t>
        </is>
      </c>
      <c r="BD2495" t="inlineStr">
        <is>
          <t>893688851</t>
        </is>
      </c>
    </row>
    <row r="2496">
      <c r="A2496" t="inlineStr">
        <is>
          <t>No</t>
        </is>
      </c>
      <c r="B2496" t="inlineStr">
        <is>
          <t>HQ769 .C44 1983</t>
        </is>
      </c>
      <c r="C2496" t="inlineStr">
        <is>
          <t>0                      HQ 0769000C  44          1983</t>
        </is>
      </c>
      <c r="D2496" t="inlineStr">
        <is>
          <t>Please don't sit on the kids : alternatives to punitive discipline / Clare Cherry ; photographs by Sam Cherry.</t>
        </is>
      </c>
      <c r="F2496" t="inlineStr">
        <is>
          <t>No</t>
        </is>
      </c>
      <c r="G2496" t="inlineStr">
        <is>
          <t>1</t>
        </is>
      </c>
      <c r="H2496" t="inlineStr">
        <is>
          <t>No</t>
        </is>
      </c>
      <c r="I2496" t="inlineStr">
        <is>
          <t>No</t>
        </is>
      </c>
      <c r="J2496" t="inlineStr">
        <is>
          <t>0</t>
        </is>
      </c>
      <c r="K2496" t="inlineStr">
        <is>
          <t>Cherry, Clare.</t>
        </is>
      </c>
      <c r="L2496" t="inlineStr">
        <is>
          <t>Belmont, Calif. : Pitman Learning, Inc., c1983.</t>
        </is>
      </c>
      <c r="M2496" t="inlineStr">
        <is>
          <t>1983</t>
        </is>
      </c>
      <c r="O2496" t="inlineStr">
        <is>
          <t>eng</t>
        </is>
      </c>
      <c r="P2496" t="inlineStr">
        <is>
          <t>cau</t>
        </is>
      </c>
      <c r="Q2496" t="inlineStr">
        <is>
          <t>Fearon early childhood library</t>
        </is>
      </c>
      <c r="R2496" t="inlineStr">
        <is>
          <t xml:space="preserve">HQ </t>
        </is>
      </c>
      <c r="S2496" t="n">
        <v>17</v>
      </c>
      <c r="T2496" t="n">
        <v>17</v>
      </c>
      <c r="U2496" t="inlineStr">
        <is>
          <t>2000-09-05</t>
        </is>
      </c>
      <c r="V2496" t="inlineStr">
        <is>
          <t>2000-09-05</t>
        </is>
      </c>
      <c r="W2496" t="inlineStr">
        <is>
          <t>1992-01-29</t>
        </is>
      </c>
      <c r="X2496" t="inlineStr">
        <is>
          <t>1992-01-29</t>
        </is>
      </c>
      <c r="Y2496" t="n">
        <v>194</v>
      </c>
      <c r="Z2496" t="n">
        <v>181</v>
      </c>
      <c r="AA2496" t="n">
        <v>388</v>
      </c>
      <c r="AB2496" t="n">
        <v>4</v>
      </c>
      <c r="AC2496" t="n">
        <v>7</v>
      </c>
      <c r="AD2496" t="n">
        <v>4</v>
      </c>
      <c r="AE2496" t="n">
        <v>11</v>
      </c>
      <c r="AF2496" t="n">
        <v>1</v>
      </c>
      <c r="AG2496" t="n">
        <v>4</v>
      </c>
      <c r="AH2496" t="n">
        <v>0</v>
      </c>
      <c r="AI2496" t="n">
        <v>2</v>
      </c>
      <c r="AJ2496" t="n">
        <v>0</v>
      </c>
      <c r="AK2496" t="n">
        <v>1</v>
      </c>
      <c r="AL2496" t="n">
        <v>3</v>
      </c>
      <c r="AM2496" t="n">
        <v>5</v>
      </c>
      <c r="AN2496" t="n">
        <v>0</v>
      </c>
      <c r="AO2496" t="n">
        <v>0</v>
      </c>
      <c r="AP2496" t="inlineStr">
        <is>
          <t>No</t>
        </is>
      </c>
      <c r="AQ2496" t="inlineStr">
        <is>
          <t>No</t>
        </is>
      </c>
      <c r="AS2496">
        <f>HYPERLINK("https://creighton-primo.hosted.exlibrisgroup.com/primo-explore/search?tab=default_tab&amp;search_scope=EVERYTHING&amp;vid=01CRU&amp;lang=en_US&amp;offset=0&amp;query=any,contains,991000155189702656","Catalog Record")</f>
        <v/>
      </c>
      <c r="AT2496">
        <f>HYPERLINK("http://www.worldcat.org/oclc/9223830","WorldCat Record")</f>
        <v/>
      </c>
      <c r="AU2496" t="inlineStr">
        <is>
          <t>3450358:eng</t>
        </is>
      </c>
      <c r="AV2496" t="inlineStr">
        <is>
          <t>9223830</t>
        </is>
      </c>
      <c r="AW2496" t="inlineStr">
        <is>
          <t>991000155189702656</t>
        </is>
      </c>
      <c r="AX2496" t="inlineStr">
        <is>
          <t>991000155189702656</t>
        </is>
      </c>
      <c r="AY2496" t="inlineStr">
        <is>
          <t>2271482540002656</t>
        </is>
      </c>
      <c r="AZ2496" t="inlineStr">
        <is>
          <t>BOOK</t>
        </is>
      </c>
      <c r="BB2496" t="inlineStr">
        <is>
          <t>9780822454748</t>
        </is>
      </c>
      <c r="BC2496" t="inlineStr">
        <is>
          <t>32285000941442</t>
        </is>
      </c>
      <c r="BD2496" t="inlineStr">
        <is>
          <t>893413134</t>
        </is>
      </c>
    </row>
    <row r="2497">
      <c r="A2497" t="inlineStr">
        <is>
          <t>No</t>
        </is>
      </c>
      <c r="B2497" t="inlineStr">
        <is>
          <t>HQ769 .C6323 1992</t>
        </is>
      </c>
      <c r="C2497" t="inlineStr">
        <is>
          <t>0                      HQ 0769000C  6323        1992</t>
        </is>
      </c>
      <c r="D2497" t="inlineStr">
        <is>
          <t>Raising Black children : two leading psychiatrists confront the educational, social, and emotional problems facing Black children / James P. Comer and Alvin F. Poussaint.</t>
        </is>
      </c>
      <c r="F2497" t="inlineStr">
        <is>
          <t>No</t>
        </is>
      </c>
      <c r="G2497" t="inlineStr">
        <is>
          <t>1</t>
        </is>
      </c>
      <c r="H2497" t="inlineStr">
        <is>
          <t>No</t>
        </is>
      </c>
      <c r="I2497" t="inlineStr">
        <is>
          <t>No</t>
        </is>
      </c>
      <c r="J2497" t="inlineStr">
        <is>
          <t>0</t>
        </is>
      </c>
      <c r="K2497" t="inlineStr">
        <is>
          <t>Comer, James P.</t>
        </is>
      </c>
      <c r="L2497" t="inlineStr">
        <is>
          <t>New York, N.Y. : Plume, c1992.</t>
        </is>
      </c>
      <c r="M2497" t="inlineStr">
        <is>
          <t>1992</t>
        </is>
      </c>
      <c r="O2497" t="inlineStr">
        <is>
          <t>eng</t>
        </is>
      </c>
      <c r="P2497" t="inlineStr">
        <is>
          <t>nyu</t>
        </is>
      </c>
      <c r="R2497" t="inlineStr">
        <is>
          <t xml:space="preserve">HQ </t>
        </is>
      </c>
      <c r="S2497" t="n">
        <v>2</v>
      </c>
      <c r="T2497" t="n">
        <v>2</v>
      </c>
      <c r="U2497" t="inlineStr">
        <is>
          <t>2004-03-17</t>
        </is>
      </c>
      <c r="V2497" t="inlineStr">
        <is>
          <t>2004-03-17</t>
        </is>
      </c>
      <c r="W2497" t="inlineStr">
        <is>
          <t>1996-05-21</t>
        </is>
      </c>
      <c r="X2497" t="inlineStr">
        <is>
          <t>1996-05-21</t>
        </is>
      </c>
      <c r="Y2497" t="n">
        <v>914</v>
      </c>
      <c r="Z2497" t="n">
        <v>896</v>
      </c>
      <c r="AA2497" t="n">
        <v>903</v>
      </c>
      <c r="AB2497" t="n">
        <v>7</v>
      </c>
      <c r="AC2497" t="n">
        <v>7</v>
      </c>
      <c r="AD2497" t="n">
        <v>20</v>
      </c>
      <c r="AE2497" t="n">
        <v>20</v>
      </c>
      <c r="AF2497" t="n">
        <v>5</v>
      </c>
      <c r="AG2497" t="n">
        <v>5</v>
      </c>
      <c r="AH2497" t="n">
        <v>6</v>
      </c>
      <c r="AI2497" t="n">
        <v>6</v>
      </c>
      <c r="AJ2497" t="n">
        <v>8</v>
      </c>
      <c r="AK2497" t="n">
        <v>8</v>
      </c>
      <c r="AL2497" t="n">
        <v>5</v>
      </c>
      <c r="AM2497" t="n">
        <v>5</v>
      </c>
      <c r="AN2497" t="n">
        <v>0</v>
      </c>
      <c r="AO2497" t="n">
        <v>0</v>
      </c>
      <c r="AP2497" t="inlineStr">
        <is>
          <t>No</t>
        </is>
      </c>
      <c r="AQ2497" t="inlineStr">
        <is>
          <t>No</t>
        </is>
      </c>
      <c r="AS2497">
        <f>HYPERLINK("https://creighton-primo.hosted.exlibrisgroup.com/primo-explore/search?tab=default_tab&amp;search_scope=EVERYTHING&amp;vid=01CRU&amp;lang=en_US&amp;offset=0&amp;query=any,contains,991002024629702656","Catalog Record")</f>
        <v/>
      </c>
      <c r="AT2497">
        <f>HYPERLINK("http://www.worldcat.org/oclc/25748024","WorldCat Record")</f>
        <v/>
      </c>
      <c r="AU2497" t="inlineStr">
        <is>
          <t>2655755:eng</t>
        </is>
      </c>
      <c r="AV2497" t="inlineStr">
        <is>
          <t>25748024</t>
        </is>
      </c>
      <c r="AW2497" t="inlineStr">
        <is>
          <t>991002024629702656</t>
        </is>
      </c>
      <c r="AX2497" t="inlineStr">
        <is>
          <t>991002024629702656</t>
        </is>
      </c>
      <c r="AY2497" t="inlineStr">
        <is>
          <t>2272152090002656</t>
        </is>
      </c>
      <c r="AZ2497" t="inlineStr">
        <is>
          <t>BOOK</t>
        </is>
      </c>
      <c r="BB2497" t="inlineStr">
        <is>
          <t>9780452268395</t>
        </is>
      </c>
      <c r="BC2497" t="inlineStr">
        <is>
          <t>32285002176385</t>
        </is>
      </c>
      <c r="BD2497" t="inlineStr">
        <is>
          <t>893347024</t>
        </is>
      </c>
    </row>
    <row r="2498">
      <c r="A2498" t="inlineStr">
        <is>
          <t>No</t>
        </is>
      </c>
      <c r="B2498" t="inlineStr">
        <is>
          <t>HQ769 .C6325 1998</t>
        </is>
      </c>
      <c r="C2498" t="inlineStr">
        <is>
          <t>0                      HQ 0769000C  6325        1998</t>
        </is>
      </c>
      <c r="D2498" t="inlineStr">
        <is>
          <t>Waiting for a miracle : why schools can't solve our problems--and how we can / James P. Comer.</t>
        </is>
      </c>
      <c r="F2498" t="inlineStr">
        <is>
          <t>No</t>
        </is>
      </c>
      <c r="G2498" t="inlineStr">
        <is>
          <t>1</t>
        </is>
      </c>
      <c r="H2498" t="inlineStr">
        <is>
          <t>No</t>
        </is>
      </c>
      <c r="I2498" t="inlineStr">
        <is>
          <t>No</t>
        </is>
      </c>
      <c r="J2498" t="inlineStr">
        <is>
          <t>0</t>
        </is>
      </c>
      <c r="K2498" t="inlineStr">
        <is>
          <t>Comer, James P.</t>
        </is>
      </c>
      <c r="L2498" t="inlineStr">
        <is>
          <t>New York, NY : Plume, 1998, c1997.</t>
        </is>
      </c>
      <c r="M2498" t="inlineStr">
        <is>
          <t>1998</t>
        </is>
      </c>
      <c r="O2498" t="inlineStr">
        <is>
          <t>eng</t>
        </is>
      </c>
      <c r="P2498" t="inlineStr">
        <is>
          <t>nyu</t>
        </is>
      </c>
      <c r="R2498" t="inlineStr">
        <is>
          <t xml:space="preserve">HQ </t>
        </is>
      </c>
      <c r="S2498" t="n">
        <v>2</v>
      </c>
      <c r="T2498" t="n">
        <v>2</v>
      </c>
      <c r="U2498" t="inlineStr">
        <is>
          <t>2002-10-10</t>
        </is>
      </c>
      <c r="V2498" t="inlineStr">
        <is>
          <t>2002-10-10</t>
        </is>
      </c>
      <c r="W2498" t="inlineStr">
        <is>
          <t>2002-09-27</t>
        </is>
      </c>
      <c r="X2498" t="inlineStr">
        <is>
          <t>2002-09-27</t>
        </is>
      </c>
      <c r="Y2498" t="n">
        <v>74</v>
      </c>
      <c r="Z2498" t="n">
        <v>72</v>
      </c>
      <c r="AA2498" t="n">
        <v>631</v>
      </c>
      <c r="AB2498" t="n">
        <v>1</v>
      </c>
      <c r="AC2498" t="n">
        <v>7</v>
      </c>
      <c r="AD2498" t="n">
        <v>1</v>
      </c>
      <c r="AE2498" t="n">
        <v>24</v>
      </c>
      <c r="AF2498" t="n">
        <v>1</v>
      </c>
      <c r="AG2498" t="n">
        <v>8</v>
      </c>
      <c r="AH2498" t="n">
        <v>0</v>
      </c>
      <c r="AI2498" t="n">
        <v>3</v>
      </c>
      <c r="AJ2498" t="n">
        <v>0</v>
      </c>
      <c r="AK2498" t="n">
        <v>12</v>
      </c>
      <c r="AL2498" t="n">
        <v>0</v>
      </c>
      <c r="AM2498" t="n">
        <v>6</v>
      </c>
      <c r="AN2498" t="n">
        <v>0</v>
      </c>
      <c r="AO2498" t="n">
        <v>0</v>
      </c>
      <c r="AP2498" t="inlineStr">
        <is>
          <t>No</t>
        </is>
      </c>
      <c r="AQ2498" t="inlineStr">
        <is>
          <t>No</t>
        </is>
      </c>
      <c r="AS2498">
        <f>HYPERLINK("https://creighton-primo.hosted.exlibrisgroup.com/primo-explore/search?tab=default_tab&amp;search_scope=EVERYTHING&amp;vid=01CRU&amp;lang=en_US&amp;offset=0&amp;query=any,contains,991003899659702656","Catalog Record")</f>
        <v/>
      </c>
      <c r="AT2498">
        <f>HYPERLINK("http://www.worldcat.org/oclc/42965552","WorldCat Record")</f>
        <v/>
      </c>
      <c r="AU2498" t="inlineStr">
        <is>
          <t>24126463:eng</t>
        </is>
      </c>
      <c r="AV2498" t="inlineStr">
        <is>
          <t>42965552</t>
        </is>
      </c>
      <c r="AW2498" t="inlineStr">
        <is>
          <t>991003899659702656</t>
        </is>
      </c>
      <c r="AX2498" t="inlineStr">
        <is>
          <t>991003899659702656</t>
        </is>
      </c>
      <c r="AY2498" t="inlineStr">
        <is>
          <t>2259841410002656</t>
        </is>
      </c>
      <c r="AZ2498" t="inlineStr">
        <is>
          <t>BOOK</t>
        </is>
      </c>
      <c r="BB2498" t="inlineStr">
        <is>
          <t>9780452276468</t>
        </is>
      </c>
      <c r="BC2498" t="inlineStr">
        <is>
          <t>32285004654074</t>
        </is>
      </c>
      <c r="BD2498" t="inlineStr">
        <is>
          <t>893627874</t>
        </is>
      </c>
    </row>
    <row r="2499">
      <c r="A2499" t="inlineStr">
        <is>
          <t>No</t>
        </is>
      </c>
      <c r="B2499" t="inlineStr">
        <is>
          <t>HQ769 .C667</t>
        </is>
      </c>
      <c r="C2499" t="inlineStr">
        <is>
          <t>0                      HQ 0769000C  667</t>
        </is>
      </c>
      <c r="D2499" t="inlineStr">
        <is>
          <t>Parenting : strategies and educational methods / John O. Cooper and Denzil Edge.</t>
        </is>
      </c>
      <c r="F2499" t="inlineStr">
        <is>
          <t>No</t>
        </is>
      </c>
      <c r="G2499" t="inlineStr">
        <is>
          <t>1</t>
        </is>
      </c>
      <c r="H2499" t="inlineStr">
        <is>
          <t>No</t>
        </is>
      </c>
      <c r="I2499" t="inlineStr">
        <is>
          <t>No</t>
        </is>
      </c>
      <c r="J2499" t="inlineStr">
        <is>
          <t>0</t>
        </is>
      </c>
      <c r="K2499" t="inlineStr">
        <is>
          <t>Cooper, John O.</t>
        </is>
      </c>
      <c r="L2499" t="inlineStr">
        <is>
          <t>Columbus : C. E. Merrill Pub. Co., 1978.</t>
        </is>
      </c>
      <c r="M2499" t="inlineStr">
        <is>
          <t>1978</t>
        </is>
      </c>
      <c r="O2499" t="inlineStr">
        <is>
          <t>eng</t>
        </is>
      </c>
      <c r="P2499" t="inlineStr">
        <is>
          <t>ohu</t>
        </is>
      </c>
      <c r="Q2499" t="inlineStr">
        <is>
          <t>Merrill series on behavioral techniques for the classroom</t>
        </is>
      </c>
      <c r="R2499" t="inlineStr">
        <is>
          <t xml:space="preserve">HQ </t>
        </is>
      </c>
      <c r="S2499" t="n">
        <v>7</v>
      </c>
      <c r="T2499" t="n">
        <v>7</v>
      </c>
      <c r="U2499" t="inlineStr">
        <is>
          <t>1998-06-12</t>
        </is>
      </c>
      <c r="V2499" t="inlineStr">
        <is>
          <t>1998-06-12</t>
        </is>
      </c>
      <c r="W2499" t="inlineStr">
        <is>
          <t>1992-11-10</t>
        </is>
      </c>
      <c r="X2499" t="inlineStr">
        <is>
          <t>1992-11-10</t>
        </is>
      </c>
      <c r="Y2499" t="n">
        <v>186</v>
      </c>
      <c r="Z2499" t="n">
        <v>158</v>
      </c>
      <c r="AA2499" t="n">
        <v>163</v>
      </c>
      <c r="AB2499" t="n">
        <v>5</v>
      </c>
      <c r="AC2499" t="n">
        <v>5</v>
      </c>
      <c r="AD2499" t="n">
        <v>7</v>
      </c>
      <c r="AE2499" t="n">
        <v>7</v>
      </c>
      <c r="AF2499" t="n">
        <v>2</v>
      </c>
      <c r="AG2499" t="n">
        <v>2</v>
      </c>
      <c r="AH2499" t="n">
        <v>1</v>
      </c>
      <c r="AI2499" t="n">
        <v>1</v>
      </c>
      <c r="AJ2499" t="n">
        <v>3</v>
      </c>
      <c r="AK2499" t="n">
        <v>3</v>
      </c>
      <c r="AL2499" t="n">
        <v>3</v>
      </c>
      <c r="AM2499" t="n">
        <v>3</v>
      </c>
      <c r="AN2499" t="n">
        <v>0</v>
      </c>
      <c r="AO2499" t="n">
        <v>0</v>
      </c>
      <c r="AP2499" t="inlineStr">
        <is>
          <t>No</t>
        </is>
      </c>
      <c r="AQ2499" t="inlineStr">
        <is>
          <t>Yes</t>
        </is>
      </c>
      <c r="AR2499">
        <f>HYPERLINK("http://catalog.hathitrust.org/Record/102013713","HathiTrust Record")</f>
        <v/>
      </c>
      <c r="AS2499">
        <f>HYPERLINK("https://creighton-primo.hosted.exlibrisgroup.com/primo-explore/search?tab=default_tab&amp;search_scope=EVERYTHING&amp;vid=01CRU&amp;lang=en_US&amp;offset=0&amp;query=any,contains,991004560669702656","Catalog Record")</f>
        <v/>
      </c>
      <c r="AT2499">
        <f>HYPERLINK("http://www.worldcat.org/oclc/3998241","WorldCat Record")</f>
        <v/>
      </c>
      <c r="AU2499" t="inlineStr">
        <is>
          <t>14062672:eng</t>
        </is>
      </c>
      <c r="AV2499" t="inlineStr">
        <is>
          <t>3998241</t>
        </is>
      </c>
      <c r="AW2499" t="inlineStr">
        <is>
          <t>991004560669702656</t>
        </is>
      </c>
      <c r="AX2499" t="inlineStr">
        <is>
          <t>991004560669702656</t>
        </is>
      </c>
      <c r="AY2499" t="inlineStr">
        <is>
          <t>2272787240002656</t>
        </is>
      </c>
      <c r="AZ2499" t="inlineStr">
        <is>
          <t>BOOK</t>
        </is>
      </c>
      <c r="BB2499" t="inlineStr">
        <is>
          <t>9780675083843</t>
        </is>
      </c>
      <c r="BC2499" t="inlineStr">
        <is>
          <t>32285001395366</t>
        </is>
      </c>
      <c r="BD2499" t="inlineStr">
        <is>
          <t>893888878</t>
        </is>
      </c>
    </row>
    <row r="2500">
      <c r="A2500" t="inlineStr">
        <is>
          <t>No</t>
        </is>
      </c>
      <c r="B2500" t="inlineStr">
        <is>
          <t>HQ769 .C753 1987</t>
        </is>
      </c>
      <c r="C2500" t="inlineStr">
        <is>
          <t>0                      HQ 0769000C  753         1987</t>
        </is>
      </c>
      <c r="D2500" t="inlineStr">
        <is>
          <t>Growing up American : contemporary children and their society / Joan Costello and Phyllis La Farge.</t>
        </is>
      </c>
      <c r="F2500" t="inlineStr">
        <is>
          <t>No</t>
        </is>
      </c>
      <c r="G2500" t="inlineStr">
        <is>
          <t>1</t>
        </is>
      </c>
      <c r="H2500" t="inlineStr">
        <is>
          <t>No</t>
        </is>
      </c>
      <c r="I2500" t="inlineStr">
        <is>
          <t>No</t>
        </is>
      </c>
      <c r="J2500" t="inlineStr">
        <is>
          <t>0</t>
        </is>
      </c>
      <c r="K2500" t="inlineStr">
        <is>
          <t>Costello, Joan.</t>
        </is>
      </c>
      <c r="L2500" t="inlineStr">
        <is>
          <t>Cambridge, Mass. : Schenkman Pub. Co., 1987.</t>
        </is>
      </c>
      <c r="M2500" t="inlineStr">
        <is>
          <t>1986</t>
        </is>
      </c>
      <c r="O2500" t="inlineStr">
        <is>
          <t>eng</t>
        </is>
      </c>
      <c r="P2500" t="inlineStr">
        <is>
          <t>mau</t>
        </is>
      </c>
      <c r="R2500" t="inlineStr">
        <is>
          <t xml:space="preserve">HQ </t>
        </is>
      </c>
      <c r="S2500" t="n">
        <v>2</v>
      </c>
      <c r="T2500" t="n">
        <v>2</v>
      </c>
      <c r="U2500" t="inlineStr">
        <is>
          <t>1995-10-07</t>
        </is>
      </c>
      <c r="V2500" t="inlineStr">
        <is>
          <t>1995-10-07</t>
        </is>
      </c>
      <c r="W2500" t="inlineStr">
        <is>
          <t>1992-03-03</t>
        </is>
      </c>
      <c r="X2500" t="inlineStr">
        <is>
          <t>1992-03-03</t>
        </is>
      </c>
      <c r="Y2500" t="n">
        <v>184</v>
      </c>
      <c r="Z2500" t="n">
        <v>160</v>
      </c>
      <c r="AA2500" t="n">
        <v>168</v>
      </c>
      <c r="AB2500" t="n">
        <v>2</v>
      </c>
      <c r="AC2500" t="n">
        <v>2</v>
      </c>
      <c r="AD2500" t="n">
        <v>5</v>
      </c>
      <c r="AE2500" t="n">
        <v>5</v>
      </c>
      <c r="AF2500" t="n">
        <v>1</v>
      </c>
      <c r="AG2500" t="n">
        <v>1</v>
      </c>
      <c r="AH2500" t="n">
        <v>1</v>
      </c>
      <c r="AI2500" t="n">
        <v>1</v>
      </c>
      <c r="AJ2500" t="n">
        <v>4</v>
      </c>
      <c r="AK2500" t="n">
        <v>4</v>
      </c>
      <c r="AL2500" t="n">
        <v>1</v>
      </c>
      <c r="AM2500" t="n">
        <v>1</v>
      </c>
      <c r="AN2500" t="n">
        <v>0</v>
      </c>
      <c r="AO2500" t="n">
        <v>0</v>
      </c>
      <c r="AP2500" t="inlineStr">
        <is>
          <t>No</t>
        </is>
      </c>
      <c r="AQ2500" t="inlineStr">
        <is>
          <t>Yes</t>
        </is>
      </c>
      <c r="AR2500">
        <f>HYPERLINK("http://catalog.hathitrust.org/Record/000918732","HathiTrust Record")</f>
        <v/>
      </c>
      <c r="AS2500">
        <f>HYPERLINK("https://creighton-primo.hosted.exlibrisgroup.com/primo-explore/search?tab=default_tab&amp;search_scope=EVERYTHING&amp;vid=01CRU&amp;lang=en_US&amp;offset=0&amp;query=any,contains,991000583959702656","Catalog Record")</f>
        <v/>
      </c>
      <c r="AT2500">
        <f>HYPERLINK("http://www.worldcat.org/oclc/11755564","WorldCat Record")</f>
        <v/>
      </c>
      <c r="AU2500" t="inlineStr">
        <is>
          <t>973207:eng</t>
        </is>
      </c>
      <c r="AV2500" t="inlineStr">
        <is>
          <t>11755564</t>
        </is>
      </c>
      <c r="AW2500" t="inlineStr">
        <is>
          <t>991000583959702656</t>
        </is>
      </c>
      <c r="AX2500" t="inlineStr">
        <is>
          <t>991000583959702656</t>
        </is>
      </c>
      <c r="AY2500" t="inlineStr">
        <is>
          <t>2270600500002656</t>
        </is>
      </c>
      <c r="AZ2500" t="inlineStr">
        <is>
          <t>BOOK</t>
        </is>
      </c>
      <c r="BB2500" t="inlineStr">
        <is>
          <t>9780870733048</t>
        </is>
      </c>
      <c r="BC2500" t="inlineStr">
        <is>
          <t>32285000991199</t>
        </is>
      </c>
      <c r="BD2500" t="inlineStr">
        <is>
          <t>893315069</t>
        </is>
      </c>
    </row>
    <row r="2501">
      <c r="A2501" t="inlineStr">
        <is>
          <t>No</t>
        </is>
      </c>
      <c r="B2501" t="inlineStr">
        <is>
          <t>HQ769 .D225 1995</t>
        </is>
      </c>
      <c r="C2501" t="inlineStr">
        <is>
          <t>0                      HQ 0769000D  225         1995</t>
        </is>
      </c>
      <c r="D2501" t="inlineStr">
        <is>
          <t>Greater expectations : overcoming the culture of indulgence in America's homes and schools / William Damon.</t>
        </is>
      </c>
      <c r="F2501" t="inlineStr">
        <is>
          <t>No</t>
        </is>
      </c>
      <c r="G2501" t="inlineStr">
        <is>
          <t>1</t>
        </is>
      </c>
      <c r="H2501" t="inlineStr">
        <is>
          <t>No</t>
        </is>
      </c>
      <c r="I2501" t="inlineStr">
        <is>
          <t>No</t>
        </is>
      </c>
      <c r="J2501" t="inlineStr">
        <is>
          <t>0</t>
        </is>
      </c>
      <c r="K2501" t="inlineStr">
        <is>
          <t>Damon, William, 1944-</t>
        </is>
      </c>
      <c r="L2501" t="inlineStr">
        <is>
          <t>New York : Free Press, c1995.</t>
        </is>
      </c>
      <c r="M2501" t="inlineStr">
        <is>
          <t>1995</t>
        </is>
      </c>
      <c r="O2501" t="inlineStr">
        <is>
          <t>eng</t>
        </is>
      </c>
      <c r="P2501" t="inlineStr">
        <is>
          <t>nyu</t>
        </is>
      </c>
      <c r="R2501" t="inlineStr">
        <is>
          <t xml:space="preserve">HQ </t>
        </is>
      </c>
      <c r="S2501" t="n">
        <v>9</v>
      </c>
      <c r="T2501" t="n">
        <v>9</v>
      </c>
      <c r="U2501" t="inlineStr">
        <is>
          <t>2007-03-02</t>
        </is>
      </c>
      <c r="V2501" t="inlineStr">
        <is>
          <t>2007-03-02</t>
        </is>
      </c>
      <c r="W2501" t="inlineStr">
        <is>
          <t>1995-11-02</t>
        </is>
      </c>
      <c r="X2501" t="inlineStr">
        <is>
          <t>1995-11-02</t>
        </is>
      </c>
      <c r="Y2501" t="n">
        <v>959</v>
      </c>
      <c r="Z2501" t="n">
        <v>915</v>
      </c>
      <c r="AA2501" t="n">
        <v>1051</v>
      </c>
      <c r="AB2501" t="n">
        <v>9</v>
      </c>
      <c r="AC2501" t="n">
        <v>9</v>
      </c>
      <c r="AD2501" t="n">
        <v>35</v>
      </c>
      <c r="AE2501" t="n">
        <v>42</v>
      </c>
      <c r="AF2501" t="n">
        <v>13</v>
      </c>
      <c r="AG2501" t="n">
        <v>19</v>
      </c>
      <c r="AH2501" t="n">
        <v>6</v>
      </c>
      <c r="AI2501" t="n">
        <v>8</v>
      </c>
      <c r="AJ2501" t="n">
        <v>17</v>
      </c>
      <c r="AK2501" t="n">
        <v>18</v>
      </c>
      <c r="AL2501" t="n">
        <v>7</v>
      </c>
      <c r="AM2501" t="n">
        <v>7</v>
      </c>
      <c r="AN2501" t="n">
        <v>0</v>
      </c>
      <c r="AO2501" t="n">
        <v>0</v>
      </c>
      <c r="AP2501" t="inlineStr">
        <is>
          <t>No</t>
        </is>
      </c>
      <c r="AQ2501" t="inlineStr">
        <is>
          <t>Yes</t>
        </is>
      </c>
      <c r="AR2501">
        <f>HYPERLINK("http://catalog.hathitrust.org/Record/002916404","HathiTrust Record")</f>
        <v/>
      </c>
      <c r="AS2501">
        <f>HYPERLINK("https://creighton-primo.hosted.exlibrisgroup.com/primo-explore/search?tab=default_tab&amp;search_scope=EVERYTHING&amp;vid=01CRU&amp;lang=en_US&amp;offset=0&amp;query=any,contains,991002382809702656","Catalog Record")</f>
        <v/>
      </c>
      <c r="AT2501">
        <f>HYPERLINK("http://www.worldcat.org/oclc/30973267","WorldCat Record")</f>
        <v/>
      </c>
      <c r="AU2501" t="inlineStr">
        <is>
          <t>32915120:eng</t>
        </is>
      </c>
      <c r="AV2501" t="inlineStr">
        <is>
          <t>30973267</t>
        </is>
      </c>
      <c r="AW2501" t="inlineStr">
        <is>
          <t>991002382809702656</t>
        </is>
      </c>
      <c r="AX2501" t="inlineStr">
        <is>
          <t>991002382809702656</t>
        </is>
      </c>
      <c r="AY2501" t="inlineStr">
        <is>
          <t>2260526910002656</t>
        </is>
      </c>
      <c r="AZ2501" t="inlineStr">
        <is>
          <t>BOOK</t>
        </is>
      </c>
      <c r="BC2501" t="inlineStr">
        <is>
          <t>32285002100377</t>
        </is>
      </c>
      <c r="BD2501" t="inlineStr">
        <is>
          <t>893603526</t>
        </is>
      </c>
    </row>
    <row r="2502">
      <c r="A2502" t="inlineStr">
        <is>
          <t>No</t>
        </is>
      </c>
      <c r="B2502" t="inlineStr">
        <is>
          <t>HQ769 .D474</t>
        </is>
      </c>
      <c r="C2502" t="inlineStr">
        <is>
          <t>0                      HQ 0769000D  474</t>
        </is>
      </c>
      <c r="D2502" t="inlineStr">
        <is>
          <t>Raising a responsible child: practical steps to successful family relationships [by] Don Dinkmeyer and Gary D. McKay.</t>
        </is>
      </c>
      <c r="F2502" t="inlineStr">
        <is>
          <t>No</t>
        </is>
      </c>
      <c r="G2502" t="inlineStr">
        <is>
          <t>1</t>
        </is>
      </c>
      <c r="H2502" t="inlineStr">
        <is>
          <t>No</t>
        </is>
      </c>
      <c r="I2502" t="inlineStr">
        <is>
          <t>No</t>
        </is>
      </c>
      <c r="J2502" t="inlineStr">
        <is>
          <t>0</t>
        </is>
      </c>
      <c r="K2502" t="inlineStr">
        <is>
          <t>Dinkmeyer, Don C.</t>
        </is>
      </c>
      <c r="L2502" t="inlineStr">
        <is>
          <t>New York, Simon and Schuster [1973]</t>
        </is>
      </c>
      <c r="M2502" t="inlineStr">
        <is>
          <t>1973</t>
        </is>
      </c>
      <c r="O2502" t="inlineStr">
        <is>
          <t>eng</t>
        </is>
      </c>
      <c r="P2502" t="inlineStr">
        <is>
          <t>nyu</t>
        </is>
      </c>
      <c r="R2502" t="inlineStr">
        <is>
          <t xml:space="preserve">HQ </t>
        </is>
      </c>
      <c r="S2502" t="n">
        <v>2</v>
      </c>
      <c r="T2502" t="n">
        <v>2</v>
      </c>
      <c r="U2502" t="inlineStr">
        <is>
          <t>1998-06-12</t>
        </is>
      </c>
      <c r="V2502" t="inlineStr">
        <is>
          <t>1998-06-12</t>
        </is>
      </c>
      <c r="W2502" t="inlineStr">
        <is>
          <t>1997-08-13</t>
        </is>
      </c>
      <c r="X2502" t="inlineStr">
        <is>
          <t>1997-08-13</t>
        </is>
      </c>
      <c r="Y2502" t="n">
        <v>613</v>
      </c>
      <c r="Z2502" t="n">
        <v>566</v>
      </c>
      <c r="AA2502" t="n">
        <v>652</v>
      </c>
      <c r="AB2502" t="n">
        <v>6</v>
      </c>
      <c r="AC2502" t="n">
        <v>7</v>
      </c>
      <c r="AD2502" t="n">
        <v>14</v>
      </c>
      <c r="AE2502" t="n">
        <v>15</v>
      </c>
      <c r="AF2502" t="n">
        <v>7</v>
      </c>
      <c r="AG2502" t="n">
        <v>8</v>
      </c>
      <c r="AH2502" t="n">
        <v>3</v>
      </c>
      <c r="AI2502" t="n">
        <v>3</v>
      </c>
      <c r="AJ2502" t="n">
        <v>5</v>
      </c>
      <c r="AK2502" t="n">
        <v>6</v>
      </c>
      <c r="AL2502" t="n">
        <v>2</v>
      </c>
      <c r="AM2502" t="n">
        <v>2</v>
      </c>
      <c r="AN2502" t="n">
        <v>0</v>
      </c>
      <c r="AO2502" t="n">
        <v>0</v>
      </c>
      <c r="AP2502" t="inlineStr">
        <is>
          <t>No</t>
        </is>
      </c>
      <c r="AQ2502" t="inlineStr">
        <is>
          <t>No</t>
        </is>
      </c>
      <c r="AS2502">
        <f>HYPERLINK("https://creighton-primo.hosted.exlibrisgroup.com/primo-explore/search?tab=default_tab&amp;search_scope=EVERYTHING&amp;vid=01CRU&amp;lang=en_US&amp;offset=0&amp;query=any,contains,991003065659702656","Catalog Record")</f>
        <v/>
      </c>
      <c r="AT2502">
        <f>HYPERLINK("http://www.worldcat.org/oclc/622035","WorldCat Record")</f>
        <v/>
      </c>
      <c r="AU2502" t="inlineStr">
        <is>
          <t>1693174:eng</t>
        </is>
      </c>
      <c r="AV2502" t="inlineStr">
        <is>
          <t>622035</t>
        </is>
      </c>
      <c r="AW2502" t="inlineStr">
        <is>
          <t>991003065659702656</t>
        </is>
      </c>
      <c r="AX2502" t="inlineStr">
        <is>
          <t>991003065659702656</t>
        </is>
      </c>
      <c r="AY2502" t="inlineStr">
        <is>
          <t>2257125990002656</t>
        </is>
      </c>
      <c r="AZ2502" t="inlineStr">
        <is>
          <t>BOOK</t>
        </is>
      </c>
      <c r="BB2502" t="inlineStr">
        <is>
          <t>9780671214456</t>
        </is>
      </c>
      <c r="BC2502" t="inlineStr">
        <is>
          <t>32285003100525</t>
        </is>
      </c>
      <c r="BD2502" t="inlineStr">
        <is>
          <t>893780574</t>
        </is>
      </c>
    </row>
    <row r="2503">
      <c r="A2503" t="inlineStr">
        <is>
          <t>No</t>
        </is>
      </c>
      <c r="B2503" t="inlineStr">
        <is>
          <t>HQ769 .D58</t>
        </is>
      </c>
      <c r="C2503" t="inlineStr">
        <is>
          <t>0                      HQ 0769000D  58</t>
        </is>
      </c>
      <c r="D2503" t="inlineStr">
        <is>
          <t>Dare to discipline.</t>
        </is>
      </c>
      <c r="F2503" t="inlineStr">
        <is>
          <t>No</t>
        </is>
      </c>
      <c r="G2503" t="inlineStr">
        <is>
          <t>1</t>
        </is>
      </c>
      <c r="H2503" t="inlineStr">
        <is>
          <t>No</t>
        </is>
      </c>
      <c r="I2503" t="inlineStr">
        <is>
          <t>No</t>
        </is>
      </c>
      <c r="J2503" t="inlineStr">
        <is>
          <t>0</t>
        </is>
      </c>
      <c r="K2503" t="inlineStr">
        <is>
          <t>Dobson, James C., 1936-</t>
        </is>
      </c>
      <c r="L2503" t="inlineStr">
        <is>
          <t>Wheaton, Ill. : Tyndale House Publishers, [1970]</t>
        </is>
      </c>
      <c r="M2503" t="inlineStr">
        <is>
          <t>1970</t>
        </is>
      </c>
      <c r="O2503" t="inlineStr">
        <is>
          <t>eng</t>
        </is>
      </c>
      <c r="P2503" t="inlineStr">
        <is>
          <t>ilu</t>
        </is>
      </c>
      <c r="R2503" t="inlineStr">
        <is>
          <t xml:space="preserve">HQ </t>
        </is>
      </c>
      <c r="S2503" t="n">
        <v>21</v>
      </c>
      <c r="T2503" t="n">
        <v>21</v>
      </c>
      <c r="U2503" t="inlineStr">
        <is>
          <t>2002-06-17</t>
        </is>
      </c>
      <c r="V2503" t="inlineStr">
        <is>
          <t>2002-06-17</t>
        </is>
      </c>
      <c r="W2503" t="inlineStr">
        <is>
          <t>1993-11-15</t>
        </is>
      </c>
      <c r="X2503" t="inlineStr">
        <is>
          <t>1993-11-15</t>
        </is>
      </c>
      <c r="Y2503" t="n">
        <v>1117</v>
      </c>
      <c r="Z2503" t="n">
        <v>1048</v>
      </c>
      <c r="AA2503" t="n">
        <v>1566</v>
      </c>
      <c r="AB2503" t="n">
        <v>8</v>
      </c>
      <c r="AC2503" t="n">
        <v>18</v>
      </c>
      <c r="AD2503" t="n">
        <v>13</v>
      </c>
      <c r="AE2503" t="n">
        <v>16</v>
      </c>
      <c r="AF2503" t="n">
        <v>7</v>
      </c>
      <c r="AG2503" t="n">
        <v>9</v>
      </c>
      <c r="AH2503" t="n">
        <v>2</v>
      </c>
      <c r="AI2503" t="n">
        <v>3</v>
      </c>
      <c r="AJ2503" t="n">
        <v>4</v>
      </c>
      <c r="AK2503" t="n">
        <v>5</v>
      </c>
      <c r="AL2503" t="n">
        <v>1</v>
      </c>
      <c r="AM2503" t="n">
        <v>2</v>
      </c>
      <c r="AN2503" t="n">
        <v>0</v>
      </c>
      <c r="AO2503" t="n">
        <v>0</v>
      </c>
      <c r="AP2503" t="inlineStr">
        <is>
          <t>No</t>
        </is>
      </c>
      <c r="AQ2503" t="inlineStr">
        <is>
          <t>No</t>
        </is>
      </c>
      <c r="AS2503">
        <f>HYPERLINK("https://creighton-primo.hosted.exlibrisgroup.com/primo-explore/search?tab=default_tab&amp;search_scope=EVERYTHING&amp;vid=01CRU&amp;lang=en_US&amp;offset=0&amp;query=any,contains,991000803329702656","Catalog Record")</f>
        <v/>
      </c>
      <c r="AT2503">
        <f>HYPERLINK("http://www.worldcat.org/oclc/139829","WorldCat Record")</f>
        <v/>
      </c>
      <c r="AU2503" t="inlineStr">
        <is>
          <t>506151:eng</t>
        </is>
      </c>
      <c r="AV2503" t="inlineStr">
        <is>
          <t>139829</t>
        </is>
      </c>
      <c r="AW2503" t="inlineStr">
        <is>
          <t>991000803329702656</t>
        </is>
      </c>
      <c r="AX2503" t="inlineStr">
        <is>
          <t>991000803329702656</t>
        </is>
      </c>
      <c r="AY2503" t="inlineStr">
        <is>
          <t>2261315370002656</t>
        </is>
      </c>
      <c r="AZ2503" t="inlineStr">
        <is>
          <t>BOOK</t>
        </is>
      </c>
      <c r="BB2503" t="inlineStr">
        <is>
          <t>9780842306300</t>
        </is>
      </c>
      <c r="BC2503" t="inlineStr">
        <is>
          <t>32285001798528</t>
        </is>
      </c>
      <c r="BD2503" t="inlineStr">
        <is>
          <t>893778254</t>
        </is>
      </c>
    </row>
    <row r="2504">
      <c r="A2504" t="inlineStr">
        <is>
          <t>No</t>
        </is>
      </c>
      <c r="B2504" t="inlineStr">
        <is>
          <t>HQ769 .D58 1992</t>
        </is>
      </c>
      <c r="C2504" t="inlineStr">
        <is>
          <t>0                      HQ 0769000D  58          1992</t>
        </is>
      </c>
      <c r="D2504" t="inlineStr">
        <is>
          <t>The new Dare to discipline / James Dobson.</t>
        </is>
      </c>
      <c r="F2504" t="inlineStr">
        <is>
          <t>No</t>
        </is>
      </c>
      <c r="G2504" t="inlineStr">
        <is>
          <t>1</t>
        </is>
      </c>
      <c r="H2504" t="inlineStr">
        <is>
          <t>No</t>
        </is>
      </c>
      <c r="I2504" t="inlineStr">
        <is>
          <t>No</t>
        </is>
      </c>
      <c r="J2504" t="inlineStr">
        <is>
          <t>0</t>
        </is>
      </c>
      <c r="K2504" t="inlineStr">
        <is>
          <t>Dobson, James C., 1936-</t>
        </is>
      </c>
      <c r="L2504" t="inlineStr">
        <is>
          <t>Wheaton, Ill. : Tyndale House Publishers, c1992.</t>
        </is>
      </c>
      <c r="M2504" t="inlineStr">
        <is>
          <t>1992</t>
        </is>
      </c>
      <c r="O2504" t="inlineStr">
        <is>
          <t>eng</t>
        </is>
      </c>
      <c r="P2504" t="inlineStr">
        <is>
          <t>ilu</t>
        </is>
      </c>
      <c r="R2504" t="inlineStr">
        <is>
          <t xml:space="preserve">HQ </t>
        </is>
      </c>
      <c r="S2504" t="n">
        <v>28</v>
      </c>
      <c r="T2504" t="n">
        <v>28</v>
      </c>
      <c r="U2504" t="inlineStr">
        <is>
          <t>2006-10-26</t>
        </is>
      </c>
      <c r="V2504" t="inlineStr">
        <is>
          <t>2006-10-26</t>
        </is>
      </c>
      <c r="W2504" t="inlineStr">
        <is>
          <t>1996-08-14</t>
        </is>
      </c>
      <c r="X2504" t="inlineStr">
        <is>
          <t>1996-08-14</t>
        </is>
      </c>
      <c r="Y2504" t="n">
        <v>1509</v>
      </c>
      <c r="Z2504" t="n">
        <v>1438</v>
      </c>
      <c r="AA2504" t="n">
        <v>1707</v>
      </c>
      <c r="AB2504" t="n">
        <v>22</v>
      </c>
      <c r="AC2504" t="n">
        <v>28</v>
      </c>
      <c r="AD2504" t="n">
        <v>12</v>
      </c>
      <c r="AE2504" t="n">
        <v>16</v>
      </c>
      <c r="AF2504" t="n">
        <v>4</v>
      </c>
      <c r="AG2504" t="n">
        <v>6</v>
      </c>
      <c r="AH2504" t="n">
        <v>2</v>
      </c>
      <c r="AI2504" t="n">
        <v>4</v>
      </c>
      <c r="AJ2504" t="n">
        <v>3</v>
      </c>
      <c r="AK2504" t="n">
        <v>4</v>
      </c>
      <c r="AL2504" t="n">
        <v>5</v>
      </c>
      <c r="AM2504" t="n">
        <v>6</v>
      </c>
      <c r="AN2504" t="n">
        <v>0</v>
      </c>
      <c r="AO2504" t="n">
        <v>0</v>
      </c>
      <c r="AP2504" t="inlineStr">
        <is>
          <t>No</t>
        </is>
      </c>
      <c r="AQ2504" t="inlineStr">
        <is>
          <t>No</t>
        </is>
      </c>
      <c r="AS2504">
        <f>HYPERLINK("https://creighton-primo.hosted.exlibrisgroup.com/primo-explore/search?tab=default_tab&amp;search_scope=EVERYTHING&amp;vid=01CRU&amp;lang=en_US&amp;offset=0&amp;query=any,contains,991002038179702656","Catalog Record")</f>
        <v/>
      </c>
      <c r="AT2504">
        <f>HYPERLINK("http://www.worldcat.org/oclc/26012345","WorldCat Record")</f>
        <v/>
      </c>
      <c r="AU2504" t="inlineStr">
        <is>
          <t>3901012160:eng</t>
        </is>
      </c>
      <c r="AV2504" t="inlineStr">
        <is>
          <t>26012345</t>
        </is>
      </c>
      <c r="AW2504" t="inlineStr">
        <is>
          <t>991002038179702656</t>
        </is>
      </c>
      <c r="AX2504" t="inlineStr">
        <is>
          <t>991002038179702656</t>
        </is>
      </c>
      <c r="AY2504" t="inlineStr">
        <is>
          <t>2261136260002656</t>
        </is>
      </c>
      <c r="AZ2504" t="inlineStr">
        <is>
          <t>BOOK</t>
        </is>
      </c>
      <c r="BB2504" t="inlineStr">
        <is>
          <t>9780842305068</t>
        </is>
      </c>
      <c r="BC2504" t="inlineStr">
        <is>
          <t>32285002290079</t>
        </is>
      </c>
      <c r="BD2504" t="inlineStr">
        <is>
          <t>893873022</t>
        </is>
      </c>
    </row>
    <row r="2505">
      <c r="A2505" t="inlineStr">
        <is>
          <t>No</t>
        </is>
      </c>
      <c r="B2505" t="inlineStr">
        <is>
          <t>HQ769 .E355 1993</t>
        </is>
      </c>
      <c r="C2505" t="inlineStr">
        <is>
          <t>0                      HQ 0769000E  355         1993</t>
        </is>
      </c>
      <c r="D2505" t="inlineStr">
        <is>
          <t>The measure of our success : a letter to my children and yours / Marian Wright Edelman.</t>
        </is>
      </c>
      <c r="F2505" t="inlineStr">
        <is>
          <t>No</t>
        </is>
      </c>
      <c r="G2505" t="inlineStr">
        <is>
          <t>1</t>
        </is>
      </c>
      <c r="H2505" t="inlineStr">
        <is>
          <t>No</t>
        </is>
      </c>
      <c r="I2505" t="inlineStr">
        <is>
          <t>No</t>
        </is>
      </c>
      <c r="J2505" t="inlineStr">
        <is>
          <t>0</t>
        </is>
      </c>
      <c r="K2505" t="inlineStr">
        <is>
          <t>Edelman, Marian Wright.</t>
        </is>
      </c>
      <c r="L2505" t="inlineStr">
        <is>
          <t>New York : HarperPerennial, 1993.</t>
        </is>
      </c>
      <c r="M2505" t="inlineStr">
        <is>
          <t>1993</t>
        </is>
      </c>
      <c r="N2505" t="inlineStr">
        <is>
          <t>1st HarperPerennial ed.</t>
        </is>
      </c>
      <c r="O2505" t="inlineStr">
        <is>
          <t>eng</t>
        </is>
      </c>
      <c r="P2505" t="inlineStr">
        <is>
          <t>nyu</t>
        </is>
      </c>
      <c r="R2505" t="inlineStr">
        <is>
          <t xml:space="preserve">HQ </t>
        </is>
      </c>
      <c r="S2505" t="n">
        <v>12</v>
      </c>
      <c r="T2505" t="n">
        <v>12</v>
      </c>
      <c r="U2505" t="inlineStr">
        <is>
          <t>2005-08-25</t>
        </is>
      </c>
      <c r="V2505" t="inlineStr">
        <is>
          <t>2005-08-25</t>
        </is>
      </c>
      <c r="W2505" t="inlineStr">
        <is>
          <t>1996-02-14</t>
        </is>
      </c>
      <c r="X2505" t="inlineStr">
        <is>
          <t>1996-02-14</t>
        </is>
      </c>
      <c r="Y2505" t="n">
        <v>424</v>
      </c>
      <c r="Z2505" t="n">
        <v>412</v>
      </c>
      <c r="AA2505" t="n">
        <v>1910</v>
      </c>
      <c r="AB2505" t="n">
        <v>5</v>
      </c>
      <c r="AC2505" t="n">
        <v>16</v>
      </c>
      <c r="AD2505" t="n">
        <v>7</v>
      </c>
      <c r="AE2505" t="n">
        <v>36</v>
      </c>
      <c r="AF2505" t="n">
        <v>4</v>
      </c>
      <c r="AG2505" t="n">
        <v>14</v>
      </c>
      <c r="AH2505" t="n">
        <v>0</v>
      </c>
      <c r="AI2505" t="n">
        <v>5</v>
      </c>
      <c r="AJ2505" t="n">
        <v>3</v>
      </c>
      <c r="AK2505" t="n">
        <v>14</v>
      </c>
      <c r="AL2505" t="n">
        <v>1</v>
      </c>
      <c r="AM2505" t="n">
        <v>6</v>
      </c>
      <c r="AN2505" t="n">
        <v>0</v>
      </c>
      <c r="AO2505" t="n">
        <v>3</v>
      </c>
      <c r="AP2505" t="inlineStr">
        <is>
          <t>No</t>
        </is>
      </c>
      <c r="AQ2505" t="inlineStr">
        <is>
          <t>No</t>
        </is>
      </c>
      <c r="AS2505">
        <f>HYPERLINK("https://creighton-primo.hosted.exlibrisgroup.com/primo-explore/search?tab=default_tab&amp;search_scope=EVERYTHING&amp;vid=01CRU&amp;lang=en_US&amp;offset=0&amp;query=any,contains,991002124449702656","Catalog Record")</f>
        <v/>
      </c>
      <c r="AT2505">
        <f>HYPERLINK("http://www.worldcat.org/oclc/27216533","WorldCat Record")</f>
        <v/>
      </c>
      <c r="AU2505" t="inlineStr">
        <is>
          <t>325617:eng</t>
        </is>
      </c>
      <c r="AV2505" t="inlineStr">
        <is>
          <t>27216533</t>
        </is>
      </c>
      <c r="AW2505" t="inlineStr">
        <is>
          <t>991002124449702656</t>
        </is>
      </c>
      <c r="AX2505" t="inlineStr">
        <is>
          <t>991002124449702656</t>
        </is>
      </c>
      <c r="AY2505" t="inlineStr">
        <is>
          <t>2272185090002656</t>
        </is>
      </c>
      <c r="AZ2505" t="inlineStr">
        <is>
          <t>BOOK</t>
        </is>
      </c>
      <c r="BB2505" t="inlineStr">
        <is>
          <t>9780060975463</t>
        </is>
      </c>
      <c r="BC2505" t="inlineStr">
        <is>
          <t>32285002135571</t>
        </is>
      </c>
      <c r="BD2505" t="inlineStr">
        <is>
          <t>893590938</t>
        </is>
      </c>
    </row>
    <row r="2506">
      <c r="A2506" t="inlineStr">
        <is>
          <t>No</t>
        </is>
      </c>
      <c r="B2506" t="inlineStr">
        <is>
          <t>HQ769 .E513 1997</t>
        </is>
      </c>
      <c r="C2506" t="inlineStr">
        <is>
          <t>0                      HQ 0769000E  513         1997</t>
        </is>
      </c>
      <c r="D2506" t="inlineStr">
        <is>
          <t>Spoiling childhood : how well-meaning parents are giving children too much--but not what they need / Diane Ehrensaft ; foreword by Lillian B. Rubin.</t>
        </is>
      </c>
      <c r="F2506" t="inlineStr">
        <is>
          <t>No</t>
        </is>
      </c>
      <c r="G2506" t="inlineStr">
        <is>
          <t>1</t>
        </is>
      </c>
      <c r="H2506" t="inlineStr">
        <is>
          <t>No</t>
        </is>
      </c>
      <c r="I2506" t="inlineStr">
        <is>
          <t>No</t>
        </is>
      </c>
      <c r="J2506" t="inlineStr">
        <is>
          <t>0</t>
        </is>
      </c>
      <c r="K2506" t="inlineStr">
        <is>
          <t>Ehrensaft, Diane.</t>
        </is>
      </c>
      <c r="L2506" t="inlineStr">
        <is>
          <t>New York : Guilford Press, c1997.</t>
        </is>
      </c>
      <c r="M2506" t="inlineStr">
        <is>
          <t>1997</t>
        </is>
      </c>
      <c r="O2506" t="inlineStr">
        <is>
          <t>eng</t>
        </is>
      </c>
      <c r="P2506" t="inlineStr">
        <is>
          <t>nyu</t>
        </is>
      </c>
      <c r="R2506" t="inlineStr">
        <is>
          <t xml:space="preserve">HQ </t>
        </is>
      </c>
      <c r="S2506" t="n">
        <v>5</v>
      </c>
      <c r="T2506" t="n">
        <v>5</v>
      </c>
      <c r="U2506" t="inlineStr">
        <is>
          <t>2000-08-28</t>
        </is>
      </c>
      <c r="V2506" t="inlineStr">
        <is>
          <t>2000-08-28</t>
        </is>
      </c>
      <c r="W2506" t="inlineStr">
        <is>
          <t>1998-03-16</t>
        </is>
      </c>
      <c r="X2506" t="inlineStr">
        <is>
          <t>1998-03-16</t>
        </is>
      </c>
      <c r="Y2506" t="n">
        <v>837</v>
      </c>
      <c r="Z2506" t="n">
        <v>751</v>
      </c>
      <c r="AA2506" t="n">
        <v>756</v>
      </c>
      <c r="AB2506" t="n">
        <v>5</v>
      </c>
      <c r="AC2506" t="n">
        <v>5</v>
      </c>
      <c r="AD2506" t="n">
        <v>11</v>
      </c>
      <c r="AE2506" t="n">
        <v>11</v>
      </c>
      <c r="AF2506" t="n">
        <v>4</v>
      </c>
      <c r="AG2506" t="n">
        <v>4</v>
      </c>
      <c r="AH2506" t="n">
        <v>1</v>
      </c>
      <c r="AI2506" t="n">
        <v>1</v>
      </c>
      <c r="AJ2506" t="n">
        <v>4</v>
      </c>
      <c r="AK2506" t="n">
        <v>4</v>
      </c>
      <c r="AL2506" t="n">
        <v>3</v>
      </c>
      <c r="AM2506" t="n">
        <v>3</v>
      </c>
      <c r="AN2506" t="n">
        <v>0</v>
      </c>
      <c r="AO2506" t="n">
        <v>0</v>
      </c>
      <c r="AP2506" t="inlineStr">
        <is>
          <t>No</t>
        </is>
      </c>
      <c r="AQ2506" t="inlineStr">
        <is>
          <t>No</t>
        </is>
      </c>
      <c r="AS2506">
        <f>HYPERLINK("https://creighton-primo.hosted.exlibrisgroup.com/primo-explore/search?tab=default_tab&amp;search_scope=EVERYTHING&amp;vid=01CRU&amp;lang=en_US&amp;offset=0&amp;query=any,contains,991002800989702656","Catalog Record")</f>
        <v/>
      </c>
      <c r="AT2506">
        <f>HYPERLINK("http://www.worldcat.org/oclc/36798240","WorldCat Record")</f>
        <v/>
      </c>
      <c r="AU2506" t="inlineStr">
        <is>
          <t>836946866:eng</t>
        </is>
      </c>
      <c r="AV2506" t="inlineStr">
        <is>
          <t>36798240</t>
        </is>
      </c>
      <c r="AW2506" t="inlineStr">
        <is>
          <t>991002800989702656</t>
        </is>
      </c>
      <c r="AX2506" t="inlineStr">
        <is>
          <t>991002800989702656</t>
        </is>
      </c>
      <c r="AY2506" t="inlineStr">
        <is>
          <t>2256935620002656</t>
        </is>
      </c>
      <c r="AZ2506" t="inlineStr">
        <is>
          <t>BOOK</t>
        </is>
      </c>
      <c r="BB2506" t="inlineStr">
        <is>
          <t>9781572302112</t>
        </is>
      </c>
      <c r="BC2506" t="inlineStr">
        <is>
          <t>32285003358073</t>
        </is>
      </c>
      <c r="BD2506" t="inlineStr">
        <is>
          <t>893622750</t>
        </is>
      </c>
    </row>
    <row r="2507">
      <c r="A2507" t="inlineStr">
        <is>
          <t>No</t>
        </is>
      </c>
      <c r="B2507" t="inlineStr">
        <is>
          <t>HQ769 .G258 1995</t>
        </is>
      </c>
      <c r="C2507" t="inlineStr">
        <is>
          <t>0                      HQ 0769000G  258         1995</t>
        </is>
      </c>
      <c r="D2507" t="inlineStr">
        <is>
          <t>Raising children in a socially toxic environment / James Garbarino.</t>
        </is>
      </c>
      <c r="F2507" t="inlineStr">
        <is>
          <t>No</t>
        </is>
      </c>
      <c r="G2507" t="inlineStr">
        <is>
          <t>1</t>
        </is>
      </c>
      <c r="H2507" t="inlineStr">
        <is>
          <t>No</t>
        </is>
      </c>
      <c r="I2507" t="inlineStr">
        <is>
          <t>No</t>
        </is>
      </c>
      <c r="J2507" t="inlineStr">
        <is>
          <t>0</t>
        </is>
      </c>
      <c r="K2507" t="inlineStr">
        <is>
          <t>Garbarino, James.</t>
        </is>
      </c>
      <c r="L2507" t="inlineStr">
        <is>
          <t>San Francisco : Jossey-Bass, 1995.</t>
        </is>
      </c>
      <c r="M2507" t="inlineStr">
        <is>
          <t>1995</t>
        </is>
      </c>
      <c r="N2507" t="inlineStr">
        <is>
          <t>1st ed.</t>
        </is>
      </c>
      <c r="O2507" t="inlineStr">
        <is>
          <t>eng</t>
        </is>
      </c>
      <c r="P2507" t="inlineStr">
        <is>
          <t>cau</t>
        </is>
      </c>
      <c r="R2507" t="inlineStr">
        <is>
          <t xml:space="preserve">HQ </t>
        </is>
      </c>
      <c r="S2507" t="n">
        <v>19</v>
      </c>
      <c r="T2507" t="n">
        <v>19</v>
      </c>
      <c r="U2507" t="inlineStr">
        <is>
          <t>2007-03-29</t>
        </is>
      </c>
      <c r="V2507" t="inlineStr">
        <is>
          <t>2007-03-29</t>
        </is>
      </c>
      <c r="W2507" t="inlineStr">
        <is>
          <t>1996-04-03</t>
        </is>
      </c>
      <c r="X2507" t="inlineStr">
        <is>
          <t>1996-04-03</t>
        </is>
      </c>
      <c r="Y2507" t="n">
        <v>491</v>
      </c>
      <c r="Z2507" t="n">
        <v>409</v>
      </c>
      <c r="AA2507" t="n">
        <v>513</v>
      </c>
      <c r="AB2507" t="n">
        <v>6</v>
      </c>
      <c r="AC2507" t="n">
        <v>6</v>
      </c>
      <c r="AD2507" t="n">
        <v>20</v>
      </c>
      <c r="AE2507" t="n">
        <v>25</v>
      </c>
      <c r="AF2507" t="n">
        <v>7</v>
      </c>
      <c r="AG2507" t="n">
        <v>12</v>
      </c>
      <c r="AH2507" t="n">
        <v>4</v>
      </c>
      <c r="AI2507" t="n">
        <v>5</v>
      </c>
      <c r="AJ2507" t="n">
        <v>10</v>
      </c>
      <c r="AK2507" t="n">
        <v>10</v>
      </c>
      <c r="AL2507" t="n">
        <v>4</v>
      </c>
      <c r="AM2507" t="n">
        <v>4</v>
      </c>
      <c r="AN2507" t="n">
        <v>0</v>
      </c>
      <c r="AO2507" t="n">
        <v>0</v>
      </c>
      <c r="AP2507" t="inlineStr">
        <is>
          <t>No</t>
        </is>
      </c>
      <c r="AQ2507" t="inlineStr">
        <is>
          <t>No</t>
        </is>
      </c>
      <c r="AS2507">
        <f>HYPERLINK("https://creighton-primo.hosted.exlibrisgroup.com/primo-explore/search?tab=default_tab&amp;search_scope=EVERYTHING&amp;vid=01CRU&amp;lang=en_US&amp;offset=0&amp;query=any,contains,991005421589702656","Catalog Record")</f>
        <v/>
      </c>
      <c r="AT2507">
        <f>HYPERLINK("http://www.worldcat.org/oclc/32666785","WorldCat Record")</f>
        <v/>
      </c>
      <c r="AU2507" t="inlineStr">
        <is>
          <t>953065:eng</t>
        </is>
      </c>
      <c r="AV2507" t="inlineStr">
        <is>
          <t>32666785</t>
        </is>
      </c>
      <c r="AW2507" t="inlineStr">
        <is>
          <t>991005421589702656</t>
        </is>
      </c>
      <c r="AX2507" t="inlineStr">
        <is>
          <t>991005421589702656</t>
        </is>
      </c>
      <c r="AY2507" t="inlineStr">
        <is>
          <t>2265056530002656</t>
        </is>
      </c>
      <c r="AZ2507" t="inlineStr">
        <is>
          <t>BOOK</t>
        </is>
      </c>
      <c r="BB2507" t="inlineStr">
        <is>
          <t>9780787901165</t>
        </is>
      </c>
      <c r="BC2507" t="inlineStr">
        <is>
          <t>32285002149721</t>
        </is>
      </c>
      <c r="BD2507" t="inlineStr">
        <is>
          <t>893689175</t>
        </is>
      </c>
    </row>
    <row r="2508">
      <c r="A2508" t="inlineStr">
        <is>
          <t>No</t>
        </is>
      </c>
      <c r="B2508" t="inlineStr">
        <is>
          <t>HQ769 .H36 1982</t>
        </is>
      </c>
      <c r="C2508" t="inlineStr">
        <is>
          <t>0                      HQ 0769000H  36          1982</t>
        </is>
      </c>
      <c r="D2508" t="inlineStr">
        <is>
          <t>I can't wait until my kid starts school : a guide to better parenting / by Edward M. Hanley.</t>
        </is>
      </c>
      <c r="F2508" t="inlineStr">
        <is>
          <t>No</t>
        </is>
      </c>
      <c r="G2508" t="inlineStr">
        <is>
          <t>1</t>
        </is>
      </c>
      <c r="H2508" t="inlineStr">
        <is>
          <t>No</t>
        </is>
      </c>
      <c r="I2508" t="inlineStr">
        <is>
          <t>No</t>
        </is>
      </c>
      <c r="J2508" t="inlineStr">
        <is>
          <t>0</t>
        </is>
      </c>
      <c r="K2508" t="inlineStr">
        <is>
          <t>Hanley, Edward M.</t>
        </is>
      </c>
      <c r="L2508" t="inlineStr">
        <is>
          <t>Palo Alto, Calif. : R &amp; E Research Associates, c1982.</t>
        </is>
      </c>
      <c r="M2508" t="inlineStr">
        <is>
          <t>1982</t>
        </is>
      </c>
      <c r="O2508" t="inlineStr">
        <is>
          <t>eng</t>
        </is>
      </c>
      <c r="P2508" t="inlineStr">
        <is>
          <t>cau</t>
        </is>
      </c>
      <c r="R2508" t="inlineStr">
        <is>
          <t xml:space="preserve">HQ </t>
        </is>
      </c>
      <c r="S2508" t="n">
        <v>2</v>
      </c>
      <c r="T2508" t="n">
        <v>2</v>
      </c>
      <c r="U2508" t="inlineStr">
        <is>
          <t>1995-11-17</t>
        </is>
      </c>
      <c r="V2508" t="inlineStr">
        <is>
          <t>1995-11-17</t>
        </is>
      </c>
      <c r="W2508" t="inlineStr">
        <is>
          <t>1990-06-15</t>
        </is>
      </c>
      <c r="X2508" t="inlineStr">
        <is>
          <t>1990-06-15</t>
        </is>
      </c>
      <c r="Y2508" t="n">
        <v>68</v>
      </c>
      <c r="Z2508" t="n">
        <v>63</v>
      </c>
      <c r="AA2508" t="n">
        <v>64</v>
      </c>
      <c r="AB2508" t="n">
        <v>1</v>
      </c>
      <c r="AC2508" t="n">
        <v>1</v>
      </c>
      <c r="AD2508" t="n">
        <v>2</v>
      </c>
      <c r="AE2508" t="n">
        <v>2</v>
      </c>
      <c r="AF2508" t="n">
        <v>2</v>
      </c>
      <c r="AG2508" t="n">
        <v>2</v>
      </c>
      <c r="AH2508" t="n">
        <v>0</v>
      </c>
      <c r="AI2508" t="n">
        <v>0</v>
      </c>
      <c r="AJ2508" t="n">
        <v>0</v>
      </c>
      <c r="AK2508" t="n">
        <v>0</v>
      </c>
      <c r="AL2508" t="n">
        <v>0</v>
      </c>
      <c r="AM2508" t="n">
        <v>0</v>
      </c>
      <c r="AN2508" t="n">
        <v>0</v>
      </c>
      <c r="AO2508" t="n">
        <v>0</v>
      </c>
      <c r="AP2508" t="inlineStr">
        <is>
          <t>No</t>
        </is>
      </c>
      <c r="AQ2508" t="inlineStr">
        <is>
          <t>Yes</t>
        </is>
      </c>
      <c r="AR2508">
        <f>HYPERLINK("http://catalog.hathitrust.org/Record/002165558","HathiTrust Record")</f>
        <v/>
      </c>
      <c r="AS2508">
        <f>HYPERLINK("https://creighton-primo.hosted.exlibrisgroup.com/primo-explore/search?tab=default_tab&amp;search_scope=EVERYTHING&amp;vid=01CRU&amp;lang=en_US&amp;offset=0&amp;query=any,contains,991000053219702656","Catalog Record")</f>
        <v/>
      </c>
      <c r="AT2508">
        <f>HYPERLINK("http://www.worldcat.org/oclc/8690478","WorldCat Record")</f>
        <v/>
      </c>
      <c r="AU2508" t="inlineStr">
        <is>
          <t>541993:eng</t>
        </is>
      </c>
      <c r="AV2508" t="inlineStr">
        <is>
          <t>8690478</t>
        </is>
      </c>
      <c r="AW2508" t="inlineStr">
        <is>
          <t>991000053219702656</t>
        </is>
      </c>
      <c r="AX2508" t="inlineStr">
        <is>
          <t>991000053219702656</t>
        </is>
      </c>
      <c r="AY2508" t="inlineStr">
        <is>
          <t>2266603790002656</t>
        </is>
      </c>
      <c r="AZ2508" t="inlineStr">
        <is>
          <t>BOOK</t>
        </is>
      </c>
      <c r="BB2508" t="inlineStr">
        <is>
          <t>9780882476346</t>
        </is>
      </c>
      <c r="BC2508" t="inlineStr">
        <is>
          <t>32285000197367</t>
        </is>
      </c>
      <c r="BD2508" t="inlineStr">
        <is>
          <t>893802450</t>
        </is>
      </c>
    </row>
    <row r="2509">
      <c r="A2509" t="inlineStr">
        <is>
          <t>No</t>
        </is>
      </c>
      <c r="B2509" t="inlineStr">
        <is>
          <t>HQ769 .K367 1975</t>
        </is>
      </c>
      <c r="C2509" t="inlineStr">
        <is>
          <t>0                      HQ 0769000K  367         1975</t>
        </is>
      </c>
      <c r="D2509" t="inlineStr">
        <is>
          <t>The mother's almanac / by Marguerite Kelly and Elia Parsons ; illustrated by Rebecca Hirsh.</t>
        </is>
      </c>
      <c r="F2509" t="inlineStr">
        <is>
          <t>No</t>
        </is>
      </c>
      <c r="G2509" t="inlineStr">
        <is>
          <t>1</t>
        </is>
      </c>
      <c r="H2509" t="inlineStr">
        <is>
          <t>No</t>
        </is>
      </c>
      <c r="I2509" t="inlineStr">
        <is>
          <t>No</t>
        </is>
      </c>
      <c r="J2509" t="inlineStr">
        <is>
          <t>0</t>
        </is>
      </c>
      <c r="K2509" t="inlineStr">
        <is>
          <t>Kelly, Marguerite.</t>
        </is>
      </c>
      <c r="L2509" t="inlineStr">
        <is>
          <t>Garden City, N.Y. : Doubleday, 1975.</t>
        </is>
      </c>
      <c r="M2509" t="inlineStr">
        <is>
          <t>1975</t>
        </is>
      </c>
      <c r="N2509" t="inlineStr">
        <is>
          <t>1st ed.</t>
        </is>
      </c>
      <c r="O2509" t="inlineStr">
        <is>
          <t>eng</t>
        </is>
      </c>
      <c r="P2509" t="inlineStr">
        <is>
          <t>nyu</t>
        </is>
      </c>
      <c r="R2509" t="inlineStr">
        <is>
          <t xml:space="preserve">HQ </t>
        </is>
      </c>
      <c r="S2509" t="n">
        <v>4</v>
      </c>
      <c r="T2509" t="n">
        <v>4</v>
      </c>
      <c r="U2509" t="inlineStr">
        <is>
          <t>1996-09-19</t>
        </is>
      </c>
      <c r="V2509" t="inlineStr">
        <is>
          <t>1996-09-19</t>
        </is>
      </c>
      <c r="W2509" t="inlineStr">
        <is>
          <t>1992-05-07</t>
        </is>
      </c>
      <c r="X2509" t="inlineStr">
        <is>
          <t>1992-05-07</t>
        </is>
      </c>
      <c r="Y2509" t="n">
        <v>473</v>
      </c>
      <c r="Z2509" t="n">
        <v>453</v>
      </c>
      <c r="AA2509" t="n">
        <v>778</v>
      </c>
      <c r="AB2509" t="n">
        <v>6</v>
      </c>
      <c r="AC2509" t="n">
        <v>8</v>
      </c>
      <c r="AD2509" t="n">
        <v>2</v>
      </c>
      <c r="AE2509" t="n">
        <v>3</v>
      </c>
      <c r="AF2509" t="n">
        <v>1</v>
      </c>
      <c r="AG2509" t="n">
        <v>1</v>
      </c>
      <c r="AH2509" t="n">
        <v>0</v>
      </c>
      <c r="AI2509" t="n">
        <v>0</v>
      </c>
      <c r="AJ2509" t="n">
        <v>1</v>
      </c>
      <c r="AK2509" t="n">
        <v>2</v>
      </c>
      <c r="AL2509" t="n">
        <v>1</v>
      </c>
      <c r="AM2509" t="n">
        <v>1</v>
      </c>
      <c r="AN2509" t="n">
        <v>0</v>
      </c>
      <c r="AO2509" t="n">
        <v>0</v>
      </c>
      <c r="AP2509" t="inlineStr">
        <is>
          <t>No</t>
        </is>
      </c>
      <c r="AQ2509" t="inlineStr">
        <is>
          <t>No</t>
        </is>
      </c>
      <c r="AS2509">
        <f>HYPERLINK("https://creighton-primo.hosted.exlibrisgroup.com/primo-explore/search?tab=default_tab&amp;search_scope=EVERYTHING&amp;vid=01CRU&amp;lang=en_US&amp;offset=0&amp;query=any,contains,991003559739702656","Catalog Record")</f>
        <v/>
      </c>
      <c r="AT2509">
        <f>HYPERLINK("http://www.worldcat.org/oclc/1129922","WorldCat Record")</f>
        <v/>
      </c>
      <c r="AU2509" t="inlineStr">
        <is>
          <t>14099606:eng</t>
        </is>
      </c>
      <c r="AV2509" t="inlineStr">
        <is>
          <t>1129922</t>
        </is>
      </c>
      <c r="AW2509" t="inlineStr">
        <is>
          <t>991003559739702656</t>
        </is>
      </c>
      <c r="AX2509" t="inlineStr">
        <is>
          <t>991003559739702656</t>
        </is>
      </c>
      <c r="AY2509" t="inlineStr">
        <is>
          <t>2272516000002656</t>
        </is>
      </c>
      <c r="AZ2509" t="inlineStr">
        <is>
          <t>BOOK</t>
        </is>
      </c>
      <c r="BB2509" t="inlineStr">
        <is>
          <t>9780385018067</t>
        </is>
      </c>
      <c r="BC2509" t="inlineStr">
        <is>
          <t>32285001106003</t>
        </is>
      </c>
      <c r="BD2509" t="inlineStr">
        <is>
          <t>893445724</t>
        </is>
      </c>
    </row>
    <row r="2510">
      <c r="A2510" t="inlineStr">
        <is>
          <t>No</t>
        </is>
      </c>
      <c r="B2510" t="inlineStr">
        <is>
          <t>HQ769 .L474 1983</t>
        </is>
      </c>
      <c r="C2510" t="inlineStr">
        <is>
          <t>0                      HQ 0769000L  474         1983</t>
        </is>
      </c>
      <c r="D2510" t="inlineStr">
        <is>
          <t>Raising good children : helping your child through the stages of moral development / Thomas Lickona.</t>
        </is>
      </c>
      <c r="F2510" t="inlineStr">
        <is>
          <t>No</t>
        </is>
      </c>
      <c r="G2510" t="inlineStr">
        <is>
          <t>1</t>
        </is>
      </c>
      <c r="H2510" t="inlineStr">
        <is>
          <t>No</t>
        </is>
      </c>
      <c r="I2510" t="inlineStr">
        <is>
          <t>No</t>
        </is>
      </c>
      <c r="J2510" t="inlineStr">
        <is>
          <t>0</t>
        </is>
      </c>
      <c r="K2510" t="inlineStr">
        <is>
          <t>Lickona, Thomas.</t>
        </is>
      </c>
      <c r="L2510" t="inlineStr">
        <is>
          <t>Toronto ; New York : Bantam Books, 1983.</t>
        </is>
      </c>
      <c r="M2510" t="inlineStr">
        <is>
          <t>1983</t>
        </is>
      </c>
      <c r="O2510" t="inlineStr">
        <is>
          <t>eng</t>
        </is>
      </c>
      <c r="P2510" t="inlineStr">
        <is>
          <t>onc</t>
        </is>
      </c>
      <c r="R2510" t="inlineStr">
        <is>
          <t xml:space="preserve">HQ </t>
        </is>
      </c>
      <c r="S2510" t="n">
        <v>7</v>
      </c>
      <c r="T2510" t="n">
        <v>7</v>
      </c>
      <c r="U2510" t="inlineStr">
        <is>
          <t>1996-10-25</t>
        </is>
      </c>
      <c r="V2510" t="inlineStr">
        <is>
          <t>1996-10-25</t>
        </is>
      </c>
      <c r="W2510" t="inlineStr">
        <is>
          <t>1992-11-11</t>
        </is>
      </c>
      <c r="X2510" t="inlineStr">
        <is>
          <t>1992-11-11</t>
        </is>
      </c>
      <c r="Y2510" t="n">
        <v>588</v>
      </c>
      <c r="Z2510" t="n">
        <v>556</v>
      </c>
      <c r="AA2510" t="n">
        <v>773</v>
      </c>
      <c r="AB2510" t="n">
        <v>9</v>
      </c>
      <c r="AC2510" t="n">
        <v>10</v>
      </c>
      <c r="AD2510" t="n">
        <v>8</v>
      </c>
      <c r="AE2510" t="n">
        <v>11</v>
      </c>
      <c r="AF2510" t="n">
        <v>2</v>
      </c>
      <c r="AG2510" t="n">
        <v>3</v>
      </c>
      <c r="AH2510" t="n">
        <v>2</v>
      </c>
      <c r="AI2510" t="n">
        <v>3</v>
      </c>
      <c r="AJ2510" t="n">
        <v>5</v>
      </c>
      <c r="AK2510" t="n">
        <v>6</v>
      </c>
      <c r="AL2510" t="n">
        <v>2</v>
      </c>
      <c r="AM2510" t="n">
        <v>3</v>
      </c>
      <c r="AN2510" t="n">
        <v>0</v>
      </c>
      <c r="AO2510" t="n">
        <v>0</v>
      </c>
      <c r="AP2510" t="inlineStr">
        <is>
          <t>No</t>
        </is>
      </c>
      <c r="AQ2510" t="inlineStr">
        <is>
          <t>No</t>
        </is>
      </c>
      <c r="AS2510">
        <f>HYPERLINK("https://creighton-primo.hosted.exlibrisgroup.com/primo-explore/search?tab=default_tab&amp;search_scope=EVERYTHING&amp;vid=01CRU&amp;lang=en_US&amp;offset=0&amp;query=any,contains,991000192409702656","Catalog Record")</f>
        <v/>
      </c>
      <c r="AT2510">
        <f>HYPERLINK("http://www.worldcat.org/oclc/9413372","WorldCat Record")</f>
        <v/>
      </c>
      <c r="AU2510" t="inlineStr">
        <is>
          <t>4704421:eng</t>
        </is>
      </c>
      <c r="AV2510" t="inlineStr">
        <is>
          <t>9413372</t>
        </is>
      </c>
      <c r="AW2510" t="inlineStr">
        <is>
          <t>991000192409702656</t>
        </is>
      </c>
      <c r="AX2510" t="inlineStr">
        <is>
          <t>991000192409702656</t>
        </is>
      </c>
      <c r="AY2510" t="inlineStr">
        <is>
          <t>2263988740002656</t>
        </is>
      </c>
      <c r="AZ2510" t="inlineStr">
        <is>
          <t>BOOK</t>
        </is>
      </c>
      <c r="BB2510" t="inlineStr">
        <is>
          <t>9780553050400</t>
        </is>
      </c>
      <c r="BC2510" t="inlineStr">
        <is>
          <t>32285001395390</t>
        </is>
      </c>
      <c r="BD2510" t="inlineStr">
        <is>
          <t>893496025</t>
        </is>
      </c>
    </row>
    <row r="2511">
      <c r="A2511" t="inlineStr">
        <is>
          <t>No</t>
        </is>
      </c>
      <c r="B2511" t="inlineStr">
        <is>
          <t>HQ769 .M531613 1983</t>
        </is>
      </c>
      <c r="C2511" t="inlineStr">
        <is>
          <t>0                      HQ 0769000M  531613      1983</t>
        </is>
      </c>
      <c r="D2511" t="inlineStr">
        <is>
          <t>For your own good : hidden cruelty in child-rearing and the roots of violence / Alice Miller ; translated by Hildegarde and Hunter Hannum.</t>
        </is>
      </c>
      <c r="F2511" t="inlineStr">
        <is>
          <t>No</t>
        </is>
      </c>
      <c r="G2511" t="inlineStr">
        <is>
          <t>1</t>
        </is>
      </c>
      <c r="H2511" t="inlineStr">
        <is>
          <t>No</t>
        </is>
      </c>
      <c r="I2511" t="inlineStr">
        <is>
          <t>No</t>
        </is>
      </c>
      <c r="J2511" t="inlineStr">
        <is>
          <t>0</t>
        </is>
      </c>
      <c r="K2511" t="inlineStr">
        <is>
          <t>Miller, Alice.</t>
        </is>
      </c>
      <c r="L2511" t="inlineStr">
        <is>
          <t>New York : Farrar, Straus, Giroux, c1983.</t>
        </is>
      </c>
      <c r="M2511" t="inlineStr">
        <is>
          <t>1983</t>
        </is>
      </c>
      <c r="O2511" t="inlineStr">
        <is>
          <t>eng</t>
        </is>
      </c>
      <c r="P2511" t="inlineStr">
        <is>
          <t>nyu</t>
        </is>
      </c>
      <c r="R2511" t="inlineStr">
        <is>
          <t xml:space="preserve">HQ </t>
        </is>
      </c>
      <c r="S2511" t="n">
        <v>13</v>
      </c>
      <c r="T2511" t="n">
        <v>13</v>
      </c>
      <c r="U2511" t="inlineStr">
        <is>
          <t>2009-07-15</t>
        </is>
      </c>
      <c r="V2511" t="inlineStr">
        <is>
          <t>2009-07-15</t>
        </is>
      </c>
      <c r="W2511" t="inlineStr">
        <is>
          <t>1990-10-05</t>
        </is>
      </c>
      <c r="X2511" t="inlineStr">
        <is>
          <t>1990-10-05</t>
        </is>
      </c>
      <c r="Y2511" t="n">
        <v>1287</v>
      </c>
      <c r="Z2511" t="n">
        <v>1175</v>
      </c>
      <c r="AA2511" t="n">
        <v>1511</v>
      </c>
      <c r="AB2511" t="n">
        <v>5</v>
      </c>
      <c r="AC2511" t="n">
        <v>7</v>
      </c>
      <c r="AD2511" t="n">
        <v>26</v>
      </c>
      <c r="AE2511" t="n">
        <v>37</v>
      </c>
      <c r="AF2511" t="n">
        <v>8</v>
      </c>
      <c r="AG2511" t="n">
        <v>13</v>
      </c>
      <c r="AH2511" t="n">
        <v>6</v>
      </c>
      <c r="AI2511" t="n">
        <v>8</v>
      </c>
      <c r="AJ2511" t="n">
        <v>13</v>
      </c>
      <c r="AK2511" t="n">
        <v>20</v>
      </c>
      <c r="AL2511" t="n">
        <v>3</v>
      </c>
      <c r="AM2511" t="n">
        <v>4</v>
      </c>
      <c r="AN2511" t="n">
        <v>0</v>
      </c>
      <c r="AO2511" t="n">
        <v>0</v>
      </c>
      <c r="AP2511" t="inlineStr">
        <is>
          <t>No</t>
        </is>
      </c>
      <c r="AQ2511" t="inlineStr">
        <is>
          <t>No</t>
        </is>
      </c>
      <c r="AS2511">
        <f>HYPERLINK("https://creighton-primo.hosted.exlibrisgroup.com/primo-explore/search?tab=default_tab&amp;search_scope=EVERYTHING&amp;vid=01CRU&amp;lang=en_US&amp;offset=0&amp;query=any,contains,991000126629702656","Catalog Record")</f>
        <v/>
      </c>
      <c r="AT2511">
        <f>HYPERLINK("http://www.worldcat.org/oclc/9083628","WorldCat Record")</f>
        <v/>
      </c>
      <c r="AU2511" t="inlineStr">
        <is>
          <t>64997:eng</t>
        </is>
      </c>
      <c r="AV2511" t="inlineStr">
        <is>
          <t>9083628</t>
        </is>
      </c>
      <c r="AW2511" t="inlineStr">
        <is>
          <t>991000126629702656</t>
        </is>
      </c>
      <c r="AX2511" t="inlineStr">
        <is>
          <t>991000126629702656</t>
        </is>
      </c>
      <c r="AY2511" t="inlineStr">
        <is>
          <t>2254794710002656</t>
        </is>
      </c>
      <c r="AZ2511" t="inlineStr">
        <is>
          <t>BOOK</t>
        </is>
      </c>
      <c r="BB2511" t="inlineStr">
        <is>
          <t>9780374157500</t>
        </is>
      </c>
      <c r="BC2511" t="inlineStr">
        <is>
          <t>32285000327030</t>
        </is>
      </c>
      <c r="BD2511" t="inlineStr">
        <is>
          <t>893683180</t>
        </is>
      </c>
    </row>
    <row r="2512">
      <c r="A2512" t="inlineStr">
        <is>
          <t>No</t>
        </is>
      </c>
      <c r="B2512" t="inlineStr">
        <is>
          <t>HQ769 .N416 1984</t>
        </is>
      </c>
      <c r="C2512" t="inlineStr">
        <is>
          <t>0                      HQ 0769000N  416         1984</t>
        </is>
      </c>
      <c r="D2512" t="inlineStr">
        <is>
          <t>No-fault parenting / Helen Neville &amp; Mona Halaby.</t>
        </is>
      </c>
      <c r="F2512" t="inlineStr">
        <is>
          <t>No</t>
        </is>
      </c>
      <c r="G2512" t="inlineStr">
        <is>
          <t>1</t>
        </is>
      </c>
      <c r="H2512" t="inlineStr">
        <is>
          <t>No</t>
        </is>
      </c>
      <c r="I2512" t="inlineStr">
        <is>
          <t>No</t>
        </is>
      </c>
      <c r="J2512" t="inlineStr">
        <is>
          <t>0</t>
        </is>
      </c>
      <c r="K2512" t="inlineStr">
        <is>
          <t>Neville, Helen.</t>
        </is>
      </c>
      <c r="L2512" t="inlineStr">
        <is>
          <t>New York, N.Y. : Facts on File, c1984.</t>
        </is>
      </c>
      <c r="M2512" t="inlineStr">
        <is>
          <t>1984</t>
        </is>
      </c>
      <c r="O2512" t="inlineStr">
        <is>
          <t>eng</t>
        </is>
      </c>
      <c r="P2512" t="inlineStr">
        <is>
          <t>nyu</t>
        </is>
      </c>
      <c r="R2512" t="inlineStr">
        <is>
          <t xml:space="preserve">HQ </t>
        </is>
      </c>
      <c r="S2512" t="n">
        <v>8</v>
      </c>
      <c r="T2512" t="n">
        <v>8</v>
      </c>
      <c r="U2512" t="inlineStr">
        <is>
          <t>2003-03-03</t>
        </is>
      </c>
      <c r="V2512" t="inlineStr">
        <is>
          <t>2003-03-03</t>
        </is>
      </c>
      <c r="W2512" t="inlineStr">
        <is>
          <t>1990-02-08</t>
        </is>
      </c>
      <c r="X2512" t="inlineStr">
        <is>
          <t>1990-02-08</t>
        </is>
      </c>
      <c r="Y2512" t="n">
        <v>323</v>
      </c>
      <c r="Z2512" t="n">
        <v>296</v>
      </c>
      <c r="AA2512" t="n">
        <v>318</v>
      </c>
      <c r="AB2512" t="n">
        <v>2</v>
      </c>
      <c r="AC2512" t="n">
        <v>2</v>
      </c>
      <c r="AD2512" t="n">
        <v>2</v>
      </c>
      <c r="AE2512" t="n">
        <v>2</v>
      </c>
      <c r="AF2512" t="n">
        <v>0</v>
      </c>
      <c r="AG2512" t="n">
        <v>0</v>
      </c>
      <c r="AH2512" t="n">
        <v>1</v>
      </c>
      <c r="AI2512" t="n">
        <v>1</v>
      </c>
      <c r="AJ2512" t="n">
        <v>1</v>
      </c>
      <c r="AK2512" t="n">
        <v>1</v>
      </c>
      <c r="AL2512" t="n">
        <v>0</v>
      </c>
      <c r="AM2512" t="n">
        <v>0</v>
      </c>
      <c r="AN2512" t="n">
        <v>0</v>
      </c>
      <c r="AO2512" t="n">
        <v>0</v>
      </c>
      <c r="AP2512" t="inlineStr">
        <is>
          <t>No</t>
        </is>
      </c>
      <c r="AQ2512" t="inlineStr">
        <is>
          <t>No</t>
        </is>
      </c>
      <c r="AS2512">
        <f>HYPERLINK("https://creighton-primo.hosted.exlibrisgroup.com/primo-explore/search?tab=default_tab&amp;search_scope=EVERYTHING&amp;vid=01CRU&amp;lang=en_US&amp;offset=0&amp;query=any,contains,991005229179702656","Catalog Record")</f>
        <v/>
      </c>
      <c r="AT2512">
        <f>HYPERLINK("http://www.worldcat.org/oclc/8306410","WorldCat Record")</f>
        <v/>
      </c>
      <c r="AU2512" t="inlineStr">
        <is>
          <t>2999312574:eng</t>
        </is>
      </c>
      <c r="AV2512" t="inlineStr">
        <is>
          <t>8306410</t>
        </is>
      </c>
      <c r="AW2512" t="inlineStr">
        <is>
          <t>991005229179702656</t>
        </is>
      </c>
      <c r="AX2512" t="inlineStr">
        <is>
          <t>991005229179702656</t>
        </is>
      </c>
      <c r="AY2512" t="inlineStr">
        <is>
          <t>2269229250002656</t>
        </is>
      </c>
      <c r="AZ2512" t="inlineStr">
        <is>
          <t>BOOK</t>
        </is>
      </c>
      <c r="BB2512" t="inlineStr">
        <is>
          <t>9780871966711</t>
        </is>
      </c>
      <c r="BC2512" t="inlineStr">
        <is>
          <t>32285000033943</t>
        </is>
      </c>
      <c r="BD2512" t="inlineStr">
        <is>
          <t>893613339</t>
        </is>
      </c>
    </row>
    <row r="2513">
      <c r="A2513" t="inlineStr">
        <is>
          <t>No</t>
        </is>
      </c>
      <c r="B2513" t="inlineStr">
        <is>
          <t>HQ769 .O854 2008</t>
        </is>
      </c>
      <c r="C2513" t="inlineStr">
        <is>
          <t>0                      HQ 0769000O  854         2008</t>
        </is>
      </c>
      <c r="D2513" t="inlineStr">
        <is>
          <t>Generation text : raising well-adjusted kids in an age of instant everything / Michael Osit.</t>
        </is>
      </c>
      <c r="F2513" t="inlineStr">
        <is>
          <t>No</t>
        </is>
      </c>
      <c r="G2513" t="inlineStr">
        <is>
          <t>1</t>
        </is>
      </c>
      <c r="H2513" t="inlineStr">
        <is>
          <t>No</t>
        </is>
      </c>
      <c r="I2513" t="inlineStr">
        <is>
          <t>No</t>
        </is>
      </c>
      <c r="J2513" t="inlineStr">
        <is>
          <t>0</t>
        </is>
      </c>
      <c r="K2513" t="inlineStr">
        <is>
          <t>Osit, Michael M.</t>
        </is>
      </c>
      <c r="L2513" t="inlineStr">
        <is>
          <t>New York : AMACOM, c2008.</t>
        </is>
      </c>
      <c r="M2513" t="inlineStr">
        <is>
          <t>2008</t>
        </is>
      </c>
      <c r="O2513" t="inlineStr">
        <is>
          <t>eng</t>
        </is>
      </c>
      <c r="P2513" t="inlineStr">
        <is>
          <t>nyu</t>
        </is>
      </c>
      <c r="R2513" t="inlineStr">
        <is>
          <t xml:space="preserve">HQ </t>
        </is>
      </c>
      <c r="S2513" t="n">
        <v>4</v>
      </c>
      <c r="T2513" t="n">
        <v>4</v>
      </c>
      <c r="U2513" t="inlineStr">
        <is>
          <t>2010-09-30</t>
        </is>
      </c>
      <c r="V2513" t="inlineStr">
        <is>
          <t>2010-09-30</t>
        </is>
      </c>
      <c r="W2513" t="inlineStr">
        <is>
          <t>2008-08-15</t>
        </is>
      </c>
      <c r="X2513" t="inlineStr">
        <is>
          <t>2008-08-15</t>
        </is>
      </c>
      <c r="Y2513" t="n">
        <v>549</v>
      </c>
      <c r="Z2513" t="n">
        <v>501</v>
      </c>
      <c r="AA2513" t="n">
        <v>895</v>
      </c>
      <c r="AB2513" t="n">
        <v>5</v>
      </c>
      <c r="AC2513" t="n">
        <v>23</v>
      </c>
      <c r="AD2513" t="n">
        <v>3</v>
      </c>
      <c r="AE2513" t="n">
        <v>12</v>
      </c>
      <c r="AF2513" t="n">
        <v>2</v>
      </c>
      <c r="AG2513" t="n">
        <v>3</v>
      </c>
      <c r="AH2513" t="n">
        <v>0</v>
      </c>
      <c r="AI2513" t="n">
        <v>0</v>
      </c>
      <c r="AJ2513" t="n">
        <v>0</v>
      </c>
      <c r="AK2513" t="n">
        <v>0</v>
      </c>
      <c r="AL2513" t="n">
        <v>1</v>
      </c>
      <c r="AM2513" t="n">
        <v>9</v>
      </c>
      <c r="AN2513" t="n">
        <v>0</v>
      </c>
      <c r="AO2513" t="n">
        <v>0</v>
      </c>
      <c r="AP2513" t="inlineStr">
        <is>
          <t>No</t>
        </is>
      </c>
      <c r="AQ2513" t="inlineStr">
        <is>
          <t>No</t>
        </is>
      </c>
      <c r="AS2513">
        <f>HYPERLINK("https://creighton-primo.hosted.exlibrisgroup.com/primo-explore/search?tab=default_tab&amp;search_scope=EVERYTHING&amp;vid=01CRU&amp;lang=en_US&amp;offset=0&amp;query=any,contains,991005259049702656","Catalog Record")</f>
        <v/>
      </c>
      <c r="AT2513">
        <f>HYPERLINK("http://www.worldcat.org/oclc/214935076","WorldCat Record")</f>
        <v/>
      </c>
      <c r="AU2513" t="inlineStr">
        <is>
          <t>198191764:eng</t>
        </is>
      </c>
      <c r="AV2513" t="inlineStr">
        <is>
          <t>214935076</t>
        </is>
      </c>
      <c r="AW2513" t="inlineStr">
        <is>
          <t>991005259049702656</t>
        </is>
      </c>
      <c r="AX2513" t="inlineStr">
        <is>
          <t>991005259049702656</t>
        </is>
      </c>
      <c r="AY2513" t="inlineStr">
        <is>
          <t>2269767860002656</t>
        </is>
      </c>
      <c r="AZ2513" t="inlineStr">
        <is>
          <t>BOOK</t>
        </is>
      </c>
      <c r="BB2513" t="inlineStr">
        <is>
          <t>9780814409329</t>
        </is>
      </c>
      <c r="BC2513" t="inlineStr">
        <is>
          <t>32285005454615</t>
        </is>
      </c>
      <c r="BD2513" t="inlineStr">
        <is>
          <t>893870777</t>
        </is>
      </c>
    </row>
    <row r="2514">
      <c r="A2514" t="inlineStr">
        <is>
          <t>No</t>
        </is>
      </c>
      <c r="B2514" t="inlineStr">
        <is>
          <t>HQ769 .P445 1982</t>
        </is>
      </c>
      <c r="C2514" t="inlineStr">
        <is>
          <t>0                      HQ 0769000P  445         1982</t>
        </is>
      </c>
      <c r="D2514" t="inlineStr">
        <is>
          <t>Patterns of supplementary parenting / edited by Marjorie J. Kostelnik ... [et al.].</t>
        </is>
      </c>
      <c r="F2514" t="inlineStr">
        <is>
          <t>No</t>
        </is>
      </c>
      <c r="G2514" t="inlineStr">
        <is>
          <t>1</t>
        </is>
      </c>
      <c r="H2514" t="inlineStr">
        <is>
          <t>No</t>
        </is>
      </c>
      <c r="I2514" t="inlineStr">
        <is>
          <t>No</t>
        </is>
      </c>
      <c r="J2514" t="inlineStr">
        <is>
          <t>0</t>
        </is>
      </c>
      <c r="L2514" t="inlineStr">
        <is>
          <t>New York : Plenum Press, c1982.</t>
        </is>
      </c>
      <c r="M2514" t="inlineStr">
        <is>
          <t>1982</t>
        </is>
      </c>
      <c r="O2514" t="inlineStr">
        <is>
          <t>eng</t>
        </is>
      </c>
      <c r="P2514" t="inlineStr">
        <is>
          <t>nyu</t>
        </is>
      </c>
      <c r="Q2514" t="inlineStr">
        <is>
          <t>Child nurturance ; v. 2</t>
        </is>
      </c>
      <c r="R2514" t="inlineStr">
        <is>
          <t xml:space="preserve">HQ </t>
        </is>
      </c>
      <c r="S2514" t="n">
        <v>4</v>
      </c>
      <c r="T2514" t="n">
        <v>4</v>
      </c>
      <c r="U2514" t="inlineStr">
        <is>
          <t>1998-03-25</t>
        </is>
      </c>
      <c r="V2514" t="inlineStr">
        <is>
          <t>1998-03-25</t>
        </is>
      </c>
      <c r="W2514" t="inlineStr">
        <is>
          <t>1995-03-02</t>
        </is>
      </c>
      <c r="X2514" t="inlineStr">
        <is>
          <t>1995-03-02</t>
        </is>
      </c>
      <c r="Y2514" t="n">
        <v>213</v>
      </c>
      <c r="Z2514" t="n">
        <v>163</v>
      </c>
      <c r="AA2514" t="n">
        <v>186</v>
      </c>
      <c r="AB2514" t="n">
        <v>2</v>
      </c>
      <c r="AC2514" t="n">
        <v>2</v>
      </c>
      <c r="AD2514" t="n">
        <v>4</v>
      </c>
      <c r="AE2514" t="n">
        <v>6</v>
      </c>
      <c r="AF2514" t="n">
        <v>1</v>
      </c>
      <c r="AG2514" t="n">
        <v>3</v>
      </c>
      <c r="AH2514" t="n">
        <v>1</v>
      </c>
      <c r="AI2514" t="n">
        <v>1</v>
      </c>
      <c r="AJ2514" t="n">
        <v>2</v>
      </c>
      <c r="AK2514" t="n">
        <v>3</v>
      </c>
      <c r="AL2514" t="n">
        <v>1</v>
      </c>
      <c r="AM2514" t="n">
        <v>1</v>
      </c>
      <c r="AN2514" t="n">
        <v>0</v>
      </c>
      <c r="AO2514" t="n">
        <v>0</v>
      </c>
      <c r="AP2514" t="inlineStr">
        <is>
          <t>No</t>
        </is>
      </c>
      <c r="AQ2514" t="inlineStr">
        <is>
          <t>Yes</t>
        </is>
      </c>
      <c r="AR2514">
        <f>HYPERLINK("http://catalog.hathitrust.org/Record/000769751","HathiTrust Record")</f>
        <v/>
      </c>
      <c r="AS2514">
        <f>HYPERLINK("https://creighton-primo.hosted.exlibrisgroup.com/primo-explore/search?tab=default_tab&amp;search_scope=EVERYTHING&amp;vid=01CRU&amp;lang=en_US&amp;offset=0&amp;query=any,contains,991000067279702656","Catalog Record")</f>
        <v/>
      </c>
      <c r="AT2514">
        <f>HYPERLINK("http://www.worldcat.org/oclc/8764451","WorldCat Record")</f>
        <v/>
      </c>
      <c r="AU2514" t="inlineStr">
        <is>
          <t>42878327:eng</t>
        </is>
      </c>
      <c r="AV2514" t="inlineStr">
        <is>
          <t>8764451</t>
        </is>
      </c>
      <c r="AW2514" t="inlineStr">
        <is>
          <t>991000067279702656</t>
        </is>
      </c>
      <c r="AX2514" t="inlineStr">
        <is>
          <t>991000067279702656</t>
        </is>
      </c>
      <c r="AY2514" t="inlineStr">
        <is>
          <t>2265395110002656</t>
        </is>
      </c>
      <c r="AZ2514" t="inlineStr">
        <is>
          <t>BOOK</t>
        </is>
      </c>
      <c r="BB2514" t="inlineStr">
        <is>
          <t>9780306411755</t>
        </is>
      </c>
      <c r="BC2514" t="inlineStr">
        <is>
          <t>32285001780005</t>
        </is>
      </c>
      <c r="BD2514" t="inlineStr">
        <is>
          <t>893607587</t>
        </is>
      </c>
    </row>
    <row r="2515">
      <c r="A2515" t="inlineStr">
        <is>
          <t>No</t>
        </is>
      </c>
      <c r="B2515" t="inlineStr">
        <is>
          <t>HQ769 .P575 2008</t>
        </is>
      </c>
      <c r="C2515" t="inlineStr">
        <is>
          <t>0                      HQ 0769000P  575         2008</t>
        </is>
      </c>
      <c r="D2515" t="inlineStr">
        <is>
          <t>Ships without a shore : America's undernurtured children / Anne R. Pierce.</t>
        </is>
      </c>
      <c r="F2515" t="inlineStr">
        <is>
          <t>No</t>
        </is>
      </c>
      <c r="G2515" t="inlineStr">
        <is>
          <t>1</t>
        </is>
      </c>
      <c r="H2515" t="inlineStr">
        <is>
          <t>No</t>
        </is>
      </c>
      <c r="I2515" t="inlineStr">
        <is>
          <t>No</t>
        </is>
      </c>
      <c r="J2515" t="inlineStr">
        <is>
          <t>0</t>
        </is>
      </c>
      <c r="K2515" t="inlineStr">
        <is>
          <t>Pierce, Anne R. (Anne Rice), 1956-</t>
        </is>
      </c>
      <c r="L2515" t="inlineStr">
        <is>
          <t>New Brunswick : Transaction Publishers, c2008.</t>
        </is>
      </c>
      <c r="M2515" t="inlineStr">
        <is>
          <t>2008</t>
        </is>
      </c>
      <c r="O2515" t="inlineStr">
        <is>
          <t>eng</t>
        </is>
      </c>
      <c r="P2515" t="inlineStr">
        <is>
          <t>nju</t>
        </is>
      </c>
      <c r="R2515" t="inlineStr">
        <is>
          <t xml:space="preserve">HQ </t>
        </is>
      </c>
      <c r="S2515" t="n">
        <v>2</v>
      </c>
      <c r="T2515" t="n">
        <v>2</v>
      </c>
      <c r="U2515" t="inlineStr">
        <is>
          <t>2008-11-19</t>
        </is>
      </c>
      <c r="V2515" t="inlineStr">
        <is>
          <t>2008-11-19</t>
        </is>
      </c>
      <c r="W2515" t="inlineStr">
        <is>
          <t>2008-02-25</t>
        </is>
      </c>
      <c r="X2515" t="inlineStr">
        <is>
          <t>2008-02-25</t>
        </is>
      </c>
      <c r="Y2515" t="n">
        <v>531</v>
      </c>
      <c r="Z2515" t="n">
        <v>487</v>
      </c>
      <c r="AA2515" t="n">
        <v>559</v>
      </c>
      <c r="AB2515" t="n">
        <v>4</v>
      </c>
      <c r="AC2515" t="n">
        <v>4</v>
      </c>
      <c r="AD2515" t="n">
        <v>17</v>
      </c>
      <c r="AE2515" t="n">
        <v>17</v>
      </c>
      <c r="AF2515" t="n">
        <v>7</v>
      </c>
      <c r="AG2515" t="n">
        <v>7</v>
      </c>
      <c r="AH2515" t="n">
        <v>4</v>
      </c>
      <c r="AI2515" t="n">
        <v>4</v>
      </c>
      <c r="AJ2515" t="n">
        <v>7</v>
      </c>
      <c r="AK2515" t="n">
        <v>7</v>
      </c>
      <c r="AL2515" t="n">
        <v>3</v>
      </c>
      <c r="AM2515" t="n">
        <v>3</v>
      </c>
      <c r="AN2515" t="n">
        <v>0</v>
      </c>
      <c r="AO2515" t="n">
        <v>0</v>
      </c>
      <c r="AP2515" t="inlineStr">
        <is>
          <t>No</t>
        </is>
      </c>
      <c r="AQ2515" t="inlineStr">
        <is>
          <t>No</t>
        </is>
      </c>
      <c r="AS2515">
        <f>HYPERLINK("https://creighton-primo.hosted.exlibrisgroup.com/primo-explore/search?tab=default_tab&amp;search_scope=EVERYTHING&amp;vid=01CRU&amp;lang=en_US&amp;offset=0&amp;query=any,contains,991005186619702656","Catalog Record")</f>
        <v/>
      </c>
      <c r="AT2515">
        <f>HYPERLINK("http://www.worldcat.org/oclc/176648914","WorldCat Record")</f>
        <v/>
      </c>
      <c r="AU2515" t="inlineStr">
        <is>
          <t>140847480:eng</t>
        </is>
      </c>
      <c r="AV2515" t="inlineStr">
        <is>
          <t>176648914</t>
        </is>
      </c>
      <c r="AW2515" t="inlineStr">
        <is>
          <t>991005186619702656</t>
        </is>
      </c>
      <c r="AX2515" t="inlineStr">
        <is>
          <t>991005186619702656</t>
        </is>
      </c>
      <c r="AY2515" t="inlineStr">
        <is>
          <t>2264285670002656</t>
        </is>
      </c>
      <c r="AZ2515" t="inlineStr">
        <is>
          <t>BOOK</t>
        </is>
      </c>
      <c r="BB2515" t="inlineStr">
        <is>
          <t>9781412807166</t>
        </is>
      </c>
      <c r="BC2515" t="inlineStr">
        <is>
          <t>32285005394092</t>
        </is>
      </c>
      <c r="BD2515" t="inlineStr">
        <is>
          <t>893789581</t>
        </is>
      </c>
    </row>
    <row r="2516">
      <c r="A2516" t="inlineStr">
        <is>
          <t>No</t>
        </is>
      </c>
      <c r="B2516" t="inlineStr">
        <is>
          <t>HQ769 .R7647 1980</t>
        </is>
      </c>
      <c r="C2516" t="inlineStr">
        <is>
          <t>0                      HQ 0769000R  7647        1980</t>
        </is>
      </c>
      <c r="D2516" t="inlineStr">
        <is>
          <t>Children's friendships / Zick Rubin.</t>
        </is>
      </c>
      <c r="F2516" t="inlineStr">
        <is>
          <t>No</t>
        </is>
      </c>
      <c r="G2516" t="inlineStr">
        <is>
          <t>1</t>
        </is>
      </c>
      <c r="H2516" t="inlineStr">
        <is>
          <t>No</t>
        </is>
      </c>
      <c r="I2516" t="inlineStr">
        <is>
          <t>No</t>
        </is>
      </c>
      <c r="J2516" t="inlineStr">
        <is>
          <t>0</t>
        </is>
      </c>
      <c r="K2516" t="inlineStr">
        <is>
          <t>Rubin, Zick.</t>
        </is>
      </c>
      <c r="L2516" t="inlineStr">
        <is>
          <t>Cambridge, Mass. : Harvard University Press, c1980, 1982 printing.</t>
        </is>
      </c>
      <c r="M2516" t="inlineStr">
        <is>
          <t>1980</t>
        </is>
      </c>
      <c r="O2516" t="inlineStr">
        <is>
          <t>eng</t>
        </is>
      </c>
      <c r="P2516" t="inlineStr">
        <is>
          <t>mau</t>
        </is>
      </c>
      <c r="Q2516" t="inlineStr">
        <is>
          <t>The Developing child series</t>
        </is>
      </c>
      <c r="R2516" t="inlineStr">
        <is>
          <t xml:space="preserve">HQ </t>
        </is>
      </c>
      <c r="S2516" t="n">
        <v>16</v>
      </c>
      <c r="T2516" t="n">
        <v>16</v>
      </c>
      <c r="U2516" t="inlineStr">
        <is>
          <t>2007-11-26</t>
        </is>
      </c>
      <c r="V2516" t="inlineStr">
        <is>
          <t>2007-11-26</t>
        </is>
      </c>
      <c r="W2516" t="inlineStr">
        <is>
          <t>1992-11-11</t>
        </is>
      </c>
      <c r="X2516" t="inlineStr">
        <is>
          <t>1992-11-11</t>
        </is>
      </c>
      <c r="Y2516" t="n">
        <v>1051</v>
      </c>
      <c r="Z2516" t="n">
        <v>953</v>
      </c>
      <c r="AA2516" t="n">
        <v>965</v>
      </c>
      <c r="AB2516" t="n">
        <v>6</v>
      </c>
      <c r="AC2516" t="n">
        <v>6</v>
      </c>
      <c r="AD2516" t="n">
        <v>32</v>
      </c>
      <c r="AE2516" t="n">
        <v>32</v>
      </c>
      <c r="AF2516" t="n">
        <v>12</v>
      </c>
      <c r="AG2516" t="n">
        <v>12</v>
      </c>
      <c r="AH2516" t="n">
        <v>7</v>
      </c>
      <c r="AI2516" t="n">
        <v>7</v>
      </c>
      <c r="AJ2516" t="n">
        <v>15</v>
      </c>
      <c r="AK2516" t="n">
        <v>15</v>
      </c>
      <c r="AL2516" t="n">
        <v>4</v>
      </c>
      <c r="AM2516" t="n">
        <v>4</v>
      </c>
      <c r="AN2516" t="n">
        <v>0</v>
      </c>
      <c r="AO2516" t="n">
        <v>0</v>
      </c>
      <c r="AP2516" t="inlineStr">
        <is>
          <t>No</t>
        </is>
      </c>
      <c r="AQ2516" t="inlineStr">
        <is>
          <t>Yes</t>
        </is>
      </c>
      <c r="AR2516">
        <f>HYPERLINK("http://catalog.hathitrust.org/Record/000712895","HathiTrust Record")</f>
        <v/>
      </c>
      <c r="AS2516">
        <f>HYPERLINK("https://creighton-primo.hosted.exlibrisgroup.com/primo-explore/search?tab=default_tab&amp;search_scope=EVERYTHING&amp;vid=01CRU&amp;lang=en_US&amp;offset=0&amp;query=any,contains,991004925299702656","Catalog Record")</f>
        <v/>
      </c>
      <c r="AT2516">
        <f>HYPERLINK("http://www.worldcat.org/oclc/6085530","WorldCat Record")</f>
        <v/>
      </c>
      <c r="AU2516" t="inlineStr">
        <is>
          <t>520920:eng</t>
        </is>
      </c>
      <c r="AV2516" t="inlineStr">
        <is>
          <t>6085530</t>
        </is>
      </c>
      <c r="AW2516" t="inlineStr">
        <is>
          <t>991004925299702656</t>
        </is>
      </c>
      <c r="AX2516" t="inlineStr">
        <is>
          <t>991004925299702656</t>
        </is>
      </c>
      <c r="AY2516" t="inlineStr">
        <is>
          <t>2260971760002656</t>
        </is>
      </c>
      <c r="AZ2516" t="inlineStr">
        <is>
          <t>BOOK</t>
        </is>
      </c>
      <c r="BB2516" t="inlineStr">
        <is>
          <t>9780674116184</t>
        </is>
      </c>
      <c r="BC2516" t="inlineStr">
        <is>
          <t>32285001395432</t>
        </is>
      </c>
      <c r="BD2516" t="inlineStr">
        <is>
          <t>893628420</t>
        </is>
      </c>
    </row>
    <row r="2517">
      <c r="A2517" t="inlineStr">
        <is>
          <t>No</t>
        </is>
      </c>
      <c r="B2517" t="inlineStr">
        <is>
          <t>HQ769 .S277</t>
        </is>
      </c>
      <c r="C2517" t="inlineStr">
        <is>
          <t>0                      HQ 0769000S  277</t>
        </is>
      </c>
      <c r="D2517" t="inlineStr">
        <is>
          <t>How to influence children : a handbook of practical parenting skills / Charles Schaefer.</t>
        </is>
      </c>
      <c r="F2517" t="inlineStr">
        <is>
          <t>No</t>
        </is>
      </c>
      <c r="G2517" t="inlineStr">
        <is>
          <t>1</t>
        </is>
      </c>
      <c r="H2517" t="inlineStr">
        <is>
          <t>No</t>
        </is>
      </c>
      <c r="I2517" t="inlineStr">
        <is>
          <t>No</t>
        </is>
      </c>
      <c r="J2517" t="inlineStr">
        <is>
          <t>0</t>
        </is>
      </c>
      <c r="K2517" t="inlineStr">
        <is>
          <t>Schaefer, Charles.</t>
        </is>
      </c>
      <c r="L2517" t="inlineStr">
        <is>
          <t>New York : Van Nostrand Reinhold, c1978.</t>
        </is>
      </c>
      <c r="M2517" t="inlineStr">
        <is>
          <t>1978</t>
        </is>
      </c>
      <c r="O2517" t="inlineStr">
        <is>
          <t>eng</t>
        </is>
      </c>
      <c r="P2517" t="inlineStr">
        <is>
          <t>nyu</t>
        </is>
      </c>
      <c r="R2517" t="inlineStr">
        <is>
          <t xml:space="preserve">HQ </t>
        </is>
      </c>
      <c r="S2517" t="n">
        <v>6</v>
      </c>
      <c r="T2517" t="n">
        <v>6</v>
      </c>
      <c r="U2517" t="inlineStr">
        <is>
          <t>2000-09-06</t>
        </is>
      </c>
      <c r="V2517" t="inlineStr">
        <is>
          <t>2000-09-06</t>
        </is>
      </c>
      <c r="W2517" t="inlineStr">
        <is>
          <t>1992-11-11</t>
        </is>
      </c>
      <c r="X2517" t="inlineStr">
        <is>
          <t>1992-11-11</t>
        </is>
      </c>
      <c r="Y2517" t="n">
        <v>419</v>
      </c>
      <c r="Z2517" t="n">
        <v>365</v>
      </c>
      <c r="AA2517" t="n">
        <v>377</v>
      </c>
      <c r="AB2517" t="n">
        <v>3</v>
      </c>
      <c r="AC2517" t="n">
        <v>3</v>
      </c>
      <c r="AD2517" t="n">
        <v>9</v>
      </c>
      <c r="AE2517" t="n">
        <v>9</v>
      </c>
      <c r="AF2517" t="n">
        <v>5</v>
      </c>
      <c r="AG2517" t="n">
        <v>5</v>
      </c>
      <c r="AH2517" t="n">
        <v>1</v>
      </c>
      <c r="AI2517" t="n">
        <v>1</v>
      </c>
      <c r="AJ2517" t="n">
        <v>3</v>
      </c>
      <c r="AK2517" t="n">
        <v>3</v>
      </c>
      <c r="AL2517" t="n">
        <v>1</v>
      </c>
      <c r="AM2517" t="n">
        <v>1</v>
      </c>
      <c r="AN2517" t="n">
        <v>0</v>
      </c>
      <c r="AO2517" t="n">
        <v>0</v>
      </c>
      <c r="AP2517" t="inlineStr">
        <is>
          <t>No</t>
        </is>
      </c>
      <c r="AQ2517" t="inlineStr">
        <is>
          <t>Yes</t>
        </is>
      </c>
      <c r="AR2517">
        <f>HYPERLINK("http://catalog.hathitrust.org/Record/010550880","HathiTrust Record")</f>
        <v/>
      </c>
      <c r="AS2517">
        <f>HYPERLINK("https://creighton-primo.hosted.exlibrisgroup.com/primo-explore/search?tab=default_tab&amp;search_scope=EVERYTHING&amp;vid=01CRU&amp;lang=en_US&amp;offset=0&amp;query=any,contains,991004415949702656","Catalog Record")</f>
        <v/>
      </c>
      <c r="AT2517">
        <f>HYPERLINK("http://www.worldcat.org/oclc/3362042","WorldCat Record")</f>
        <v/>
      </c>
      <c r="AU2517" t="inlineStr">
        <is>
          <t>292424397:eng</t>
        </is>
      </c>
      <c r="AV2517" t="inlineStr">
        <is>
          <t>3362042</t>
        </is>
      </c>
      <c r="AW2517" t="inlineStr">
        <is>
          <t>991004415949702656</t>
        </is>
      </c>
      <c r="AX2517" t="inlineStr">
        <is>
          <t>991004415949702656</t>
        </is>
      </c>
      <c r="AY2517" t="inlineStr">
        <is>
          <t>2256733080002656</t>
        </is>
      </c>
      <c r="AZ2517" t="inlineStr">
        <is>
          <t>BOOK</t>
        </is>
      </c>
      <c r="BB2517" t="inlineStr">
        <is>
          <t>9780442273705</t>
        </is>
      </c>
      <c r="BC2517" t="inlineStr">
        <is>
          <t>32285001395440</t>
        </is>
      </c>
      <c r="BD2517" t="inlineStr">
        <is>
          <t>893532364</t>
        </is>
      </c>
    </row>
    <row r="2518">
      <c r="A2518" t="inlineStr">
        <is>
          <t>No</t>
        </is>
      </c>
      <c r="B2518" t="inlineStr">
        <is>
          <t>HQ769 .S68</t>
        </is>
      </c>
      <c r="C2518" t="inlineStr">
        <is>
          <t>0                      HQ 0769000S  68</t>
        </is>
      </c>
      <c r="D2518" t="inlineStr">
        <is>
          <t>Problems of parents.</t>
        </is>
      </c>
      <c r="F2518" t="inlineStr">
        <is>
          <t>No</t>
        </is>
      </c>
      <c r="G2518" t="inlineStr">
        <is>
          <t>1</t>
        </is>
      </c>
      <c r="H2518" t="inlineStr">
        <is>
          <t>No</t>
        </is>
      </c>
      <c r="I2518" t="inlineStr">
        <is>
          <t>No</t>
        </is>
      </c>
      <c r="J2518" t="inlineStr">
        <is>
          <t>0</t>
        </is>
      </c>
      <c r="K2518" t="inlineStr">
        <is>
          <t>Spock, Benjamin, 1903-1998.</t>
        </is>
      </c>
      <c r="L2518" t="inlineStr">
        <is>
          <t>Boston : Houghton Mifflin, 1962.</t>
        </is>
      </c>
      <c r="M2518" t="inlineStr">
        <is>
          <t>1962</t>
        </is>
      </c>
      <c r="O2518" t="inlineStr">
        <is>
          <t>eng</t>
        </is>
      </c>
      <c r="P2518" t="inlineStr">
        <is>
          <t>mau</t>
        </is>
      </c>
      <c r="R2518" t="inlineStr">
        <is>
          <t xml:space="preserve">HQ </t>
        </is>
      </c>
      <c r="S2518" t="n">
        <v>0</v>
      </c>
      <c r="T2518" t="n">
        <v>0</v>
      </c>
      <c r="U2518" t="inlineStr">
        <is>
          <t>2000-09-26</t>
        </is>
      </c>
      <c r="V2518" t="inlineStr">
        <is>
          <t>2000-09-26</t>
        </is>
      </c>
      <c r="W2518" t="inlineStr">
        <is>
          <t>1992-04-24</t>
        </is>
      </c>
      <c r="X2518" t="inlineStr">
        <is>
          <t>1992-04-24</t>
        </is>
      </c>
      <c r="Y2518" t="n">
        <v>712</v>
      </c>
      <c r="Z2518" t="n">
        <v>665</v>
      </c>
      <c r="AA2518" t="n">
        <v>748</v>
      </c>
      <c r="AB2518" t="n">
        <v>7</v>
      </c>
      <c r="AC2518" t="n">
        <v>7</v>
      </c>
      <c r="AD2518" t="n">
        <v>16</v>
      </c>
      <c r="AE2518" t="n">
        <v>21</v>
      </c>
      <c r="AF2518" t="n">
        <v>4</v>
      </c>
      <c r="AG2518" t="n">
        <v>6</v>
      </c>
      <c r="AH2518" t="n">
        <v>4</v>
      </c>
      <c r="AI2518" t="n">
        <v>6</v>
      </c>
      <c r="AJ2518" t="n">
        <v>6</v>
      </c>
      <c r="AK2518" t="n">
        <v>9</v>
      </c>
      <c r="AL2518" t="n">
        <v>5</v>
      </c>
      <c r="AM2518" t="n">
        <v>5</v>
      </c>
      <c r="AN2518" t="n">
        <v>0</v>
      </c>
      <c r="AO2518" t="n">
        <v>0</v>
      </c>
      <c r="AP2518" t="inlineStr">
        <is>
          <t>No</t>
        </is>
      </c>
      <c r="AQ2518" t="inlineStr">
        <is>
          <t>Yes</t>
        </is>
      </c>
      <c r="AR2518">
        <f>HYPERLINK("http://catalog.hathitrust.org/Record/001108357","HathiTrust Record")</f>
        <v/>
      </c>
      <c r="AS2518">
        <f>HYPERLINK("https://creighton-primo.hosted.exlibrisgroup.com/primo-explore/search?tab=default_tab&amp;search_scope=EVERYTHING&amp;vid=01CRU&amp;lang=en_US&amp;offset=0&amp;query=any,contains,991002847649702656","Catalog Record")</f>
        <v/>
      </c>
      <c r="AT2518">
        <f>HYPERLINK("http://www.worldcat.org/oclc/485286","WorldCat Record")</f>
        <v/>
      </c>
      <c r="AU2518" t="inlineStr">
        <is>
          <t>49368278:eng</t>
        </is>
      </c>
      <c r="AV2518" t="inlineStr">
        <is>
          <t>485286</t>
        </is>
      </c>
      <c r="AW2518" t="inlineStr">
        <is>
          <t>991002847649702656</t>
        </is>
      </c>
      <c r="AX2518" t="inlineStr">
        <is>
          <t>991002847649702656</t>
        </is>
      </c>
      <c r="AY2518" t="inlineStr">
        <is>
          <t>2257559000002656</t>
        </is>
      </c>
      <c r="AZ2518" t="inlineStr">
        <is>
          <t>BOOK</t>
        </is>
      </c>
      <c r="BC2518" t="inlineStr">
        <is>
          <t>32285001086551</t>
        </is>
      </c>
      <c r="BD2518" t="inlineStr">
        <is>
          <t>893233505</t>
        </is>
      </c>
    </row>
    <row r="2519">
      <c r="A2519" t="inlineStr">
        <is>
          <t>No</t>
        </is>
      </c>
      <c r="B2519" t="inlineStr">
        <is>
          <t>HQ769 .S8864 1984</t>
        </is>
      </c>
      <c r="C2519" t="inlineStr">
        <is>
          <t>0                      HQ 0769000S  8864        1984</t>
        </is>
      </c>
      <c r="D2519" t="inlineStr">
        <is>
          <t>Strengthening families / Nicholas Hobbs ... [et al.].</t>
        </is>
      </c>
      <c r="F2519" t="inlineStr">
        <is>
          <t>No</t>
        </is>
      </c>
      <c r="G2519" t="inlineStr">
        <is>
          <t>1</t>
        </is>
      </c>
      <c r="H2519" t="inlineStr">
        <is>
          <t>No</t>
        </is>
      </c>
      <c r="I2519" t="inlineStr">
        <is>
          <t>No</t>
        </is>
      </c>
      <c r="J2519" t="inlineStr">
        <is>
          <t>0</t>
        </is>
      </c>
      <c r="L2519" t="inlineStr">
        <is>
          <t>San Francisco : Jossey-Bass, 1984.</t>
        </is>
      </c>
      <c r="M2519" t="inlineStr">
        <is>
          <t>1984</t>
        </is>
      </c>
      <c r="N2519" t="inlineStr">
        <is>
          <t>1st ed.</t>
        </is>
      </c>
      <c r="O2519" t="inlineStr">
        <is>
          <t>eng</t>
        </is>
      </c>
      <c r="P2519" t="inlineStr">
        <is>
          <t>cau</t>
        </is>
      </c>
      <c r="Q2519" t="inlineStr">
        <is>
          <t>The Jossey-Bass social and behavioral science series</t>
        </is>
      </c>
      <c r="R2519" t="inlineStr">
        <is>
          <t xml:space="preserve">HQ </t>
        </is>
      </c>
      <c r="S2519" t="n">
        <v>2</v>
      </c>
      <c r="T2519" t="n">
        <v>2</v>
      </c>
      <c r="U2519" t="inlineStr">
        <is>
          <t>1994-10-31</t>
        </is>
      </c>
      <c r="V2519" t="inlineStr">
        <is>
          <t>1994-10-31</t>
        </is>
      </c>
      <c r="W2519" t="inlineStr">
        <is>
          <t>1992-03-30</t>
        </is>
      </c>
      <c r="X2519" t="inlineStr">
        <is>
          <t>1992-03-30</t>
        </is>
      </c>
      <c r="Y2519" t="n">
        <v>370</v>
      </c>
      <c r="Z2519" t="n">
        <v>305</v>
      </c>
      <c r="AA2519" t="n">
        <v>313</v>
      </c>
      <c r="AB2519" t="n">
        <v>4</v>
      </c>
      <c r="AC2519" t="n">
        <v>4</v>
      </c>
      <c r="AD2519" t="n">
        <v>16</v>
      </c>
      <c r="AE2519" t="n">
        <v>16</v>
      </c>
      <c r="AF2519" t="n">
        <v>7</v>
      </c>
      <c r="AG2519" t="n">
        <v>7</v>
      </c>
      <c r="AH2519" t="n">
        <v>1</v>
      </c>
      <c r="AI2519" t="n">
        <v>1</v>
      </c>
      <c r="AJ2519" t="n">
        <v>7</v>
      </c>
      <c r="AK2519" t="n">
        <v>7</v>
      </c>
      <c r="AL2519" t="n">
        <v>3</v>
      </c>
      <c r="AM2519" t="n">
        <v>3</v>
      </c>
      <c r="AN2519" t="n">
        <v>0</v>
      </c>
      <c r="AO2519" t="n">
        <v>0</v>
      </c>
      <c r="AP2519" t="inlineStr">
        <is>
          <t>No</t>
        </is>
      </c>
      <c r="AQ2519" t="inlineStr">
        <is>
          <t>Yes</t>
        </is>
      </c>
      <c r="AR2519">
        <f>HYPERLINK("http://catalog.hathitrust.org/Record/000322771","HathiTrust Record")</f>
        <v/>
      </c>
      <c r="AS2519">
        <f>HYPERLINK("https://creighton-primo.hosted.exlibrisgroup.com/primo-explore/search?tab=default_tab&amp;search_scope=EVERYTHING&amp;vid=01CRU&amp;lang=en_US&amp;offset=0&amp;query=any,contains,991000336969702656","Catalog Record")</f>
        <v/>
      </c>
      <c r="AT2519">
        <f>HYPERLINK("http://www.worldcat.org/oclc/10230149","WorldCat Record")</f>
        <v/>
      </c>
      <c r="AU2519" t="inlineStr">
        <is>
          <t>54613801:eng</t>
        </is>
      </c>
      <c r="AV2519" t="inlineStr">
        <is>
          <t>10230149</t>
        </is>
      </c>
      <c r="AW2519" t="inlineStr">
        <is>
          <t>991000336969702656</t>
        </is>
      </c>
      <c r="AX2519" t="inlineStr">
        <is>
          <t>991000336969702656</t>
        </is>
      </c>
      <c r="AY2519" t="inlineStr">
        <is>
          <t>2256412860002656</t>
        </is>
      </c>
      <c r="AZ2519" t="inlineStr">
        <is>
          <t>BOOK</t>
        </is>
      </c>
      <c r="BB2519" t="inlineStr">
        <is>
          <t>9780875895963</t>
        </is>
      </c>
      <c r="BC2519" t="inlineStr">
        <is>
          <t>32285001030427</t>
        </is>
      </c>
      <c r="BD2519" t="inlineStr">
        <is>
          <t>893689617</t>
        </is>
      </c>
    </row>
    <row r="2520">
      <c r="A2520" t="inlineStr">
        <is>
          <t>No</t>
        </is>
      </c>
      <c r="B2520" t="inlineStr">
        <is>
          <t>HQ769 .S934 2009</t>
        </is>
      </c>
      <c r="C2520" t="inlineStr">
        <is>
          <t>0                      HQ 0769000S  934         2009</t>
        </is>
      </c>
      <c r="D2520" t="inlineStr">
        <is>
          <t>Parking lot rules &amp; 75 other ideas for raising amazing children / Tom Sturges.</t>
        </is>
      </c>
      <c r="F2520" t="inlineStr">
        <is>
          <t>No</t>
        </is>
      </c>
      <c r="G2520" t="inlineStr">
        <is>
          <t>1</t>
        </is>
      </c>
      <c r="H2520" t="inlineStr">
        <is>
          <t>No</t>
        </is>
      </c>
      <c r="I2520" t="inlineStr">
        <is>
          <t>No</t>
        </is>
      </c>
      <c r="J2520" t="inlineStr">
        <is>
          <t>0</t>
        </is>
      </c>
      <c r="K2520" t="inlineStr">
        <is>
          <t>Sturges, Tom.</t>
        </is>
      </c>
      <c r="L2520" t="inlineStr">
        <is>
          <t>New York : Ballantine Books, 2009, c2008.</t>
        </is>
      </c>
      <c r="M2520" t="inlineStr">
        <is>
          <t>2009</t>
        </is>
      </c>
      <c r="N2520" t="inlineStr">
        <is>
          <t>Ballantine Books trade pbk. ed.</t>
        </is>
      </c>
      <c r="O2520" t="inlineStr">
        <is>
          <t>eng</t>
        </is>
      </c>
      <c r="P2520" t="inlineStr">
        <is>
          <t>nyu</t>
        </is>
      </c>
      <c r="R2520" t="inlineStr">
        <is>
          <t xml:space="preserve">HQ </t>
        </is>
      </c>
      <c r="S2520" t="n">
        <v>3</v>
      </c>
      <c r="T2520" t="n">
        <v>3</v>
      </c>
      <c r="U2520" t="inlineStr">
        <is>
          <t>2009-08-25</t>
        </is>
      </c>
      <c r="V2520" t="inlineStr">
        <is>
          <t>2009-08-25</t>
        </is>
      </c>
      <c r="W2520" t="inlineStr">
        <is>
          <t>2009-06-10</t>
        </is>
      </c>
      <c r="X2520" t="inlineStr">
        <is>
          <t>2009-06-10</t>
        </is>
      </c>
      <c r="Y2520" t="n">
        <v>42</v>
      </c>
      <c r="Z2520" t="n">
        <v>40</v>
      </c>
      <c r="AA2520" t="n">
        <v>439</v>
      </c>
      <c r="AB2520" t="n">
        <v>1</v>
      </c>
      <c r="AC2520" t="n">
        <v>2</v>
      </c>
      <c r="AD2520" t="n">
        <v>0</v>
      </c>
      <c r="AE2520" t="n">
        <v>0</v>
      </c>
      <c r="AF2520" t="n">
        <v>0</v>
      </c>
      <c r="AG2520" t="n">
        <v>0</v>
      </c>
      <c r="AH2520" t="n">
        <v>0</v>
      </c>
      <c r="AI2520" t="n">
        <v>0</v>
      </c>
      <c r="AJ2520" t="n">
        <v>0</v>
      </c>
      <c r="AK2520" t="n">
        <v>0</v>
      </c>
      <c r="AL2520" t="n">
        <v>0</v>
      </c>
      <c r="AM2520" t="n">
        <v>0</v>
      </c>
      <c r="AN2520" t="n">
        <v>0</v>
      </c>
      <c r="AO2520" t="n">
        <v>0</v>
      </c>
      <c r="AP2520" t="inlineStr">
        <is>
          <t>No</t>
        </is>
      </c>
      <c r="AQ2520" t="inlineStr">
        <is>
          <t>No</t>
        </is>
      </c>
      <c r="AS2520">
        <f>HYPERLINK("https://creighton-primo.hosted.exlibrisgroup.com/primo-explore/search?tab=default_tab&amp;search_scope=EVERYTHING&amp;vid=01CRU&amp;lang=en_US&amp;offset=0&amp;query=any,contains,991005318849702656","Catalog Record")</f>
        <v/>
      </c>
      <c r="AT2520">
        <f>HYPERLINK("http://www.worldcat.org/oclc/251202430","WorldCat Record")</f>
        <v/>
      </c>
      <c r="AU2520" t="inlineStr">
        <is>
          <t>119717817:eng</t>
        </is>
      </c>
      <c r="AV2520" t="inlineStr">
        <is>
          <t>251202430</t>
        </is>
      </c>
      <c r="AW2520" t="inlineStr">
        <is>
          <t>991005318849702656</t>
        </is>
      </c>
      <c r="AX2520" t="inlineStr">
        <is>
          <t>991005318849702656</t>
        </is>
      </c>
      <c r="AY2520" t="inlineStr">
        <is>
          <t>2258402070002656</t>
        </is>
      </c>
      <c r="AZ2520" t="inlineStr">
        <is>
          <t>BOOK</t>
        </is>
      </c>
      <c r="BB2520" t="inlineStr">
        <is>
          <t>9780345503787</t>
        </is>
      </c>
      <c r="BC2520" t="inlineStr">
        <is>
          <t>32285005534408</t>
        </is>
      </c>
      <c r="BD2520" t="inlineStr">
        <is>
          <t>893527298</t>
        </is>
      </c>
    </row>
    <row r="2521">
      <c r="A2521" t="inlineStr">
        <is>
          <t>No</t>
        </is>
      </c>
      <c r="B2521" t="inlineStr">
        <is>
          <t>HQ769 .T43</t>
        </is>
      </c>
      <c r="C2521" t="inlineStr">
        <is>
          <t>0                      HQ 0769000T  43</t>
        </is>
      </c>
      <c r="D2521" t="inlineStr">
        <is>
          <t>Your child and his problems : a basic guide for parents.</t>
        </is>
      </c>
      <c r="F2521" t="inlineStr">
        <is>
          <t>No</t>
        </is>
      </c>
      <c r="G2521" t="inlineStr">
        <is>
          <t>1</t>
        </is>
      </c>
      <c r="H2521" t="inlineStr">
        <is>
          <t>No</t>
        </is>
      </c>
      <c r="I2521" t="inlineStr">
        <is>
          <t>No</t>
        </is>
      </c>
      <c r="J2521" t="inlineStr">
        <is>
          <t>0</t>
        </is>
      </c>
      <c r="K2521" t="inlineStr">
        <is>
          <t>Teicher, Joseph D.</t>
        </is>
      </c>
      <c r="L2521" t="inlineStr">
        <is>
          <t>Boston : Little, Brown, [1953]</t>
        </is>
      </c>
      <c r="M2521" t="inlineStr">
        <is>
          <t>1953</t>
        </is>
      </c>
      <c r="N2521" t="inlineStr">
        <is>
          <t>[1st ed.]</t>
        </is>
      </c>
      <c r="O2521" t="inlineStr">
        <is>
          <t>eng</t>
        </is>
      </c>
      <c r="P2521" t="inlineStr">
        <is>
          <t>mau</t>
        </is>
      </c>
      <c r="R2521" t="inlineStr">
        <is>
          <t xml:space="preserve">HQ </t>
        </is>
      </c>
      <c r="S2521" t="n">
        <v>3</v>
      </c>
      <c r="T2521" t="n">
        <v>3</v>
      </c>
      <c r="U2521" t="inlineStr">
        <is>
          <t>1997-09-16</t>
        </is>
      </c>
      <c r="V2521" t="inlineStr">
        <is>
          <t>1997-09-16</t>
        </is>
      </c>
      <c r="W2521" t="inlineStr">
        <is>
          <t>1993-02-23</t>
        </is>
      </c>
      <c r="X2521" t="inlineStr">
        <is>
          <t>1993-02-23</t>
        </is>
      </c>
      <c r="Y2521" t="n">
        <v>151</v>
      </c>
      <c r="Z2521" t="n">
        <v>142</v>
      </c>
      <c r="AA2521" t="n">
        <v>149</v>
      </c>
      <c r="AB2521" t="n">
        <v>3</v>
      </c>
      <c r="AC2521" t="n">
        <v>3</v>
      </c>
      <c r="AD2521" t="n">
        <v>8</v>
      </c>
      <c r="AE2521" t="n">
        <v>8</v>
      </c>
      <c r="AF2521" t="n">
        <v>1</v>
      </c>
      <c r="AG2521" t="n">
        <v>1</v>
      </c>
      <c r="AH2521" t="n">
        <v>2</v>
      </c>
      <c r="AI2521" t="n">
        <v>2</v>
      </c>
      <c r="AJ2521" t="n">
        <v>3</v>
      </c>
      <c r="AK2521" t="n">
        <v>3</v>
      </c>
      <c r="AL2521" t="n">
        <v>2</v>
      </c>
      <c r="AM2521" t="n">
        <v>2</v>
      </c>
      <c r="AN2521" t="n">
        <v>0</v>
      </c>
      <c r="AO2521" t="n">
        <v>0</v>
      </c>
      <c r="AP2521" t="inlineStr">
        <is>
          <t>Yes</t>
        </is>
      </c>
      <c r="AQ2521" t="inlineStr">
        <is>
          <t>No</t>
        </is>
      </c>
      <c r="AR2521">
        <f>HYPERLINK("http://catalog.hathitrust.org/Record/000977987","HathiTrust Record")</f>
        <v/>
      </c>
      <c r="AS2521">
        <f>HYPERLINK("https://creighton-primo.hosted.exlibrisgroup.com/primo-explore/search?tab=default_tab&amp;search_scope=EVERYTHING&amp;vid=01CRU&amp;lang=en_US&amp;offset=0&amp;query=any,contains,991003766659702656","Catalog Record")</f>
        <v/>
      </c>
      <c r="AT2521">
        <f>HYPERLINK("http://www.worldcat.org/oclc/1460391","WorldCat Record")</f>
        <v/>
      </c>
      <c r="AU2521" t="inlineStr">
        <is>
          <t>369032404:eng</t>
        </is>
      </c>
      <c r="AV2521" t="inlineStr">
        <is>
          <t>1460391</t>
        </is>
      </c>
      <c r="AW2521" t="inlineStr">
        <is>
          <t>991003766659702656</t>
        </is>
      </c>
      <c r="AX2521" t="inlineStr">
        <is>
          <t>991003766659702656</t>
        </is>
      </c>
      <c r="AY2521" t="inlineStr">
        <is>
          <t>2256774480002656</t>
        </is>
      </c>
      <c r="AZ2521" t="inlineStr">
        <is>
          <t>BOOK</t>
        </is>
      </c>
      <c r="BC2521" t="inlineStr">
        <is>
          <t>32285001503571</t>
        </is>
      </c>
      <c r="BD2521" t="inlineStr">
        <is>
          <t>893246714</t>
        </is>
      </c>
    </row>
    <row r="2522">
      <c r="A2522" t="inlineStr">
        <is>
          <t>No</t>
        </is>
      </c>
      <c r="B2522" t="inlineStr">
        <is>
          <t>HQ769 .W27 2000</t>
        </is>
      </c>
      <c r="C2522" t="inlineStr">
        <is>
          <t>0                      HQ 0769000W  27          2000</t>
        </is>
      </c>
      <c r="D2522" t="inlineStr">
        <is>
          <t>The skin we're in : teaching our children to be emotionally strong, socially smart, spiritually connected / Janie Victoria Ward.</t>
        </is>
      </c>
      <c r="F2522" t="inlineStr">
        <is>
          <t>No</t>
        </is>
      </c>
      <c r="G2522" t="inlineStr">
        <is>
          <t>1</t>
        </is>
      </c>
      <c r="H2522" t="inlineStr">
        <is>
          <t>No</t>
        </is>
      </c>
      <c r="I2522" t="inlineStr">
        <is>
          <t>No</t>
        </is>
      </c>
      <c r="J2522" t="inlineStr">
        <is>
          <t>0</t>
        </is>
      </c>
      <c r="K2522" t="inlineStr">
        <is>
          <t>Ward, Janie Victoria.</t>
        </is>
      </c>
      <c r="L2522" t="inlineStr">
        <is>
          <t>New York : Free Press, c2000.</t>
        </is>
      </c>
      <c r="M2522" t="inlineStr">
        <is>
          <t>2000</t>
        </is>
      </c>
      <c r="O2522" t="inlineStr">
        <is>
          <t>eng</t>
        </is>
      </c>
      <c r="P2522" t="inlineStr">
        <is>
          <t>nyu</t>
        </is>
      </c>
      <c r="R2522" t="inlineStr">
        <is>
          <t xml:space="preserve">HQ </t>
        </is>
      </c>
      <c r="S2522" t="n">
        <v>1</v>
      </c>
      <c r="T2522" t="n">
        <v>1</v>
      </c>
      <c r="U2522" t="inlineStr">
        <is>
          <t>2001-01-16</t>
        </is>
      </c>
      <c r="V2522" t="inlineStr">
        <is>
          <t>2001-01-16</t>
        </is>
      </c>
      <c r="W2522" t="inlineStr">
        <is>
          <t>2001-01-16</t>
        </is>
      </c>
      <c r="X2522" t="inlineStr">
        <is>
          <t>2001-01-16</t>
        </is>
      </c>
      <c r="Y2522" t="n">
        <v>321</v>
      </c>
      <c r="Z2522" t="n">
        <v>312</v>
      </c>
      <c r="AA2522" t="n">
        <v>317</v>
      </c>
      <c r="AB2522" t="n">
        <v>1</v>
      </c>
      <c r="AC2522" t="n">
        <v>1</v>
      </c>
      <c r="AD2522" t="n">
        <v>5</v>
      </c>
      <c r="AE2522" t="n">
        <v>5</v>
      </c>
      <c r="AF2522" t="n">
        <v>1</v>
      </c>
      <c r="AG2522" t="n">
        <v>1</v>
      </c>
      <c r="AH2522" t="n">
        <v>1</v>
      </c>
      <c r="AI2522" t="n">
        <v>1</v>
      </c>
      <c r="AJ2522" t="n">
        <v>4</v>
      </c>
      <c r="AK2522" t="n">
        <v>4</v>
      </c>
      <c r="AL2522" t="n">
        <v>0</v>
      </c>
      <c r="AM2522" t="n">
        <v>0</v>
      </c>
      <c r="AN2522" t="n">
        <v>0</v>
      </c>
      <c r="AO2522" t="n">
        <v>0</v>
      </c>
      <c r="AP2522" t="inlineStr">
        <is>
          <t>No</t>
        </is>
      </c>
      <c r="AQ2522" t="inlineStr">
        <is>
          <t>No</t>
        </is>
      </c>
      <c r="AS2522">
        <f>HYPERLINK("https://creighton-primo.hosted.exlibrisgroup.com/primo-explore/search?tab=default_tab&amp;search_scope=EVERYTHING&amp;vid=01CRU&amp;lang=en_US&amp;offset=0&amp;query=any,contains,991003330969702656","Catalog Record")</f>
        <v/>
      </c>
      <c r="AT2522">
        <f>HYPERLINK("http://www.worldcat.org/oclc/43951853","WorldCat Record")</f>
        <v/>
      </c>
      <c r="AU2522" t="inlineStr">
        <is>
          <t>2687148:eng</t>
        </is>
      </c>
      <c r="AV2522" t="inlineStr">
        <is>
          <t>43951853</t>
        </is>
      </c>
      <c r="AW2522" t="inlineStr">
        <is>
          <t>991003330969702656</t>
        </is>
      </c>
      <c r="AX2522" t="inlineStr">
        <is>
          <t>991003330969702656</t>
        </is>
      </c>
      <c r="AY2522" t="inlineStr">
        <is>
          <t>2257991640002656</t>
        </is>
      </c>
      <c r="AZ2522" t="inlineStr">
        <is>
          <t>BOOK</t>
        </is>
      </c>
      <c r="BB2522" t="inlineStr">
        <is>
          <t>9780684859286</t>
        </is>
      </c>
      <c r="BC2522" t="inlineStr">
        <is>
          <t>32285004284450</t>
        </is>
      </c>
      <c r="BD2522" t="inlineStr">
        <is>
          <t>893899869</t>
        </is>
      </c>
    </row>
    <row r="2523">
      <c r="A2523" t="inlineStr">
        <is>
          <t>No</t>
        </is>
      </c>
      <c r="B2523" t="inlineStr">
        <is>
          <t>HQ769 .W28</t>
        </is>
      </c>
      <c r="C2523" t="inlineStr">
        <is>
          <t>0                      HQ 0769000W  28</t>
        </is>
      </c>
      <c r="D2523" t="inlineStr">
        <is>
          <t>Helping young children grow : a humanistic approach to parenting &amp; teaching / Susan E. Warrell.</t>
        </is>
      </c>
      <c r="F2523" t="inlineStr">
        <is>
          <t>No</t>
        </is>
      </c>
      <c r="G2523" t="inlineStr">
        <is>
          <t>1</t>
        </is>
      </c>
      <c r="H2523" t="inlineStr">
        <is>
          <t>No</t>
        </is>
      </c>
      <c r="I2523" t="inlineStr">
        <is>
          <t>No</t>
        </is>
      </c>
      <c r="J2523" t="inlineStr">
        <is>
          <t>0</t>
        </is>
      </c>
      <c r="K2523" t="inlineStr">
        <is>
          <t>Warrell, Susan E.</t>
        </is>
      </c>
      <c r="L2523" t="inlineStr">
        <is>
          <t>Englewood Cliffs, N.J. : Prentice-Hall, c1980.</t>
        </is>
      </c>
      <c r="M2523" t="inlineStr">
        <is>
          <t>1980</t>
        </is>
      </c>
      <c r="O2523" t="inlineStr">
        <is>
          <t>eng</t>
        </is>
      </c>
      <c r="P2523" t="inlineStr">
        <is>
          <t>nju</t>
        </is>
      </c>
      <c r="Q2523" t="inlineStr">
        <is>
          <t>A Spectrum book</t>
        </is>
      </c>
      <c r="R2523" t="inlineStr">
        <is>
          <t xml:space="preserve">HQ </t>
        </is>
      </c>
      <c r="S2523" t="n">
        <v>4</v>
      </c>
      <c r="T2523" t="n">
        <v>4</v>
      </c>
      <c r="U2523" t="inlineStr">
        <is>
          <t>1996-11-11</t>
        </is>
      </c>
      <c r="V2523" t="inlineStr">
        <is>
          <t>1996-11-11</t>
        </is>
      </c>
      <c r="W2523" t="inlineStr">
        <is>
          <t>1992-11-11</t>
        </is>
      </c>
      <c r="X2523" t="inlineStr">
        <is>
          <t>1992-11-11</t>
        </is>
      </c>
      <c r="Y2523" t="n">
        <v>213</v>
      </c>
      <c r="Z2523" t="n">
        <v>170</v>
      </c>
      <c r="AA2523" t="n">
        <v>175</v>
      </c>
      <c r="AB2523" t="n">
        <v>3</v>
      </c>
      <c r="AC2523" t="n">
        <v>3</v>
      </c>
      <c r="AD2523" t="n">
        <v>7</v>
      </c>
      <c r="AE2523" t="n">
        <v>7</v>
      </c>
      <c r="AF2523" t="n">
        <v>4</v>
      </c>
      <c r="AG2523" t="n">
        <v>4</v>
      </c>
      <c r="AH2523" t="n">
        <v>0</v>
      </c>
      <c r="AI2523" t="n">
        <v>0</v>
      </c>
      <c r="AJ2523" t="n">
        <v>3</v>
      </c>
      <c r="AK2523" t="n">
        <v>3</v>
      </c>
      <c r="AL2523" t="n">
        <v>1</v>
      </c>
      <c r="AM2523" t="n">
        <v>1</v>
      </c>
      <c r="AN2523" t="n">
        <v>0</v>
      </c>
      <c r="AO2523" t="n">
        <v>0</v>
      </c>
      <c r="AP2523" t="inlineStr">
        <is>
          <t>No</t>
        </is>
      </c>
      <c r="AQ2523" t="inlineStr">
        <is>
          <t>No</t>
        </is>
      </c>
      <c r="AS2523">
        <f>HYPERLINK("https://creighton-primo.hosted.exlibrisgroup.com/primo-explore/search?tab=default_tab&amp;search_scope=EVERYTHING&amp;vid=01CRU&amp;lang=en_US&amp;offset=0&amp;query=any,contains,991004985209702656","Catalog Record")</f>
        <v/>
      </c>
      <c r="AT2523">
        <f>HYPERLINK("http://www.worldcat.org/oclc/6447268","WorldCat Record")</f>
        <v/>
      </c>
      <c r="AU2523" t="inlineStr">
        <is>
          <t>1011914374:eng</t>
        </is>
      </c>
      <c r="AV2523" t="inlineStr">
        <is>
          <t>6447268</t>
        </is>
      </c>
      <c r="AW2523" t="inlineStr">
        <is>
          <t>991004985209702656</t>
        </is>
      </c>
      <c r="AX2523" t="inlineStr">
        <is>
          <t>991004985209702656</t>
        </is>
      </c>
      <c r="AY2523" t="inlineStr">
        <is>
          <t>2255465930002656</t>
        </is>
      </c>
      <c r="AZ2523" t="inlineStr">
        <is>
          <t>BOOK</t>
        </is>
      </c>
      <c r="BB2523" t="inlineStr">
        <is>
          <t>9780133861440</t>
        </is>
      </c>
      <c r="BC2523" t="inlineStr">
        <is>
          <t>32285001395457</t>
        </is>
      </c>
      <c r="BD2523" t="inlineStr">
        <is>
          <t>893430677</t>
        </is>
      </c>
    </row>
    <row r="2524">
      <c r="A2524" t="inlineStr">
        <is>
          <t>No</t>
        </is>
      </c>
      <c r="B2524" t="inlineStr">
        <is>
          <t>HQ769 .W444 1984</t>
        </is>
      </c>
      <c r="C2524" t="inlineStr">
        <is>
          <t>0                      HQ 0769000W  444         1984</t>
        </is>
      </c>
      <c r="D2524" t="inlineStr">
        <is>
          <t>Child care : kith, kin, and hired hands / Emmy E. Werner.</t>
        </is>
      </c>
      <c r="F2524" t="inlineStr">
        <is>
          <t>No</t>
        </is>
      </c>
      <c r="G2524" t="inlineStr">
        <is>
          <t>1</t>
        </is>
      </c>
      <c r="H2524" t="inlineStr">
        <is>
          <t>No</t>
        </is>
      </c>
      <c r="I2524" t="inlineStr">
        <is>
          <t>No</t>
        </is>
      </c>
      <c r="J2524" t="inlineStr">
        <is>
          <t>0</t>
        </is>
      </c>
      <c r="K2524" t="inlineStr">
        <is>
          <t>Werner, Emmy E.</t>
        </is>
      </c>
      <c r="L2524" t="inlineStr">
        <is>
          <t>Baltimore, Md. : University Park Press, c1984.</t>
        </is>
      </c>
      <c r="M2524" t="inlineStr">
        <is>
          <t>1983</t>
        </is>
      </c>
      <c r="O2524" t="inlineStr">
        <is>
          <t>eng</t>
        </is>
      </c>
      <c r="P2524" t="inlineStr">
        <is>
          <t>mdu</t>
        </is>
      </c>
      <c r="R2524" t="inlineStr">
        <is>
          <t xml:space="preserve">HQ </t>
        </is>
      </c>
      <c r="S2524" t="n">
        <v>7</v>
      </c>
      <c r="T2524" t="n">
        <v>7</v>
      </c>
      <c r="U2524" t="inlineStr">
        <is>
          <t>2002-04-11</t>
        </is>
      </c>
      <c r="V2524" t="inlineStr">
        <is>
          <t>2002-04-11</t>
        </is>
      </c>
      <c r="W2524" t="inlineStr">
        <is>
          <t>1992-09-29</t>
        </is>
      </c>
      <c r="X2524" t="inlineStr">
        <is>
          <t>1992-09-29</t>
        </is>
      </c>
      <c r="Y2524" t="n">
        <v>269</v>
      </c>
      <c r="Z2524" t="n">
        <v>230</v>
      </c>
      <c r="AA2524" t="n">
        <v>233</v>
      </c>
      <c r="AB2524" t="n">
        <v>4</v>
      </c>
      <c r="AC2524" t="n">
        <v>4</v>
      </c>
      <c r="AD2524" t="n">
        <v>12</v>
      </c>
      <c r="AE2524" t="n">
        <v>12</v>
      </c>
      <c r="AF2524" t="n">
        <v>6</v>
      </c>
      <c r="AG2524" t="n">
        <v>6</v>
      </c>
      <c r="AH2524" t="n">
        <v>0</v>
      </c>
      <c r="AI2524" t="n">
        <v>0</v>
      </c>
      <c r="AJ2524" t="n">
        <v>6</v>
      </c>
      <c r="AK2524" t="n">
        <v>6</v>
      </c>
      <c r="AL2524" t="n">
        <v>3</v>
      </c>
      <c r="AM2524" t="n">
        <v>3</v>
      </c>
      <c r="AN2524" t="n">
        <v>0</v>
      </c>
      <c r="AO2524" t="n">
        <v>0</v>
      </c>
      <c r="AP2524" t="inlineStr">
        <is>
          <t>No</t>
        </is>
      </c>
      <c r="AQ2524" t="inlineStr">
        <is>
          <t>Yes</t>
        </is>
      </c>
      <c r="AR2524">
        <f>HYPERLINK("http://catalog.hathitrust.org/Record/000159357","HathiTrust Record")</f>
        <v/>
      </c>
      <c r="AS2524">
        <f>HYPERLINK("https://creighton-primo.hosted.exlibrisgroup.com/primo-explore/search?tab=default_tab&amp;search_scope=EVERYTHING&amp;vid=01CRU&amp;lang=en_US&amp;offset=0&amp;query=any,contains,991000255069702656","Catalog Record")</f>
        <v/>
      </c>
      <c r="AT2524">
        <f>HYPERLINK("http://www.worldcat.org/oclc/9762541","WorldCat Record")</f>
        <v/>
      </c>
      <c r="AU2524" t="inlineStr">
        <is>
          <t>20797826:eng</t>
        </is>
      </c>
      <c r="AV2524" t="inlineStr">
        <is>
          <t>9762541</t>
        </is>
      </c>
      <c r="AW2524" t="inlineStr">
        <is>
          <t>991000255069702656</t>
        </is>
      </c>
      <c r="AX2524" t="inlineStr">
        <is>
          <t>991000255069702656</t>
        </is>
      </c>
      <c r="AY2524" t="inlineStr">
        <is>
          <t>2260815300002656</t>
        </is>
      </c>
      <c r="AZ2524" t="inlineStr">
        <is>
          <t>BOOK</t>
        </is>
      </c>
      <c r="BB2524" t="inlineStr">
        <is>
          <t>9780839118053</t>
        </is>
      </c>
      <c r="BC2524" t="inlineStr">
        <is>
          <t>32285001322840</t>
        </is>
      </c>
      <c r="BD2524" t="inlineStr">
        <is>
          <t>893689583</t>
        </is>
      </c>
    </row>
    <row r="2525">
      <c r="A2525" t="inlineStr">
        <is>
          <t>No</t>
        </is>
      </c>
      <c r="B2525" t="inlineStr">
        <is>
          <t>HQ769.3 .D53 2000</t>
        </is>
      </c>
      <c r="C2525" t="inlineStr">
        <is>
          <t>0                      HQ 0769300D  53          2000</t>
        </is>
      </c>
      <c r="D2525" t="inlineStr">
        <is>
          <t>How to be a Jewish parent : a practical handbook for family life / Anita Diamant with Karen Kushner.</t>
        </is>
      </c>
      <c r="F2525" t="inlineStr">
        <is>
          <t>No</t>
        </is>
      </c>
      <c r="G2525" t="inlineStr">
        <is>
          <t>1</t>
        </is>
      </c>
      <c r="H2525" t="inlineStr">
        <is>
          <t>No</t>
        </is>
      </c>
      <c r="I2525" t="inlineStr">
        <is>
          <t>No</t>
        </is>
      </c>
      <c r="J2525" t="inlineStr">
        <is>
          <t>0</t>
        </is>
      </c>
      <c r="K2525" t="inlineStr">
        <is>
          <t>Diamant, Anita.</t>
        </is>
      </c>
      <c r="L2525" t="inlineStr">
        <is>
          <t>New York : Schocken Books, c2000.</t>
        </is>
      </c>
      <c r="M2525" t="inlineStr">
        <is>
          <t>2000</t>
        </is>
      </c>
      <c r="N2525" t="inlineStr">
        <is>
          <t>1st ed.</t>
        </is>
      </c>
      <c r="O2525" t="inlineStr">
        <is>
          <t>eng</t>
        </is>
      </c>
      <c r="P2525" t="inlineStr">
        <is>
          <t>nyu</t>
        </is>
      </c>
      <c r="R2525" t="inlineStr">
        <is>
          <t xml:space="preserve">HQ </t>
        </is>
      </c>
      <c r="S2525" t="n">
        <v>2</v>
      </c>
      <c r="T2525" t="n">
        <v>2</v>
      </c>
      <c r="U2525" t="inlineStr">
        <is>
          <t>2003-10-06</t>
        </is>
      </c>
      <c r="V2525" t="inlineStr">
        <is>
          <t>2003-10-06</t>
        </is>
      </c>
      <c r="W2525" t="inlineStr">
        <is>
          <t>2001-06-04</t>
        </is>
      </c>
      <c r="X2525" t="inlineStr">
        <is>
          <t>2001-06-04</t>
        </is>
      </c>
      <c r="Y2525" t="n">
        <v>167</v>
      </c>
      <c r="Z2525" t="n">
        <v>157</v>
      </c>
      <c r="AA2525" t="n">
        <v>176</v>
      </c>
      <c r="AB2525" t="n">
        <v>1</v>
      </c>
      <c r="AC2525" t="n">
        <v>1</v>
      </c>
      <c r="AD2525" t="n">
        <v>1</v>
      </c>
      <c r="AE2525" t="n">
        <v>1</v>
      </c>
      <c r="AF2525" t="n">
        <v>0</v>
      </c>
      <c r="AG2525" t="n">
        <v>0</v>
      </c>
      <c r="AH2525" t="n">
        <v>0</v>
      </c>
      <c r="AI2525" t="n">
        <v>0</v>
      </c>
      <c r="AJ2525" t="n">
        <v>1</v>
      </c>
      <c r="AK2525" t="n">
        <v>1</v>
      </c>
      <c r="AL2525" t="n">
        <v>0</v>
      </c>
      <c r="AM2525" t="n">
        <v>0</v>
      </c>
      <c r="AN2525" t="n">
        <v>0</v>
      </c>
      <c r="AO2525" t="n">
        <v>0</v>
      </c>
      <c r="AP2525" t="inlineStr">
        <is>
          <t>No</t>
        </is>
      </c>
      <c r="AQ2525" t="inlineStr">
        <is>
          <t>No</t>
        </is>
      </c>
      <c r="AS2525">
        <f>HYPERLINK("https://creighton-primo.hosted.exlibrisgroup.com/primo-explore/search?tab=default_tab&amp;search_scope=EVERYTHING&amp;vid=01CRU&amp;lang=en_US&amp;offset=0&amp;query=any,contains,991003534679702656","Catalog Record")</f>
        <v/>
      </c>
      <c r="AT2525">
        <f>HYPERLINK("http://www.worldcat.org/oclc/43615498","WorldCat Record")</f>
        <v/>
      </c>
      <c r="AU2525" t="inlineStr">
        <is>
          <t>2288321455:eng</t>
        </is>
      </c>
      <c r="AV2525" t="inlineStr">
        <is>
          <t>43615498</t>
        </is>
      </c>
      <c r="AW2525" t="inlineStr">
        <is>
          <t>991003534679702656</t>
        </is>
      </c>
      <c r="AX2525" t="inlineStr">
        <is>
          <t>991003534679702656</t>
        </is>
      </c>
      <c r="AY2525" t="inlineStr">
        <is>
          <t>2261976250002656</t>
        </is>
      </c>
      <c r="AZ2525" t="inlineStr">
        <is>
          <t>BOOK</t>
        </is>
      </c>
      <c r="BB2525" t="inlineStr">
        <is>
          <t>9780805241709</t>
        </is>
      </c>
      <c r="BC2525" t="inlineStr">
        <is>
          <t>32285004319702</t>
        </is>
      </c>
      <c r="BD2525" t="inlineStr">
        <is>
          <t>893512051</t>
        </is>
      </c>
    </row>
    <row r="2526">
      <c r="A2526" t="inlineStr">
        <is>
          <t>No</t>
        </is>
      </c>
      <c r="B2526" t="inlineStr">
        <is>
          <t>HQ77 .T34 1982</t>
        </is>
      </c>
      <c r="C2526" t="inlineStr">
        <is>
          <t>0                      HQ 0077000T  34          1982</t>
        </is>
      </c>
      <c r="D2526" t="inlineStr">
        <is>
          <t>Boys will be girls : the hidden world of the heterosexual male transvestite / John T. Talamini.</t>
        </is>
      </c>
      <c r="F2526" t="inlineStr">
        <is>
          <t>No</t>
        </is>
      </c>
      <c r="G2526" t="inlineStr">
        <is>
          <t>1</t>
        </is>
      </c>
      <c r="H2526" t="inlineStr">
        <is>
          <t>No</t>
        </is>
      </c>
      <c r="I2526" t="inlineStr">
        <is>
          <t>No</t>
        </is>
      </c>
      <c r="J2526" t="inlineStr">
        <is>
          <t>0</t>
        </is>
      </c>
      <c r="K2526" t="inlineStr">
        <is>
          <t>Talamini, John T.</t>
        </is>
      </c>
      <c r="L2526" t="inlineStr">
        <is>
          <t>Washington, D.C. : University Press of America, c1982.</t>
        </is>
      </c>
      <c r="M2526" t="inlineStr">
        <is>
          <t>1982</t>
        </is>
      </c>
      <c r="O2526" t="inlineStr">
        <is>
          <t>eng</t>
        </is>
      </c>
      <c r="P2526" t="inlineStr">
        <is>
          <t>dcu</t>
        </is>
      </c>
      <c r="R2526" t="inlineStr">
        <is>
          <t xml:space="preserve">HQ </t>
        </is>
      </c>
      <c r="S2526" t="n">
        <v>16</v>
      </c>
      <c r="T2526" t="n">
        <v>16</v>
      </c>
      <c r="U2526" t="inlineStr">
        <is>
          <t>2006-03-10</t>
        </is>
      </c>
      <c r="V2526" t="inlineStr">
        <is>
          <t>2006-03-10</t>
        </is>
      </c>
      <c r="W2526" t="inlineStr">
        <is>
          <t>1992-02-17</t>
        </is>
      </c>
      <c r="X2526" t="inlineStr">
        <is>
          <t>1992-02-17</t>
        </is>
      </c>
      <c r="Y2526" t="n">
        <v>303</v>
      </c>
      <c r="Z2526" t="n">
        <v>268</v>
      </c>
      <c r="AA2526" t="n">
        <v>270</v>
      </c>
      <c r="AB2526" t="n">
        <v>2</v>
      </c>
      <c r="AC2526" t="n">
        <v>2</v>
      </c>
      <c r="AD2526" t="n">
        <v>8</v>
      </c>
      <c r="AE2526" t="n">
        <v>8</v>
      </c>
      <c r="AF2526" t="n">
        <v>4</v>
      </c>
      <c r="AG2526" t="n">
        <v>4</v>
      </c>
      <c r="AH2526" t="n">
        <v>2</v>
      </c>
      <c r="AI2526" t="n">
        <v>2</v>
      </c>
      <c r="AJ2526" t="n">
        <v>3</v>
      </c>
      <c r="AK2526" t="n">
        <v>3</v>
      </c>
      <c r="AL2526" t="n">
        <v>1</v>
      </c>
      <c r="AM2526" t="n">
        <v>1</v>
      </c>
      <c r="AN2526" t="n">
        <v>0</v>
      </c>
      <c r="AO2526" t="n">
        <v>0</v>
      </c>
      <c r="AP2526" t="inlineStr">
        <is>
          <t>No</t>
        </is>
      </c>
      <c r="AQ2526" t="inlineStr">
        <is>
          <t>Yes</t>
        </is>
      </c>
      <c r="AR2526">
        <f>HYPERLINK("http://catalog.hathitrust.org/Record/000768699","HathiTrust Record")</f>
        <v/>
      </c>
      <c r="AS2526">
        <f>HYPERLINK("https://creighton-primo.hosted.exlibrisgroup.com/primo-explore/search?tab=default_tab&amp;search_scope=EVERYTHING&amp;vid=01CRU&amp;lang=en_US&amp;offset=0&amp;query=any,contains,991005228939702656","Catalog Record")</f>
        <v/>
      </c>
      <c r="AT2526">
        <f>HYPERLINK("http://www.worldcat.org/oclc/8305838","WorldCat Record")</f>
        <v/>
      </c>
      <c r="AU2526" t="inlineStr">
        <is>
          <t>227879406:eng</t>
        </is>
      </c>
      <c r="AV2526" t="inlineStr">
        <is>
          <t>8305838</t>
        </is>
      </c>
      <c r="AW2526" t="inlineStr">
        <is>
          <t>991005228939702656</t>
        </is>
      </c>
      <c r="AX2526" t="inlineStr">
        <is>
          <t>991005228939702656</t>
        </is>
      </c>
      <c r="AY2526" t="inlineStr">
        <is>
          <t>2269407800002656</t>
        </is>
      </c>
      <c r="AZ2526" t="inlineStr">
        <is>
          <t>BOOK</t>
        </is>
      </c>
      <c r="BB2526" t="inlineStr">
        <is>
          <t>9780819124012</t>
        </is>
      </c>
      <c r="BC2526" t="inlineStr">
        <is>
          <t>32285000970979</t>
        </is>
      </c>
      <c r="BD2526" t="inlineStr">
        <is>
          <t>893795818</t>
        </is>
      </c>
    </row>
    <row r="2527">
      <c r="A2527" t="inlineStr">
        <is>
          <t>No</t>
        </is>
      </c>
      <c r="B2527" t="inlineStr">
        <is>
          <t>HQ77.2.P6 J64 1997</t>
        </is>
      </c>
      <c r="C2527" t="inlineStr">
        <is>
          <t>0                      HQ 0077200P  6                  J  64          1997</t>
        </is>
      </c>
      <c r="D2527" t="inlineStr">
        <is>
          <t>Beauty and power : transgendering and cultural transformation in the southern Philippines / Mark Johnson.</t>
        </is>
      </c>
      <c r="F2527" t="inlineStr">
        <is>
          <t>No</t>
        </is>
      </c>
      <c r="G2527" t="inlineStr">
        <is>
          <t>1</t>
        </is>
      </c>
      <c r="H2527" t="inlineStr">
        <is>
          <t>No</t>
        </is>
      </c>
      <c r="I2527" t="inlineStr">
        <is>
          <t>No</t>
        </is>
      </c>
      <c r="J2527" t="inlineStr">
        <is>
          <t>0</t>
        </is>
      </c>
      <c r="K2527" t="inlineStr">
        <is>
          <t>Johnson, Mark, 1963 October 9-</t>
        </is>
      </c>
      <c r="L2527" t="inlineStr">
        <is>
          <t>Oxford, England ; New York, NY : Berg, 1997.</t>
        </is>
      </c>
      <c r="M2527" t="inlineStr">
        <is>
          <t>1997</t>
        </is>
      </c>
      <c r="O2527" t="inlineStr">
        <is>
          <t>eng</t>
        </is>
      </c>
      <c r="P2527" t="inlineStr">
        <is>
          <t>enk</t>
        </is>
      </c>
      <c r="Q2527" t="inlineStr">
        <is>
          <t>Explorations in anthropology</t>
        </is>
      </c>
      <c r="R2527" t="inlineStr">
        <is>
          <t xml:space="preserve">HQ </t>
        </is>
      </c>
      <c r="S2527" t="n">
        <v>7</v>
      </c>
      <c r="T2527" t="n">
        <v>7</v>
      </c>
      <c r="U2527" t="inlineStr">
        <is>
          <t>2003-12-07</t>
        </is>
      </c>
      <c r="V2527" t="inlineStr">
        <is>
          <t>2003-12-07</t>
        </is>
      </c>
      <c r="W2527" t="inlineStr">
        <is>
          <t>1999-10-07</t>
        </is>
      </c>
      <c r="X2527" t="inlineStr">
        <is>
          <t>1999-10-07</t>
        </is>
      </c>
      <c r="Y2527" t="n">
        <v>309</v>
      </c>
      <c r="Z2527" t="n">
        <v>219</v>
      </c>
      <c r="AA2527" t="n">
        <v>240</v>
      </c>
      <c r="AB2527" t="n">
        <v>2</v>
      </c>
      <c r="AC2527" t="n">
        <v>2</v>
      </c>
      <c r="AD2527" t="n">
        <v>15</v>
      </c>
      <c r="AE2527" t="n">
        <v>15</v>
      </c>
      <c r="AF2527" t="n">
        <v>3</v>
      </c>
      <c r="AG2527" t="n">
        <v>3</v>
      </c>
      <c r="AH2527" t="n">
        <v>6</v>
      </c>
      <c r="AI2527" t="n">
        <v>6</v>
      </c>
      <c r="AJ2527" t="n">
        <v>10</v>
      </c>
      <c r="AK2527" t="n">
        <v>10</v>
      </c>
      <c r="AL2527" t="n">
        <v>1</v>
      </c>
      <c r="AM2527" t="n">
        <v>1</v>
      </c>
      <c r="AN2527" t="n">
        <v>0</v>
      </c>
      <c r="AO2527" t="n">
        <v>0</v>
      </c>
      <c r="AP2527" t="inlineStr">
        <is>
          <t>No</t>
        </is>
      </c>
      <c r="AQ2527" t="inlineStr">
        <is>
          <t>Yes</t>
        </is>
      </c>
      <c r="AR2527">
        <f>HYPERLINK("http://catalog.hathitrust.org/Record/003946488","HathiTrust Record")</f>
        <v/>
      </c>
      <c r="AS2527">
        <f>HYPERLINK("https://creighton-primo.hosted.exlibrisgroup.com/primo-explore/search?tab=default_tab&amp;search_scope=EVERYTHING&amp;vid=01CRU&amp;lang=en_US&amp;offset=0&amp;query=any,contains,991002887079702656","Catalog Record")</f>
        <v/>
      </c>
      <c r="AT2527">
        <f>HYPERLINK("http://www.worldcat.org/oclc/38047053","WorldCat Record")</f>
        <v/>
      </c>
      <c r="AU2527" t="inlineStr">
        <is>
          <t>865164494:eng</t>
        </is>
      </c>
      <c r="AV2527" t="inlineStr">
        <is>
          <t>38047053</t>
        </is>
      </c>
      <c r="AW2527" t="inlineStr">
        <is>
          <t>991002887079702656</t>
        </is>
      </c>
      <c r="AX2527" t="inlineStr">
        <is>
          <t>991002887079702656</t>
        </is>
      </c>
      <c r="AY2527" t="inlineStr">
        <is>
          <t>2259632850002656</t>
        </is>
      </c>
      <c r="AZ2527" t="inlineStr">
        <is>
          <t>BOOK</t>
        </is>
      </c>
      <c r="BB2527" t="inlineStr">
        <is>
          <t>9781859739204</t>
        </is>
      </c>
      <c r="BC2527" t="inlineStr">
        <is>
          <t>32285003593422</t>
        </is>
      </c>
      <c r="BD2527" t="inlineStr">
        <is>
          <t>893591918</t>
        </is>
      </c>
    </row>
    <row r="2528">
      <c r="A2528" t="inlineStr">
        <is>
          <t>No</t>
        </is>
      </c>
      <c r="B2528" t="inlineStr">
        <is>
          <t>HQ770.4 .H96 1997</t>
        </is>
      </c>
      <c r="C2528" t="inlineStr">
        <is>
          <t>0                      HQ 0770400H  96          1997</t>
        </is>
      </c>
      <c r="D2528" t="inlineStr">
        <is>
          <t>The case against spanking : how to discipline your child without hitting / Irwin A. Hyman.</t>
        </is>
      </c>
      <c r="F2528" t="inlineStr">
        <is>
          <t>No</t>
        </is>
      </c>
      <c r="G2528" t="inlineStr">
        <is>
          <t>1</t>
        </is>
      </c>
      <c r="H2528" t="inlineStr">
        <is>
          <t>No</t>
        </is>
      </c>
      <c r="I2528" t="inlineStr">
        <is>
          <t>No</t>
        </is>
      </c>
      <c r="J2528" t="inlineStr">
        <is>
          <t>0</t>
        </is>
      </c>
      <c r="K2528" t="inlineStr">
        <is>
          <t>Hyman, Irwin A.</t>
        </is>
      </c>
      <c r="L2528" t="inlineStr">
        <is>
          <t>San Francisco : Jossey-Bass, c1997.</t>
        </is>
      </c>
      <c r="M2528" t="inlineStr">
        <is>
          <t>1997</t>
        </is>
      </c>
      <c r="N2528" t="inlineStr">
        <is>
          <t>1st ed.</t>
        </is>
      </c>
      <c r="O2528" t="inlineStr">
        <is>
          <t>eng</t>
        </is>
      </c>
      <c r="P2528" t="inlineStr">
        <is>
          <t>cau</t>
        </is>
      </c>
      <c r="R2528" t="inlineStr">
        <is>
          <t xml:space="preserve">HQ </t>
        </is>
      </c>
      <c r="S2528" t="n">
        <v>14</v>
      </c>
      <c r="T2528" t="n">
        <v>14</v>
      </c>
      <c r="U2528" t="inlineStr">
        <is>
          <t>2010-10-26</t>
        </is>
      </c>
      <c r="V2528" t="inlineStr">
        <is>
          <t>2010-10-26</t>
        </is>
      </c>
      <c r="W2528" t="inlineStr">
        <is>
          <t>2000-12-19</t>
        </is>
      </c>
      <c r="X2528" t="inlineStr">
        <is>
          <t>2000-12-19</t>
        </is>
      </c>
      <c r="Y2528" t="n">
        <v>716</v>
      </c>
      <c r="Z2528" t="n">
        <v>656</v>
      </c>
      <c r="AA2528" t="n">
        <v>663</v>
      </c>
      <c r="AB2528" t="n">
        <v>8</v>
      </c>
      <c r="AC2528" t="n">
        <v>8</v>
      </c>
      <c r="AD2528" t="n">
        <v>13</v>
      </c>
      <c r="AE2528" t="n">
        <v>13</v>
      </c>
      <c r="AF2528" t="n">
        <v>5</v>
      </c>
      <c r="AG2528" t="n">
        <v>5</v>
      </c>
      <c r="AH2528" t="n">
        <v>0</v>
      </c>
      <c r="AI2528" t="n">
        <v>0</v>
      </c>
      <c r="AJ2528" t="n">
        <v>6</v>
      </c>
      <c r="AK2528" t="n">
        <v>6</v>
      </c>
      <c r="AL2528" t="n">
        <v>4</v>
      </c>
      <c r="AM2528" t="n">
        <v>4</v>
      </c>
      <c r="AN2528" t="n">
        <v>0</v>
      </c>
      <c r="AO2528" t="n">
        <v>0</v>
      </c>
      <c r="AP2528" t="inlineStr">
        <is>
          <t>No</t>
        </is>
      </c>
      <c r="AQ2528" t="inlineStr">
        <is>
          <t>No</t>
        </is>
      </c>
      <c r="AS2528">
        <f>HYPERLINK("https://creighton-primo.hosted.exlibrisgroup.com/primo-explore/search?tab=default_tab&amp;search_scope=EVERYTHING&amp;vid=01CRU&amp;lang=en_US&amp;offset=0&amp;query=any,contains,991003363209702656","Catalog Record")</f>
        <v/>
      </c>
      <c r="AT2528">
        <f>HYPERLINK("http://www.worldcat.org/oclc/36042288","WorldCat Record")</f>
        <v/>
      </c>
      <c r="AU2528" t="inlineStr">
        <is>
          <t>20957785:eng</t>
        </is>
      </c>
      <c r="AV2528" t="inlineStr">
        <is>
          <t>36042288</t>
        </is>
      </c>
      <c r="AW2528" t="inlineStr">
        <is>
          <t>991003363209702656</t>
        </is>
      </c>
      <c r="AX2528" t="inlineStr">
        <is>
          <t>991003363209702656</t>
        </is>
      </c>
      <c r="AY2528" t="inlineStr">
        <is>
          <t>2267295260002656</t>
        </is>
      </c>
      <c r="AZ2528" t="inlineStr">
        <is>
          <t>BOOK</t>
        </is>
      </c>
      <c r="BB2528" t="inlineStr">
        <is>
          <t>9780787903428</t>
        </is>
      </c>
      <c r="BC2528" t="inlineStr">
        <is>
          <t>32285004277595</t>
        </is>
      </c>
      <c r="BD2528" t="inlineStr">
        <is>
          <t>893711316</t>
        </is>
      </c>
    </row>
    <row r="2529">
      <c r="A2529" t="inlineStr">
        <is>
          <t>No</t>
        </is>
      </c>
      <c r="B2529" t="inlineStr">
        <is>
          <t>HQ770.4 .K54</t>
        </is>
      </c>
      <c r="C2529" t="inlineStr">
        <is>
          <t>0                      HQ 0770400K  54</t>
        </is>
      </c>
      <c r="D2529" t="inlineStr">
        <is>
          <t>Keeping parents out of trouble : a modern guide to old-fashioned discipline / Dan Kiley.</t>
        </is>
      </c>
      <c r="F2529" t="inlineStr">
        <is>
          <t>No</t>
        </is>
      </c>
      <c r="G2529" t="inlineStr">
        <is>
          <t>1</t>
        </is>
      </c>
      <c r="H2529" t="inlineStr">
        <is>
          <t>No</t>
        </is>
      </c>
      <c r="I2529" t="inlineStr">
        <is>
          <t>No</t>
        </is>
      </c>
      <c r="J2529" t="inlineStr">
        <is>
          <t>0</t>
        </is>
      </c>
      <c r="K2529" t="inlineStr">
        <is>
          <t>Kiley, Dan.</t>
        </is>
      </c>
      <c r="L2529" t="inlineStr">
        <is>
          <t>New York : Warner Books, 1981.</t>
        </is>
      </c>
      <c r="M2529" t="inlineStr">
        <is>
          <t>1981</t>
        </is>
      </c>
      <c r="O2529" t="inlineStr">
        <is>
          <t>eng</t>
        </is>
      </c>
      <c r="P2529" t="inlineStr">
        <is>
          <t>nyu</t>
        </is>
      </c>
      <c r="R2529" t="inlineStr">
        <is>
          <t xml:space="preserve">HQ </t>
        </is>
      </c>
      <c r="S2529" t="n">
        <v>17</v>
      </c>
      <c r="T2529" t="n">
        <v>17</v>
      </c>
      <c r="U2529" t="inlineStr">
        <is>
          <t>2010-10-27</t>
        </is>
      </c>
      <c r="V2529" t="inlineStr">
        <is>
          <t>2010-10-27</t>
        </is>
      </c>
      <c r="W2529" t="inlineStr">
        <is>
          <t>1992-11-11</t>
        </is>
      </c>
      <c r="X2529" t="inlineStr">
        <is>
          <t>1992-11-11</t>
        </is>
      </c>
      <c r="Y2529" t="n">
        <v>230</v>
      </c>
      <c r="Z2529" t="n">
        <v>218</v>
      </c>
      <c r="AA2529" t="n">
        <v>224</v>
      </c>
      <c r="AB2529" t="n">
        <v>4</v>
      </c>
      <c r="AC2529" t="n">
        <v>4</v>
      </c>
      <c r="AD2529" t="n">
        <v>0</v>
      </c>
      <c r="AE2529" t="n">
        <v>0</v>
      </c>
      <c r="AF2529" t="n">
        <v>0</v>
      </c>
      <c r="AG2529" t="n">
        <v>0</v>
      </c>
      <c r="AH2529" t="n">
        <v>0</v>
      </c>
      <c r="AI2529" t="n">
        <v>0</v>
      </c>
      <c r="AJ2529" t="n">
        <v>0</v>
      </c>
      <c r="AK2529" t="n">
        <v>0</v>
      </c>
      <c r="AL2529" t="n">
        <v>0</v>
      </c>
      <c r="AM2529" t="n">
        <v>0</v>
      </c>
      <c r="AN2529" t="n">
        <v>0</v>
      </c>
      <c r="AO2529" t="n">
        <v>0</v>
      </c>
      <c r="AP2529" t="inlineStr">
        <is>
          <t>No</t>
        </is>
      </c>
      <c r="AQ2529" t="inlineStr">
        <is>
          <t>No</t>
        </is>
      </c>
      <c r="AS2529">
        <f>HYPERLINK("https://creighton-primo.hosted.exlibrisgroup.com/primo-explore/search?tab=default_tab&amp;search_scope=EVERYTHING&amp;vid=01CRU&amp;lang=en_US&amp;offset=0&amp;query=any,contains,991005040659702656","Catalog Record")</f>
        <v/>
      </c>
      <c r="AT2529">
        <f>HYPERLINK("http://www.worldcat.org/oclc/6790344","WorldCat Record")</f>
        <v/>
      </c>
      <c r="AU2529" t="inlineStr">
        <is>
          <t>483842:eng</t>
        </is>
      </c>
      <c r="AV2529" t="inlineStr">
        <is>
          <t>6790344</t>
        </is>
      </c>
      <c r="AW2529" t="inlineStr">
        <is>
          <t>991005040659702656</t>
        </is>
      </c>
      <c r="AX2529" t="inlineStr">
        <is>
          <t>991005040659702656</t>
        </is>
      </c>
      <c r="AY2529" t="inlineStr">
        <is>
          <t>2271822520002656</t>
        </is>
      </c>
      <c r="AZ2529" t="inlineStr">
        <is>
          <t>BOOK</t>
        </is>
      </c>
      <c r="BB2529" t="inlineStr">
        <is>
          <t>9780446512213</t>
        </is>
      </c>
      <c r="BC2529" t="inlineStr">
        <is>
          <t>32285001395465</t>
        </is>
      </c>
      <c r="BD2529" t="inlineStr">
        <is>
          <t>893594376</t>
        </is>
      </c>
    </row>
    <row r="2530">
      <c r="A2530" t="inlineStr">
        <is>
          <t>No</t>
        </is>
      </c>
      <c r="B2530" t="inlineStr">
        <is>
          <t>HQ770.4 .S54 1980b</t>
        </is>
      </c>
      <c r="C2530" t="inlineStr">
        <is>
          <t>0                      HQ 0770400S  54          1980b</t>
        </is>
      </c>
      <c r="D2530" t="inlineStr">
        <is>
          <t>How to discipline without feeling guilty : assertive relationships with children / Melvin L. Silberman and Susan A. Wheelan.</t>
        </is>
      </c>
      <c r="F2530" t="inlineStr">
        <is>
          <t>No</t>
        </is>
      </c>
      <c r="G2530" t="inlineStr">
        <is>
          <t>1</t>
        </is>
      </c>
      <c r="H2530" t="inlineStr">
        <is>
          <t>No</t>
        </is>
      </c>
      <c r="I2530" t="inlineStr">
        <is>
          <t>No</t>
        </is>
      </c>
      <c r="J2530" t="inlineStr">
        <is>
          <t>0</t>
        </is>
      </c>
      <c r="K2530" t="inlineStr">
        <is>
          <t>Silberman, Melvin L.</t>
        </is>
      </c>
      <c r="L2530" t="inlineStr">
        <is>
          <t>Champaign, Ill. : Research Press, c1980.</t>
        </is>
      </c>
      <c r="M2530" t="inlineStr">
        <is>
          <t>1980</t>
        </is>
      </c>
      <c r="O2530" t="inlineStr">
        <is>
          <t>eng</t>
        </is>
      </c>
      <c r="P2530" t="inlineStr">
        <is>
          <t>ilu</t>
        </is>
      </c>
      <c r="R2530" t="inlineStr">
        <is>
          <t xml:space="preserve">HQ </t>
        </is>
      </c>
      <c r="S2530" t="n">
        <v>34</v>
      </c>
      <c r="T2530" t="n">
        <v>34</v>
      </c>
      <c r="U2530" t="inlineStr">
        <is>
          <t>2005-01-06</t>
        </is>
      </c>
      <c r="V2530" t="inlineStr">
        <is>
          <t>2005-01-06</t>
        </is>
      </c>
      <c r="W2530" t="inlineStr">
        <is>
          <t>1992-05-05</t>
        </is>
      </c>
      <c r="X2530" t="inlineStr">
        <is>
          <t>1992-05-05</t>
        </is>
      </c>
      <c r="Y2530" t="n">
        <v>369</v>
      </c>
      <c r="Z2530" t="n">
        <v>332</v>
      </c>
      <c r="AA2530" t="n">
        <v>715</v>
      </c>
      <c r="AB2530" t="n">
        <v>4</v>
      </c>
      <c r="AC2530" t="n">
        <v>9</v>
      </c>
      <c r="AD2530" t="n">
        <v>6</v>
      </c>
      <c r="AE2530" t="n">
        <v>15</v>
      </c>
      <c r="AF2530" t="n">
        <v>4</v>
      </c>
      <c r="AG2530" t="n">
        <v>7</v>
      </c>
      <c r="AH2530" t="n">
        <v>1</v>
      </c>
      <c r="AI2530" t="n">
        <v>1</v>
      </c>
      <c r="AJ2530" t="n">
        <v>0</v>
      </c>
      <c r="AK2530" t="n">
        <v>2</v>
      </c>
      <c r="AL2530" t="n">
        <v>2</v>
      </c>
      <c r="AM2530" t="n">
        <v>7</v>
      </c>
      <c r="AN2530" t="n">
        <v>0</v>
      </c>
      <c r="AO2530" t="n">
        <v>0</v>
      </c>
      <c r="AP2530" t="inlineStr">
        <is>
          <t>No</t>
        </is>
      </c>
      <c r="AQ2530" t="inlineStr">
        <is>
          <t>No</t>
        </is>
      </c>
      <c r="AS2530">
        <f>HYPERLINK("https://creighton-primo.hosted.exlibrisgroup.com/primo-explore/search?tab=default_tab&amp;search_scope=EVERYTHING&amp;vid=01CRU&amp;lang=en_US&amp;offset=0&amp;query=any,contains,991005228429702656","Catalog Record")</f>
        <v/>
      </c>
      <c r="AT2530">
        <f>HYPERLINK("http://www.worldcat.org/oclc/8293921","WorldCat Record")</f>
        <v/>
      </c>
      <c r="AU2530" t="inlineStr">
        <is>
          <t>20963727:eng</t>
        </is>
      </c>
      <c r="AV2530" t="inlineStr">
        <is>
          <t>8293921</t>
        </is>
      </c>
      <c r="AW2530" t="inlineStr">
        <is>
          <t>991005228429702656</t>
        </is>
      </c>
      <c r="AX2530" t="inlineStr">
        <is>
          <t>991005228429702656</t>
        </is>
      </c>
      <c r="AY2530" t="inlineStr">
        <is>
          <t>2258403550002656</t>
        </is>
      </c>
      <c r="AZ2530" t="inlineStr">
        <is>
          <t>BOOK</t>
        </is>
      </c>
      <c r="BB2530" t="inlineStr">
        <is>
          <t>9780878222582</t>
        </is>
      </c>
      <c r="BC2530" t="inlineStr">
        <is>
          <t>32285005019293</t>
        </is>
      </c>
      <c r="BD2530" t="inlineStr">
        <is>
          <t>893808039</t>
        </is>
      </c>
    </row>
    <row r="2531">
      <c r="A2531" t="inlineStr">
        <is>
          <t>No</t>
        </is>
      </c>
      <c r="B2531" t="inlineStr">
        <is>
          <t>HQ770.5 .T60</t>
        </is>
      </c>
      <c r="C2531" t="inlineStr">
        <is>
          <t>0                      HQ 0770500T  60</t>
        </is>
      </c>
      <c r="D2531" t="inlineStr">
        <is>
          <t>Toilet training / Bruce L. Baker ... [et al.].</t>
        </is>
      </c>
      <c r="F2531" t="inlineStr">
        <is>
          <t>No</t>
        </is>
      </c>
      <c r="G2531" t="inlineStr">
        <is>
          <t>1</t>
        </is>
      </c>
      <c r="H2531" t="inlineStr">
        <is>
          <t>No</t>
        </is>
      </c>
      <c r="I2531" t="inlineStr">
        <is>
          <t>No</t>
        </is>
      </c>
      <c r="J2531" t="inlineStr">
        <is>
          <t>0</t>
        </is>
      </c>
      <c r="L2531" t="inlineStr">
        <is>
          <t>Champaign, Ill. : Research Press, c1977, 1979 printing.</t>
        </is>
      </c>
      <c r="M2531" t="inlineStr">
        <is>
          <t>1977</t>
        </is>
      </c>
      <c r="O2531" t="inlineStr">
        <is>
          <t>eng</t>
        </is>
      </c>
      <c r="P2531" t="inlineStr">
        <is>
          <t>ilu</t>
        </is>
      </c>
      <c r="Q2531" t="inlineStr">
        <is>
          <t>Steps to independence</t>
        </is>
      </c>
      <c r="R2531" t="inlineStr">
        <is>
          <t xml:space="preserve">HQ </t>
        </is>
      </c>
      <c r="S2531" t="n">
        <v>2</v>
      </c>
      <c r="T2531" t="n">
        <v>2</v>
      </c>
      <c r="U2531" t="inlineStr">
        <is>
          <t>2005-08-19</t>
        </is>
      </c>
      <c r="V2531" t="inlineStr">
        <is>
          <t>2005-08-19</t>
        </is>
      </c>
      <c r="W2531" t="inlineStr">
        <is>
          <t>1992-11-11</t>
        </is>
      </c>
      <c r="X2531" t="inlineStr">
        <is>
          <t>1992-11-11</t>
        </is>
      </c>
      <c r="Y2531" t="n">
        <v>80</v>
      </c>
      <c r="Z2531" t="n">
        <v>57</v>
      </c>
      <c r="AA2531" t="n">
        <v>58</v>
      </c>
      <c r="AB2531" t="n">
        <v>1</v>
      </c>
      <c r="AC2531" t="n">
        <v>1</v>
      </c>
      <c r="AD2531" t="n">
        <v>1</v>
      </c>
      <c r="AE2531" t="n">
        <v>1</v>
      </c>
      <c r="AF2531" t="n">
        <v>0</v>
      </c>
      <c r="AG2531" t="n">
        <v>0</v>
      </c>
      <c r="AH2531" t="n">
        <v>0</v>
      </c>
      <c r="AI2531" t="n">
        <v>0</v>
      </c>
      <c r="AJ2531" t="n">
        <v>1</v>
      </c>
      <c r="AK2531" t="n">
        <v>1</v>
      </c>
      <c r="AL2531" t="n">
        <v>0</v>
      </c>
      <c r="AM2531" t="n">
        <v>0</v>
      </c>
      <c r="AN2531" t="n">
        <v>0</v>
      </c>
      <c r="AO2531" t="n">
        <v>0</v>
      </c>
      <c r="AP2531" t="inlineStr">
        <is>
          <t>No</t>
        </is>
      </c>
      <c r="AQ2531" t="inlineStr">
        <is>
          <t>Yes</t>
        </is>
      </c>
      <c r="AR2531">
        <f>HYPERLINK("http://catalog.hathitrust.org/Record/102007976","HathiTrust Record")</f>
        <v/>
      </c>
      <c r="AS2531">
        <f>HYPERLINK("https://creighton-primo.hosted.exlibrisgroup.com/primo-explore/search?tab=default_tab&amp;search_scope=EVERYTHING&amp;vid=01CRU&amp;lang=en_US&amp;offset=0&amp;query=any,contains,991004506479702656","Catalog Record")</f>
        <v/>
      </c>
      <c r="AT2531">
        <f>HYPERLINK("http://www.worldcat.org/oclc/3737990","WorldCat Record")</f>
        <v/>
      </c>
      <c r="AU2531" t="inlineStr">
        <is>
          <t>54213279:eng</t>
        </is>
      </c>
      <c r="AV2531" t="inlineStr">
        <is>
          <t>3737990</t>
        </is>
      </c>
      <c r="AW2531" t="inlineStr">
        <is>
          <t>991004506479702656</t>
        </is>
      </c>
      <c r="AX2531" t="inlineStr">
        <is>
          <t>991004506479702656</t>
        </is>
      </c>
      <c r="AY2531" t="inlineStr">
        <is>
          <t>2267694540002656</t>
        </is>
      </c>
      <c r="AZ2531" t="inlineStr">
        <is>
          <t>BOOK</t>
        </is>
      </c>
      <c r="BB2531" t="inlineStr">
        <is>
          <t>9780878221448</t>
        </is>
      </c>
      <c r="BC2531" t="inlineStr">
        <is>
          <t>32285001395473</t>
        </is>
      </c>
      <c r="BD2531" t="inlineStr">
        <is>
          <t>893532467</t>
        </is>
      </c>
    </row>
    <row r="2532">
      <c r="A2532" t="inlineStr">
        <is>
          <t>No</t>
        </is>
      </c>
      <c r="B2532" t="inlineStr">
        <is>
          <t>HQ770.7 .C65 1987</t>
        </is>
      </c>
      <c r="C2532" t="inlineStr">
        <is>
          <t>0                      HQ 0770700C  65          1987</t>
        </is>
      </c>
      <c r="D2532" t="inlineStr">
        <is>
          <t>Developing safety skills with young children : a commonsense, nonthreatening approach / by Diana E. Comer.</t>
        </is>
      </c>
      <c r="F2532" t="inlineStr">
        <is>
          <t>No</t>
        </is>
      </c>
      <c r="G2532" t="inlineStr">
        <is>
          <t>1</t>
        </is>
      </c>
      <c r="H2532" t="inlineStr">
        <is>
          <t>No</t>
        </is>
      </c>
      <c r="I2532" t="inlineStr">
        <is>
          <t>No</t>
        </is>
      </c>
      <c r="J2532" t="inlineStr">
        <is>
          <t>0</t>
        </is>
      </c>
      <c r="K2532" t="inlineStr">
        <is>
          <t>Comer, Diana E. (Diana Elizabeth)</t>
        </is>
      </c>
      <c r="L2532" t="inlineStr">
        <is>
          <t>Albany, N.Y. : Delmar Publishers, c1987.</t>
        </is>
      </c>
      <c r="M2532" t="inlineStr">
        <is>
          <t>1987</t>
        </is>
      </c>
      <c r="O2532" t="inlineStr">
        <is>
          <t>eng</t>
        </is>
      </c>
      <c r="P2532" t="inlineStr">
        <is>
          <t>nyu</t>
        </is>
      </c>
      <c r="R2532" t="inlineStr">
        <is>
          <t xml:space="preserve">HQ </t>
        </is>
      </c>
      <c r="S2532" t="n">
        <v>5</v>
      </c>
      <c r="T2532" t="n">
        <v>5</v>
      </c>
      <c r="U2532" t="inlineStr">
        <is>
          <t>1995-02-19</t>
        </is>
      </c>
      <c r="V2532" t="inlineStr">
        <is>
          <t>1995-02-19</t>
        </is>
      </c>
      <c r="W2532" t="inlineStr">
        <is>
          <t>1992-11-11</t>
        </is>
      </c>
      <c r="X2532" t="inlineStr">
        <is>
          <t>1992-11-11</t>
        </is>
      </c>
      <c r="Y2532" t="n">
        <v>160</v>
      </c>
      <c r="Z2532" t="n">
        <v>131</v>
      </c>
      <c r="AA2532" t="n">
        <v>136</v>
      </c>
      <c r="AB2532" t="n">
        <v>3</v>
      </c>
      <c r="AC2532" t="n">
        <v>3</v>
      </c>
      <c r="AD2532" t="n">
        <v>4</v>
      </c>
      <c r="AE2532" t="n">
        <v>4</v>
      </c>
      <c r="AF2532" t="n">
        <v>1</v>
      </c>
      <c r="AG2532" t="n">
        <v>1</v>
      </c>
      <c r="AH2532" t="n">
        <v>0</v>
      </c>
      <c r="AI2532" t="n">
        <v>0</v>
      </c>
      <c r="AJ2532" t="n">
        <v>1</v>
      </c>
      <c r="AK2532" t="n">
        <v>1</v>
      </c>
      <c r="AL2532" t="n">
        <v>2</v>
      </c>
      <c r="AM2532" t="n">
        <v>2</v>
      </c>
      <c r="AN2532" t="n">
        <v>0</v>
      </c>
      <c r="AO2532" t="n">
        <v>0</v>
      </c>
      <c r="AP2532" t="inlineStr">
        <is>
          <t>No</t>
        </is>
      </c>
      <c r="AQ2532" t="inlineStr">
        <is>
          <t>No</t>
        </is>
      </c>
      <c r="AS2532">
        <f>HYPERLINK("https://creighton-primo.hosted.exlibrisgroup.com/primo-explore/search?tab=default_tab&amp;search_scope=EVERYTHING&amp;vid=01CRU&amp;lang=en_US&amp;offset=0&amp;query=any,contains,991000872809702656","Catalog Record")</f>
        <v/>
      </c>
      <c r="AT2532">
        <f>HYPERLINK("http://www.worldcat.org/oclc/13794226","WorldCat Record")</f>
        <v/>
      </c>
      <c r="AU2532" t="inlineStr">
        <is>
          <t>5221241601:eng</t>
        </is>
      </c>
      <c r="AV2532" t="inlineStr">
        <is>
          <t>13794226</t>
        </is>
      </c>
      <c r="AW2532" t="inlineStr">
        <is>
          <t>991000872809702656</t>
        </is>
      </c>
      <c r="AX2532" t="inlineStr">
        <is>
          <t>991000872809702656</t>
        </is>
      </c>
      <c r="AY2532" t="inlineStr">
        <is>
          <t>2269826300002656</t>
        </is>
      </c>
      <c r="AZ2532" t="inlineStr">
        <is>
          <t>BOOK</t>
        </is>
      </c>
      <c r="BB2532" t="inlineStr">
        <is>
          <t>9780827326699</t>
        </is>
      </c>
      <c r="BC2532" t="inlineStr">
        <is>
          <t>32285001395481</t>
        </is>
      </c>
      <c r="BD2532" t="inlineStr">
        <is>
          <t>893891099</t>
        </is>
      </c>
    </row>
    <row r="2533">
      <c r="A2533" t="inlineStr">
        <is>
          <t>No</t>
        </is>
      </c>
      <c r="B2533" t="inlineStr">
        <is>
          <t>HQ772 .B682 1965</t>
        </is>
      </c>
      <c r="C2533" t="inlineStr">
        <is>
          <t>0                      HQ 0772000B  682         1965</t>
        </is>
      </c>
      <c r="D2533" t="inlineStr">
        <is>
          <t>Child development : physical and psychological growth through adolescence / [by] Marian E. Breckenridge [and] E. Lee Vincent.</t>
        </is>
      </c>
      <c r="F2533" t="inlineStr">
        <is>
          <t>No</t>
        </is>
      </c>
      <c r="G2533" t="inlineStr">
        <is>
          <t>1</t>
        </is>
      </c>
      <c r="H2533" t="inlineStr">
        <is>
          <t>No</t>
        </is>
      </c>
      <c r="I2533" t="inlineStr">
        <is>
          <t>No</t>
        </is>
      </c>
      <c r="J2533" t="inlineStr">
        <is>
          <t>0</t>
        </is>
      </c>
      <c r="K2533" t="inlineStr">
        <is>
          <t>Breckenridge, Marian E. (Marian Edgar), 1900-1966.</t>
        </is>
      </c>
      <c r="L2533" t="inlineStr">
        <is>
          <t>Philadelphia : Saunders, 1965.</t>
        </is>
      </c>
      <c r="M2533" t="inlineStr">
        <is>
          <t>1965</t>
        </is>
      </c>
      <c r="N2533" t="inlineStr">
        <is>
          <t>5th ed.</t>
        </is>
      </c>
      <c r="O2533" t="inlineStr">
        <is>
          <t>eng</t>
        </is>
      </c>
      <c r="P2533" t="inlineStr">
        <is>
          <t>pau</t>
        </is>
      </c>
      <c r="R2533" t="inlineStr">
        <is>
          <t xml:space="preserve">HQ </t>
        </is>
      </c>
      <c r="S2533" t="n">
        <v>3</v>
      </c>
      <c r="T2533" t="n">
        <v>3</v>
      </c>
      <c r="U2533" t="inlineStr">
        <is>
          <t>2000-09-06</t>
        </is>
      </c>
      <c r="V2533" t="inlineStr">
        <is>
          <t>2000-09-06</t>
        </is>
      </c>
      <c r="W2533" t="inlineStr">
        <is>
          <t>1994-11-04</t>
        </is>
      </c>
      <c r="X2533" t="inlineStr">
        <is>
          <t>1994-11-04</t>
        </is>
      </c>
      <c r="Y2533" t="n">
        <v>578</v>
      </c>
      <c r="Z2533" t="n">
        <v>458</v>
      </c>
      <c r="AA2533" t="n">
        <v>610</v>
      </c>
      <c r="AB2533" t="n">
        <v>3</v>
      </c>
      <c r="AC2533" t="n">
        <v>4</v>
      </c>
      <c r="AD2533" t="n">
        <v>11</v>
      </c>
      <c r="AE2533" t="n">
        <v>19</v>
      </c>
      <c r="AF2533" t="n">
        <v>4</v>
      </c>
      <c r="AG2533" t="n">
        <v>8</v>
      </c>
      <c r="AH2533" t="n">
        <v>2</v>
      </c>
      <c r="AI2533" t="n">
        <v>2</v>
      </c>
      <c r="AJ2533" t="n">
        <v>5</v>
      </c>
      <c r="AK2533" t="n">
        <v>10</v>
      </c>
      <c r="AL2533" t="n">
        <v>2</v>
      </c>
      <c r="AM2533" t="n">
        <v>3</v>
      </c>
      <c r="AN2533" t="n">
        <v>0</v>
      </c>
      <c r="AO2533" t="n">
        <v>0</v>
      </c>
      <c r="AP2533" t="inlineStr">
        <is>
          <t>No</t>
        </is>
      </c>
      <c r="AQ2533" t="inlineStr">
        <is>
          <t>Yes</t>
        </is>
      </c>
      <c r="AR2533">
        <f>HYPERLINK("http://catalog.hathitrust.org/Record/000010185","HathiTrust Record")</f>
        <v/>
      </c>
      <c r="AS2533">
        <f>HYPERLINK("https://creighton-primo.hosted.exlibrisgroup.com/primo-explore/search?tab=default_tab&amp;search_scope=EVERYTHING&amp;vid=01CRU&amp;lang=en_US&amp;offset=0&amp;query=any,contains,991003179259702656","Catalog Record")</f>
        <v/>
      </c>
      <c r="AT2533">
        <f>HYPERLINK("http://www.worldcat.org/oclc/711409","WorldCat Record")</f>
        <v/>
      </c>
      <c r="AU2533" t="inlineStr">
        <is>
          <t>35960257:eng</t>
        </is>
      </c>
      <c r="AV2533" t="inlineStr">
        <is>
          <t>711409</t>
        </is>
      </c>
      <c r="AW2533" t="inlineStr">
        <is>
          <t>991003179259702656</t>
        </is>
      </c>
      <c r="AX2533" t="inlineStr">
        <is>
          <t>991003179259702656</t>
        </is>
      </c>
      <c r="AY2533" t="inlineStr">
        <is>
          <t>2262038590002656</t>
        </is>
      </c>
      <c r="AZ2533" t="inlineStr">
        <is>
          <t>BOOK</t>
        </is>
      </c>
      <c r="BC2533" t="inlineStr">
        <is>
          <t>32285001964237</t>
        </is>
      </c>
      <c r="BD2533" t="inlineStr">
        <is>
          <t>893252116</t>
        </is>
      </c>
    </row>
    <row r="2534">
      <c r="A2534" t="inlineStr">
        <is>
          <t>No</t>
        </is>
      </c>
      <c r="B2534" t="inlineStr">
        <is>
          <t>HQ772 .C418 1987</t>
        </is>
      </c>
      <c r="C2534" t="inlineStr">
        <is>
          <t>0                      HQ 0772000C  418         1987</t>
        </is>
      </c>
      <c r="D2534" t="inlineStr">
        <is>
          <t>Know your child : an authoritative guide for today's parents / Stella Chess, Alexander Thomas.</t>
        </is>
      </c>
      <c r="F2534" t="inlineStr">
        <is>
          <t>No</t>
        </is>
      </c>
      <c r="G2534" t="inlineStr">
        <is>
          <t>1</t>
        </is>
      </c>
      <c r="H2534" t="inlineStr">
        <is>
          <t>No</t>
        </is>
      </c>
      <c r="I2534" t="inlineStr">
        <is>
          <t>No</t>
        </is>
      </c>
      <c r="J2534" t="inlineStr">
        <is>
          <t>0</t>
        </is>
      </c>
      <c r="K2534" t="inlineStr">
        <is>
          <t>Chess, Stella.</t>
        </is>
      </c>
      <c r="L2534" t="inlineStr">
        <is>
          <t>New York : Basic Books, c1987.</t>
        </is>
      </c>
      <c r="M2534" t="inlineStr">
        <is>
          <t>1987</t>
        </is>
      </c>
      <c r="O2534" t="inlineStr">
        <is>
          <t>eng</t>
        </is>
      </c>
      <c r="P2534" t="inlineStr">
        <is>
          <t>nyu</t>
        </is>
      </c>
      <c r="R2534" t="inlineStr">
        <is>
          <t xml:space="preserve">HQ </t>
        </is>
      </c>
      <c r="S2534" t="n">
        <v>9</v>
      </c>
      <c r="T2534" t="n">
        <v>9</v>
      </c>
      <c r="U2534" t="inlineStr">
        <is>
          <t>2000-08-28</t>
        </is>
      </c>
      <c r="V2534" t="inlineStr">
        <is>
          <t>2000-08-28</t>
        </is>
      </c>
      <c r="W2534" t="inlineStr">
        <is>
          <t>1990-03-27</t>
        </is>
      </c>
      <c r="X2534" t="inlineStr">
        <is>
          <t>1990-03-27</t>
        </is>
      </c>
      <c r="Y2534" t="n">
        <v>509</v>
      </c>
      <c r="Z2534" t="n">
        <v>466</v>
      </c>
      <c r="AA2534" t="n">
        <v>483</v>
      </c>
      <c r="AB2534" t="n">
        <v>4</v>
      </c>
      <c r="AC2534" t="n">
        <v>4</v>
      </c>
      <c r="AD2534" t="n">
        <v>9</v>
      </c>
      <c r="AE2534" t="n">
        <v>9</v>
      </c>
      <c r="AF2534" t="n">
        <v>1</v>
      </c>
      <c r="AG2534" t="n">
        <v>1</v>
      </c>
      <c r="AH2534" t="n">
        <v>2</v>
      </c>
      <c r="AI2534" t="n">
        <v>2</v>
      </c>
      <c r="AJ2534" t="n">
        <v>3</v>
      </c>
      <c r="AK2534" t="n">
        <v>3</v>
      </c>
      <c r="AL2534" t="n">
        <v>3</v>
      </c>
      <c r="AM2534" t="n">
        <v>3</v>
      </c>
      <c r="AN2534" t="n">
        <v>0</v>
      </c>
      <c r="AO2534" t="n">
        <v>0</v>
      </c>
      <c r="AP2534" t="inlineStr">
        <is>
          <t>No</t>
        </is>
      </c>
      <c r="AQ2534" t="inlineStr">
        <is>
          <t>Yes</t>
        </is>
      </c>
      <c r="AR2534">
        <f>HYPERLINK("http://catalog.hathitrust.org/Record/000921867","HathiTrust Record")</f>
        <v/>
      </c>
      <c r="AS2534">
        <f>HYPERLINK("https://creighton-primo.hosted.exlibrisgroup.com/primo-explore/search?tab=default_tab&amp;search_scope=EVERYTHING&amp;vid=01CRU&amp;lang=en_US&amp;offset=0&amp;query=any,contains,991000967869702656","Catalog Record")</f>
        <v/>
      </c>
      <c r="AT2534">
        <f>HYPERLINK("http://www.worldcat.org/oclc/14931562","WorldCat Record")</f>
        <v/>
      </c>
      <c r="AU2534" t="inlineStr">
        <is>
          <t>2053812:eng</t>
        </is>
      </c>
      <c r="AV2534" t="inlineStr">
        <is>
          <t>14931562</t>
        </is>
      </c>
      <c r="AW2534" t="inlineStr">
        <is>
          <t>991000967869702656</t>
        </is>
      </c>
      <c r="AX2534" t="inlineStr">
        <is>
          <t>991000967869702656</t>
        </is>
      </c>
      <c r="AY2534" t="inlineStr">
        <is>
          <t>2257178570002656</t>
        </is>
      </c>
      <c r="AZ2534" t="inlineStr">
        <is>
          <t>BOOK</t>
        </is>
      </c>
      <c r="BB2534" t="inlineStr">
        <is>
          <t>9780465037322</t>
        </is>
      </c>
      <c r="BC2534" t="inlineStr">
        <is>
          <t>32285000090489</t>
        </is>
      </c>
      <c r="BD2534" t="inlineStr">
        <is>
          <t>893608422</t>
        </is>
      </c>
    </row>
    <row r="2535">
      <c r="A2535" t="inlineStr">
        <is>
          <t>No</t>
        </is>
      </c>
      <c r="B2535" t="inlineStr">
        <is>
          <t>HQ772 .D95 1985</t>
        </is>
      </c>
      <c r="C2535" t="inlineStr">
        <is>
          <t>0                      HQ 0772000D  95          1985</t>
        </is>
      </c>
      <c r="D2535" t="inlineStr">
        <is>
          <t>What do you really want for your children? / Wayne W. Dyer.</t>
        </is>
      </c>
      <c r="F2535" t="inlineStr">
        <is>
          <t>No</t>
        </is>
      </c>
      <c r="G2535" t="inlineStr">
        <is>
          <t>1</t>
        </is>
      </c>
      <c r="H2535" t="inlineStr">
        <is>
          <t>No</t>
        </is>
      </c>
      <c r="I2535" t="inlineStr">
        <is>
          <t>No</t>
        </is>
      </c>
      <c r="J2535" t="inlineStr">
        <is>
          <t>0</t>
        </is>
      </c>
      <c r="K2535" t="inlineStr">
        <is>
          <t>Dyer, Wayne W.</t>
        </is>
      </c>
      <c r="L2535" t="inlineStr">
        <is>
          <t>New York : Morrow, 1985.</t>
        </is>
      </c>
      <c r="M2535" t="inlineStr">
        <is>
          <t>1985</t>
        </is>
      </c>
      <c r="O2535" t="inlineStr">
        <is>
          <t>eng</t>
        </is>
      </c>
      <c r="P2535" t="inlineStr">
        <is>
          <t>nyu</t>
        </is>
      </c>
      <c r="R2535" t="inlineStr">
        <is>
          <t xml:space="preserve">HQ </t>
        </is>
      </c>
      <c r="S2535" t="n">
        <v>5</v>
      </c>
      <c r="T2535" t="n">
        <v>5</v>
      </c>
      <c r="U2535" t="inlineStr">
        <is>
          <t>1999-10-05</t>
        </is>
      </c>
      <c r="V2535" t="inlineStr">
        <is>
          <t>1999-10-05</t>
        </is>
      </c>
      <c r="W2535" t="inlineStr">
        <is>
          <t>1992-11-11</t>
        </is>
      </c>
      <c r="X2535" t="inlineStr">
        <is>
          <t>1992-11-11</t>
        </is>
      </c>
      <c r="Y2535" t="n">
        <v>787</v>
      </c>
      <c r="Z2535" t="n">
        <v>762</v>
      </c>
      <c r="AA2535" t="n">
        <v>900</v>
      </c>
      <c r="AB2535" t="n">
        <v>7</v>
      </c>
      <c r="AC2535" t="n">
        <v>8</v>
      </c>
      <c r="AD2535" t="n">
        <v>2</v>
      </c>
      <c r="AE2535" t="n">
        <v>4</v>
      </c>
      <c r="AF2535" t="n">
        <v>0</v>
      </c>
      <c r="AG2535" t="n">
        <v>1</v>
      </c>
      <c r="AH2535" t="n">
        <v>0</v>
      </c>
      <c r="AI2535" t="n">
        <v>0</v>
      </c>
      <c r="AJ2535" t="n">
        <v>0</v>
      </c>
      <c r="AK2535" t="n">
        <v>0</v>
      </c>
      <c r="AL2535" t="n">
        <v>2</v>
      </c>
      <c r="AM2535" t="n">
        <v>3</v>
      </c>
      <c r="AN2535" t="n">
        <v>0</v>
      </c>
      <c r="AO2535" t="n">
        <v>0</v>
      </c>
      <c r="AP2535" t="inlineStr">
        <is>
          <t>No</t>
        </is>
      </c>
      <c r="AQ2535" t="inlineStr">
        <is>
          <t>No</t>
        </is>
      </c>
      <c r="AS2535">
        <f>HYPERLINK("https://creighton-primo.hosted.exlibrisgroup.com/primo-explore/search?tab=default_tab&amp;search_scope=EVERYTHING&amp;vid=01CRU&amp;lang=en_US&amp;offset=0&amp;query=any,contains,991000628939702656","Catalog Record")</f>
        <v/>
      </c>
      <c r="AT2535">
        <f>HYPERLINK("http://www.worldcat.org/oclc/12051153","WorldCat Record")</f>
        <v/>
      </c>
      <c r="AU2535" t="inlineStr">
        <is>
          <t>534235:eng</t>
        </is>
      </c>
      <c r="AV2535" t="inlineStr">
        <is>
          <t>12051153</t>
        </is>
      </c>
      <c r="AW2535" t="inlineStr">
        <is>
          <t>991000628939702656</t>
        </is>
      </c>
      <c r="AX2535" t="inlineStr">
        <is>
          <t>991000628939702656</t>
        </is>
      </c>
      <c r="AY2535" t="inlineStr">
        <is>
          <t>2268779540002656</t>
        </is>
      </c>
      <c r="AZ2535" t="inlineStr">
        <is>
          <t>BOOK</t>
        </is>
      </c>
      <c r="BB2535" t="inlineStr">
        <is>
          <t>9780688045272</t>
        </is>
      </c>
      <c r="BC2535" t="inlineStr">
        <is>
          <t>32285001395499</t>
        </is>
      </c>
      <c r="BD2535" t="inlineStr">
        <is>
          <t>893890874</t>
        </is>
      </c>
    </row>
    <row r="2536">
      <c r="A2536" t="inlineStr">
        <is>
          <t>No</t>
        </is>
      </c>
      <c r="B2536" t="inlineStr">
        <is>
          <t>HQ772 .G3</t>
        </is>
      </c>
      <c r="C2536" t="inlineStr">
        <is>
          <t>0                      HQ 0772000G  3</t>
        </is>
      </c>
      <c r="D2536" t="inlineStr">
        <is>
          <t>Children and families in the social environment / James Garbarino ; with Robert H. Abramowitz ... [et al.]</t>
        </is>
      </c>
      <c r="F2536" t="inlineStr">
        <is>
          <t>No</t>
        </is>
      </c>
      <c r="G2536" t="inlineStr">
        <is>
          <t>1</t>
        </is>
      </c>
      <c r="H2536" t="inlineStr">
        <is>
          <t>No</t>
        </is>
      </c>
      <c r="I2536" t="inlineStr">
        <is>
          <t>No</t>
        </is>
      </c>
      <c r="J2536" t="inlineStr">
        <is>
          <t>0</t>
        </is>
      </c>
      <c r="K2536" t="inlineStr">
        <is>
          <t>Garbarino, James.</t>
        </is>
      </c>
      <c r="L2536" t="inlineStr">
        <is>
          <t>New York : Aldine Publishing Company, 1982.</t>
        </is>
      </c>
      <c r="M2536" t="inlineStr">
        <is>
          <t>1982</t>
        </is>
      </c>
      <c r="O2536" t="inlineStr">
        <is>
          <t>eng</t>
        </is>
      </c>
      <c r="P2536" t="inlineStr">
        <is>
          <t>nyu</t>
        </is>
      </c>
      <c r="R2536" t="inlineStr">
        <is>
          <t xml:space="preserve">HQ </t>
        </is>
      </c>
      <c r="S2536" t="n">
        <v>8</v>
      </c>
      <c r="T2536" t="n">
        <v>8</v>
      </c>
      <c r="U2536" t="inlineStr">
        <is>
          <t>1996-04-12</t>
        </is>
      </c>
      <c r="V2536" t="inlineStr">
        <is>
          <t>1996-04-12</t>
        </is>
      </c>
      <c r="W2536" t="inlineStr">
        <is>
          <t>1992-11-11</t>
        </is>
      </c>
      <c r="X2536" t="inlineStr">
        <is>
          <t>1992-11-11</t>
        </is>
      </c>
      <c r="Y2536" t="n">
        <v>560</v>
      </c>
      <c r="Z2536" t="n">
        <v>446</v>
      </c>
      <c r="AA2536" t="n">
        <v>677</v>
      </c>
      <c r="AB2536" t="n">
        <v>4</v>
      </c>
      <c r="AC2536" t="n">
        <v>7</v>
      </c>
      <c r="AD2536" t="n">
        <v>22</v>
      </c>
      <c r="AE2536" t="n">
        <v>32</v>
      </c>
      <c r="AF2536" t="n">
        <v>7</v>
      </c>
      <c r="AG2536" t="n">
        <v>10</v>
      </c>
      <c r="AH2536" t="n">
        <v>5</v>
      </c>
      <c r="AI2536" t="n">
        <v>7</v>
      </c>
      <c r="AJ2536" t="n">
        <v>11</v>
      </c>
      <c r="AK2536" t="n">
        <v>17</v>
      </c>
      <c r="AL2536" t="n">
        <v>3</v>
      </c>
      <c r="AM2536" t="n">
        <v>6</v>
      </c>
      <c r="AN2536" t="n">
        <v>0</v>
      </c>
      <c r="AO2536" t="n">
        <v>0</v>
      </c>
      <c r="AP2536" t="inlineStr">
        <is>
          <t>No</t>
        </is>
      </c>
      <c r="AQ2536" t="inlineStr">
        <is>
          <t>Yes</t>
        </is>
      </c>
      <c r="AR2536">
        <f>HYPERLINK("http://catalog.hathitrust.org/Record/000102124","HathiTrust Record")</f>
        <v/>
      </c>
      <c r="AS2536">
        <f>HYPERLINK("https://creighton-primo.hosted.exlibrisgroup.com/primo-explore/search?tab=default_tab&amp;search_scope=EVERYTHING&amp;vid=01CRU&amp;lang=en_US&amp;offset=0&amp;query=any,contains,991000039189702656","Catalog Record")</f>
        <v/>
      </c>
      <c r="AT2536">
        <f>HYPERLINK("http://www.worldcat.org/oclc/8631521","WorldCat Record")</f>
        <v/>
      </c>
      <c r="AU2536" t="inlineStr">
        <is>
          <t>26515474:eng</t>
        </is>
      </c>
      <c r="AV2536" t="inlineStr">
        <is>
          <t>8631521</t>
        </is>
      </c>
      <c r="AW2536" t="inlineStr">
        <is>
          <t>991000039189702656</t>
        </is>
      </c>
      <c r="AX2536" t="inlineStr">
        <is>
          <t>991000039189702656</t>
        </is>
      </c>
      <c r="AY2536" t="inlineStr">
        <is>
          <t>2264373030002656</t>
        </is>
      </c>
      <c r="AZ2536" t="inlineStr">
        <is>
          <t>BOOK</t>
        </is>
      </c>
      <c r="BB2536" t="inlineStr">
        <is>
          <t>9780202360294</t>
        </is>
      </c>
      <c r="BC2536" t="inlineStr">
        <is>
          <t>32285001395507</t>
        </is>
      </c>
      <c r="BD2536" t="inlineStr">
        <is>
          <t>893502169</t>
        </is>
      </c>
    </row>
    <row r="2537">
      <c r="A2537" t="inlineStr">
        <is>
          <t>No</t>
        </is>
      </c>
      <c r="B2537" t="inlineStr">
        <is>
          <t>HQ772 .G45</t>
        </is>
      </c>
      <c r="C2537" t="inlineStr">
        <is>
          <t>0                      HQ 0772000G  45</t>
        </is>
      </c>
      <c r="D2537" t="inlineStr">
        <is>
          <t>Attachment and dependency. Edited by Jacob L. Gewirtz.</t>
        </is>
      </c>
      <c r="F2537" t="inlineStr">
        <is>
          <t>No</t>
        </is>
      </c>
      <c r="G2537" t="inlineStr">
        <is>
          <t>1</t>
        </is>
      </c>
      <c r="H2537" t="inlineStr">
        <is>
          <t>No</t>
        </is>
      </c>
      <c r="I2537" t="inlineStr">
        <is>
          <t>No</t>
        </is>
      </c>
      <c r="J2537" t="inlineStr">
        <is>
          <t>0</t>
        </is>
      </c>
      <c r="K2537" t="inlineStr">
        <is>
          <t>Gewirtz, Jacob L., 1924-</t>
        </is>
      </c>
      <c r="L2537" t="inlineStr">
        <is>
          <t>Washington, V. H. Winston; Distributed by Halsted Press, New York, 1972.</t>
        </is>
      </c>
      <c r="M2537" t="inlineStr">
        <is>
          <t>1972</t>
        </is>
      </c>
      <c r="O2537" t="inlineStr">
        <is>
          <t>eng</t>
        </is>
      </c>
      <c r="P2537" t="inlineStr">
        <is>
          <t>dcu</t>
        </is>
      </c>
      <c r="R2537" t="inlineStr">
        <is>
          <t xml:space="preserve">HQ </t>
        </is>
      </c>
      <c r="S2537" t="n">
        <v>1</v>
      </c>
      <c r="T2537" t="n">
        <v>1</v>
      </c>
      <c r="U2537" t="inlineStr">
        <is>
          <t>1997-10-03</t>
        </is>
      </c>
      <c r="V2537" t="inlineStr">
        <is>
          <t>1997-10-03</t>
        </is>
      </c>
      <c r="W2537" t="inlineStr">
        <is>
          <t>1997-08-13</t>
        </is>
      </c>
      <c r="X2537" t="inlineStr">
        <is>
          <t>1997-08-13</t>
        </is>
      </c>
      <c r="Y2537" t="n">
        <v>576</v>
      </c>
      <c r="Z2537" t="n">
        <v>435</v>
      </c>
      <c r="AA2537" t="n">
        <v>437</v>
      </c>
      <c r="AB2537" t="n">
        <v>3</v>
      </c>
      <c r="AC2537" t="n">
        <v>3</v>
      </c>
      <c r="AD2537" t="n">
        <v>16</v>
      </c>
      <c r="AE2537" t="n">
        <v>16</v>
      </c>
      <c r="AF2537" t="n">
        <v>4</v>
      </c>
      <c r="AG2537" t="n">
        <v>4</v>
      </c>
      <c r="AH2537" t="n">
        <v>3</v>
      </c>
      <c r="AI2537" t="n">
        <v>3</v>
      </c>
      <c r="AJ2537" t="n">
        <v>9</v>
      </c>
      <c r="AK2537" t="n">
        <v>9</v>
      </c>
      <c r="AL2537" t="n">
        <v>2</v>
      </c>
      <c r="AM2537" t="n">
        <v>2</v>
      </c>
      <c r="AN2537" t="n">
        <v>0</v>
      </c>
      <c r="AO2537" t="n">
        <v>0</v>
      </c>
      <c r="AP2537" t="inlineStr">
        <is>
          <t>No</t>
        </is>
      </c>
      <c r="AQ2537" t="inlineStr">
        <is>
          <t>Yes</t>
        </is>
      </c>
      <c r="AR2537">
        <f>HYPERLINK("http://catalog.hathitrust.org/Record/001110097","HathiTrust Record")</f>
        <v/>
      </c>
      <c r="AS2537">
        <f>HYPERLINK("https://creighton-primo.hosted.exlibrisgroup.com/primo-explore/search?tab=default_tab&amp;search_scope=EVERYTHING&amp;vid=01CRU&amp;lang=en_US&amp;offset=0&amp;query=any,contains,991002915899702656","Catalog Record")</f>
        <v/>
      </c>
      <c r="AT2537">
        <f>HYPERLINK("http://www.worldcat.org/oclc/524053","WorldCat Record")</f>
        <v/>
      </c>
      <c r="AU2537" t="inlineStr">
        <is>
          <t>488077:eng</t>
        </is>
      </c>
      <c r="AV2537" t="inlineStr">
        <is>
          <t>524053</t>
        </is>
      </c>
      <c r="AW2537" t="inlineStr">
        <is>
          <t>991002915899702656</t>
        </is>
      </c>
      <c r="AX2537" t="inlineStr">
        <is>
          <t>991002915899702656</t>
        </is>
      </c>
      <c r="AY2537" t="inlineStr">
        <is>
          <t>2261329290002656</t>
        </is>
      </c>
      <c r="AZ2537" t="inlineStr">
        <is>
          <t>BOOK</t>
        </is>
      </c>
      <c r="BB2537" t="inlineStr">
        <is>
          <t>9780470297094</t>
        </is>
      </c>
      <c r="BC2537" t="inlineStr">
        <is>
          <t>32285003101176</t>
        </is>
      </c>
      <c r="BD2537" t="inlineStr">
        <is>
          <t>893251774</t>
        </is>
      </c>
    </row>
    <row r="2538">
      <c r="A2538" t="inlineStr">
        <is>
          <t>No</t>
        </is>
      </c>
      <c r="B2538" t="inlineStr">
        <is>
          <t>HQ772 .H353 1998</t>
        </is>
      </c>
      <c r="C2538" t="inlineStr">
        <is>
          <t>0                      HQ 0772000H  353         1998</t>
        </is>
      </c>
      <c r="D2538" t="inlineStr">
        <is>
          <t>The nurture assumption : why children turn out the way they do / Judith Rich Harris.</t>
        </is>
      </c>
      <c r="F2538" t="inlineStr">
        <is>
          <t>No</t>
        </is>
      </c>
      <c r="G2538" t="inlineStr">
        <is>
          <t>1</t>
        </is>
      </c>
      <c r="H2538" t="inlineStr">
        <is>
          <t>No</t>
        </is>
      </c>
      <c r="I2538" t="inlineStr">
        <is>
          <t>No</t>
        </is>
      </c>
      <c r="J2538" t="inlineStr">
        <is>
          <t>0</t>
        </is>
      </c>
      <c r="K2538" t="inlineStr">
        <is>
          <t>Harris, Judith Rich.</t>
        </is>
      </c>
      <c r="L2538" t="inlineStr">
        <is>
          <t>New York : Free Press, c1998.</t>
        </is>
      </c>
      <c r="M2538" t="inlineStr">
        <is>
          <t>1998</t>
        </is>
      </c>
      <c r="O2538" t="inlineStr">
        <is>
          <t>eng</t>
        </is>
      </c>
      <c r="P2538" t="inlineStr">
        <is>
          <t>nyu</t>
        </is>
      </c>
      <c r="R2538" t="inlineStr">
        <is>
          <t xml:space="preserve">HQ </t>
        </is>
      </c>
      <c r="S2538" t="n">
        <v>6</v>
      </c>
      <c r="T2538" t="n">
        <v>6</v>
      </c>
      <c r="U2538" t="inlineStr">
        <is>
          <t>2003-09-25</t>
        </is>
      </c>
      <c r="V2538" t="inlineStr">
        <is>
          <t>2003-09-25</t>
        </is>
      </c>
      <c r="W2538" t="inlineStr">
        <is>
          <t>1998-09-03</t>
        </is>
      </c>
      <c r="X2538" t="inlineStr">
        <is>
          <t>1998-09-03</t>
        </is>
      </c>
      <c r="Y2538" t="n">
        <v>1569</v>
      </c>
      <c r="Z2538" t="n">
        <v>1386</v>
      </c>
      <c r="AA2538" t="n">
        <v>1718</v>
      </c>
      <c r="AB2538" t="n">
        <v>10</v>
      </c>
      <c r="AC2538" t="n">
        <v>14</v>
      </c>
      <c r="AD2538" t="n">
        <v>42</v>
      </c>
      <c r="AE2538" t="n">
        <v>50</v>
      </c>
      <c r="AF2538" t="n">
        <v>17</v>
      </c>
      <c r="AG2538" t="n">
        <v>20</v>
      </c>
      <c r="AH2538" t="n">
        <v>8</v>
      </c>
      <c r="AI2538" t="n">
        <v>10</v>
      </c>
      <c r="AJ2538" t="n">
        <v>19</v>
      </c>
      <c r="AK2538" t="n">
        <v>21</v>
      </c>
      <c r="AL2538" t="n">
        <v>7</v>
      </c>
      <c r="AM2538" t="n">
        <v>11</v>
      </c>
      <c r="AN2538" t="n">
        <v>0</v>
      </c>
      <c r="AO2538" t="n">
        <v>0</v>
      </c>
      <c r="AP2538" t="inlineStr">
        <is>
          <t>No</t>
        </is>
      </c>
      <c r="AQ2538" t="inlineStr">
        <is>
          <t>Yes</t>
        </is>
      </c>
      <c r="AR2538">
        <f>HYPERLINK("http://catalog.hathitrust.org/Record/004001558","HathiTrust Record")</f>
        <v/>
      </c>
      <c r="AS2538">
        <f>HYPERLINK("https://creighton-primo.hosted.exlibrisgroup.com/primo-explore/search?tab=default_tab&amp;search_scope=EVERYTHING&amp;vid=01CRU&amp;lang=en_US&amp;offset=0&amp;query=any,contains,991002953659702656","Catalog Record")</f>
        <v/>
      </c>
      <c r="AT2538">
        <f>HYPERLINK("http://www.worldcat.org/oclc/39368588","WorldCat Record")</f>
        <v/>
      </c>
      <c r="AU2538" t="inlineStr">
        <is>
          <t>26006892:eng</t>
        </is>
      </c>
      <c r="AV2538" t="inlineStr">
        <is>
          <t>39368588</t>
        </is>
      </c>
      <c r="AW2538" t="inlineStr">
        <is>
          <t>991002953659702656</t>
        </is>
      </c>
      <c r="AX2538" t="inlineStr">
        <is>
          <t>991002953659702656</t>
        </is>
      </c>
      <c r="AY2538" t="inlineStr">
        <is>
          <t>2258108660002656</t>
        </is>
      </c>
      <c r="AZ2538" t="inlineStr">
        <is>
          <t>BOOK</t>
        </is>
      </c>
      <c r="BB2538" t="inlineStr">
        <is>
          <t>9780684844091</t>
        </is>
      </c>
      <c r="BC2538" t="inlineStr">
        <is>
          <t>32285003464970</t>
        </is>
      </c>
      <c r="BD2538" t="inlineStr">
        <is>
          <t>893616815</t>
        </is>
      </c>
    </row>
    <row r="2539">
      <c r="A2539" t="inlineStr">
        <is>
          <t>No</t>
        </is>
      </c>
      <c r="B2539" t="inlineStr">
        <is>
          <t>HQ772 .H377 1980</t>
        </is>
      </c>
      <c r="C2539" t="inlineStr">
        <is>
          <t>0                      HQ 0772000H  377         1980</t>
        </is>
      </c>
      <c r="D2539" t="inlineStr">
        <is>
          <t>How to raise your child to be a winner : a proven program that shows how to guide your child from infancy on--to ultimate self-fulfillment / by Gene R. Hawes, Helen Ginandes Weiss, and Martin S. Weiss.</t>
        </is>
      </c>
      <c r="F2539" t="inlineStr">
        <is>
          <t>No</t>
        </is>
      </c>
      <c r="G2539" t="inlineStr">
        <is>
          <t>1</t>
        </is>
      </c>
      <c r="H2539" t="inlineStr">
        <is>
          <t>No</t>
        </is>
      </c>
      <c r="I2539" t="inlineStr">
        <is>
          <t>No</t>
        </is>
      </c>
      <c r="J2539" t="inlineStr">
        <is>
          <t>0</t>
        </is>
      </c>
      <c r="K2539" t="inlineStr">
        <is>
          <t>Hawes, Gene R.</t>
        </is>
      </c>
      <c r="L2539" t="inlineStr">
        <is>
          <t>New York : Rawson, Wade, c1980.</t>
        </is>
      </c>
      <c r="M2539" t="inlineStr">
        <is>
          <t>1980</t>
        </is>
      </c>
      <c r="N2539" t="inlineStr">
        <is>
          <t>1st ed.</t>
        </is>
      </c>
      <c r="O2539" t="inlineStr">
        <is>
          <t>eng</t>
        </is>
      </c>
      <c r="P2539" t="inlineStr">
        <is>
          <t>nyu</t>
        </is>
      </c>
      <c r="R2539" t="inlineStr">
        <is>
          <t xml:space="preserve">HQ </t>
        </is>
      </c>
      <c r="S2539" t="n">
        <v>2</v>
      </c>
      <c r="T2539" t="n">
        <v>2</v>
      </c>
      <c r="U2539" t="inlineStr">
        <is>
          <t>1995-11-28</t>
        </is>
      </c>
      <c r="V2539" t="inlineStr">
        <is>
          <t>1995-11-28</t>
        </is>
      </c>
      <c r="W2539" t="inlineStr">
        <is>
          <t>1995-11-06</t>
        </is>
      </c>
      <c r="X2539" t="inlineStr">
        <is>
          <t>1995-11-06</t>
        </is>
      </c>
      <c r="Y2539" t="n">
        <v>246</v>
      </c>
      <c r="Z2539" t="n">
        <v>237</v>
      </c>
      <c r="AA2539" t="n">
        <v>243</v>
      </c>
      <c r="AB2539" t="n">
        <v>2</v>
      </c>
      <c r="AC2539" t="n">
        <v>2</v>
      </c>
      <c r="AD2539" t="n">
        <v>3</v>
      </c>
      <c r="AE2539" t="n">
        <v>3</v>
      </c>
      <c r="AF2539" t="n">
        <v>1</v>
      </c>
      <c r="AG2539" t="n">
        <v>1</v>
      </c>
      <c r="AH2539" t="n">
        <v>0</v>
      </c>
      <c r="AI2539" t="n">
        <v>0</v>
      </c>
      <c r="AJ2539" t="n">
        <v>1</v>
      </c>
      <c r="AK2539" t="n">
        <v>1</v>
      </c>
      <c r="AL2539" t="n">
        <v>1</v>
      </c>
      <c r="AM2539" t="n">
        <v>1</v>
      </c>
      <c r="AN2539" t="n">
        <v>0</v>
      </c>
      <c r="AO2539" t="n">
        <v>0</v>
      </c>
      <c r="AP2539" t="inlineStr">
        <is>
          <t>No</t>
        </is>
      </c>
      <c r="AQ2539" t="inlineStr">
        <is>
          <t>No</t>
        </is>
      </c>
      <c r="AS2539">
        <f>HYPERLINK("https://creighton-primo.hosted.exlibrisgroup.com/primo-explore/search?tab=default_tab&amp;search_scope=EVERYTHING&amp;vid=01CRU&amp;lang=en_US&amp;offset=0&amp;query=any,contains,991004919199702656","Catalog Record")</f>
        <v/>
      </c>
      <c r="AT2539">
        <f>HYPERLINK("http://www.worldcat.org/oclc/6040957","WorldCat Record")</f>
        <v/>
      </c>
      <c r="AU2539" t="inlineStr">
        <is>
          <t>764586870:eng</t>
        </is>
      </c>
      <c r="AV2539" t="inlineStr">
        <is>
          <t>6040957</t>
        </is>
      </c>
      <c r="AW2539" t="inlineStr">
        <is>
          <t>991004919199702656</t>
        </is>
      </c>
      <c r="AX2539" t="inlineStr">
        <is>
          <t>991004919199702656</t>
        </is>
      </c>
      <c r="AY2539" t="inlineStr">
        <is>
          <t>2259467980002656</t>
        </is>
      </c>
      <c r="AZ2539" t="inlineStr">
        <is>
          <t>BOOK</t>
        </is>
      </c>
      <c r="BB2539" t="inlineStr">
        <is>
          <t>9780892561322</t>
        </is>
      </c>
      <c r="BC2539" t="inlineStr">
        <is>
          <t>32285002100872</t>
        </is>
      </c>
      <c r="BD2539" t="inlineStr">
        <is>
          <t>893889424</t>
        </is>
      </c>
    </row>
    <row r="2540">
      <c r="A2540" t="inlineStr">
        <is>
          <t>No</t>
        </is>
      </c>
      <c r="B2540" t="inlineStr">
        <is>
          <t>HQ772 .S794 1980</t>
        </is>
      </c>
      <c r="C2540" t="inlineStr">
        <is>
          <t>0                      HQ 0772000S  794         1980</t>
        </is>
      </c>
      <c r="D2540" t="inlineStr">
        <is>
          <t>The father's almanac / S. Adams Sullivan ; with illustrations by the author.</t>
        </is>
      </c>
      <c r="F2540" t="inlineStr">
        <is>
          <t>No</t>
        </is>
      </c>
      <c r="G2540" t="inlineStr">
        <is>
          <t>1</t>
        </is>
      </c>
      <c r="H2540" t="inlineStr">
        <is>
          <t>No</t>
        </is>
      </c>
      <c r="I2540" t="inlineStr">
        <is>
          <t>No</t>
        </is>
      </c>
      <c r="J2540" t="inlineStr">
        <is>
          <t>0</t>
        </is>
      </c>
      <c r="K2540" t="inlineStr">
        <is>
          <t>Sullivan, St. Clair Adams.</t>
        </is>
      </c>
      <c r="L2540" t="inlineStr">
        <is>
          <t>Garden City, N.Y. : Doubleday, c1980.</t>
        </is>
      </c>
      <c r="M2540" t="inlineStr">
        <is>
          <t>1980</t>
        </is>
      </c>
      <c r="N2540" t="inlineStr">
        <is>
          <t>1st ed.</t>
        </is>
      </c>
      <c r="O2540" t="inlineStr">
        <is>
          <t>eng</t>
        </is>
      </c>
      <c r="P2540" t="inlineStr">
        <is>
          <t>nyu</t>
        </is>
      </c>
      <c r="Q2540" t="inlineStr">
        <is>
          <t>A Dolphin book</t>
        </is>
      </c>
      <c r="R2540" t="inlineStr">
        <is>
          <t xml:space="preserve">HQ </t>
        </is>
      </c>
      <c r="S2540" t="n">
        <v>6</v>
      </c>
      <c r="T2540" t="n">
        <v>6</v>
      </c>
      <c r="U2540" t="inlineStr">
        <is>
          <t>1995-10-27</t>
        </is>
      </c>
      <c r="V2540" t="inlineStr">
        <is>
          <t>1995-10-27</t>
        </is>
      </c>
      <c r="W2540" t="inlineStr">
        <is>
          <t>1992-05-07</t>
        </is>
      </c>
      <c r="X2540" t="inlineStr">
        <is>
          <t>1992-05-07</t>
        </is>
      </c>
      <c r="Y2540" t="n">
        <v>326</v>
      </c>
      <c r="Z2540" t="n">
        <v>304</v>
      </c>
      <c r="AA2540" t="n">
        <v>336</v>
      </c>
      <c r="AB2540" t="n">
        <v>2</v>
      </c>
      <c r="AC2540" t="n">
        <v>2</v>
      </c>
      <c r="AD2540" t="n">
        <v>0</v>
      </c>
      <c r="AE2540" t="n">
        <v>0</v>
      </c>
      <c r="AF2540" t="n">
        <v>0</v>
      </c>
      <c r="AG2540" t="n">
        <v>0</v>
      </c>
      <c r="AH2540" t="n">
        <v>0</v>
      </c>
      <c r="AI2540" t="n">
        <v>0</v>
      </c>
      <c r="AJ2540" t="n">
        <v>0</v>
      </c>
      <c r="AK2540" t="n">
        <v>0</v>
      </c>
      <c r="AL2540" t="n">
        <v>0</v>
      </c>
      <c r="AM2540" t="n">
        <v>0</v>
      </c>
      <c r="AN2540" t="n">
        <v>0</v>
      </c>
      <c r="AO2540" t="n">
        <v>0</v>
      </c>
      <c r="AP2540" t="inlineStr">
        <is>
          <t>No</t>
        </is>
      </c>
      <c r="AQ2540" t="inlineStr">
        <is>
          <t>No</t>
        </is>
      </c>
      <c r="AS2540">
        <f>HYPERLINK("https://creighton-primo.hosted.exlibrisgroup.com/primo-explore/search?tab=default_tab&amp;search_scope=EVERYTHING&amp;vid=01CRU&amp;lang=en_US&amp;offset=0&amp;query=any,contains,991004883559702656","Catalog Record")</f>
        <v/>
      </c>
      <c r="AT2540">
        <f>HYPERLINK("http://www.worldcat.org/oclc/5830251","WorldCat Record")</f>
        <v/>
      </c>
      <c r="AU2540" t="inlineStr">
        <is>
          <t>20027732:eng</t>
        </is>
      </c>
      <c r="AV2540" t="inlineStr">
        <is>
          <t>5830251</t>
        </is>
      </c>
      <c r="AW2540" t="inlineStr">
        <is>
          <t>991004883559702656</t>
        </is>
      </c>
      <c r="AX2540" t="inlineStr">
        <is>
          <t>991004883559702656</t>
        </is>
      </c>
      <c r="AY2540" t="inlineStr">
        <is>
          <t>2263941980002656</t>
        </is>
      </c>
      <c r="AZ2540" t="inlineStr">
        <is>
          <t>BOOK</t>
        </is>
      </c>
      <c r="BB2540" t="inlineStr">
        <is>
          <t>9780385136266</t>
        </is>
      </c>
      <c r="BC2540" t="inlineStr">
        <is>
          <t>32285001105997</t>
        </is>
      </c>
      <c r="BD2540" t="inlineStr">
        <is>
          <t>893625200</t>
        </is>
      </c>
    </row>
    <row r="2541">
      <c r="A2541" t="inlineStr">
        <is>
          <t>No</t>
        </is>
      </c>
      <c r="B2541" t="inlineStr">
        <is>
          <t>HQ772 .T45 1978</t>
        </is>
      </c>
      <c r="C2541" t="inlineStr">
        <is>
          <t>0                      HQ 0772000T  45          1978</t>
        </is>
      </c>
      <c r="D2541" t="inlineStr">
        <is>
          <t>The bubblegum years : sticking with kids from 9-13 / Hershel D. Thornburg ; photography by Sherry Miller.</t>
        </is>
      </c>
      <c r="F2541" t="inlineStr">
        <is>
          <t>No</t>
        </is>
      </c>
      <c r="G2541" t="inlineStr">
        <is>
          <t>1</t>
        </is>
      </c>
      <c r="H2541" t="inlineStr">
        <is>
          <t>No</t>
        </is>
      </c>
      <c r="I2541" t="inlineStr">
        <is>
          <t>No</t>
        </is>
      </c>
      <c r="J2541" t="inlineStr">
        <is>
          <t>0</t>
        </is>
      </c>
      <c r="K2541" t="inlineStr">
        <is>
          <t>Thornburg, Hershel D., 1936-</t>
        </is>
      </c>
      <c r="L2541" t="inlineStr">
        <is>
          <t>Tucson, Ariz. : Help Books, 1978.</t>
        </is>
      </c>
      <c r="M2541" t="inlineStr">
        <is>
          <t>1978</t>
        </is>
      </c>
      <c r="O2541" t="inlineStr">
        <is>
          <t>eng</t>
        </is>
      </c>
      <c r="P2541" t="inlineStr">
        <is>
          <t>azu</t>
        </is>
      </c>
      <c r="Q2541" t="inlineStr">
        <is>
          <t>Life span series</t>
        </is>
      </c>
      <c r="R2541" t="inlineStr">
        <is>
          <t xml:space="preserve">HQ </t>
        </is>
      </c>
      <c r="S2541" t="n">
        <v>2</v>
      </c>
      <c r="T2541" t="n">
        <v>2</v>
      </c>
      <c r="U2541" t="inlineStr">
        <is>
          <t>2002-07-17</t>
        </is>
      </c>
      <c r="V2541" t="inlineStr">
        <is>
          <t>2002-07-17</t>
        </is>
      </c>
      <c r="W2541" t="inlineStr">
        <is>
          <t>1992-11-11</t>
        </is>
      </c>
      <c r="X2541" t="inlineStr">
        <is>
          <t>1992-11-11</t>
        </is>
      </c>
      <c r="Y2541" t="n">
        <v>105</v>
      </c>
      <c r="Z2541" t="n">
        <v>100</v>
      </c>
      <c r="AA2541" t="n">
        <v>123</v>
      </c>
      <c r="AB2541" t="n">
        <v>1</v>
      </c>
      <c r="AC2541" t="n">
        <v>1</v>
      </c>
      <c r="AD2541" t="n">
        <v>1</v>
      </c>
      <c r="AE2541" t="n">
        <v>1</v>
      </c>
      <c r="AF2541" t="n">
        <v>0</v>
      </c>
      <c r="AG2541" t="n">
        <v>0</v>
      </c>
      <c r="AH2541" t="n">
        <v>1</v>
      </c>
      <c r="AI2541" t="n">
        <v>1</v>
      </c>
      <c r="AJ2541" t="n">
        <v>0</v>
      </c>
      <c r="AK2541" t="n">
        <v>0</v>
      </c>
      <c r="AL2541" t="n">
        <v>0</v>
      </c>
      <c r="AM2541" t="n">
        <v>0</v>
      </c>
      <c r="AN2541" t="n">
        <v>0</v>
      </c>
      <c r="AO2541" t="n">
        <v>0</v>
      </c>
      <c r="AP2541" t="inlineStr">
        <is>
          <t>No</t>
        </is>
      </c>
      <c r="AQ2541" t="inlineStr">
        <is>
          <t>No</t>
        </is>
      </c>
      <c r="AS2541">
        <f>HYPERLINK("https://creighton-primo.hosted.exlibrisgroup.com/primo-explore/search?tab=default_tab&amp;search_scope=EVERYTHING&amp;vid=01CRU&amp;lang=en_US&amp;offset=0&amp;query=any,contains,991004710519702656","Catalog Record")</f>
        <v/>
      </c>
      <c r="AT2541">
        <f>HYPERLINK("http://www.worldcat.org/oclc/4757440","WorldCat Record")</f>
        <v/>
      </c>
      <c r="AU2541" t="inlineStr">
        <is>
          <t>14975963:eng</t>
        </is>
      </c>
      <c r="AV2541" t="inlineStr">
        <is>
          <t>4757440</t>
        </is>
      </c>
      <c r="AW2541" t="inlineStr">
        <is>
          <t>991004710519702656</t>
        </is>
      </c>
      <c r="AX2541" t="inlineStr">
        <is>
          <t>991004710519702656</t>
        </is>
      </c>
      <c r="AY2541" t="inlineStr">
        <is>
          <t>2263314960002656</t>
        </is>
      </c>
      <c r="AZ2541" t="inlineStr">
        <is>
          <t>BOOK</t>
        </is>
      </c>
      <c r="BB2541" t="inlineStr">
        <is>
          <t>9780918500113</t>
        </is>
      </c>
      <c r="BC2541" t="inlineStr">
        <is>
          <t>32285001395549</t>
        </is>
      </c>
      <c r="BD2541" t="inlineStr">
        <is>
          <t>893612677</t>
        </is>
      </c>
    </row>
    <row r="2542">
      <c r="A2542" t="inlineStr">
        <is>
          <t>No</t>
        </is>
      </c>
      <c r="B2542" t="inlineStr">
        <is>
          <t>HQ772.5 .B58 1986</t>
        </is>
      </c>
      <c r="C2542" t="inlineStr">
        <is>
          <t>0                      HQ 0772500B  58          1986</t>
        </is>
      </c>
      <c r="D2542" t="inlineStr">
        <is>
          <t>Letters to Judy : what your kids wish they could tell you / Judy Blume.</t>
        </is>
      </c>
      <c r="F2542" t="inlineStr">
        <is>
          <t>No</t>
        </is>
      </c>
      <c r="G2542" t="inlineStr">
        <is>
          <t>1</t>
        </is>
      </c>
      <c r="H2542" t="inlineStr">
        <is>
          <t>No</t>
        </is>
      </c>
      <c r="I2542" t="inlineStr">
        <is>
          <t>No</t>
        </is>
      </c>
      <c r="J2542" t="inlineStr">
        <is>
          <t>0</t>
        </is>
      </c>
      <c r="K2542" t="inlineStr">
        <is>
          <t>Blume, Judy.</t>
        </is>
      </c>
      <c r="L2542" t="inlineStr">
        <is>
          <t>New York : Putnam, c1986.</t>
        </is>
      </c>
      <c r="M2542" t="inlineStr">
        <is>
          <t>1986</t>
        </is>
      </c>
      <c r="O2542" t="inlineStr">
        <is>
          <t>eng</t>
        </is>
      </c>
      <c r="P2542" t="inlineStr">
        <is>
          <t>nyu</t>
        </is>
      </c>
      <c r="R2542" t="inlineStr">
        <is>
          <t xml:space="preserve">HQ </t>
        </is>
      </c>
      <c r="S2542" t="n">
        <v>5</v>
      </c>
      <c r="T2542" t="n">
        <v>5</v>
      </c>
      <c r="U2542" t="inlineStr">
        <is>
          <t>1995-03-26</t>
        </is>
      </c>
      <c r="V2542" t="inlineStr">
        <is>
          <t>1995-03-26</t>
        </is>
      </c>
      <c r="W2542" t="inlineStr">
        <is>
          <t>1990-04-30</t>
        </is>
      </c>
      <c r="X2542" t="inlineStr">
        <is>
          <t>1990-04-30</t>
        </is>
      </c>
      <c r="Y2542" t="n">
        <v>1419</v>
      </c>
      <c r="Z2542" t="n">
        <v>1367</v>
      </c>
      <c r="AA2542" t="n">
        <v>1485</v>
      </c>
      <c r="AB2542" t="n">
        <v>11</v>
      </c>
      <c r="AC2542" t="n">
        <v>13</v>
      </c>
      <c r="AD2542" t="n">
        <v>12</v>
      </c>
      <c r="AE2542" t="n">
        <v>13</v>
      </c>
      <c r="AF2542" t="n">
        <v>5</v>
      </c>
      <c r="AG2542" t="n">
        <v>5</v>
      </c>
      <c r="AH2542" t="n">
        <v>2</v>
      </c>
      <c r="AI2542" t="n">
        <v>2</v>
      </c>
      <c r="AJ2542" t="n">
        <v>5</v>
      </c>
      <c r="AK2542" t="n">
        <v>5</v>
      </c>
      <c r="AL2542" t="n">
        <v>2</v>
      </c>
      <c r="AM2542" t="n">
        <v>3</v>
      </c>
      <c r="AN2542" t="n">
        <v>0</v>
      </c>
      <c r="AO2542" t="n">
        <v>0</v>
      </c>
      <c r="AP2542" t="inlineStr">
        <is>
          <t>No</t>
        </is>
      </c>
      <c r="AQ2542" t="inlineStr">
        <is>
          <t>No</t>
        </is>
      </c>
      <c r="AS2542">
        <f>HYPERLINK("https://creighton-primo.hosted.exlibrisgroup.com/primo-explore/search?tab=default_tab&amp;search_scope=EVERYTHING&amp;vid=01CRU&amp;lang=en_US&amp;offset=0&amp;query=any,contains,991000770179702656","Catalog Record")</f>
        <v/>
      </c>
      <c r="AT2542">
        <f>HYPERLINK("http://www.worldcat.org/oclc/13010414","WorldCat Record")</f>
        <v/>
      </c>
      <c r="AU2542" t="inlineStr">
        <is>
          <t>2591025299:eng</t>
        </is>
      </c>
      <c r="AV2542" t="inlineStr">
        <is>
          <t>13010414</t>
        </is>
      </c>
      <c r="AW2542" t="inlineStr">
        <is>
          <t>991000770179702656</t>
        </is>
      </c>
      <c r="AX2542" t="inlineStr">
        <is>
          <t>991000770179702656</t>
        </is>
      </c>
      <c r="AY2542" t="inlineStr">
        <is>
          <t>2261074590002656</t>
        </is>
      </c>
      <c r="AZ2542" t="inlineStr">
        <is>
          <t>BOOK</t>
        </is>
      </c>
      <c r="BB2542" t="inlineStr">
        <is>
          <t>9780399131295</t>
        </is>
      </c>
      <c r="BC2542" t="inlineStr">
        <is>
          <t>32285000134972</t>
        </is>
      </c>
      <c r="BD2542" t="inlineStr">
        <is>
          <t>893690013</t>
        </is>
      </c>
    </row>
    <row r="2543">
      <c r="A2543" t="inlineStr">
        <is>
          <t>No</t>
        </is>
      </c>
      <c r="B2543" t="inlineStr">
        <is>
          <t>HQ772.5 .C86 1994</t>
        </is>
      </c>
      <c r="C2543" t="inlineStr">
        <is>
          <t>0                      HQ 0772500C  86          1994</t>
        </is>
      </c>
      <c r="D2543" t="inlineStr">
        <is>
          <t>Children and marital conflict : the impact of family dispute and resolution / E. Mark Cummings, Patrick Davies ; foreword by Robert E. Emery.</t>
        </is>
      </c>
      <c r="F2543" t="inlineStr">
        <is>
          <t>No</t>
        </is>
      </c>
      <c r="G2543" t="inlineStr">
        <is>
          <t>1</t>
        </is>
      </c>
      <c r="H2543" t="inlineStr">
        <is>
          <t>No</t>
        </is>
      </c>
      <c r="I2543" t="inlineStr">
        <is>
          <t>No</t>
        </is>
      </c>
      <c r="J2543" t="inlineStr">
        <is>
          <t>0</t>
        </is>
      </c>
      <c r="K2543" t="inlineStr">
        <is>
          <t>Cummings, E. Mark.</t>
        </is>
      </c>
      <c r="L2543" t="inlineStr">
        <is>
          <t>New York : Guilford Press, 1994.</t>
        </is>
      </c>
      <c r="M2543" t="inlineStr">
        <is>
          <t>1994</t>
        </is>
      </c>
      <c r="O2543" t="inlineStr">
        <is>
          <t>eng</t>
        </is>
      </c>
      <c r="P2543" t="inlineStr">
        <is>
          <t>nyu</t>
        </is>
      </c>
      <c r="Q2543" t="inlineStr">
        <is>
          <t>The Guilford series on social and emotional development</t>
        </is>
      </c>
      <c r="R2543" t="inlineStr">
        <is>
          <t xml:space="preserve">HQ </t>
        </is>
      </c>
      <c r="S2543" t="n">
        <v>3</v>
      </c>
      <c r="T2543" t="n">
        <v>3</v>
      </c>
      <c r="U2543" t="inlineStr">
        <is>
          <t>2000-01-31</t>
        </is>
      </c>
      <c r="V2543" t="inlineStr">
        <is>
          <t>2000-01-31</t>
        </is>
      </c>
      <c r="W2543" t="inlineStr">
        <is>
          <t>1995-12-27</t>
        </is>
      </c>
      <c r="X2543" t="inlineStr">
        <is>
          <t>1995-12-27</t>
        </is>
      </c>
      <c r="Y2543" t="n">
        <v>622</v>
      </c>
      <c r="Z2543" t="n">
        <v>499</v>
      </c>
      <c r="AA2543" t="n">
        <v>500</v>
      </c>
      <c r="AB2543" t="n">
        <v>3</v>
      </c>
      <c r="AC2543" t="n">
        <v>3</v>
      </c>
      <c r="AD2543" t="n">
        <v>30</v>
      </c>
      <c r="AE2543" t="n">
        <v>30</v>
      </c>
      <c r="AF2543" t="n">
        <v>13</v>
      </c>
      <c r="AG2543" t="n">
        <v>13</v>
      </c>
      <c r="AH2543" t="n">
        <v>6</v>
      </c>
      <c r="AI2543" t="n">
        <v>6</v>
      </c>
      <c r="AJ2543" t="n">
        <v>14</v>
      </c>
      <c r="AK2543" t="n">
        <v>14</v>
      </c>
      <c r="AL2543" t="n">
        <v>2</v>
      </c>
      <c r="AM2543" t="n">
        <v>2</v>
      </c>
      <c r="AN2543" t="n">
        <v>1</v>
      </c>
      <c r="AO2543" t="n">
        <v>1</v>
      </c>
      <c r="AP2543" t="inlineStr">
        <is>
          <t>No</t>
        </is>
      </c>
      <c r="AQ2543" t="inlineStr">
        <is>
          <t>No</t>
        </is>
      </c>
      <c r="AS2543">
        <f>HYPERLINK("https://creighton-primo.hosted.exlibrisgroup.com/primo-explore/search?tab=default_tab&amp;search_scope=EVERYTHING&amp;vid=01CRU&amp;lang=en_US&amp;offset=0&amp;query=any,contains,991002272259702656","Catalog Record")</f>
        <v/>
      </c>
      <c r="AT2543">
        <f>HYPERLINK("http://www.worldcat.org/oclc/29478653","WorldCat Record")</f>
        <v/>
      </c>
      <c r="AU2543" t="inlineStr">
        <is>
          <t>889592981:eng</t>
        </is>
      </c>
      <c r="AV2543" t="inlineStr">
        <is>
          <t>29478653</t>
        </is>
      </c>
      <c r="AW2543" t="inlineStr">
        <is>
          <t>991002272259702656</t>
        </is>
      </c>
      <c r="AX2543" t="inlineStr">
        <is>
          <t>991002272259702656</t>
        </is>
      </c>
      <c r="AY2543" t="inlineStr">
        <is>
          <t>2268835850002656</t>
        </is>
      </c>
      <c r="AZ2543" t="inlineStr">
        <is>
          <t>BOOK</t>
        </is>
      </c>
      <c r="BB2543" t="inlineStr">
        <is>
          <t>9780898623031</t>
        </is>
      </c>
      <c r="BC2543" t="inlineStr">
        <is>
          <t>32285002112307</t>
        </is>
      </c>
      <c r="BD2543" t="inlineStr">
        <is>
          <t>893591144</t>
        </is>
      </c>
    </row>
    <row r="2544">
      <c r="A2544" t="inlineStr">
        <is>
          <t>No</t>
        </is>
      </c>
      <c r="B2544" t="inlineStr">
        <is>
          <t>HQ772.5 .G45 1997</t>
        </is>
      </c>
      <c r="C2544" t="inlineStr">
        <is>
          <t>0                      HQ 0772500G  45          1997</t>
        </is>
      </c>
      <c r="D2544" t="inlineStr">
        <is>
          <t>Always wear clean underwear! : and other ways parents say "I love you" / Marc Gellman ; illustrated by Debbie Tilley.</t>
        </is>
      </c>
      <c r="F2544" t="inlineStr">
        <is>
          <t>No</t>
        </is>
      </c>
      <c r="G2544" t="inlineStr">
        <is>
          <t>1</t>
        </is>
      </c>
      <c r="H2544" t="inlineStr">
        <is>
          <t>No</t>
        </is>
      </c>
      <c r="I2544" t="inlineStr">
        <is>
          <t>No</t>
        </is>
      </c>
      <c r="J2544" t="inlineStr">
        <is>
          <t>0</t>
        </is>
      </c>
      <c r="K2544" t="inlineStr">
        <is>
          <t>Gellman, Marc.</t>
        </is>
      </c>
      <c r="L2544" t="inlineStr">
        <is>
          <t>New York : Morrow Junior Books, c1997.</t>
        </is>
      </c>
      <c r="M2544" t="inlineStr">
        <is>
          <t>1997</t>
        </is>
      </c>
      <c r="O2544" t="inlineStr">
        <is>
          <t>eng</t>
        </is>
      </c>
      <c r="P2544" t="inlineStr">
        <is>
          <t>nyu</t>
        </is>
      </c>
      <c r="R2544" t="inlineStr">
        <is>
          <t xml:space="preserve">HQ </t>
        </is>
      </c>
      <c r="S2544" t="n">
        <v>3</v>
      </c>
      <c r="T2544" t="n">
        <v>3</v>
      </c>
      <c r="U2544" t="inlineStr">
        <is>
          <t>2010-11-16</t>
        </is>
      </c>
      <c r="V2544" t="inlineStr">
        <is>
          <t>2010-11-16</t>
        </is>
      </c>
      <c r="W2544" t="inlineStr">
        <is>
          <t>1998-04-13</t>
        </is>
      </c>
      <c r="X2544" t="inlineStr">
        <is>
          <t>1998-04-13</t>
        </is>
      </c>
      <c r="Y2544" t="n">
        <v>451</v>
      </c>
      <c r="Z2544" t="n">
        <v>438</v>
      </c>
      <c r="AA2544" t="n">
        <v>508</v>
      </c>
      <c r="AB2544" t="n">
        <v>9</v>
      </c>
      <c r="AC2544" t="n">
        <v>10</v>
      </c>
      <c r="AD2544" t="n">
        <v>5</v>
      </c>
      <c r="AE2544" t="n">
        <v>5</v>
      </c>
      <c r="AF2544" t="n">
        <v>3</v>
      </c>
      <c r="AG2544" t="n">
        <v>3</v>
      </c>
      <c r="AH2544" t="n">
        <v>0</v>
      </c>
      <c r="AI2544" t="n">
        <v>0</v>
      </c>
      <c r="AJ2544" t="n">
        <v>0</v>
      </c>
      <c r="AK2544" t="n">
        <v>0</v>
      </c>
      <c r="AL2544" t="n">
        <v>2</v>
      </c>
      <c r="AM2544" t="n">
        <v>2</v>
      </c>
      <c r="AN2544" t="n">
        <v>0</v>
      </c>
      <c r="AO2544" t="n">
        <v>0</v>
      </c>
      <c r="AP2544" t="inlineStr">
        <is>
          <t>No</t>
        </is>
      </c>
      <c r="AQ2544" t="inlineStr">
        <is>
          <t>Yes</t>
        </is>
      </c>
      <c r="AR2544">
        <f>HYPERLINK("http://catalog.hathitrust.org/Record/012274289","HathiTrust Record")</f>
        <v/>
      </c>
      <c r="AS2544">
        <f>HYPERLINK("https://creighton-primo.hosted.exlibrisgroup.com/primo-explore/search?tab=default_tab&amp;search_scope=EVERYTHING&amp;vid=01CRU&amp;lang=en_US&amp;offset=0&amp;query=any,contains,991004624819702656","Catalog Record")</f>
        <v/>
      </c>
      <c r="AT2544">
        <f>HYPERLINK("http://www.worldcat.org/oclc/36556916","WorldCat Record")</f>
        <v/>
      </c>
      <c r="AU2544" t="inlineStr">
        <is>
          <t>573807:eng</t>
        </is>
      </c>
      <c r="AV2544" t="inlineStr">
        <is>
          <t>36556916</t>
        </is>
      </c>
      <c r="AW2544" t="inlineStr">
        <is>
          <t>991004624819702656</t>
        </is>
      </c>
      <c r="AX2544" t="inlineStr">
        <is>
          <t>991004624819702656</t>
        </is>
      </c>
      <c r="AY2544" t="inlineStr">
        <is>
          <t>2272311100002656</t>
        </is>
      </c>
      <c r="AZ2544" t="inlineStr">
        <is>
          <t>BOOK</t>
        </is>
      </c>
      <c r="BB2544" t="inlineStr">
        <is>
          <t>9780688144920</t>
        </is>
      </c>
      <c r="BC2544" t="inlineStr">
        <is>
          <t>32285003384368</t>
        </is>
      </c>
      <c r="BD2544" t="inlineStr">
        <is>
          <t>893311545</t>
        </is>
      </c>
    </row>
    <row r="2545">
      <c r="A2545" t="inlineStr">
        <is>
          <t>No</t>
        </is>
      </c>
      <c r="B2545" t="inlineStr">
        <is>
          <t>HQ773 .G37</t>
        </is>
      </c>
      <c r="C2545" t="inlineStr">
        <is>
          <t>0                      HQ 0773000G  37</t>
        </is>
      </c>
      <c r="D2545" t="inlineStr">
        <is>
          <t>Children with learning and behavior problems : a behavior management approach / [by] William I. Gardner.</t>
        </is>
      </c>
      <c r="F2545" t="inlineStr">
        <is>
          <t>No</t>
        </is>
      </c>
      <c r="G2545" t="inlineStr">
        <is>
          <t>1</t>
        </is>
      </c>
      <c r="H2545" t="inlineStr">
        <is>
          <t>No</t>
        </is>
      </c>
      <c r="I2545" t="inlineStr">
        <is>
          <t>Yes</t>
        </is>
      </c>
      <c r="J2545" t="inlineStr">
        <is>
          <t>0</t>
        </is>
      </c>
      <c r="K2545" t="inlineStr">
        <is>
          <t>Gardner, William I.</t>
        </is>
      </c>
      <c r="L2545" t="inlineStr">
        <is>
          <t>Boston : Allyn, and Bacon, [1974]</t>
        </is>
      </c>
      <c r="M2545" t="inlineStr">
        <is>
          <t>1974</t>
        </is>
      </c>
      <c r="O2545" t="inlineStr">
        <is>
          <t>eng</t>
        </is>
      </c>
      <c r="P2545" t="inlineStr">
        <is>
          <t>mau</t>
        </is>
      </c>
      <c r="R2545" t="inlineStr">
        <is>
          <t xml:space="preserve">HQ </t>
        </is>
      </c>
      <c r="S2545" t="n">
        <v>5</v>
      </c>
      <c r="T2545" t="n">
        <v>5</v>
      </c>
      <c r="U2545" t="inlineStr">
        <is>
          <t>1994-05-04</t>
        </is>
      </c>
      <c r="V2545" t="inlineStr">
        <is>
          <t>1994-05-04</t>
        </is>
      </c>
      <c r="W2545" t="inlineStr">
        <is>
          <t>1994-06-22</t>
        </is>
      </c>
      <c r="X2545" t="inlineStr">
        <is>
          <t>1994-06-22</t>
        </is>
      </c>
      <c r="Y2545" t="n">
        <v>642</v>
      </c>
      <c r="Z2545" t="n">
        <v>577</v>
      </c>
      <c r="AA2545" t="n">
        <v>777</v>
      </c>
      <c r="AB2545" t="n">
        <v>11</v>
      </c>
      <c r="AC2545" t="n">
        <v>13</v>
      </c>
      <c r="AD2545" t="n">
        <v>31</v>
      </c>
      <c r="AE2545" t="n">
        <v>44</v>
      </c>
      <c r="AF2545" t="n">
        <v>9</v>
      </c>
      <c r="AG2545" t="n">
        <v>17</v>
      </c>
      <c r="AH2545" t="n">
        <v>7</v>
      </c>
      <c r="AI2545" t="n">
        <v>9</v>
      </c>
      <c r="AJ2545" t="n">
        <v>12</v>
      </c>
      <c r="AK2545" t="n">
        <v>18</v>
      </c>
      <c r="AL2545" t="n">
        <v>9</v>
      </c>
      <c r="AM2545" t="n">
        <v>11</v>
      </c>
      <c r="AN2545" t="n">
        <v>1</v>
      </c>
      <c r="AO2545" t="n">
        <v>1</v>
      </c>
      <c r="AP2545" t="inlineStr">
        <is>
          <t>No</t>
        </is>
      </c>
      <c r="AQ2545" t="inlineStr">
        <is>
          <t>Yes</t>
        </is>
      </c>
      <c r="AR2545">
        <f>HYPERLINK("http://catalog.hathitrust.org/Record/102075041","HathiTrust Record")</f>
        <v/>
      </c>
      <c r="AS2545">
        <f>HYPERLINK("https://creighton-primo.hosted.exlibrisgroup.com/primo-explore/search?tab=default_tab&amp;search_scope=EVERYTHING&amp;vid=01CRU&amp;lang=en_US&amp;offset=0&amp;query=any,contains,991003346399702656","Catalog Record")</f>
        <v/>
      </c>
      <c r="AT2545">
        <f>HYPERLINK("http://www.worldcat.org/oclc/878252","WorldCat Record")</f>
        <v/>
      </c>
      <c r="AU2545" t="inlineStr">
        <is>
          <t>1854067:eng</t>
        </is>
      </c>
      <c r="AV2545" t="inlineStr">
        <is>
          <t>878252</t>
        </is>
      </c>
      <c r="AW2545" t="inlineStr">
        <is>
          <t>991003346399702656</t>
        </is>
      </c>
      <c r="AX2545" t="inlineStr">
        <is>
          <t>991003346399702656</t>
        </is>
      </c>
      <c r="AY2545" t="inlineStr">
        <is>
          <t>2272103720002656</t>
        </is>
      </c>
      <c r="AZ2545" t="inlineStr">
        <is>
          <t>BOOK</t>
        </is>
      </c>
      <c r="BC2545" t="inlineStr">
        <is>
          <t>32285001777738</t>
        </is>
      </c>
      <c r="BD2545" t="inlineStr">
        <is>
          <t>893511868</t>
        </is>
      </c>
    </row>
    <row r="2546">
      <c r="A2546" t="inlineStr">
        <is>
          <t>No</t>
        </is>
      </c>
      <c r="B2546" t="inlineStr">
        <is>
          <t>HQ773 .G37 1978</t>
        </is>
      </c>
      <c r="C2546" t="inlineStr">
        <is>
          <t>0                      HQ 0773000G  37          1978</t>
        </is>
      </c>
      <c r="D2546" t="inlineStr">
        <is>
          <t>Children with learning and behavior problems : a behavior management approach / William I. Gardner.</t>
        </is>
      </c>
      <c r="F2546" t="inlineStr">
        <is>
          <t>No</t>
        </is>
      </c>
      <c r="G2546" t="inlineStr">
        <is>
          <t>1</t>
        </is>
      </c>
      <c r="H2546" t="inlineStr">
        <is>
          <t>No</t>
        </is>
      </c>
      <c r="I2546" t="inlineStr">
        <is>
          <t>Yes</t>
        </is>
      </c>
      <c r="J2546" t="inlineStr">
        <is>
          <t>0</t>
        </is>
      </c>
      <c r="K2546" t="inlineStr">
        <is>
          <t>Gardner, William I.</t>
        </is>
      </c>
      <c r="L2546" t="inlineStr">
        <is>
          <t>Boston : Allyn and Bacon, c1978.</t>
        </is>
      </c>
      <c r="M2546" t="inlineStr">
        <is>
          <t>1978</t>
        </is>
      </c>
      <c r="N2546" t="inlineStr">
        <is>
          <t>2d ed.</t>
        </is>
      </c>
      <c r="O2546" t="inlineStr">
        <is>
          <t>eng</t>
        </is>
      </c>
      <c r="P2546" t="inlineStr">
        <is>
          <t>mau</t>
        </is>
      </c>
      <c r="R2546" t="inlineStr">
        <is>
          <t xml:space="preserve">HQ </t>
        </is>
      </c>
      <c r="S2546" t="n">
        <v>9</v>
      </c>
      <c r="T2546" t="n">
        <v>9</v>
      </c>
      <c r="U2546" t="inlineStr">
        <is>
          <t>1996-11-15</t>
        </is>
      </c>
      <c r="V2546" t="inlineStr">
        <is>
          <t>1996-11-15</t>
        </is>
      </c>
      <c r="W2546" t="inlineStr">
        <is>
          <t>1990-02-12</t>
        </is>
      </c>
      <c r="X2546" t="inlineStr">
        <is>
          <t>1990-02-12</t>
        </is>
      </c>
      <c r="Y2546" t="n">
        <v>431</v>
      </c>
      <c r="Z2546" t="n">
        <v>359</v>
      </c>
      <c r="AA2546" t="n">
        <v>777</v>
      </c>
      <c r="AB2546" t="n">
        <v>5</v>
      </c>
      <c r="AC2546" t="n">
        <v>13</v>
      </c>
      <c r="AD2546" t="n">
        <v>18</v>
      </c>
      <c r="AE2546" t="n">
        <v>44</v>
      </c>
      <c r="AF2546" t="n">
        <v>8</v>
      </c>
      <c r="AG2546" t="n">
        <v>17</v>
      </c>
      <c r="AH2546" t="n">
        <v>3</v>
      </c>
      <c r="AI2546" t="n">
        <v>9</v>
      </c>
      <c r="AJ2546" t="n">
        <v>9</v>
      </c>
      <c r="AK2546" t="n">
        <v>18</v>
      </c>
      <c r="AL2546" t="n">
        <v>4</v>
      </c>
      <c r="AM2546" t="n">
        <v>11</v>
      </c>
      <c r="AN2546" t="n">
        <v>0</v>
      </c>
      <c r="AO2546" t="n">
        <v>1</v>
      </c>
      <c r="AP2546" t="inlineStr">
        <is>
          <t>No</t>
        </is>
      </c>
      <c r="AQ2546" t="inlineStr">
        <is>
          <t>Yes</t>
        </is>
      </c>
      <c r="AR2546">
        <f>HYPERLINK("http://catalog.hathitrust.org/Record/000687235","HathiTrust Record")</f>
        <v/>
      </c>
      <c r="AS2546">
        <f>HYPERLINK("https://creighton-primo.hosted.exlibrisgroup.com/primo-explore/search?tab=default_tab&amp;search_scope=EVERYTHING&amp;vid=01CRU&amp;lang=en_US&amp;offset=0&amp;query=any,contains,991004461249702656","Catalog Record")</f>
        <v/>
      </c>
      <c r="AT2546">
        <f>HYPERLINK("http://www.worldcat.org/oclc/3543481","WorldCat Record")</f>
        <v/>
      </c>
      <c r="AU2546" t="inlineStr">
        <is>
          <t>1854067:eng</t>
        </is>
      </c>
      <c r="AV2546" t="inlineStr">
        <is>
          <t>3543481</t>
        </is>
      </c>
      <c r="AW2546" t="inlineStr">
        <is>
          <t>991004461249702656</t>
        </is>
      </c>
      <c r="AX2546" t="inlineStr">
        <is>
          <t>991004461249702656</t>
        </is>
      </c>
      <c r="AY2546" t="inlineStr">
        <is>
          <t>2264873450002656</t>
        </is>
      </c>
      <c r="AZ2546" t="inlineStr">
        <is>
          <t>BOOK</t>
        </is>
      </c>
      <c r="BB2546" t="inlineStr">
        <is>
          <t>9780205060672</t>
        </is>
      </c>
      <c r="BC2546" t="inlineStr">
        <is>
          <t>32285000041771</t>
        </is>
      </c>
      <c r="BD2546" t="inlineStr">
        <is>
          <t>893895032</t>
        </is>
      </c>
    </row>
    <row r="2547">
      <c r="A2547" t="inlineStr">
        <is>
          <t>No</t>
        </is>
      </c>
      <c r="B2547" t="inlineStr">
        <is>
          <t>HQ773 .H63</t>
        </is>
      </c>
      <c r="C2547" t="inlineStr">
        <is>
          <t>0                      HQ 0773000H  63</t>
        </is>
      </c>
      <c r="D2547" t="inlineStr">
        <is>
          <t>The troubled and troubling child / Nicholas Hobbs ; with an epilogue by Eli Bower ... [et al.].</t>
        </is>
      </c>
      <c r="F2547" t="inlineStr">
        <is>
          <t>No</t>
        </is>
      </c>
      <c r="G2547" t="inlineStr">
        <is>
          <t>1</t>
        </is>
      </c>
      <c r="H2547" t="inlineStr">
        <is>
          <t>No</t>
        </is>
      </c>
      <c r="I2547" t="inlineStr">
        <is>
          <t>No</t>
        </is>
      </c>
      <c r="J2547" t="inlineStr">
        <is>
          <t>0</t>
        </is>
      </c>
      <c r="K2547" t="inlineStr">
        <is>
          <t>Hobbs, Nicholas.</t>
        </is>
      </c>
      <c r="L2547" t="inlineStr">
        <is>
          <t>San Francisco : Jossey-Bass, 1982.</t>
        </is>
      </c>
      <c r="M2547" t="inlineStr">
        <is>
          <t>1982</t>
        </is>
      </c>
      <c r="N2547" t="inlineStr">
        <is>
          <t>1st ed.</t>
        </is>
      </c>
      <c r="O2547" t="inlineStr">
        <is>
          <t>eng</t>
        </is>
      </c>
      <c r="P2547" t="inlineStr">
        <is>
          <t>cau</t>
        </is>
      </c>
      <c r="R2547" t="inlineStr">
        <is>
          <t xml:space="preserve">HQ </t>
        </is>
      </c>
      <c r="S2547" t="n">
        <v>2</v>
      </c>
      <c r="T2547" t="n">
        <v>2</v>
      </c>
      <c r="U2547" t="inlineStr">
        <is>
          <t>1997-10-25</t>
        </is>
      </c>
      <c r="V2547" t="inlineStr">
        <is>
          <t>1997-10-25</t>
        </is>
      </c>
      <c r="W2547" t="inlineStr">
        <is>
          <t>1992-11-11</t>
        </is>
      </c>
      <c r="X2547" t="inlineStr">
        <is>
          <t>1992-11-11</t>
        </is>
      </c>
      <c r="Y2547" t="n">
        <v>438</v>
      </c>
      <c r="Z2547" t="n">
        <v>347</v>
      </c>
      <c r="AA2547" t="n">
        <v>354</v>
      </c>
      <c r="AB2547" t="n">
        <v>2</v>
      </c>
      <c r="AC2547" t="n">
        <v>2</v>
      </c>
      <c r="AD2547" t="n">
        <v>8</v>
      </c>
      <c r="AE2547" t="n">
        <v>8</v>
      </c>
      <c r="AF2547" t="n">
        <v>3</v>
      </c>
      <c r="AG2547" t="n">
        <v>3</v>
      </c>
      <c r="AH2547" t="n">
        <v>1</v>
      </c>
      <c r="AI2547" t="n">
        <v>1</v>
      </c>
      <c r="AJ2547" t="n">
        <v>4</v>
      </c>
      <c r="AK2547" t="n">
        <v>4</v>
      </c>
      <c r="AL2547" t="n">
        <v>1</v>
      </c>
      <c r="AM2547" t="n">
        <v>1</v>
      </c>
      <c r="AN2547" t="n">
        <v>0</v>
      </c>
      <c r="AO2547" t="n">
        <v>0</v>
      </c>
      <c r="AP2547" t="inlineStr">
        <is>
          <t>No</t>
        </is>
      </c>
      <c r="AQ2547" t="inlineStr">
        <is>
          <t>Yes</t>
        </is>
      </c>
      <c r="AR2547">
        <f>HYPERLINK("http://catalog.hathitrust.org/Record/000764519","HathiTrust Record")</f>
        <v/>
      </c>
      <c r="AS2547">
        <f>HYPERLINK("https://creighton-primo.hosted.exlibrisgroup.com/primo-explore/search?tab=default_tab&amp;search_scope=EVERYTHING&amp;vid=01CRU&amp;lang=en_US&amp;offset=0&amp;query=any,contains,991005204149702656","Catalog Record")</f>
        <v/>
      </c>
      <c r="AT2547">
        <f>HYPERLINK("http://www.worldcat.org/oclc/8110845","WorldCat Record")</f>
        <v/>
      </c>
      <c r="AU2547" t="inlineStr">
        <is>
          <t>20552586:eng</t>
        </is>
      </c>
      <c r="AV2547" t="inlineStr">
        <is>
          <t>8110845</t>
        </is>
      </c>
      <c r="AW2547" t="inlineStr">
        <is>
          <t>991005204149702656</t>
        </is>
      </c>
      <c r="AX2547" t="inlineStr">
        <is>
          <t>991005204149702656</t>
        </is>
      </c>
      <c r="AY2547" t="inlineStr">
        <is>
          <t>2255601010002656</t>
        </is>
      </c>
      <c r="AZ2547" t="inlineStr">
        <is>
          <t>BOOK</t>
        </is>
      </c>
      <c r="BB2547" t="inlineStr">
        <is>
          <t>9780875895185</t>
        </is>
      </c>
      <c r="BC2547" t="inlineStr">
        <is>
          <t>32285001395580</t>
        </is>
      </c>
      <c r="BD2547" t="inlineStr">
        <is>
          <t>893501497</t>
        </is>
      </c>
    </row>
    <row r="2548">
      <c r="A2548" t="inlineStr">
        <is>
          <t>No</t>
        </is>
      </c>
      <c r="B2548" t="inlineStr">
        <is>
          <t>HQ773 .R57</t>
        </is>
      </c>
      <c r="C2548" t="inlineStr">
        <is>
          <t>0                      HQ 0773000R  57</t>
        </is>
      </c>
      <c r="D2548" t="inlineStr">
        <is>
          <t>Deviant children grown up : a sociological and psychiatric study of sociopathic personality / [by] Lee N. Robins.</t>
        </is>
      </c>
      <c r="F2548" t="inlineStr">
        <is>
          <t>No</t>
        </is>
      </c>
      <c r="G2548" t="inlineStr">
        <is>
          <t>1</t>
        </is>
      </c>
      <c r="H2548" t="inlineStr">
        <is>
          <t>No</t>
        </is>
      </c>
      <c r="I2548" t="inlineStr">
        <is>
          <t>No</t>
        </is>
      </c>
      <c r="J2548" t="inlineStr">
        <is>
          <t>0</t>
        </is>
      </c>
      <c r="K2548" t="inlineStr">
        <is>
          <t>Robins, Lee N.</t>
        </is>
      </c>
      <c r="L2548" t="inlineStr">
        <is>
          <t>Baltimore : Williams &amp; Wilkins, 1966.</t>
        </is>
      </c>
      <c r="M2548" t="inlineStr">
        <is>
          <t>1966</t>
        </is>
      </c>
      <c r="O2548" t="inlineStr">
        <is>
          <t>eng</t>
        </is>
      </c>
      <c r="P2548" t="inlineStr">
        <is>
          <t>mdu</t>
        </is>
      </c>
      <c r="R2548" t="inlineStr">
        <is>
          <t xml:space="preserve">HQ </t>
        </is>
      </c>
      <c r="S2548" t="n">
        <v>5</v>
      </c>
      <c r="T2548" t="n">
        <v>5</v>
      </c>
      <c r="U2548" t="inlineStr">
        <is>
          <t>1997-03-25</t>
        </is>
      </c>
      <c r="V2548" t="inlineStr">
        <is>
          <t>1997-03-25</t>
        </is>
      </c>
      <c r="W2548" t="inlineStr">
        <is>
          <t>1993-04-23</t>
        </is>
      </c>
      <c r="X2548" t="inlineStr">
        <is>
          <t>1993-04-23</t>
        </is>
      </c>
      <c r="Y2548" t="n">
        <v>757</v>
      </c>
      <c r="Z2548" t="n">
        <v>621</v>
      </c>
      <c r="AA2548" t="n">
        <v>685</v>
      </c>
      <c r="AB2548" t="n">
        <v>4</v>
      </c>
      <c r="AC2548" t="n">
        <v>6</v>
      </c>
      <c r="AD2548" t="n">
        <v>30</v>
      </c>
      <c r="AE2548" t="n">
        <v>33</v>
      </c>
      <c r="AF2548" t="n">
        <v>9</v>
      </c>
      <c r="AG2548" t="n">
        <v>11</v>
      </c>
      <c r="AH2548" t="n">
        <v>7</v>
      </c>
      <c r="AI2548" t="n">
        <v>7</v>
      </c>
      <c r="AJ2548" t="n">
        <v>18</v>
      </c>
      <c r="AK2548" t="n">
        <v>18</v>
      </c>
      <c r="AL2548" t="n">
        <v>3</v>
      </c>
      <c r="AM2548" t="n">
        <v>4</v>
      </c>
      <c r="AN2548" t="n">
        <v>1</v>
      </c>
      <c r="AO2548" t="n">
        <v>1</v>
      </c>
      <c r="AP2548" t="inlineStr">
        <is>
          <t>No</t>
        </is>
      </c>
      <c r="AQ2548" t="inlineStr">
        <is>
          <t>Yes</t>
        </is>
      </c>
      <c r="AR2548">
        <f>HYPERLINK("http://catalog.hathitrust.org/Record/000106373","HathiTrust Record")</f>
        <v/>
      </c>
      <c r="AS2548">
        <f>HYPERLINK("https://creighton-primo.hosted.exlibrisgroup.com/primo-explore/search?tab=default_tab&amp;search_scope=EVERYTHING&amp;vid=01CRU&amp;lang=en_US&amp;offset=0&amp;query=any,contains,991002034489702656","Catalog Record")</f>
        <v/>
      </c>
      <c r="AT2548">
        <f>HYPERLINK("http://www.worldcat.org/oclc/260545","WorldCat Record")</f>
        <v/>
      </c>
      <c r="AU2548" t="inlineStr">
        <is>
          <t>542390:eng</t>
        </is>
      </c>
      <c r="AV2548" t="inlineStr">
        <is>
          <t>260545</t>
        </is>
      </c>
      <c r="AW2548" t="inlineStr">
        <is>
          <t>991002034489702656</t>
        </is>
      </c>
      <c r="AX2548" t="inlineStr">
        <is>
          <t>991002034489702656</t>
        </is>
      </c>
      <c r="AY2548" t="inlineStr">
        <is>
          <t>2262507600002656</t>
        </is>
      </c>
      <c r="AZ2548" t="inlineStr">
        <is>
          <t>BOOK</t>
        </is>
      </c>
      <c r="BC2548" t="inlineStr">
        <is>
          <t>32285001623262</t>
        </is>
      </c>
      <c r="BD2548" t="inlineStr">
        <is>
          <t>893798088</t>
        </is>
      </c>
    </row>
    <row r="2549">
      <c r="A2549" t="inlineStr">
        <is>
          <t>No</t>
        </is>
      </c>
      <c r="B2549" t="inlineStr">
        <is>
          <t>HQ773 .S67 1986</t>
        </is>
      </c>
      <c r="C2549" t="inlineStr">
        <is>
          <t>0                      HQ 0773000S  67          1986</t>
        </is>
      </c>
      <c r="D2549" t="inlineStr">
        <is>
          <t>Counseling parents of exceptional children / Jack C. Stewart.</t>
        </is>
      </c>
      <c r="F2549" t="inlineStr">
        <is>
          <t>No</t>
        </is>
      </c>
      <c r="G2549" t="inlineStr">
        <is>
          <t>1</t>
        </is>
      </c>
      <c r="H2549" t="inlineStr">
        <is>
          <t>No</t>
        </is>
      </c>
      <c r="I2549" t="inlineStr">
        <is>
          <t>No</t>
        </is>
      </c>
      <c r="J2549" t="inlineStr">
        <is>
          <t>0</t>
        </is>
      </c>
      <c r="K2549" t="inlineStr">
        <is>
          <t>Stewart, Jack C.</t>
        </is>
      </c>
      <c r="L2549" t="inlineStr">
        <is>
          <t>Columbus, Ohio : C.E. Merrill Pub. Co., c1986.</t>
        </is>
      </c>
      <c r="M2549" t="inlineStr">
        <is>
          <t>1986</t>
        </is>
      </c>
      <c r="N2549" t="inlineStr">
        <is>
          <t>2nd ed.</t>
        </is>
      </c>
      <c r="O2549" t="inlineStr">
        <is>
          <t>eng</t>
        </is>
      </c>
      <c r="P2549" t="inlineStr">
        <is>
          <t>ohu</t>
        </is>
      </c>
      <c r="R2549" t="inlineStr">
        <is>
          <t xml:space="preserve">HQ </t>
        </is>
      </c>
      <c r="S2549" t="n">
        <v>3</v>
      </c>
      <c r="T2549" t="n">
        <v>3</v>
      </c>
      <c r="U2549" t="inlineStr">
        <is>
          <t>1992-12-07</t>
        </is>
      </c>
      <c r="V2549" t="inlineStr">
        <is>
          <t>1992-12-07</t>
        </is>
      </c>
      <c r="W2549" t="inlineStr">
        <is>
          <t>1990-06-29</t>
        </is>
      </c>
      <c r="X2549" t="inlineStr">
        <is>
          <t>1990-06-29</t>
        </is>
      </c>
      <c r="Y2549" t="n">
        <v>267</v>
      </c>
      <c r="Z2549" t="n">
        <v>206</v>
      </c>
      <c r="AA2549" t="n">
        <v>459</v>
      </c>
      <c r="AB2549" t="n">
        <v>4</v>
      </c>
      <c r="AC2549" t="n">
        <v>7</v>
      </c>
      <c r="AD2549" t="n">
        <v>7</v>
      </c>
      <c r="AE2549" t="n">
        <v>14</v>
      </c>
      <c r="AF2549" t="n">
        <v>2</v>
      </c>
      <c r="AG2549" t="n">
        <v>5</v>
      </c>
      <c r="AH2549" t="n">
        <v>0</v>
      </c>
      <c r="AI2549" t="n">
        <v>1</v>
      </c>
      <c r="AJ2549" t="n">
        <v>4</v>
      </c>
      <c r="AK2549" t="n">
        <v>7</v>
      </c>
      <c r="AL2549" t="n">
        <v>3</v>
      </c>
      <c r="AM2549" t="n">
        <v>5</v>
      </c>
      <c r="AN2549" t="n">
        <v>0</v>
      </c>
      <c r="AO2549" t="n">
        <v>0</v>
      </c>
      <c r="AP2549" t="inlineStr">
        <is>
          <t>No</t>
        </is>
      </c>
      <c r="AQ2549" t="inlineStr">
        <is>
          <t>Yes</t>
        </is>
      </c>
      <c r="AR2549">
        <f>HYPERLINK("http://catalog.hathitrust.org/Record/000593091","HathiTrust Record")</f>
        <v/>
      </c>
      <c r="AS2549">
        <f>HYPERLINK("https://creighton-primo.hosted.exlibrisgroup.com/primo-explore/search?tab=default_tab&amp;search_scope=EVERYTHING&amp;vid=01CRU&amp;lang=en_US&amp;offset=0&amp;query=any,contains,991000793369702656","Catalog Record")</f>
        <v/>
      </c>
      <c r="AT2549">
        <f>HYPERLINK("http://www.worldcat.org/oclc/13170972","WorldCat Record")</f>
        <v/>
      </c>
      <c r="AU2549" t="inlineStr">
        <is>
          <t>5701483:eng</t>
        </is>
      </c>
      <c r="AV2549" t="inlineStr">
        <is>
          <t>13170972</t>
        </is>
      </c>
      <c r="AW2549" t="inlineStr">
        <is>
          <t>991000793369702656</t>
        </is>
      </c>
      <c r="AX2549" t="inlineStr">
        <is>
          <t>991000793369702656</t>
        </is>
      </c>
      <c r="AY2549" t="inlineStr">
        <is>
          <t>2257156980002656</t>
        </is>
      </c>
      <c r="AZ2549" t="inlineStr">
        <is>
          <t>BOOK</t>
        </is>
      </c>
      <c r="BB2549" t="inlineStr">
        <is>
          <t>9780675205108</t>
        </is>
      </c>
      <c r="BC2549" t="inlineStr">
        <is>
          <t>32285000206291</t>
        </is>
      </c>
      <c r="BD2549" t="inlineStr">
        <is>
          <t>893778244</t>
        </is>
      </c>
    </row>
    <row r="2550">
      <c r="A2550" t="inlineStr">
        <is>
          <t>No</t>
        </is>
      </c>
      <c r="B2550" t="inlineStr">
        <is>
          <t>HQ773 .T87 2000</t>
        </is>
      </c>
      <c r="C2550" t="inlineStr">
        <is>
          <t>0                      HQ 0773000T  87          2000</t>
        </is>
      </c>
      <c r="D2550" t="inlineStr">
        <is>
          <t>The difficult child / by Stanley Turecki with Leslie Tonner.</t>
        </is>
      </c>
      <c r="F2550" t="inlineStr">
        <is>
          <t>No</t>
        </is>
      </c>
      <c r="G2550" t="inlineStr">
        <is>
          <t>1</t>
        </is>
      </c>
      <c r="H2550" t="inlineStr">
        <is>
          <t>No</t>
        </is>
      </c>
      <c r="I2550" t="inlineStr">
        <is>
          <t>No</t>
        </is>
      </c>
      <c r="J2550" t="inlineStr">
        <is>
          <t>0</t>
        </is>
      </c>
      <c r="K2550" t="inlineStr">
        <is>
          <t>Turecki, Stanley.</t>
        </is>
      </c>
      <c r="L2550" t="inlineStr">
        <is>
          <t>New York : Bantam, 2000.</t>
        </is>
      </c>
      <c r="M2550" t="inlineStr">
        <is>
          <t>2000</t>
        </is>
      </c>
      <c r="N2550" t="inlineStr">
        <is>
          <t>2nd rev. ed.</t>
        </is>
      </c>
      <c r="O2550" t="inlineStr">
        <is>
          <t>eng</t>
        </is>
      </c>
      <c r="P2550" t="inlineStr">
        <is>
          <t>nyu</t>
        </is>
      </c>
      <c r="R2550" t="inlineStr">
        <is>
          <t xml:space="preserve">HQ </t>
        </is>
      </c>
      <c r="S2550" t="n">
        <v>4</v>
      </c>
      <c r="T2550" t="n">
        <v>4</v>
      </c>
      <c r="U2550" t="inlineStr">
        <is>
          <t>2006-10-26</t>
        </is>
      </c>
      <c r="V2550" t="inlineStr">
        <is>
          <t>2006-10-26</t>
        </is>
      </c>
      <c r="W2550" t="inlineStr">
        <is>
          <t>2001-08-29</t>
        </is>
      </c>
      <c r="X2550" t="inlineStr">
        <is>
          <t>2001-08-29</t>
        </is>
      </c>
      <c r="Y2550" t="n">
        <v>575</v>
      </c>
      <c r="Z2550" t="n">
        <v>526</v>
      </c>
      <c r="AA2550" t="n">
        <v>1531</v>
      </c>
      <c r="AB2550" t="n">
        <v>3</v>
      </c>
      <c r="AC2550" t="n">
        <v>6</v>
      </c>
      <c r="AD2550" t="n">
        <v>4</v>
      </c>
      <c r="AE2550" t="n">
        <v>14</v>
      </c>
      <c r="AF2550" t="n">
        <v>2</v>
      </c>
      <c r="AG2550" t="n">
        <v>6</v>
      </c>
      <c r="AH2550" t="n">
        <v>0</v>
      </c>
      <c r="AI2550" t="n">
        <v>2</v>
      </c>
      <c r="AJ2550" t="n">
        <v>3</v>
      </c>
      <c r="AK2550" t="n">
        <v>7</v>
      </c>
      <c r="AL2550" t="n">
        <v>1</v>
      </c>
      <c r="AM2550" t="n">
        <v>3</v>
      </c>
      <c r="AN2550" t="n">
        <v>0</v>
      </c>
      <c r="AO2550" t="n">
        <v>0</v>
      </c>
      <c r="AP2550" t="inlineStr">
        <is>
          <t>No</t>
        </is>
      </c>
      <c r="AQ2550" t="inlineStr">
        <is>
          <t>No</t>
        </is>
      </c>
      <c r="AS2550">
        <f>HYPERLINK("https://creighton-primo.hosted.exlibrisgroup.com/primo-explore/search?tab=default_tab&amp;search_scope=EVERYTHING&amp;vid=01CRU&amp;lang=en_US&amp;offset=0&amp;query=any,contains,991003592319702656","Catalog Record")</f>
        <v/>
      </c>
      <c r="AT2550">
        <f>HYPERLINK("http://www.worldcat.org/oclc/42692217","WorldCat Record")</f>
        <v/>
      </c>
      <c r="AU2550" t="inlineStr">
        <is>
          <t>4867540:eng</t>
        </is>
      </c>
      <c r="AV2550" t="inlineStr">
        <is>
          <t>42692217</t>
        </is>
      </c>
      <c r="AW2550" t="inlineStr">
        <is>
          <t>991003592319702656</t>
        </is>
      </c>
      <c r="AX2550" t="inlineStr">
        <is>
          <t>991003592319702656</t>
        </is>
      </c>
      <c r="AY2550" t="inlineStr">
        <is>
          <t>2257897190002656</t>
        </is>
      </c>
      <c r="AZ2550" t="inlineStr">
        <is>
          <t>BOOK</t>
        </is>
      </c>
      <c r="BB2550" t="inlineStr">
        <is>
          <t>9780553380361</t>
        </is>
      </c>
      <c r="BC2550" t="inlineStr">
        <is>
          <t>32285004382759</t>
        </is>
      </c>
      <c r="BD2550" t="inlineStr">
        <is>
          <t>893518653</t>
        </is>
      </c>
    </row>
    <row r="2551">
      <c r="A2551" t="inlineStr">
        <is>
          <t>No</t>
        </is>
      </c>
      <c r="B2551" t="inlineStr">
        <is>
          <t>HQ773 .Y68</t>
        </is>
      </c>
      <c r="C2551" t="inlineStr">
        <is>
          <t>0                      HQ 0773000Y  68</t>
        </is>
      </c>
      <c r="D2551" t="inlineStr">
        <is>
          <t>Youth in trouble : a symposium, May 2 and 3, 1974, Airport Marina Hotel, Dallas-Fort Worth Regional Airport / edited by Betty Lou Kratoville.</t>
        </is>
      </c>
      <c r="F2551" t="inlineStr">
        <is>
          <t>No</t>
        </is>
      </c>
      <c r="G2551" t="inlineStr">
        <is>
          <t>1</t>
        </is>
      </c>
      <c r="H2551" t="inlineStr">
        <is>
          <t>No</t>
        </is>
      </c>
      <c r="I2551" t="inlineStr">
        <is>
          <t>No</t>
        </is>
      </c>
      <c r="J2551" t="inlineStr">
        <is>
          <t>0</t>
        </is>
      </c>
      <c r="L2551" t="inlineStr">
        <is>
          <t>San Rafael, Calif. : Academic Therapy Publications, 1975, c1974.</t>
        </is>
      </c>
      <c r="M2551" t="inlineStr">
        <is>
          <t>1975</t>
        </is>
      </c>
      <c r="O2551" t="inlineStr">
        <is>
          <t>eng</t>
        </is>
      </c>
      <c r="P2551" t="inlineStr">
        <is>
          <t>cau</t>
        </is>
      </c>
      <c r="R2551" t="inlineStr">
        <is>
          <t xml:space="preserve">HQ </t>
        </is>
      </c>
      <c r="S2551" t="n">
        <v>2</v>
      </c>
      <c r="T2551" t="n">
        <v>2</v>
      </c>
      <c r="U2551" t="inlineStr">
        <is>
          <t>1994-11-28</t>
        </is>
      </c>
      <c r="V2551" t="inlineStr">
        <is>
          <t>1994-11-28</t>
        </is>
      </c>
      <c r="W2551" t="inlineStr">
        <is>
          <t>1990-11-30</t>
        </is>
      </c>
      <c r="X2551" t="inlineStr">
        <is>
          <t>1990-11-30</t>
        </is>
      </c>
      <c r="Y2551" t="n">
        <v>129</v>
      </c>
      <c r="Z2551" t="n">
        <v>113</v>
      </c>
      <c r="AA2551" t="n">
        <v>114</v>
      </c>
      <c r="AB2551" t="n">
        <v>3</v>
      </c>
      <c r="AC2551" t="n">
        <v>3</v>
      </c>
      <c r="AD2551" t="n">
        <v>6</v>
      </c>
      <c r="AE2551" t="n">
        <v>6</v>
      </c>
      <c r="AF2551" t="n">
        <v>1</v>
      </c>
      <c r="AG2551" t="n">
        <v>1</v>
      </c>
      <c r="AH2551" t="n">
        <v>2</v>
      </c>
      <c r="AI2551" t="n">
        <v>2</v>
      </c>
      <c r="AJ2551" t="n">
        <v>2</v>
      </c>
      <c r="AK2551" t="n">
        <v>2</v>
      </c>
      <c r="AL2551" t="n">
        <v>2</v>
      </c>
      <c r="AM2551" t="n">
        <v>2</v>
      </c>
      <c r="AN2551" t="n">
        <v>1</v>
      </c>
      <c r="AO2551" t="n">
        <v>1</v>
      </c>
      <c r="AP2551" t="inlineStr">
        <is>
          <t>No</t>
        </is>
      </c>
      <c r="AQ2551" t="inlineStr">
        <is>
          <t>No</t>
        </is>
      </c>
      <c r="AS2551">
        <f>HYPERLINK("https://creighton-primo.hosted.exlibrisgroup.com/primo-explore/search?tab=default_tab&amp;search_scope=EVERYTHING&amp;vid=01CRU&amp;lang=en_US&amp;offset=0&amp;query=any,contains,991003859109702656","Catalog Record")</f>
        <v/>
      </c>
      <c r="AT2551">
        <f>HYPERLINK("http://www.worldcat.org/oclc/1661593","WorldCat Record")</f>
        <v/>
      </c>
      <c r="AU2551" t="inlineStr">
        <is>
          <t>538907:eng</t>
        </is>
      </c>
      <c r="AV2551" t="inlineStr">
        <is>
          <t>1661593</t>
        </is>
      </c>
      <c r="AW2551" t="inlineStr">
        <is>
          <t>991003859109702656</t>
        </is>
      </c>
      <c r="AX2551" t="inlineStr">
        <is>
          <t>991003859109702656</t>
        </is>
      </c>
      <c r="AY2551" t="inlineStr">
        <is>
          <t>2268351590002656</t>
        </is>
      </c>
      <c r="AZ2551" t="inlineStr">
        <is>
          <t>BOOK</t>
        </is>
      </c>
      <c r="BB2551" t="inlineStr">
        <is>
          <t>9780878790968</t>
        </is>
      </c>
      <c r="BC2551" t="inlineStr">
        <is>
          <t>32285000410927</t>
        </is>
      </c>
      <c r="BD2551" t="inlineStr">
        <is>
          <t>893800246</t>
        </is>
      </c>
    </row>
    <row r="2552">
      <c r="A2552" t="inlineStr">
        <is>
          <t>No</t>
        </is>
      </c>
      <c r="B2552" t="inlineStr">
        <is>
          <t>HQ773.5 .A59 1989</t>
        </is>
      </c>
      <c r="C2552" t="inlineStr">
        <is>
          <t>0                      HQ 0773500A  59          1989</t>
        </is>
      </c>
      <c r="D2552" t="inlineStr">
        <is>
          <t>Parents' guide to raising a gifted toddler : recognizing and developing the potential of your child from birth to five years / James Alvino and the editors of Gifted children monthly.</t>
        </is>
      </c>
      <c r="F2552" t="inlineStr">
        <is>
          <t>No</t>
        </is>
      </c>
      <c r="G2552" t="inlineStr">
        <is>
          <t>1</t>
        </is>
      </c>
      <c r="H2552" t="inlineStr">
        <is>
          <t>No</t>
        </is>
      </c>
      <c r="I2552" t="inlineStr">
        <is>
          <t>No</t>
        </is>
      </c>
      <c r="J2552" t="inlineStr">
        <is>
          <t>0</t>
        </is>
      </c>
      <c r="K2552" t="inlineStr">
        <is>
          <t>Alvino, James, 1947-</t>
        </is>
      </c>
      <c r="L2552" t="inlineStr">
        <is>
          <t>Boston : Little, Brown, c1989.</t>
        </is>
      </c>
      <c r="M2552" t="inlineStr">
        <is>
          <t>1989</t>
        </is>
      </c>
      <c r="N2552" t="inlineStr">
        <is>
          <t>1st ed.</t>
        </is>
      </c>
      <c r="O2552" t="inlineStr">
        <is>
          <t>eng</t>
        </is>
      </c>
      <c r="P2552" t="inlineStr">
        <is>
          <t>mau</t>
        </is>
      </c>
      <c r="R2552" t="inlineStr">
        <is>
          <t xml:space="preserve">HQ </t>
        </is>
      </c>
      <c r="S2552" t="n">
        <v>1</v>
      </c>
      <c r="T2552" t="n">
        <v>1</v>
      </c>
      <c r="U2552" t="inlineStr">
        <is>
          <t>2003-03-18</t>
        </is>
      </c>
      <c r="V2552" t="inlineStr">
        <is>
          <t>2003-03-18</t>
        </is>
      </c>
      <c r="W2552" t="inlineStr">
        <is>
          <t>1995-03-02</t>
        </is>
      </c>
      <c r="X2552" t="inlineStr">
        <is>
          <t>1995-03-02</t>
        </is>
      </c>
      <c r="Y2552" t="n">
        <v>369</v>
      </c>
      <c r="Z2552" t="n">
        <v>356</v>
      </c>
      <c r="AA2552" t="n">
        <v>361</v>
      </c>
      <c r="AB2552" t="n">
        <v>2</v>
      </c>
      <c r="AC2552" t="n">
        <v>2</v>
      </c>
      <c r="AD2552" t="n">
        <v>2</v>
      </c>
      <c r="AE2552" t="n">
        <v>2</v>
      </c>
      <c r="AF2552" t="n">
        <v>1</v>
      </c>
      <c r="AG2552" t="n">
        <v>1</v>
      </c>
      <c r="AH2552" t="n">
        <v>0</v>
      </c>
      <c r="AI2552" t="n">
        <v>0</v>
      </c>
      <c r="AJ2552" t="n">
        <v>0</v>
      </c>
      <c r="AK2552" t="n">
        <v>0</v>
      </c>
      <c r="AL2552" t="n">
        <v>1</v>
      </c>
      <c r="AM2552" t="n">
        <v>1</v>
      </c>
      <c r="AN2552" t="n">
        <v>0</v>
      </c>
      <c r="AO2552" t="n">
        <v>0</v>
      </c>
      <c r="AP2552" t="inlineStr">
        <is>
          <t>No</t>
        </is>
      </c>
      <c r="AQ2552" t="inlineStr">
        <is>
          <t>No</t>
        </is>
      </c>
      <c r="AS2552">
        <f>HYPERLINK("https://creighton-primo.hosted.exlibrisgroup.com/primo-explore/search?tab=default_tab&amp;search_scope=EVERYTHING&amp;vid=01CRU&amp;lang=en_US&amp;offset=0&amp;query=any,contains,991001361929702656","Catalog Record")</f>
        <v/>
      </c>
      <c r="AT2552">
        <f>HYPERLINK("http://www.worldcat.org/oclc/18522207","WorldCat Record")</f>
        <v/>
      </c>
      <c r="AU2552" t="inlineStr">
        <is>
          <t>5164197931:eng</t>
        </is>
      </c>
      <c r="AV2552" t="inlineStr">
        <is>
          <t>18522207</t>
        </is>
      </c>
      <c r="AW2552" t="inlineStr">
        <is>
          <t>991001361929702656</t>
        </is>
      </c>
      <c r="AX2552" t="inlineStr">
        <is>
          <t>991001361929702656</t>
        </is>
      </c>
      <c r="AY2552" t="inlineStr">
        <is>
          <t>2265516060002656</t>
        </is>
      </c>
      <c r="AZ2552" t="inlineStr">
        <is>
          <t>BOOK</t>
        </is>
      </c>
      <c r="BB2552" t="inlineStr">
        <is>
          <t>9780316036368</t>
        </is>
      </c>
      <c r="BC2552" t="inlineStr">
        <is>
          <t>32285002020039</t>
        </is>
      </c>
      <c r="BD2552" t="inlineStr">
        <is>
          <t>893615004</t>
        </is>
      </c>
    </row>
    <row r="2553">
      <c r="A2553" t="inlineStr">
        <is>
          <t>No</t>
        </is>
      </c>
      <c r="B2553" t="inlineStr">
        <is>
          <t>HQ773.5 .G54 1981</t>
        </is>
      </c>
      <c r="C2553" t="inlineStr">
        <is>
          <t>0                      HQ 0773500G  54          1981</t>
        </is>
      </c>
      <c r="D2553" t="inlineStr">
        <is>
          <t>The Gifted child, the family, and the community / the American Association for Gifted Children ; edited by Bernard S. Miller and Merle Price.</t>
        </is>
      </c>
      <c r="F2553" t="inlineStr">
        <is>
          <t>No</t>
        </is>
      </c>
      <c r="G2553" t="inlineStr">
        <is>
          <t>1</t>
        </is>
      </c>
      <c r="H2553" t="inlineStr">
        <is>
          <t>No</t>
        </is>
      </c>
      <c r="I2553" t="inlineStr">
        <is>
          <t>No</t>
        </is>
      </c>
      <c r="J2553" t="inlineStr">
        <is>
          <t>0</t>
        </is>
      </c>
      <c r="L2553" t="inlineStr">
        <is>
          <t>New York : Walker, 1981.</t>
        </is>
      </c>
      <c r="M2553" t="inlineStr">
        <is>
          <t>1981</t>
        </is>
      </c>
      <c r="O2553" t="inlineStr">
        <is>
          <t>eng</t>
        </is>
      </c>
      <c r="P2553" t="inlineStr">
        <is>
          <t>nyu</t>
        </is>
      </c>
      <c r="R2553" t="inlineStr">
        <is>
          <t xml:space="preserve">HQ </t>
        </is>
      </c>
      <c r="S2553" t="n">
        <v>1</v>
      </c>
      <c r="T2553" t="n">
        <v>1</v>
      </c>
      <c r="U2553" t="inlineStr">
        <is>
          <t>2003-03-17</t>
        </is>
      </c>
      <c r="V2553" t="inlineStr">
        <is>
          <t>2003-03-17</t>
        </is>
      </c>
      <c r="W2553" t="inlineStr">
        <is>
          <t>1992-11-11</t>
        </is>
      </c>
      <c r="X2553" t="inlineStr">
        <is>
          <t>1992-11-11</t>
        </is>
      </c>
      <c r="Y2553" t="n">
        <v>646</v>
      </c>
      <c r="Z2553" t="n">
        <v>591</v>
      </c>
      <c r="AA2553" t="n">
        <v>596</v>
      </c>
      <c r="AB2553" t="n">
        <v>8</v>
      </c>
      <c r="AC2553" t="n">
        <v>8</v>
      </c>
      <c r="AD2553" t="n">
        <v>22</v>
      </c>
      <c r="AE2553" t="n">
        <v>22</v>
      </c>
      <c r="AF2553" t="n">
        <v>11</v>
      </c>
      <c r="AG2553" t="n">
        <v>11</v>
      </c>
      <c r="AH2553" t="n">
        <v>2</v>
      </c>
      <c r="AI2553" t="n">
        <v>2</v>
      </c>
      <c r="AJ2553" t="n">
        <v>8</v>
      </c>
      <c r="AK2553" t="n">
        <v>8</v>
      </c>
      <c r="AL2553" t="n">
        <v>6</v>
      </c>
      <c r="AM2553" t="n">
        <v>6</v>
      </c>
      <c r="AN2553" t="n">
        <v>0</v>
      </c>
      <c r="AO2553" t="n">
        <v>0</v>
      </c>
      <c r="AP2553" t="inlineStr">
        <is>
          <t>No</t>
        </is>
      </c>
      <c r="AQ2553" t="inlineStr">
        <is>
          <t>No</t>
        </is>
      </c>
      <c r="AS2553">
        <f>HYPERLINK("https://creighton-primo.hosted.exlibrisgroup.com/primo-explore/search?tab=default_tab&amp;search_scope=EVERYTHING&amp;vid=01CRU&amp;lang=en_US&amp;offset=0&amp;query=any,contains,991005098019702656","Catalog Record")</f>
        <v/>
      </c>
      <c r="AT2553">
        <f>HYPERLINK("http://www.worldcat.org/oclc/7277143","WorldCat Record")</f>
        <v/>
      </c>
      <c r="AU2553" t="inlineStr">
        <is>
          <t>427298813:eng</t>
        </is>
      </c>
      <c r="AV2553" t="inlineStr">
        <is>
          <t>7277143</t>
        </is>
      </c>
      <c r="AW2553" t="inlineStr">
        <is>
          <t>991005098019702656</t>
        </is>
      </c>
      <c r="AX2553" t="inlineStr">
        <is>
          <t>991005098019702656</t>
        </is>
      </c>
      <c r="AY2553" t="inlineStr">
        <is>
          <t>2263887770002656</t>
        </is>
      </c>
      <c r="AZ2553" t="inlineStr">
        <is>
          <t>BOOK</t>
        </is>
      </c>
      <c r="BB2553" t="inlineStr">
        <is>
          <t>9780802706737</t>
        </is>
      </c>
      <c r="BC2553" t="inlineStr">
        <is>
          <t>32285001395622</t>
        </is>
      </c>
      <c r="BD2553" t="inlineStr">
        <is>
          <t>893606824</t>
        </is>
      </c>
    </row>
    <row r="2554">
      <c r="A2554" t="inlineStr">
        <is>
          <t>No</t>
        </is>
      </c>
      <c r="B2554" t="inlineStr">
        <is>
          <t>HQ773.5 .H38</t>
        </is>
      </c>
      <c r="C2554" t="inlineStr">
        <is>
          <t>0                      HQ 0773500H  38</t>
        </is>
      </c>
      <c r="D2554" t="inlineStr">
        <is>
          <t>The gifted-case studies / [by] Barbara B. Hauck [and] Maurice F. Freehill.</t>
        </is>
      </c>
      <c r="F2554" t="inlineStr">
        <is>
          <t>No</t>
        </is>
      </c>
      <c r="G2554" t="inlineStr">
        <is>
          <t>1</t>
        </is>
      </c>
      <c r="H2554" t="inlineStr">
        <is>
          <t>No</t>
        </is>
      </c>
      <c r="I2554" t="inlineStr">
        <is>
          <t>No</t>
        </is>
      </c>
      <c r="J2554" t="inlineStr">
        <is>
          <t>0</t>
        </is>
      </c>
      <c r="K2554" t="inlineStr">
        <is>
          <t>Hauck, Barbara B.</t>
        </is>
      </c>
      <c r="L2554" t="inlineStr">
        <is>
          <t>Dubuque : W. C. Brown, ; [1972]</t>
        </is>
      </c>
      <c r="M2554" t="inlineStr">
        <is>
          <t>1972</t>
        </is>
      </c>
      <c r="O2554" t="inlineStr">
        <is>
          <t>eng</t>
        </is>
      </c>
      <c r="P2554" t="inlineStr">
        <is>
          <t>iau</t>
        </is>
      </c>
      <c r="R2554" t="inlineStr">
        <is>
          <t xml:space="preserve">HQ </t>
        </is>
      </c>
      <c r="S2554" t="n">
        <v>1</v>
      </c>
      <c r="T2554" t="n">
        <v>1</v>
      </c>
      <c r="U2554" t="inlineStr">
        <is>
          <t>2003-03-17</t>
        </is>
      </c>
      <c r="V2554" t="inlineStr">
        <is>
          <t>2003-03-17</t>
        </is>
      </c>
      <c r="W2554" t="inlineStr">
        <is>
          <t>1993-02-02</t>
        </is>
      </c>
      <c r="X2554" t="inlineStr">
        <is>
          <t>1993-02-02</t>
        </is>
      </c>
      <c r="Y2554" t="n">
        <v>346</v>
      </c>
      <c r="Z2554" t="n">
        <v>301</v>
      </c>
      <c r="AA2554" t="n">
        <v>303</v>
      </c>
      <c r="AB2554" t="n">
        <v>5</v>
      </c>
      <c r="AC2554" t="n">
        <v>5</v>
      </c>
      <c r="AD2554" t="n">
        <v>14</v>
      </c>
      <c r="AE2554" t="n">
        <v>14</v>
      </c>
      <c r="AF2554" t="n">
        <v>5</v>
      </c>
      <c r="AG2554" t="n">
        <v>5</v>
      </c>
      <c r="AH2554" t="n">
        <v>2</v>
      </c>
      <c r="AI2554" t="n">
        <v>2</v>
      </c>
      <c r="AJ2554" t="n">
        <v>6</v>
      </c>
      <c r="AK2554" t="n">
        <v>6</v>
      </c>
      <c r="AL2554" t="n">
        <v>4</v>
      </c>
      <c r="AM2554" t="n">
        <v>4</v>
      </c>
      <c r="AN2554" t="n">
        <v>0</v>
      </c>
      <c r="AO2554" t="n">
        <v>0</v>
      </c>
      <c r="AP2554" t="inlineStr">
        <is>
          <t>No</t>
        </is>
      </c>
      <c r="AQ2554" t="inlineStr">
        <is>
          <t>Yes</t>
        </is>
      </c>
      <c r="AR2554">
        <f>HYPERLINK("http://catalog.hathitrust.org/Record/000978070","HathiTrust Record")</f>
        <v/>
      </c>
      <c r="AS2554">
        <f>HYPERLINK("https://creighton-primo.hosted.exlibrisgroup.com/primo-explore/search?tab=default_tab&amp;search_scope=EVERYTHING&amp;vid=01CRU&amp;lang=en_US&amp;offset=0&amp;query=any,contains,991002113679702656","Catalog Record")</f>
        <v/>
      </c>
      <c r="AT2554">
        <f>HYPERLINK("http://www.worldcat.org/oclc/267768","WorldCat Record")</f>
        <v/>
      </c>
      <c r="AU2554" t="inlineStr">
        <is>
          <t>1389831:eng</t>
        </is>
      </c>
      <c r="AV2554" t="inlineStr">
        <is>
          <t>267768</t>
        </is>
      </c>
      <c r="AW2554" t="inlineStr">
        <is>
          <t>991002113679702656</t>
        </is>
      </c>
      <c r="AX2554" t="inlineStr">
        <is>
          <t>991002113679702656</t>
        </is>
      </c>
      <c r="AY2554" t="inlineStr">
        <is>
          <t>2270611590002656</t>
        </is>
      </c>
      <c r="AZ2554" t="inlineStr">
        <is>
          <t>BOOK</t>
        </is>
      </c>
      <c r="BB2554" t="inlineStr">
        <is>
          <t>9780697061980</t>
        </is>
      </c>
      <c r="BC2554" t="inlineStr">
        <is>
          <t>32285001523561</t>
        </is>
      </c>
      <c r="BD2554" t="inlineStr">
        <is>
          <t>893684974</t>
        </is>
      </c>
    </row>
    <row r="2555">
      <c r="A2555" t="inlineStr">
        <is>
          <t>No</t>
        </is>
      </c>
      <c r="B2555" t="inlineStr">
        <is>
          <t>HQ773.5 .L47 2005</t>
        </is>
      </c>
      <c r="C2555" t="inlineStr">
        <is>
          <t>0                      HQ 0773500L  47          2005</t>
        </is>
      </c>
      <c r="D2555" t="inlineStr">
        <is>
          <t>Kids who think outside the box : helping your unique child thrive in a cookie-cutter world / Stephanie Lerner.</t>
        </is>
      </c>
      <c r="F2555" t="inlineStr">
        <is>
          <t>No</t>
        </is>
      </c>
      <c r="G2555" t="inlineStr">
        <is>
          <t>1</t>
        </is>
      </c>
      <c r="H2555" t="inlineStr">
        <is>
          <t>No</t>
        </is>
      </c>
      <c r="I2555" t="inlineStr">
        <is>
          <t>No</t>
        </is>
      </c>
      <c r="J2555" t="inlineStr">
        <is>
          <t>0</t>
        </is>
      </c>
      <c r="K2555" t="inlineStr">
        <is>
          <t>Lerner, Stephanie Freund.</t>
        </is>
      </c>
      <c r="L2555" t="inlineStr">
        <is>
          <t>New York : American Management Association, c2005.</t>
        </is>
      </c>
      <c r="M2555" t="inlineStr">
        <is>
          <t>2005</t>
        </is>
      </c>
      <c r="O2555" t="inlineStr">
        <is>
          <t>eng</t>
        </is>
      </c>
      <c r="P2555" t="inlineStr">
        <is>
          <t>nyu</t>
        </is>
      </c>
      <c r="R2555" t="inlineStr">
        <is>
          <t xml:space="preserve">HQ </t>
        </is>
      </c>
      <c r="S2555" t="n">
        <v>4</v>
      </c>
      <c r="T2555" t="n">
        <v>4</v>
      </c>
      <c r="U2555" t="inlineStr">
        <is>
          <t>2006-01-26</t>
        </is>
      </c>
      <c r="V2555" t="inlineStr">
        <is>
          <t>2006-01-26</t>
        </is>
      </c>
      <c r="W2555" t="inlineStr">
        <is>
          <t>2005-03-17</t>
        </is>
      </c>
      <c r="X2555" t="inlineStr">
        <is>
          <t>2005-03-17</t>
        </is>
      </c>
      <c r="Y2555" t="n">
        <v>276</v>
      </c>
      <c r="Z2555" t="n">
        <v>234</v>
      </c>
      <c r="AA2555" t="n">
        <v>704</v>
      </c>
      <c r="AB2555" t="n">
        <v>3</v>
      </c>
      <c r="AC2555" t="n">
        <v>29</v>
      </c>
      <c r="AD2555" t="n">
        <v>3</v>
      </c>
      <c r="AE2555" t="n">
        <v>16</v>
      </c>
      <c r="AF2555" t="n">
        <v>1</v>
      </c>
      <c r="AG2555" t="n">
        <v>4</v>
      </c>
      <c r="AH2555" t="n">
        <v>1</v>
      </c>
      <c r="AI2555" t="n">
        <v>1</v>
      </c>
      <c r="AJ2555" t="n">
        <v>1</v>
      </c>
      <c r="AK2555" t="n">
        <v>4</v>
      </c>
      <c r="AL2555" t="n">
        <v>1</v>
      </c>
      <c r="AM2555" t="n">
        <v>9</v>
      </c>
      <c r="AN2555" t="n">
        <v>0</v>
      </c>
      <c r="AO2555" t="n">
        <v>0</v>
      </c>
      <c r="AP2555" t="inlineStr">
        <is>
          <t>No</t>
        </is>
      </c>
      <c r="AQ2555" t="inlineStr">
        <is>
          <t>No</t>
        </is>
      </c>
      <c r="AS2555">
        <f>HYPERLINK("https://creighton-primo.hosted.exlibrisgroup.com/primo-explore/search?tab=default_tab&amp;search_scope=EVERYTHING&amp;vid=01CRU&amp;lang=en_US&amp;offset=0&amp;query=any,contains,991004500829702656","Catalog Record")</f>
        <v/>
      </c>
      <c r="AT2555">
        <f>HYPERLINK("http://www.worldcat.org/oclc/56876648","WorldCat Record")</f>
        <v/>
      </c>
      <c r="AU2555" t="inlineStr">
        <is>
          <t>796379413:eng</t>
        </is>
      </c>
      <c r="AV2555" t="inlineStr">
        <is>
          <t>56876648</t>
        </is>
      </c>
      <c r="AW2555" t="inlineStr">
        <is>
          <t>991004500829702656</t>
        </is>
      </c>
      <c r="AX2555" t="inlineStr">
        <is>
          <t>991004500829702656</t>
        </is>
      </c>
      <c r="AY2555" t="inlineStr">
        <is>
          <t>2265458210002656</t>
        </is>
      </c>
      <c r="AZ2555" t="inlineStr">
        <is>
          <t>BOOK</t>
        </is>
      </c>
      <c r="BB2555" t="inlineStr">
        <is>
          <t>9780814472750</t>
        </is>
      </c>
      <c r="BC2555" t="inlineStr">
        <is>
          <t>32285005043152</t>
        </is>
      </c>
      <c r="BD2555" t="inlineStr">
        <is>
          <t>893628194</t>
        </is>
      </c>
    </row>
    <row r="2556">
      <c r="A2556" t="inlineStr">
        <is>
          <t>No</t>
        </is>
      </c>
      <c r="B2556" t="inlineStr">
        <is>
          <t>HQ773.5 .T35 1986</t>
        </is>
      </c>
      <c r="C2556" t="inlineStr">
        <is>
          <t>0                      HQ 0773500T  35          1986</t>
        </is>
      </c>
      <c r="D2556" t="inlineStr">
        <is>
          <t>Enjoy your gifted child / Carol Addison Takacs ; [photographs by Susan R. DeLong].</t>
        </is>
      </c>
      <c r="F2556" t="inlineStr">
        <is>
          <t>No</t>
        </is>
      </c>
      <c r="G2556" t="inlineStr">
        <is>
          <t>1</t>
        </is>
      </c>
      <c r="H2556" t="inlineStr">
        <is>
          <t>No</t>
        </is>
      </c>
      <c r="I2556" t="inlineStr">
        <is>
          <t>No</t>
        </is>
      </c>
      <c r="J2556" t="inlineStr">
        <is>
          <t>0</t>
        </is>
      </c>
      <c r="K2556" t="inlineStr">
        <is>
          <t>Takacs, Carol Addison.</t>
        </is>
      </c>
      <c r="L2556" t="inlineStr">
        <is>
          <t>Syracuse, N.Y. : Syracuse University Press, 1986.</t>
        </is>
      </c>
      <c r="M2556" t="inlineStr">
        <is>
          <t>1986</t>
        </is>
      </c>
      <c r="N2556" t="inlineStr">
        <is>
          <t>1st ed.</t>
        </is>
      </c>
      <c r="O2556" t="inlineStr">
        <is>
          <t>eng</t>
        </is>
      </c>
      <c r="P2556" t="inlineStr">
        <is>
          <t>nyu</t>
        </is>
      </c>
      <c r="R2556" t="inlineStr">
        <is>
          <t xml:space="preserve">HQ </t>
        </is>
      </c>
      <c r="S2556" t="n">
        <v>2</v>
      </c>
      <c r="T2556" t="n">
        <v>2</v>
      </c>
      <c r="U2556" t="inlineStr">
        <is>
          <t>2003-03-18</t>
        </is>
      </c>
      <c r="V2556" t="inlineStr">
        <is>
          <t>2003-03-18</t>
        </is>
      </c>
      <c r="W2556" t="inlineStr">
        <is>
          <t>1992-02-25</t>
        </is>
      </c>
      <c r="X2556" t="inlineStr">
        <is>
          <t>1992-02-25</t>
        </is>
      </c>
      <c r="Y2556" t="n">
        <v>495</v>
      </c>
      <c r="Z2556" t="n">
        <v>463</v>
      </c>
      <c r="AA2556" t="n">
        <v>463</v>
      </c>
      <c r="AB2556" t="n">
        <v>3</v>
      </c>
      <c r="AC2556" t="n">
        <v>3</v>
      </c>
      <c r="AD2556" t="n">
        <v>7</v>
      </c>
      <c r="AE2556" t="n">
        <v>7</v>
      </c>
      <c r="AF2556" t="n">
        <v>2</v>
      </c>
      <c r="AG2556" t="n">
        <v>2</v>
      </c>
      <c r="AH2556" t="n">
        <v>2</v>
      </c>
      <c r="AI2556" t="n">
        <v>2</v>
      </c>
      <c r="AJ2556" t="n">
        <v>4</v>
      </c>
      <c r="AK2556" t="n">
        <v>4</v>
      </c>
      <c r="AL2556" t="n">
        <v>2</v>
      </c>
      <c r="AM2556" t="n">
        <v>2</v>
      </c>
      <c r="AN2556" t="n">
        <v>0</v>
      </c>
      <c r="AO2556" t="n">
        <v>0</v>
      </c>
      <c r="AP2556" t="inlineStr">
        <is>
          <t>No</t>
        </is>
      </c>
      <c r="AQ2556" t="inlineStr">
        <is>
          <t>No</t>
        </is>
      </c>
      <c r="AS2556">
        <f>HYPERLINK("https://creighton-primo.hosted.exlibrisgroup.com/primo-explore/search?tab=default_tab&amp;search_scope=EVERYTHING&amp;vid=01CRU&amp;lang=en_US&amp;offset=0&amp;query=any,contains,991000765969702656","Catalog Record")</f>
        <v/>
      </c>
      <c r="AT2556">
        <f>HYPERLINK("http://www.worldcat.org/oclc/13002922","WorldCat Record")</f>
        <v/>
      </c>
      <c r="AU2556" t="inlineStr">
        <is>
          <t>5388944:eng</t>
        </is>
      </c>
      <c r="AV2556" t="inlineStr">
        <is>
          <t>13002922</t>
        </is>
      </c>
      <c r="AW2556" t="inlineStr">
        <is>
          <t>991000765969702656</t>
        </is>
      </c>
      <c r="AX2556" t="inlineStr">
        <is>
          <t>991000765969702656</t>
        </is>
      </c>
      <c r="AY2556" t="inlineStr">
        <is>
          <t>2265645510002656</t>
        </is>
      </c>
      <c r="AZ2556" t="inlineStr">
        <is>
          <t>BOOK</t>
        </is>
      </c>
      <c r="BB2556" t="inlineStr">
        <is>
          <t>9780815623564</t>
        </is>
      </c>
      <c r="BC2556" t="inlineStr">
        <is>
          <t>32285000975994</t>
        </is>
      </c>
      <c r="BD2556" t="inlineStr">
        <is>
          <t>893620769</t>
        </is>
      </c>
    </row>
    <row r="2557">
      <c r="A2557" t="inlineStr">
        <is>
          <t>No</t>
        </is>
      </c>
      <c r="B2557" t="inlineStr">
        <is>
          <t>HQ773.6 .Y87 1979</t>
        </is>
      </c>
      <c r="C2557" t="inlineStr">
        <is>
          <t>0                      HQ 0773600Y  87          1979</t>
        </is>
      </c>
      <c r="D2557" t="inlineStr">
        <is>
          <t>Raising the exceptional child / Michael T. Yura, Lawrence Zuckerman.</t>
        </is>
      </c>
      <c r="F2557" t="inlineStr">
        <is>
          <t>No</t>
        </is>
      </c>
      <c r="G2557" t="inlineStr">
        <is>
          <t>1</t>
        </is>
      </c>
      <c r="H2557" t="inlineStr">
        <is>
          <t>No</t>
        </is>
      </c>
      <c r="I2557" t="inlineStr">
        <is>
          <t>No</t>
        </is>
      </c>
      <c r="J2557" t="inlineStr">
        <is>
          <t>0</t>
        </is>
      </c>
      <c r="K2557" t="inlineStr">
        <is>
          <t>Yura, Michael T.</t>
        </is>
      </c>
      <c r="L2557" t="inlineStr">
        <is>
          <t>New York : Hawthorn Books, c1979.</t>
        </is>
      </c>
      <c r="M2557" t="inlineStr">
        <is>
          <t>1979</t>
        </is>
      </c>
      <c r="O2557" t="inlineStr">
        <is>
          <t>eng</t>
        </is>
      </c>
      <c r="P2557" t="inlineStr">
        <is>
          <t>nyu</t>
        </is>
      </c>
      <c r="R2557" t="inlineStr">
        <is>
          <t xml:space="preserve">HQ </t>
        </is>
      </c>
      <c r="S2557" t="n">
        <v>3</v>
      </c>
      <c r="T2557" t="n">
        <v>3</v>
      </c>
      <c r="U2557" t="inlineStr">
        <is>
          <t>1996-09-26</t>
        </is>
      </c>
      <c r="V2557" t="inlineStr">
        <is>
          <t>1996-09-26</t>
        </is>
      </c>
      <c r="W2557" t="inlineStr">
        <is>
          <t>1992-11-11</t>
        </is>
      </c>
      <c r="X2557" t="inlineStr">
        <is>
          <t>1992-11-11</t>
        </is>
      </c>
      <c r="Y2557" t="n">
        <v>383</v>
      </c>
      <c r="Z2557" t="n">
        <v>348</v>
      </c>
      <c r="AA2557" t="n">
        <v>349</v>
      </c>
      <c r="AB2557" t="n">
        <v>1</v>
      </c>
      <c r="AC2557" t="n">
        <v>1</v>
      </c>
      <c r="AD2557" t="n">
        <v>5</v>
      </c>
      <c r="AE2557" t="n">
        <v>5</v>
      </c>
      <c r="AF2557" t="n">
        <v>3</v>
      </c>
      <c r="AG2557" t="n">
        <v>3</v>
      </c>
      <c r="AH2557" t="n">
        <v>2</v>
      </c>
      <c r="AI2557" t="n">
        <v>2</v>
      </c>
      <c r="AJ2557" t="n">
        <v>3</v>
      </c>
      <c r="AK2557" t="n">
        <v>3</v>
      </c>
      <c r="AL2557" t="n">
        <v>0</v>
      </c>
      <c r="AM2557" t="n">
        <v>0</v>
      </c>
      <c r="AN2557" t="n">
        <v>0</v>
      </c>
      <c r="AO2557" t="n">
        <v>0</v>
      </c>
      <c r="AP2557" t="inlineStr">
        <is>
          <t>No</t>
        </is>
      </c>
      <c r="AQ2557" t="inlineStr">
        <is>
          <t>Yes</t>
        </is>
      </c>
      <c r="AR2557">
        <f>HYPERLINK("http://catalog.hathitrust.org/Record/007471648","HathiTrust Record")</f>
        <v/>
      </c>
      <c r="AS2557">
        <f>HYPERLINK("https://creighton-primo.hosted.exlibrisgroup.com/primo-explore/search?tab=default_tab&amp;search_scope=EVERYTHING&amp;vid=01CRU&amp;lang=en_US&amp;offset=0&amp;query=any,contains,991004852409702656","Catalog Record")</f>
        <v/>
      </c>
      <c r="AT2557">
        <f>HYPERLINK("http://www.worldcat.org/oclc/5625694","WorldCat Record")</f>
        <v/>
      </c>
      <c r="AU2557" t="inlineStr">
        <is>
          <t>451116:eng</t>
        </is>
      </c>
      <c r="AV2557" t="inlineStr">
        <is>
          <t>5625694</t>
        </is>
      </c>
      <c r="AW2557" t="inlineStr">
        <is>
          <t>991004852409702656</t>
        </is>
      </c>
      <c r="AX2557" t="inlineStr">
        <is>
          <t>991004852409702656</t>
        </is>
      </c>
      <c r="AY2557" t="inlineStr">
        <is>
          <t>2267781030002656</t>
        </is>
      </c>
      <c r="AZ2557" t="inlineStr">
        <is>
          <t>BOOK</t>
        </is>
      </c>
      <c r="BB2557" t="inlineStr">
        <is>
          <t>9780801562204</t>
        </is>
      </c>
      <c r="BC2557" t="inlineStr">
        <is>
          <t>32285001395663</t>
        </is>
      </c>
      <c r="BD2557" t="inlineStr">
        <is>
          <t>893895566</t>
        </is>
      </c>
    </row>
    <row r="2558">
      <c r="A2558" t="inlineStr">
        <is>
          <t>No</t>
        </is>
      </c>
      <c r="B2558" t="inlineStr">
        <is>
          <t>HQ773.7 .P37 1988</t>
        </is>
      </c>
      <c r="C2558" t="inlineStr">
        <is>
          <t>0                      HQ 0773700P  37          1988</t>
        </is>
      </c>
      <c r="D2558" t="inlineStr">
        <is>
          <t>Parent-child interaction and developmental disabilities : theory, research, and intervention / edited by Kofi Marfo.</t>
        </is>
      </c>
      <c r="F2558" t="inlineStr">
        <is>
          <t>No</t>
        </is>
      </c>
      <c r="G2558" t="inlineStr">
        <is>
          <t>1</t>
        </is>
      </c>
      <c r="H2558" t="inlineStr">
        <is>
          <t>No</t>
        </is>
      </c>
      <c r="I2558" t="inlineStr">
        <is>
          <t>No</t>
        </is>
      </c>
      <c r="J2558" t="inlineStr">
        <is>
          <t>0</t>
        </is>
      </c>
      <c r="L2558" t="inlineStr">
        <is>
          <t>New York : Praeger, 1988.</t>
        </is>
      </c>
      <c r="M2558" t="inlineStr">
        <is>
          <t>1988</t>
        </is>
      </c>
      <c r="O2558" t="inlineStr">
        <is>
          <t>eng</t>
        </is>
      </c>
      <c r="P2558" t="inlineStr">
        <is>
          <t>nyu</t>
        </is>
      </c>
      <c r="R2558" t="inlineStr">
        <is>
          <t xml:space="preserve">HQ </t>
        </is>
      </c>
      <c r="S2558" t="n">
        <v>4</v>
      </c>
      <c r="T2558" t="n">
        <v>4</v>
      </c>
      <c r="U2558" t="inlineStr">
        <is>
          <t>1993-03-05</t>
        </is>
      </c>
      <c r="V2558" t="inlineStr">
        <is>
          <t>1993-03-05</t>
        </is>
      </c>
      <c r="W2558" t="inlineStr">
        <is>
          <t>1992-11-11</t>
        </is>
      </c>
      <c r="X2558" t="inlineStr">
        <is>
          <t>1992-11-11</t>
        </is>
      </c>
      <c r="Y2558" t="n">
        <v>308</v>
      </c>
      <c r="Z2558" t="n">
        <v>251</v>
      </c>
      <c r="AA2558" t="n">
        <v>259</v>
      </c>
      <c r="AB2558" t="n">
        <v>3</v>
      </c>
      <c r="AC2558" t="n">
        <v>3</v>
      </c>
      <c r="AD2558" t="n">
        <v>11</v>
      </c>
      <c r="AE2558" t="n">
        <v>11</v>
      </c>
      <c r="AF2558" t="n">
        <v>3</v>
      </c>
      <c r="AG2558" t="n">
        <v>3</v>
      </c>
      <c r="AH2558" t="n">
        <v>3</v>
      </c>
      <c r="AI2558" t="n">
        <v>3</v>
      </c>
      <c r="AJ2558" t="n">
        <v>8</v>
      </c>
      <c r="AK2558" t="n">
        <v>8</v>
      </c>
      <c r="AL2558" t="n">
        <v>2</v>
      </c>
      <c r="AM2558" t="n">
        <v>2</v>
      </c>
      <c r="AN2558" t="n">
        <v>0</v>
      </c>
      <c r="AO2558" t="n">
        <v>0</v>
      </c>
      <c r="AP2558" t="inlineStr">
        <is>
          <t>No</t>
        </is>
      </c>
      <c r="AQ2558" t="inlineStr">
        <is>
          <t>Yes</t>
        </is>
      </c>
      <c r="AR2558">
        <f>HYPERLINK("http://catalog.hathitrust.org/Record/000924099","HathiTrust Record")</f>
        <v/>
      </c>
      <c r="AS2558">
        <f>HYPERLINK("https://creighton-primo.hosted.exlibrisgroup.com/primo-explore/search?tab=default_tab&amp;search_scope=EVERYTHING&amp;vid=01CRU&amp;lang=en_US&amp;offset=0&amp;query=any,contains,991001154549702656","Catalog Record")</f>
        <v/>
      </c>
      <c r="AT2558">
        <f>HYPERLINK("http://www.worldcat.org/oclc/16833349","WorldCat Record")</f>
        <v/>
      </c>
      <c r="AU2558" t="inlineStr">
        <is>
          <t>1064816:eng</t>
        </is>
      </c>
      <c r="AV2558" t="inlineStr">
        <is>
          <t>16833349</t>
        </is>
      </c>
      <c r="AW2558" t="inlineStr">
        <is>
          <t>991001154549702656</t>
        </is>
      </c>
      <c r="AX2558" t="inlineStr">
        <is>
          <t>991001154549702656</t>
        </is>
      </c>
      <c r="AY2558" t="inlineStr">
        <is>
          <t>2263550470002656</t>
        </is>
      </c>
      <c r="AZ2558" t="inlineStr">
        <is>
          <t>BOOK</t>
        </is>
      </c>
      <c r="BB2558" t="inlineStr">
        <is>
          <t>9780275928353</t>
        </is>
      </c>
      <c r="BC2558" t="inlineStr">
        <is>
          <t>32285001395689</t>
        </is>
      </c>
      <c r="BD2558" t="inlineStr">
        <is>
          <t>893426365</t>
        </is>
      </c>
    </row>
    <row r="2559">
      <c r="A2559" t="inlineStr">
        <is>
          <t>No</t>
        </is>
      </c>
      <c r="B2559" t="inlineStr">
        <is>
          <t>HQ774 .C376 1983</t>
        </is>
      </c>
      <c r="C2559" t="inlineStr">
        <is>
          <t>0                      HQ 0774000C  376         1983</t>
        </is>
      </c>
      <c r="D2559" t="inlineStr">
        <is>
          <t>Infant and toddler programs : a guide to very early childhood education / Christine Z. Cataldo.</t>
        </is>
      </c>
      <c r="F2559" t="inlineStr">
        <is>
          <t>No</t>
        </is>
      </c>
      <c r="G2559" t="inlineStr">
        <is>
          <t>1</t>
        </is>
      </c>
      <c r="H2559" t="inlineStr">
        <is>
          <t>No</t>
        </is>
      </c>
      <c r="I2559" t="inlineStr">
        <is>
          <t>No</t>
        </is>
      </c>
      <c r="J2559" t="inlineStr">
        <is>
          <t>0</t>
        </is>
      </c>
      <c r="K2559" t="inlineStr">
        <is>
          <t>Cataldo, Christine Z.</t>
        </is>
      </c>
      <c r="L2559" t="inlineStr">
        <is>
          <t>Reading, Mass. : Addison-Wesley Pub. Co., c1983.</t>
        </is>
      </c>
      <c r="M2559" t="inlineStr">
        <is>
          <t>1983</t>
        </is>
      </c>
      <c r="O2559" t="inlineStr">
        <is>
          <t>eng</t>
        </is>
      </c>
      <c r="P2559" t="inlineStr">
        <is>
          <t>mau</t>
        </is>
      </c>
      <c r="R2559" t="inlineStr">
        <is>
          <t xml:space="preserve">HQ </t>
        </is>
      </c>
      <c r="S2559" t="n">
        <v>3</v>
      </c>
      <c r="T2559" t="n">
        <v>3</v>
      </c>
      <c r="U2559" t="inlineStr">
        <is>
          <t>1997-11-18</t>
        </is>
      </c>
      <c r="V2559" t="inlineStr">
        <is>
          <t>1997-11-18</t>
        </is>
      </c>
      <c r="W2559" t="inlineStr">
        <is>
          <t>1992-11-11</t>
        </is>
      </c>
      <c r="X2559" t="inlineStr">
        <is>
          <t>1992-11-11</t>
        </is>
      </c>
      <c r="Y2559" t="n">
        <v>585</v>
      </c>
      <c r="Z2559" t="n">
        <v>530</v>
      </c>
      <c r="AA2559" t="n">
        <v>532</v>
      </c>
      <c r="AB2559" t="n">
        <v>5</v>
      </c>
      <c r="AC2559" t="n">
        <v>5</v>
      </c>
      <c r="AD2559" t="n">
        <v>20</v>
      </c>
      <c r="AE2559" t="n">
        <v>20</v>
      </c>
      <c r="AF2559" t="n">
        <v>9</v>
      </c>
      <c r="AG2559" t="n">
        <v>9</v>
      </c>
      <c r="AH2559" t="n">
        <v>3</v>
      </c>
      <c r="AI2559" t="n">
        <v>3</v>
      </c>
      <c r="AJ2559" t="n">
        <v>8</v>
      </c>
      <c r="AK2559" t="n">
        <v>8</v>
      </c>
      <c r="AL2559" t="n">
        <v>4</v>
      </c>
      <c r="AM2559" t="n">
        <v>4</v>
      </c>
      <c r="AN2559" t="n">
        <v>0</v>
      </c>
      <c r="AO2559" t="n">
        <v>0</v>
      </c>
      <c r="AP2559" t="inlineStr">
        <is>
          <t>No</t>
        </is>
      </c>
      <c r="AQ2559" t="inlineStr">
        <is>
          <t>Yes</t>
        </is>
      </c>
      <c r="AR2559">
        <f>HYPERLINK("http://catalog.hathitrust.org/Record/000308471","HathiTrust Record")</f>
        <v/>
      </c>
      <c r="AS2559">
        <f>HYPERLINK("https://creighton-primo.hosted.exlibrisgroup.com/primo-explore/search?tab=default_tab&amp;search_scope=EVERYTHING&amp;vid=01CRU&amp;lang=en_US&amp;offset=0&amp;query=any,contains,991000018629702656","Catalog Record")</f>
        <v/>
      </c>
      <c r="AT2559">
        <f>HYPERLINK("http://www.worldcat.org/oclc/8554036","WorldCat Record")</f>
        <v/>
      </c>
      <c r="AU2559" t="inlineStr">
        <is>
          <t>470316694:eng</t>
        </is>
      </c>
      <c r="AV2559" t="inlineStr">
        <is>
          <t>8554036</t>
        </is>
      </c>
      <c r="AW2559" t="inlineStr">
        <is>
          <t>991000018629702656</t>
        </is>
      </c>
      <c r="AX2559" t="inlineStr">
        <is>
          <t>991000018629702656</t>
        </is>
      </c>
      <c r="AY2559" t="inlineStr">
        <is>
          <t>2256484830002656</t>
        </is>
      </c>
      <c r="AZ2559" t="inlineStr">
        <is>
          <t>BOOK</t>
        </is>
      </c>
      <c r="BB2559" t="inlineStr">
        <is>
          <t>9780201110203</t>
        </is>
      </c>
      <c r="BC2559" t="inlineStr">
        <is>
          <t>32285001395697</t>
        </is>
      </c>
      <c r="BD2559" t="inlineStr">
        <is>
          <t>893771303</t>
        </is>
      </c>
    </row>
    <row r="2560">
      <c r="A2560" t="inlineStr">
        <is>
          <t>No</t>
        </is>
      </c>
      <c r="B2560" t="inlineStr">
        <is>
          <t>HQ774 .F37</t>
        </is>
      </c>
      <c r="C2560" t="inlineStr">
        <is>
          <t>0                      HQ 0774000F  37</t>
        </is>
      </c>
      <c r="D2560" t="inlineStr">
        <is>
          <t>The Father-infant relationship : observational studies in the family setting / edited by Frank A. Pedersen.</t>
        </is>
      </c>
      <c r="F2560" t="inlineStr">
        <is>
          <t>No</t>
        </is>
      </c>
      <c r="G2560" t="inlineStr">
        <is>
          <t>1</t>
        </is>
      </c>
      <c r="H2560" t="inlineStr">
        <is>
          <t>No</t>
        </is>
      </c>
      <c r="I2560" t="inlineStr">
        <is>
          <t>No</t>
        </is>
      </c>
      <c r="J2560" t="inlineStr">
        <is>
          <t>0</t>
        </is>
      </c>
      <c r="L2560" t="inlineStr">
        <is>
          <t>New York : Praeger, 1980.</t>
        </is>
      </c>
      <c r="M2560" t="inlineStr">
        <is>
          <t>1980</t>
        </is>
      </c>
      <c r="O2560" t="inlineStr">
        <is>
          <t>eng</t>
        </is>
      </c>
      <c r="P2560" t="inlineStr">
        <is>
          <t>nyu</t>
        </is>
      </c>
      <c r="R2560" t="inlineStr">
        <is>
          <t xml:space="preserve">HQ </t>
        </is>
      </c>
      <c r="S2560" t="n">
        <v>4</v>
      </c>
      <c r="T2560" t="n">
        <v>4</v>
      </c>
      <c r="U2560" t="inlineStr">
        <is>
          <t>2000-08-28</t>
        </is>
      </c>
      <c r="V2560" t="inlineStr">
        <is>
          <t>2000-08-28</t>
        </is>
      </c>
      <c r="W2560" t="inlineStr">
        <is>
          <t>1992-11-11</t>
        </is>
      </c>
      <c r="X2560" t="inlineStr">
        <is>
          <t>1992-11-11</t>
        </is>
      </c>
      <c r="Y2560" t="n">
        <v>584</v>
      </c>
      <c r="Z2560" t="n">
        <v>481</v>
      </c>
      <c r="AA2560" t="n">
        <v>492</v>
      </c>
      <c r="AB2560" t="n">
        <v>5</v>
      </c>
      <c r="AC2560" t="n">
        <v>5</v>
      </c>
      <c r="AD2560" t="n">
        <v>19</v>
      </c>
      <c r="AE2560" t="n">
        <v>19</v>
      </c>
      <c r="AF2560" t="n">
        <v>8</v>
      </c>
      <c r="AG2560" t="n">
        <v>8</v>
      </c>
      <c r="AH2560" t="n">
        <v>4</v>
      </c>
      <c r="AI2560" t="n">
        <v>4</v>
      </c>
      <c r="AJ2560" t="n">
        <v>9</v>
      </c>
      <c r="AK2560" t="n">
        <v>9</v>
      </c>
      <c r="AL2560" t="n">
        <v>3</v>
      </c>
      <c r="AM2560" t="n">
        <v>3</v>
      </c>
      <c r="AN2560" t="n">
        <v>0</v>
      </c>
      <c r="AO2560" t="n">
        <v>0</v>
      </c>
      <c r="AP2560" t="inlineStr">
        <is>
          <t>No</t>
        </is>
      </c>
      <c r="AQ2560" t="inlineStr">
        <is>
          <t>Yes</t>
        </is>
      </c>
      <c r="AR2560">
        <f>HYPERLINK("http://catalog.hathitrust.org/Record/000682382","HathiTrust Record")</f>
        <v/>
      </c>
      <c r="AS2560">
        <f>HYPERLINK("https://creighton-primo.hosted.exlibrisgroup.com/primo-explore/search?tab=default_tab&amp;search_scope=EVERYTHING&amp;vid=01CRU&amp;lang=en_US&amp;offset=0&amp;query=any,contains,991004825369702656","Catalog Record")</f>
        <v/>
      </c>
      <c r="AT2560">
        <f>HYPERLINK("http://www.worldcat.org/oclc/5353288","WorldCat Record")</f>
        <v/>
      </c>
      <c r="AU2560" t="inlineStr">
        <is>
          <t>909674724:eng</t>
        </is>
      </c>
      <c r="AV2560" t="inlineStr">
        <is>
          <t>5353288</t>
        </is>
      </c>
      <c r="AW2560" t="inlineStr">
        <is>
          <t>991004825369702656</t>
        </is>
      </c>
      <c r="AX2560" t="inlineStr">
        <is>
          <t>991004825369702656</t>
        </is>
      </c>
      <c r="AY2560" t="inlineStr">
        <is>
          <t>2257463090002656</t>
        </is>
      </c>
      <c r="AZ2560" t="inlineStr">
        <is>
          <t>BOOK</t>
        </is>
      </c>
      <c r="BB2560" t="inlineStr">
        <is>
          <t>9780030495069</t>
        </is>
      </c>
      <c r="BC2560" t="inlineStr">
        <is>
          <t>32285001395705</t>
        </is>
      </c>
      <c r="BD2560" t="inlineStr">
        <is>
          <t>893248027</t>
        </is>
      </c>
    </row>
    <row r="2561">
      <c r="A2561" t="inlineStr">
        <is>
          <t>No</t>
        </is>
      </c>
      <c r="B2561" t="inlineStr">
        <is>
          <t>HQ774 .L45</t>
        </is>
      </c>
      <c r="C2561" t="inlineStr">
        <is>
          <t>0                      HQ 0774000L  45</t>
        </is>
      </c>
      <c r="D2561" t="inlineStr">
        <is>
          <t>The effect of the infant on its caregiver / edited by Michael Lewis and Leonard A. Rosenblum.</t>
        </is>
      </c>
      <c r="F2561" t="inlineStr">
        <is>
          <t>No</t>
        </is>
      </c>
      <c r="G2561" t="inlineStr">
        <is>
          <t>1</t>
        </is>
      </c>
      <c r="H2561" t="inlineStr">
        <is>
          <t>No</t>
        </is>
      </c>
      <c r="I2561" t="inlineStr">
        <is>
          <t>No</t>
        </is>
      </c>
      <c r="J2561" t="inlineStr">
        <is>
          <t>0</t>
        </is>
      </c>
      <c r="K2561" t="inlineStr">
        <is>
          <t>Lewis, Michael, 1937 January 10-, compiler.</t>
        </is>
      </c>
      <c r="L2561" t="inlineStr">
        <is>
          <t>New York : Wiley, [1974]</t>
        </is>
      </c>
      <c r="M2561" t="inlineStr">
        <is>
          <t>1974</t>
        </is>
      </c>
      <c r="O2561" t="inlineStr">
        <is>
          <t>eng</t>
        </is>
      </c>
      <c r="P2561" t="inlineStr">
        <is>
          <t>nyu</t>
        </is>
      </c>
      <c r="Q2561" t="inlineStr">
        <is>
          <t>The Origins of behavior, v. 1</t>
        </is>
      </c>
      <c r="R2561" t="inlineStr">
        <is>
          <t xml:space="preserve">HQ </t>
        </is>
      </c>
      <c r="S2561" t="n">
        <v>7</v>
      </c>
      <c r="T2561" t="n">
        <v>7</v>
      </c>
      <c r="U2561" t="inlineStr">
        <is>
          <t>1995-09-03</t>
        </is>
      </c>
      <c r="V2561" t="inlineStr">
        <is>
          <t>1995-09-03</t>
        </is>
      </c>
      <c r="W2561" t="inlineStr">
        <is>
          <t>1993-03-23</t>
        </is>
      </c>
      <c r="X2561" t="inlineStr">
        <is>
          <t>1993-03-23</t>
        </is>
      </c>
      <c r="Y2561" t="n">
        <v>669</v>
      </c>
      <c r="Z2561" t="n">
        <v>508</v>
      </c>
      <c r="AA2561" t="n">
        <v>517</v>
      </c>
      <c r="AB2561" t="n">
        <v>3</v>
      </c>
      <c r="AC2561" t="n">
        <v>3</v>
      </c>
      <c r="AD2561" t="n">
        <v>23</v>
      </c>
      <c r="AE2561" t="n">
        <v>23</v>
      </c>
      <c r="AF2561" t="n">
        <v>8</v>
      </c>
      <c r="AG2561" t="n">
        <v>8</v>
      </c>
      <c r="AH2561" t="n">
        <v>7</v>
      </c>
      <c r="AI2561" t="n">
        <v>7</v>
      </c>
      <c r="AJ2561" t="n">
        <v>15</v>
      </c>
      <c r="AK2561" t="n">
        <v>15</v>
      </c>
      <c r="AL2561" t="n">
        <v>1</v>
      </c>
      <c r="AM2561" t="n">
        <v>1</v>
      </c>
      <c r="AN2561" t="n">
        <v>0</v>
      </c>
      <c r="AO2561" t="n">
        <v>0</v>
      </c>
      <c r="AP2561" t="inlineStr">
        <is>
          <t>No</t>
        </is>
      </c>
      <c r="AQ2561" t="inlineStr">
        <is>
          <t>Yes</t>
        </is>
      </c>
      <c r="AR2561">
        <f>HYPERLINK("http://catalog.hathitrust.org/Record/001108384","HathiTrust Record")</f>
        <v/>
      </c>
      <c r="AS2561">
        <f>HYPERLINK("https://creighton-primo.hosted.exlibrisgroup.com/primo-explore/search?tab=default_tab&amp;search_scope=EVERYTHING&amp;vid=01CRU&amp;lang=en_US&amp;offset=0&amp;query=any,contains,991003156419702656","Catalog Record")</f>
        <v/>
      </c>
      <c r="AT2561">
        <f>HYPERLINK("http://www.worldcat.org/oclc/695575","WorldCat Record")</f>
        <v/>
      </c>
      <c r="AU2561" t="inlineStr">
        <is>
          <t>1811598:eng</t>
        </is>
      </c>
      <c r="AV2561" t="inlineStr">
        <is>
          <t>695575</t>
        </is>
      </c>
      <c r="AW2561" t="inlineStr">
        <is>
          <t>991003156419702656</t>
        </is>
      </c>
      <c r="AX2561" t="inlineStr">
        <is>
          <t>991003156419702656</t>
        </is>
      </c>
      <c r="AY2561" t="inlineStr">
        <is>
          <t>2267690320002656</t>
        </is>
      </c>
      <c r="AZ2561" t="inlineStr">
        <is>
          <t>BOOK</t>
        </is>
      </c>
      <c r="BB2561" t="inlineStr">
        <is>
          <t>9780471532026</t>
        </is>
      </c>
      <c r="BC2561" t="inlineStr">
        <is>
          <t>32285001578151</t>
        </is>
      </c>
      <c r="BD2561" t="inlineStr">
        <is>
          <t>893686243</t>
        </is>
      </c>
    </row>
    <row r="2562">
      <c r="A2562" t="inlineStr">
        <is>
          <t>No</t>
        </is>
      </c>
      <c r="B2562" t="inlineStr">
        <is>
          <t>HQ774 .L53</t>
        </is>
      </c>
      <c r="C2562" t="inlineStr">
        <is>
          <t>0                      HQ 0774000L  53</t>
        </is>
      </c>
      <c r="D2562" t="inlineStr">
        <is>
          <t>"Let me introduce mySelf" : the first 30 months of life : a guide for parents of infant children / Ernest Mayfield Ligon, Lucie W. Barber, Herman J. Williams, and the staff of the Union College Character Research Project ; illustrated by Karl Cernik.</t>
        </is>
      </c>
      <c r="F2562" t="inlineStr">
        <is>
          <t>No</t>
        </is>
      </c>
      <c r="G2562" t="inlineStr">
        <is>
          <t>1</t>
        </is>
      </c>
      <c r="H2562" t="inlineStr">
        <is>
          <t>No</t>
        </is>
      </c>
      <c r="I2562" t="inlineStr">
        <is>
          <t>No</t>
        </is>
      </c>
      <c r="J2562" t="inlineStr">
        <is>
          <t>0</t>
        </is>
      </c>
      <c r="K2562" t="inlineStr">
        <is>
          <t>Ligon, Ernest Mayfield, 1897-1984.</t>
        </is>
      </c>
      <c r="L2562" t="inlineStr">
        <is>
          <t>Schenectady, N.Y. : Character Research Press, c1976.</t>
        </is>
      </c>
      <c r="M2562" t="inlineStr">
        <is>
          <t>1976</t>
        </is>
      </c>
      <c r="O2562" t="inlineStr">
        <is>
          <t>eng</t>
        </is>
      </c>
      <c r="P2562" t="inlineStr">
        <is>
          <t>nyu</t>
        </is>
      </c>
      <c r="R2562" t="inlineStr">
        <is>
          <t xml:space="preserve">HQ </t>
        </is>
      </c>
      <c r="S2562" t="n">
        <v>3</v>
      </c>
      <c r="T2562" t="n">
        <v>3</v>
      </c>
      <c r="U2562" t="inlineStr">
        <is>
          <t>1994-11-19</t>
        </is>
      </c>
      <c r="V2562" t="inlineStr">
        <is>
          <t>1994-11-19</t>
        </is>
      </c>
      <c r="W2562" t="inlineStr">
        <is>
          <t>1992-03-10</t>
        </is>
      </c>
      <c r="X2562" t="inlineStr">
        <is>
          <t>1992-03-10</t>
        </is>
      </c>
      <c r="Y2562" t="n">
        <v>39</v>
      </c>
      <c r="Z2562" t="n">
        <v>35</v>
      </c>
      <c r="AA2562" t="n">
        <v>47</v>
      </c>
      <c r="AB2562" t="n">
        <v>2</v>
      </c>
      <c r="AC2562" t="n">
        <v>2</v>
      </c>
      <c r="AD2562" t="n">
        <v>1</v>
      </c>
      <c r="AE2562" t="n">
        <v>1</v>
      </c>
      <c r="AF2562" t="n">
        <v>0</v>
      </c>
      <c r="AG2562" t="n">
        <v>0</v>
      </c>
      <c r="AH2562" t="n">
        <v>0</v>
      </c>
      <c r="AI2562" t="n">
        <v>0</v>
      </c>
      <c r="AJ2562" t="n">
        <v>0</v>
      </c>
      <c r="AK2562" t="n">
        <v>0</v>
      </c>
      <c r="AL2562" t="n">
        <v>1</v>
      </c>
      <c r="AM2562" t="n">
        <v>1</v>
      </c>
      <c r="AN2562" t="n">
        <v>0</v>
      </c>
      <c r="AO2562" t="n">
        <v>0</v>
      </c>
      <c r="AP2562" t="inlineStr">
        <is>
          <t>No</t>
        </is>
      </c>
      <c r="AQ2562" t="inlineStr">
        <is>
          <t>No</t>
        </is>
      </c>
      <c r="AS2562">
        <f>HYPERLINK("https://creighton-primo.hosted.exlibrisgroup.com/primo-explore/search?tab=default_tab&amp;search_scope=EVERYTHING&amp;vid=01CRU&amp;lang=en_US&amp;offset=0&amp;query=any,contains,991004314869702656","Catalog Record")</f>
        <v/>
      </c>
      <c r="AT2562">
        <f>HYPERLINK("http://www.worldcat.org/oclc/3003352","WorldCat Record")</f>
        <v/>
      </c>
      <c r="AU2562" t="inlineStr">
        <is>
          <t>231369196:eng</t>
        </is>
      </c>
      <c r="AV2562" t="inlineStr">
        <is>
          <t>3003352</t>
        </is>
      </c>
      <c r="AW2562" t="inlineStr">
        <is>
          <t>991004314869702656</t>
        </is>
      </c>
      <c r="AX2562" t="inlineStr">
        <is>
          <t>991004314869702656</t>
        </is>
      </c>
      <c r="AY2562" t="inlineStr">
        <is>
          <t>2270922290002656</t>
        </is>
      </c>
      <c r="AZ2562" t="inlineStr">
        <is>
          <t>BOOK</t>
        </is>
      </c>
      <c r="BB2562" t="inlineStr">
        <is>
          <t>9780915744046</t>
        </is>
      </c>
      <c r="BC2562" t="inlineStr">
        <is>
          <t>32285001001030</t>
        </is>
      </c>
      <c r="BD2562" t="inlineStr">
        <is>
          <t>893500396</t>
        </is>
      </c>
    </row>
    <row r="2563">
      <c r="A2563" t="inlineStr">
        <is>
          <t>No</t>
        </is>
      </c>
      <c r="B2563" t="inlineStr">
        <is>
          <t>HQ774.5 .L54 1993</t>
        </is>
      </c>
      <c r="C2563" t="inlineStr">
        <is>
          <t>0                      HQ 0774500L  54          1993</t>
        </is>
      </c>
      <c r="D2563" t="inlineStr">
        <is>
          <t>The emotional life of the toddler / Alicia F. Lieberman.</t>
        </is>
      </c>
      <c r="F2563" t="inlineStr">
        <is>
          <t>No</t>
        </is>
      </c>
      <c r="G2563" t="inlineStr">
        <is>
          <t>1</t>
        </is>
      </c>
      <c r="H2563" t="inlineStr">
        <is>
          <t>No</t>
        </is>
      </c>
      <c r="I2563" t="inlineStr">
        <is>
          <t>No</t>
        </is>
      </c>
      <c r="J2563" t="inlineStr">
        <is>
          <t>0</t>
        </is>
      </c>
      <c r="K2563" t="inlineStr">
        <is>
          <t>Lieberman, Alicia F.</t>
        </is>
      </c>
      <c r="L2563" t="inlineStr">
        <is>
          <t>New York : Free Press ; Toronto : Maxwell Macmillan Canada ; New York : Maxwell Macmillan International, c1993.</t>
        </is>
      </c>
      <c r="M2563" t="inlineStr">
        <is>
          <t>1993</t>
        </is>
      </c>
      <c r="O2563" t="inlineStr">
        <is>
          <t>eng</t>
        </is>
      </c>
      <c r="P2563" t="inlineStr">
        <is>
          <t>nyu</t>
        </is>
      </c>
      <c r="R2563" t="inlineStr">
        <is>
          <t xml:space="preserve">HQ </t>
        </is>
      </c>
      <c r="S2563" t="n">
        <v>16</v>
      </c>
      <c r="T2563" t="n">
        <v>16</v>
      </c>
      <c r="U2563" t="inlineStr">
        <is>
          <t>2009-07-21</t>
        </is>
      </c>
      <c r="V2563" t="inlineStr">
        <is>
          <t>2009-07-21</t>
        </is>
      </c>
      <c r="W2563" t="inlineStr">
        <is>
          <t>1993-11-29</t>
        </is>
      </c>
      <c r="X2563" t="inlineStr">
        <is>
          <t>1993-11-29</t>
        </is>
      </c>
      <c r="Y2563" t="n">
        <v>631</v>
      </c>
      <c r="Z2563" t="n">
        <v>526</v>
      </c>
      <c r="AA2563" t="n">
        <v>922</v>
      </c>
      <c r="AB2563" t="n">
        <v>5</v>
      </c>
      <c r="AC2563" t="n">
        <v>8</v>
      </c>
      <c r="AD2563" t="n">
        <v>18</v>
      </c>
      <c r="AE2563" t="n">
        <v>21</v>
      </c>
      <c r="AF2563" t="n">
        <v>5</v>
      </c>
      <c r="AG2563" t="n">
        <v>7</v>
      </c>
      <c r="AH2563" t="n">
        <v>5</v>
      </c>
      <c r="AI2563" t="n">
        <v>5</v>
      </c>
      <c r="AJ2563" t="n">
        <v>9</v>
      </c>
      <c r="AK2563" t="n">
        <v>10</v>
      </c>
      <c r="AL2563" t="n">
        <v>3</v>
      </c>
      <c r="AM2563" t="n">
        <v>3</v>
      </c>
      <c r="AN2563" t="n">
        <v>0</v>
      </c>
      <c r="AO2563" t="n">
        <v>0</v>
      </c>
      <c r="AP2563" t="inlineStr">
        <is>
          <t>No</t>
        </is>
      </c>
      <c r="AQ2563" t="inlineStr">
        <is>
          <t>Yes</t>
        </is>
      </c>
      <c r="AR2563">
        <f>HYPERLINK("http://catalog.hathitrust.org/Record/002716519","HathiTrust Record")</f>
        <v/>
      </c>
      <c r="AS2563">
        <f>HYPERLINK("https://creighton-primo.hosted.exlibrisgroup.com/primo-explore/search?tab=default_tab&amp;search_scope=EVERYTHING&amp;vid=01CRU&amp;lang=en_US&amp;offset=0&amp;query=any,contains,991002172419702656","Catalog Record")</f>
        <v/>
      </c>
      <c r="AT2563">
        <f>HYPERLINK("http://www.worldcat.org/oclc/27973593","WorldCat Record")</f>
        <v/>
      </c>
      <c r="AU2563" t="inlineStr">
        <is>
          <t>325202:eng</t>
        </is>
      </c>
      <c r="AV2563" t="inlineStr">
        <is>
          <t>27973593</t>
        </is>
      </c>
      <c r="AW2563" t="inlineStr">
        <is>
          <t>991002172419702656</t>
        </is>
      </c>
      <c r="AX2563" t="inlineStr">
        <is>
          <t>991002172419702656</t>
        </is>
      </c>
      <c r="AY2563" t="inlineStr">
        <is>
          <t>2263780260002656</t>
        </is>
      </c>
      <c r="AZ2563" t="inlineStr">
        <is>
          <t>BOOK</t>
        </is>
      </c>
      <c r="BB2563" t="inlineStr">
        <is>
          <t>9780029190210</t>
        </is>
      </c>
      <c r="BC2563" t="inlineStr">
        <is>
          <t>32285001812832</t>
        </is>
      </c>
      <c r="BD2563" t="inlineStr">
        <is>
          <t>893341116</t>
        </is>
      </c>
    </row>
    <row r="2564">
      <c r="A2564" t="inlineStr">
        <is>
          <t>No</t>
        </is>
      </c>
      <c r="B2564" t="inlineStr">
        <is>
          <t>HQ775 .M44 2009</t>
        </is>
      </c>
      <c r="C2564" t="inlineStr">
        <is>
          <t>0                      HQ 0775000M  44          2009</t>
        </is>
      </c>
      <c r="D2564" t="inlineStr">
        <is>
          <t>Boys should be boys : 7 secrets to raising healthy sons / Meg Meeker.</t>
        </is>
      </c>
      <c r="F2564" t="inlineStr">
        <is>
          <t>No</t>
        </is>
      </c>
      <c r="G2564" t="inlineStr">
        <is>
          <t>1</t>
        </is>
      </c>
      <c r="H2564" t="inlineStr">
        <is>
          <t>No</t>
        </is>
      </c>
      <c r="I2564" t="inlineStr">
        <is>
          <t>No</t>
        </is>
      </c>
      <c r="J2564" t="inlineStr">
        <is>
          <t>0</t>
        </is>
      </c>
      <c r="K2564" t="inlineStr">
        <is>
          <t>Meeker, Margaret J.</t>
        </is>
      </c>
      <c r="L2564" t="inlineStr">
        <is>
          <t>New York : Ballantine Books, 2009.</t>
        </is>
      </c>
      <c r="M2564" t="inlineStr">
        <is>
          <t>2009</t>
        </is>
      </c>
      <c r="N2564" t="inlineStr">
        <is>
          <t>2009 Ballantine Books Trade pbk. ed.</t>
        </is>
      </c>
      <c r="O2564" t="inlineStr">
        <is>
          <t>eng</t>
        </is>
      </c>
      <c r="P2564" t="inlineStr">
        <is>
          <t>nyu</t>
        </is>
      </c>
      <c r="R2564" t="inlineStr">
        <is>
          <t xml:space="preserve">HQ </t>
        </is>
      </c>
      <c r="S2564" t="n">
        <v>3</v>
      </c>
      <c r="T2564" t="n">
        <v>3</v>
      </c>
      <c r="U2564" t="inlineStr">
        <is>
          <t>2010-03-08</t>
        </is>
      </c>
      <c r="V2564" t="inlineStr">
        <is>
          <t>2010-03-08</t>
        </is>
      </c>
      <c r="W2564" t="inlineStr">
        <is>
          <t>2009-06-10</t>
        </is>
      </c>
      <c r="X2564" t="inlineStr">
        <is>
          <t>2009-06-10</t>
        </is>
      </c>
      <c r="Y2564" t="n">
        <v>169</v>
      </c>
      <c r="Z2564" t="n">
        <v>159</v>
      </c>
      <c r="AA2564" t="n">
        <v>673</v>
      </c>
      <c r="AB2564" t="n">
        <v>2</v>
      </c>
      <c r="AC2564" t="n">
        <v>5</v>
      </c>
      <c r="AD2564" t="n">
        <v>0</v>
      </c>
      <c r="AE2564" t="n">
        <v>0</v>
      </c>
      <c r="AF2564" t="n">
        <v>0</v>
      </c>
      <c r="AG2564" t="n">
        <v>0</v>
      </c>
      <c r="AH2564" t="n">
        <v>0</v>
      </c>
      <c r="AI2564" t="n">
        <v>0</v>
      </c>
      <c r="AJ2564" t="n">
        <v>0</v>
      </c>
      <c r="AK2564" t="n">
        <v>0</v>
      </c>
      <c r="AL2564" t="n">
        <v>0</v>
      </c>
      <c r="AM2564" t="n">
        <v>0</v>
      </c>
      <c r="AN2564" t="n">
        <v>0</v>
      </c>
      <c r="AO2564" t="n">
        <v>0</v>
      </c>
      <c r="AP2564" t="inlineStr">
        <is>
          <t>No</t>
        </is>
      </c>
      <c r="AQ2564" t="inlineStr">
        <is>
          <t>No</t>
        </is>
      </c>
      <c r="AS2564">
        <f>HYPERLINK("https://creighton-primo.hosted.exlibrisgroup.com/primo-explore/search?tab=default_tab&amp;search_scope=EVERYTHING&amp;vid=01CRU&amp;lang=en_US&amp;offset=0&amp;query=any,contains,991005318839702656","Catalog Record")</f>
        <v/>
      </c>
      <c r="AT2564">
        <f>HYPERLINK("http://www.worldcat.org/oclc/251202041","WorldCat Record")</f>
        <v/>
      </c>
      <c r="AU2564" t="inlineStr">
        <is>
          <t>196804727:eng</t>
        </is>
      </c>
      <c r="AV2564" t="inlineStr">
        <is>
          <t>251202041</t>
        </is>
      </c>
      <c r="AW2564" t="inlineStr">
        <is>
          <t>991005318839702656</t>
        </is>
      </c>
      <c r="AX2564" t="inlineStr">
        <is>
          <t>991005318839702656</t>
        </is>
      </c>
      <c r="AY2564" t="inlineStr">
        <is>
          <t>2258456790002656</t>
        </is>
      </c>
      <c r="AZ2564" t="inlineStr">
        <is>
          <t>BOOK</t>
        </is>
      </c>
      <c r="BB2564" t="inlineStr">
        <is>
          <t>9780345513694</t>
        </is>
      </c>
      <c r="BC2564" t="inlineStr">
        <is>
          <t>32285005534317</t>
        </is>
      </c>
      <c r="BD2564" t="inlineStr">
        <is>
          <t>893520829</t>
        </is>
      </c>
    </row>
    <row r="2565">
      <c r="A2565" t="inlineStr">
        <is>
          <t>No</t>
        </is>
      </c>
      <c r="B2565" t="inlineStr">
        <is>
          <t>HQ775 .M58 1992</t>
        </is>
      </c>
      <c r="C2565" t="inlineStr">
        <is>
          <t>0                      HQ 0775000M  58          1992</t>
        </is>
      </c>
      <c r="D2565" t="inlineStr">
        <is>
          <t>Boys will be boys : breaking the link between masculinity and violence / Myriam Miedzian.</t>
        </is>
      </c>
      <c r="F2565" t="inlineStr">
        <is>
          <t>No</t>
        </is>
      </c>
      <c r="G2565" t="inlineStr">
        <is>
          <t>1</t>
        </is>
      </c>
      <c r="H2565" t="inlineStr">
        <is>
          <t>No</t>
        </is>
      </c>
      <c r="I2565" t="inlineStr">
        <is>
          <t>No</t>
        </is>
      </c>
      <c r="J2565" t="inlineStr">
        <is>
          <t>0</t>
        </is>
      </c>
      <c r="K2565" t="inlineStr">
        <is>
          <t>Miedzian, Myriam.</t>
        </is>
      </c>
      <c r="L2565" t="inlineStr">
        <is>
          <t>New York, N.Y. : Anchor Books, 1992.</t>
        </is>
      </c>
      <c r="M2565" t="inlineStr">
        <is>
          <t>1992</t>
        </is>
      </c>
      <c r="O2565" t="inlineStr">
        <is>
          <t>eng</t>
        </is>
      </c>
      <c r="P2565" t="inlineStr">
        <is>
          <t>nyu</t>
        </is>
      </c>
      <c r="R2565" t="inlineStr">
        <is>
          <t xml:space="preserve">HQ </t>
        </is>
      </c>
      <c r="S2565" t="n">
        <v>18</v>
      </c>
      <c r="T2565" t="n">
        <v>18</v>
      </c>
      <c r="U2565" t="inlineStr">
        <is>
          <t>2003-02-01</t>
        </is>
      </c>
      <c r="V2565" t="inlineStr">
        <is>
          <t>2003-02-01</t>
        </is>
      </c>
      <c r="W2565" t="inlineStr">
        <is>
          <t>1992-06-29</t>
        </is>
      </c>
      <c r="X2565" t="inlineStr">
        <is>
          <t>1992-06-29</t>
        </is>
      </c>
      <c r="Y2565" t="n">
        <v>195</v>
      </c>
      <c r="Z2565" t="n">
        <v>178</v>
      </c>
      <c r="AA2565" t="n">
        <v>1250</v>
      </c>
      <c r="AB2565" t="n">
        <v>1</v>
      </c>
      <c r="AC2565" t="n">
        <v>10</v>
      </c>
      <c r="AD2565" t="n">
        <v>2</v>
      </c>
      <c r="AE2565" t="n">
        <v>37</v>
      </c>
      <c r="AF2565" t="n">
        <v>1</v>
      </c>
      <c r="AG2565" t="n">
        <v>16</v>
      </c>
      <c r="AH2565" t="n">
        <v>1</v>
      </c>
      <c r="AI2565" t="n">
        <v>7</v>
      </c>
      <c r="AJ2565" t="n">
        <v>1</v>
      </c>
      <c r="AK2565" t="n">
        <v>15</v>
      </c>
      <c r="AL2565" t="n">
        <v>0</v>
      </c>
      <c r="AM2565" t="n">
        <v>8</v>
      </c>
      <c r="AN2565" t="n">
        <v>0</v>
      </c>
      <c r="AO2565" t="n">
        <v>0</v>
      </c>
      <c r="AP2565" t="inlineStr">
        <is>
          <t>No</t>
        </is>
      </c>
      <c r="AQ2565" t="inlineStr">
        <is>
          <t>Yes</t>
        </is>
      </c>
      <c r="AR2565">
        <f>HYPERLINK("http://catalog.hathitrust.org/Record/012280077","HathiTrust Record")</f>
        <v/>
      </c>
      <c r="AS2565">
        <f>HYPERLINK("https://creighton-primo.hosted.exlibrisgroup.com/primo-explore/search?tab=default_tab&amp;search_scope=EVERYTHING&amp;vid=01CRU&amp;lang=en_US&amp;offset=0&amp;query=any,contains,991001978339702656","Catalog Record")</f>
        <v/>
      </c>
      <c r="AT2565">
        <f>HYPERLINK("http://www.worldcat.org/oclc/25094805","WorldCat Record")</f>
        <v/>
      </c>
      <c r="AU2565" t="inlineStr">
        <is>
          <t>939661:eng</t>
        </is>
      </c>
      <c r="AV2565" t="inlineStr">
        <is>
          <t>25094805</t>
        </is>
      </c>
      <c r="AW2565" t="inlineStr">
        <is>
          <t>991001978339702656</t>
        </is>
      </c>
      <c r="AX2565" t="inlineStr">
        <is>
          <t>991001978339702656</t>
        </is>
      </c>
      <c r="AY2565" t="inlineStr">
        <is>
          <t>2262306330002656</t>
        </is>
      </c>
      <c r="AZ2565" t="inlineStr">
        <is>
          <t>BOOK</t>
        </is>
      </c>
      <c r="BB2565" t="inlineStr">
        <is>
          <t>9780385422543</t>
        </is>
      </c>
      <c r="BC2565" t="inlineStr">
        <is>
          <t>32285001156248</t>
        </is>
      </c>
      <c r="BD2565" t="inlineStr">
        <is>
          <t>893798020</t>
        </is>
      </c>
    </row>
    <row r="2566">
      <c r="A2566" t="inlineStr">
        <is>
          <t>No</t>
        </is>
      </c>
      <c r="B2566" t="inlineStr">
        <is>
          <t>HQ775 .P65 1998</t>
        </is>
      </c>
      <c r="C2566" t="inlineStr">
        <is>
          <t>0                      HQ 0775000P  65          1998</t>
        </is>
      </c>
      <c r="D2566" t="inlineStr">
        <is>
          <t>Real boys : rescuing our sons from the myths of boyhood / William Pollack.</t>
        </is>
      </c>
      <c r="F2566" t="inlineStr">
        <is>
          <t>No</t>
        </is>
      </c>
      <c r="G2566" t="inlineStr">
        <is>
          <t>1</t>
        </is>
      </c>
      <c r="H2566" t="inlineStr">
        <is>
          <t>No</t>
        </is>
      </c>
      <c r="I2566" t="inlineStr">
        <is>
          <t>No</t>
        </is>
      </c>
      <c r="J2566" t="inlineStr">
        <is>
          <t>0</t>
        </is>
      </c>
      <c r="K2566" t="inlineStr">
        <is>
          <t>Pollack, William S.</t>
        </is>
      </c>
      <c r="L2566" t="inlineStr">
        <is>
          <t>New York : Random House, c1998.</t>
        </is>
      </c>
      <c r="M2566" t="inlineStr">
        <is>
          <t>1998</t>
        </is>
      </c>
      <c r="N2566" t="inlineStr">
        <is>
          <t>1st ed.</t>
        </is>
      </c>
      <c r="O2566" t="inlineStr">
        <is>
          <t>eng</t>
        </is>
      </c>
      <c r="P2566" t="inlineStr">
        <is>
          <t>nyu</t>
        </is>
      </c>
      <c r="R2566" t="inlineStr">
        <is>
          <t xml:space="preserve">HQ </t>
        </is>
      </c>
      <c r="S2566" t="n">
        <v>16</v>
      </c>
      <c r="T2566" t="n">
        <v>16</v>
      </c>
      <c r="U2566" t="inlineStr">
        <is>
          <t>2007-07-23</t>
        </is>
      </c>
      <c r="V2566" t="inlineStr">
        <is>
          <t>2007-07-23</t>
        </is>
      </c>
      <c r="W2566" t="inlineStr">
        <is>
          <t>1998-07-09</t>
        </is>
      </c>
      <c r="X2566" t="inlineStr">
        <is>
          <t>1998-07-09</t>
        </is>
      </c>
      <c r="Y2566" t="n">
        <v>1301</v>
      </c>
      <c r="Z2566" t="n">
        <v>1224</v>
      </c>
      <c r="AA2566" t="n">
        <v>2202</v>
      </c>
      <c r="AB2566" t="n">
        <v>13</v>
      </c>
      <c r="AC2566" t="n">
        <v>22</v>
      </c>
      <c r="AD2566" t="n">
        <v>29</v>
      </c>
      <c r="AE2566" t="n">
        <v>46</v>
      </c>
      <c r="AF2566" t="n">
        <v>12</v>
      </c>
      <c r="AG2566" t="n">
        <v>21</v>
      </c>
      <c r="AH2566" t="n">
        <v>4</v>
      </c>
      <c r="AI2566" t="n">
        <v>7</v>
      </c>
      <c r="AJ2566" t="n">
        <v>13</v>
      </c>
      <c r="AK2566" t="n">
        <v>17</v>
      </c>
      <c r="AL2566" t="n">
        <v>4</v>
      </c>
      <c r="AM2566" t="n">
        <v>9</v>
      </c>
      <c r="AN2566" t="n">
        <v>1</v>
      </c>
      <c r="AO2566" t="n">
        <v>1</v>
      </c>
      <c r="AP2566" t="inlineStr">
        <is>
          <t>No</t>
        </is>
      </c>
      <c r="AQ2566" t="inlineStr">
        <is>
          <t>No</t>
        </is>
      </c>
      <c r="AS2566">
        <f>HYPERLINK("https://creighton-primo.hosted.exlibrisgroup.com/primo-explore/search?tab=default_tab&amp;search_scope=EVERYTHING&amp;vid=01CRU&amp;lang=en_US&amp;offset=0&amp;query=any,contains,991002922509702656","Catalog Record")</f>
        <v/>
      </c>
      <c r="AT2566">
        <f>HYPERLINK("http://www.worldcat.org/oclc/38842068","WorldCat Record")</f>
        <v/>
      </c>
      <c r="AU2566" t="inlineStr">
        <is>
          <t>263353:eng</t>
        </is>
      </c>
      <c r="AV2566" t="inlineStr">
        <is>
          <t>38842068</t>
        </is>
      </c>
      <c r="AW2566" t="inlineStr">
        <is>
          <t>991002922509702656</t>
        </is>
      </c>
      <c r="AX2566" t="inlineStr">
        <is>
          <t>991002922509702656</t>
        </is>
      </c>
      <c r="AY2566" t="inlineStr">
        <is>
          <t>2256975680002656</t>
        </is>
      </c>
      <c r="AZ2566" t="inlineStr">
        <is>
          <t>BOOK</t>
        </is>
      </c>
      <c r="BB2566" t="inlineStr">
        <is>
          <t>9780375501319</t>
        </is>
      </c>
      <c r="BC2566" t="inlineStr">
        <is>
          <t>32285003431318</t>
        </is>
      </c>
      <c r="BD2566" t="inlineStr">
        <is>
          <t>893352601</t>
        </is>
      </c>
    </row>
    <row r="2567">
      <c r="A2567" t="inlineStr">
        <is>
          <t>No</t>
        </is>
      </c>
      <c r="B2567" t="inlineStr">
        <is>
          <t>HQ776.3 .C4765 1981</t>
        </is>
      </c>
      <c r="C2567" t="inlineStr">
        <is>
          <t>0                      HQ 0776300C  4765        1981</t>
        </is>
      </c>
      <c r="D2567" t="inlineStr">
        <is>
          <t>Christian married love / edited by Raymond Dennehy.</t>
        </is>
      </c>
      <c r="F2567" t="inlineStr">
        <is>
          <t>No</t>
        </is>
      </c>
      <c r="G2567" t="inlineStr">
        <is>
          <t>1</t>
        </is>
      </c>
      <c r="H2567" t="inlineStr">
        <is>
          <t>No</t>
        </is>
      </c>
      <c r="I2567" t="inlineStr">
        <is>
          <t>No</t>
        </is>
      </c>
      <c r="J2567" t="inlineStr">
        <is>
          <t>0</t>
        </is>
      </c>
      <c r="L2567" t="inlineStr">
        <is>
          <t>[San Francisco] : Ignatius Press, c1981.</t>
        </is>
      </c>
      <c r="M2567" t="inlineStr">
        <is>
          <t>1981</t>
        </is>
      </c>
      <c r="O2567" t="inlineStr">
        <is>
          <t>eng</t>
        </is>
      </c>
      <c r="P2567" t="inlineStr">
        <is>
          <t>cau</t>
        </is>
      </c>
      <c r="R2567" t="inlineStr">
        <is>
          <t xml:space="preserve">HQ </t>
        </is>
      </c>
      <c r="S2567" t="n">
        <v>7</v>
      </c>
      <c r="T2567" t="n">
        <v>7</v>
      </c>
      <c r="U2567" t="inlineStr">
        <is>
          <t>2002-05-29</t>
        </is>
      </c>
      <c r="V2567" t="inlineStr">
        <is>
          <t>2002-05-29</t>
        </is>
      </c>
      <c r="W2567" t="inlineStr">
        <is>
          <t>1992-04-01</t>
        </is>
      </c>
      <c r="X2567" t="inlineStr">
        <is>
          <t>1992-04-01</t>
        </is>
      </c>
      <c r="Y2567" t="n">
        <v>120</v>
      </c>
      <c r="Z2567" t="n">
        <v>102</v>
      </c>
      <c r="AA2567" t="n">
        <v>105</v>
      </c>
      <c r="AB2567" t="n">
        <v>2</v>
      </c>
      <c r="AC2567" t="n">
        <v>2</v>
      </c>
      <c r="AD2567" t="n">
        <v>18</v>
      </c>
      <c r="AE2567" t="n">
        <v>18</v>
      </c>
      <c r="AF2567" t="n">
        <v>6</v>
      </c>
      <c r="AG2567" t="n">
        <v>6</v>
      </c>
      <c r="AH2567" t="n">
        <v>4</v>
      </c>
      <c r="AI2567" t="n">
        <v>4</v>
      </c>
      <c r="AJ2567" t="n">
        <v>14</v>
      </c>
      <c r="AK2567" t="n">
        <v>14</v>
      </c>
      <c r="AL2567" t="n">
        <v>0</v>
      </c>
      <c r="AM2567" t="n">
        <v>0</v>
      </c>
      <c r="AN2567" t="n">
        <v>0</v>
      </c>
      <c r="AO2567" t="n">
        <v>0</v>
      </c>
      <c r="AP2567" t="inlineStr">
        <is>
          <t>No</t>
        </is>
      </c>
      <c r="AQ2567" t="inlineStr">
        <is>
          <t>Yes</t>
        </is>
      </c>
      <c r="AR2567">
        <f>HYPERLINK("http://catalog.hathitrust.org/Record/000144631","HathiTrust Record")</f>
        <v/>
      </c>
      <c r="AS2567">
        <f>HYPERLINK("https://creighton-primo.hosted.exlibrisgroup.com/primo-explore/search?tab=default_tab&amp;search_scope=EVERYTHING&amp;vid=01CRU&amp;lang=en_US&amp;offset=0&amp;query=any,contains,991005234489702656","Catalog Record")</f>
        <v/>
      </c>
      <c r="AT2567">
        <f>HYPERLINK("http://www.worldcat.org/oclc/8354922","WorldCat Record")</f>
        <v/>
      </c>
      <c r="AU2567" t="inlineStr">
        <is>
          <t>554622:eng</t>
        </is>
      </c>
      <c r="AV2567" t="inlineStr">
        <is>
          <t>8354922</t>
        </is>
      </c>
      <c r="AW2567" t="inlineStr">
        <is>
          <t>991005234489702656</t>
        </is>
      </c>
      <c r="AX2567" t="inlineStr">
        <is>
          <t>991005234489702656</t>
        </is>
      </c>
      <c r="AY2567" t="inlineStr">
        <is>
          <t>2258184870002656</t>
        </is>
      </c>
      <c r="AZ2567" t="inlineStr">
        <is>
          <t>BOOK</t>
        </is>
      </c>
      <c r="BB2567" t="inlineStr">
        <is>
          <t>9780898700084</t>
        </is>
      </c>
      <c r="BC2567" t="inlineStr">
        <is>
          <t>32285001047330</t>
        </is>
      </c>
      <c r="BD2567" t="inlineStr">
        <is>
          <t>893619668</t>
        </is>
      </c>
    </row>
    <row r="2568">
      <c r="A2568" t="inlineStr">
        <is>
          <t>No</t>
        </is>
      </c>
      <c r="B2568" t="inlineStr">
        <is>
          <t>HQ777 .B245 2000</t>
        </is>
      </c>
      <c r="C2568" t="inlineStr">
        <is>
          <t>0                      HQ 0777000B  245         2000</t>
        </is>
      </c>
      <c r="D2568" t="inlineStr">
        <is>
          <t>Urban girls : empowerment in especially difficult circumstances / Gary Barker and Felicia Knaul with Neide Cassaniga and Anita Schrader.</t>
        </is>
      </c>
      <c r="F2568" t="inlineStr">
        <is>
          <t>No</t>
        </is>
      </c>
      <c r="G2568" t="inlineStr">
        <is>
          <t>1</t>
        </is>
      </c>
      <c r="H2568" t="inlineStr">
        <is>
          <t>No</t>
        </is>
      </c>
      <c r="I2568" t="inlineStr">
        <is>
          <t>No</t>
        </is>
      </c>
      <c r="J2568" t="inlineStr">
        <is>
          <t>0</t>
        </is>
      </c>
      <c r="K2568" t="inlineStr">
        <is>
          <t>Barker, Gary.</t>
        </is>
      </c>
      <c r="L2568" t="inlineStr">
        <is>
          <t>London : Intermediate Technology, 2000.</t>
        </is>
      </c>
      <c r="M2568" t="inlineStr">
        <is>
          <t>1999</t>
        </is>
      </c>
      <c r="O2568" t="inlineStr">
        <is>
          <t>eng</t>
        </is>
      </c>
      <c r="P2568" t="inlineStr">
        <is>
          <t>enk</t>
        </is>
      </c>
      <c r="R2568" t="inlineStr">
        <is>
          <t xml:space="preserve">HQ </t>
        </is>
      </c>
      <c r="S2568" t="n">
        <v>4</v>
      </c>
      <c r="T2568" t="n">
        <v>4</v>
      </c>
      <c r="U2568" t="inlineStr">
        <is>
          <t>2006-07-12</t>
        </is>
      </c>
      <c r="V2568" t="inlineStr">
        <is>
          <t>2006-07-12</t>
        </is>
      </c>
      <c r="W2568" t="inlineStr">
        <is>
          <t>2001-03-28</t>
        </is>
      </c>
      <c r="X2568" t="inlineStr">
        <is>
          <t>2001-03-28</t>
        </is>
      </c>
      <c r="Y2568" t="n">
        <v>224</v>
      </c>
      <c r="Z2568" t="n">
        <v>152</v>
      </c>
      <c r="AA2568" t="n">
        <v>161</v>
      </c>
      <c r="AB2568" t="n">
        <v>3</v>
      </c>
      <c r="AC2568" t="n">
        <v>3</v>
      </c>
      <c r="AD2568" t="n">
        <v>7</v>
      </c>
      <c r="AE2568" t="n">
        <v>8</v>
      </c>
      <c r="AF2568" t="n">
        <v>1</v>
      </c>
      <c r="AG2568" t="n">
        <v>2</v>
      </c>
      <c r="AH2568" t="n">
        <v>2</v>
      </c>
      <c r="AI2568" t="n">
        <v>3</v>
      </c>
      <c r="AJ2568" t="n">
        <v>3</v>
      </c>
      <c r="AK2568" t="n">
        <v>3</v>
      </c>
      <c r="AL2568" t="n">
        <v>2</v>
      </c>
      <c r="AM2568" t="n">
        <v>2</v>
      </c>
      <c r="AN2568" t="n">
        <v>0</v>
      </c>
      <c r="AO2568" t="n">
        <v>0</v>
      </c>
      <c r="AP2568" t="inlineStr">
        <is>
          <t>No</t>
        </is>
      </c>
      <c r="AQ2568" t="inlineStr">
        <is>
          <t>Yes</t>
        </is>
      </c>
      <c r="AR2568">
        <f>HYPERLINK("http://catalog.hathitrust.org/Record/007139877","HathiTrust Record")</f>
        <v/>
      </c>
      <c r="AS2568">
        <f>HYPERLINK("https://creighton-primo.hosted.exlibrisgroup.com/primo-explore/search?tab=default_tab&amp;search_scope=EVERYTHING&amp;vid=01CRU&amp;lang=en_US&amp;offset=0&amp;query=any,contains,991003460899702656","Catalog Record")</f>
        <v/>
      </c>
      <c r="AT2568">
        <f>HYPERLINK("http://www.worldcat.org/oclc/41465627","WorldCat Record")</f>
        <v/>
      </c>
      <c r="AU2568" t="inlineStr">
        <is>
          <t>1102967779:eng</t>
        </is>
      </c>
      <c r="AV2568" t="inlineStr">
        <is>
          <t>41465627</t>
        </is>
      </c>
      <c r="AW2568" t="inlineStr">
        <is>
          <t>991003460899702656</t>
        </is>
      </c>
      <c r="AX2568" t="inlineStr">
        <is>
          <t>991003460899702656</t>
        </is>
      </c>
      <c r="AY2568" t="inlineStr">
        <is>
          <t>2270969870002656</t>
        </is>
      </c>
      <c r="AZ2568" t="inlineStr">
        <is>
          <t>BOOK</t>
        </is>
      </c>
      <c r="BB2568" t="inlineStr">
        <is>
          <t>9781853394751</t>
        </is>
      </c>
      <c r="BC2568" t="inlineStr">
        <is>
          <t>32285004308515</t>
        </is>
      </c>
      <c r="BD2568" t="inlineStr">
        <is>
          <t>893717673</t>
        </is>
      </c>
    </row>
    <row r="2569">
      <c r="A2569" t="inlineStr">
        <is>
          <t>No</t>
        </is>
      </c>
      <c r="B2569" t="inlineStr">
        <is>
          <t>HQ777 .B66 1992</t>
        </is>
      </c>
      <c r="C2569" t="inlineStr">
        <is>
          <t>0                      HQ 0777000B  66          1992</t>
        </is>
      </c>
      <c r="D2569" t="inlineStr">
        <is>
          <t>Meeting at the crossroads : women's psychology and girls' development / Lyn Mikel Brown, Carol Gilligan.</t>
        </is>
      </c>
      <c r="F2569" t="inlineStr">
        <is>
          <t>No</t>
        </is>
      </c>
      <c r="G2569" t="inlineStr">
        <is>
          <t>1</t>
        </is>
      </c>
      <c r="H2569" t="inlineStr">
        <is>
          <t>No</t>
        </is>
      </c>
      <c r="I2569" t="inlineStr">
        <is>
          <t>No</t>
        </is>
      </c>
      <c r="J2569" t="inlineStr">
        <is>
          <t>0</t>
        </is>
      </c>
      <c r="K2569" t="inlineStr">
        <is>
          <t>Brown, Lyn Mikel, 1956-</t>
        </is>
      </c>
      <c r="L2569" t="inlineStr">
        <is>
          <t>Cambridge, Mass. : Harvard University Press, 1992.</t>
        </is>
      </c>
      <c r="M2569" t="inlineStr">
        <is>
          <t>1992</t>
        </is>
      </c>
      <c r="O2569" t="inlineStr">
        <is>
          <t>eng</t>
        </is>
      </c>
      <c r="P2569" t="inlineStr">
        <is>
          <t>mau</t>
        </is>
      </c>
      <c r="R2569" t="inlineStr">
        <is>
          <t xml:space="preserve">HQ </t>
        </is>
      </c>
      <c r="S2569" t="n">
        <v>5</v>
      </c>
      <c r="T2569" t="n">
        <v>5</v>
      </c>
      <c r="U2569" t="inlineStr">
        <is>
          <t>2005-11-17</t>
        </is>
      </c>
      <c r="V2569" t="inlineStr">
        <is>
          <t>2005-11-17</t>
        </is>
      </c>
      <c r="W2569" t="inlineStr">
        <is>
          <t>1994-12-06</t>
        </is>
      </c>
      <c r="X2569" t="inlineStr">
        <is>
          <t>1994-12-06</t>
        </is>
      </c>
      <c r="Y2569" t="n">
        <v>1310</v>
      </c>
      <c r="Z2569" t="n">
        <v>1134</v>
      </c>
      <c r="AA2569" t="n">
        <v>1380</v>
      </c>
      <c r="AB2569" t="n">
        <v>10</v>
      </c>
      <c r="AC2569" t="n">
        <v>11</v>
      </c>
      <c r="AD2569" t="n">
        <v>43</v>
      </c>
      <c r="AE2569" t="n">
        <v>47</v>
      </c>
      <c r="AF2569" t="n">
        <v>17</v>
      </c>
      <c r="AG2569" t="n">
        <v>19</v>
      </c>
      <c r="AH2569" t="n">
        <v>9</v>
      </c>
      <c r="AI2569" t="n">
        <v>9</v>
      </c>
      <c r="AJ2569" t="n">
        <v>21</v>
      </c>
      <c r="AK2569" t="n">
        <v>21</v>
      </c>
      <c r="AL2569" t="n">
        <v>7</v>
      </c>
      <c r="AM2569" t="n">
        <v>8</v>
      </c>
      <c r="AN2569" t="n">
        <v>1</v>
      </c>
      <c r="AO2569" t="n">
        <v>2</v>
      </c>
      <c r="AP2569" t="inlineStr">
        <is>
          <t>No</t>
        </is>
      </c>
      <c r="AQ2569" t="inlineStr">
        <is>
          <t>No</t>
        </is>
      </c>
      <c r="AS2569">
        <f>HYPERLINK("https://creighton-primo.hosted.exlibrisgroup.com/primo-explore/search?tab=default_tab&amp;search_scope=EVERYTHING&amp;vid=01CRU&amp;lang=en_US&amp;offset=0&amp;query=any,contains,991002026299702656","Catalog Record")</f>
        <v/>
      </c>
      <c r="AT2569">
        <f>HYPERLINK("http://www.worldcat.org/oclc/25787549","WorldCat Record")</f>
        <v/>
      </c>
      <c r="AU2569" t="inlineStr">
        <is>
          <t>799108583:eng</t>
        </is>
      </c>
      <c r="AV2569" t="inlineStr">
        <is>
          <t>25787549</t>
        </is>
      </c>
      <c r="AW2569" t="inlineStr">
        <is>
          <t>991002026299702656</t>
        </is>
      </c>
      <c r="AX2569" t="inlineStr">
        <is>
          <t>991002026299702656</t>
        </is>
      </c>
      <c r="AY2569" t="inlineStr">
        <is>
          <t>2255736210002656</t>
        </is>
      </c>
      <c r="AZ2569" t="inlineStr">
        <is>
          <t>BOOK</t>
        </is>
      </c>
      <c r="BB2569" t="inlineStr">
        <is>
          <t>9780674564640</t>
        </is>
      </c>
      <c r="BC2569" t="inlineStr">
        <is>
          <t>32285001975993</t>
        </is>
      </c>
      <c r="BD2569" t="inlineStr">
        <is>
          <t>893352122</t>
        </is>
      </c>
    </row>
    <row r="2570">
      <c r="A2570" t="inlineStr">
        <is>
          <t>No</t>
        </is>
      </c>
      <c r="B2570" t="inlineStr">
        <is>
          <t>HQ777 .F87 1998</t>
        </is>
      </c>
      <c r="C2570" t="inlineStr">
        <is>
          <t>0                      HQ 0777000F  87          1998</t>
        </is>
      </c>
      <c r="D2570" t="inlineStr">
        <is>
          <t>Does Jane compute? : preserving our daughters' place in the cyber revolution / Roberta Furger.</t>
        </is>
      </c>
      <c r="F2570" t="inlineStr">
        <is>
          <t>No</t>
        </is>
      </c>
      <c r="G2570" t="inlineStr">
        <is>
          <t>1</t>
        </is>
      </c>
      <c r="H2570" t="inlineStr">
        <is>
          <t>No</t>
        </is>
      </c>
      <c r="I2570" t="inlineStr">
        <is>
          <t>No</t>
        </is>
      </c>
      <c r="J2570" t="inlineStr">
        <is>
          <t>0</t>
        </is>
      </c>
      <c r="K2570" t="inlineStr">
        <is>
          <t>Furger, Roberta.</t>
        </is>
      </c>
      <c r="L2570" t="inlineStr">
        <is>
          <t>New York, NY : Warner Books, c1998.</t>
        </is>
      </c>
      <c r="M2570" t="inlineStr">
        <is>
          <t>1998</t>
        </is>
      </c>
      <c r="O2570" t="inlineStr">
        <is>
          <t>eng</t>
        </is>
      </c>
      <c r="P2570" t="inlineStr">
        <is>
          <t>nyu</t>
        </is>
      </c>
      <c r="R2570" t="inlineStr">
        <is>
          <t xml:space="preserve">HQ </t>
        </is>
      </c>
      <c r="S2570" t="n">
        <v>2</v>
      </c>
      <c r="T2570" t="n">
        <v>2</v>
      </c>
      <c r="U2570" t="inlineStr">
        <is>
          <t>2006-07-12</t>
        </is>
      </c>
      <c r="V2570" t="inlineStr">
        <is>
          <t>2006-07-12</t>
        </is>
      </c>
      <c r="W2570" t="inlineStr">
        <is>
          <t>1998-05-12</t>
        </is>
      </c>
      <c r="X2570" t="inlineStr">
        <is>
          <t>1998-05-12</t>
        </is>
      </c>
      <c r="Y2570" t="n">
        <v>539</v>
      </c>
      <c r="Z2570" t="n">
        <v>492</v>
      </c>
      <c r="AA2570" t="n">
        <v>496</v>
      </c>
      <c r="AB2570" t="n">
        <v>2</v>
      </c>
      <c r="AC2570" t="n">
        <v>2</v>
      </c>
      <c r="AD2570" t="n">
        <v>7</v>
      </c>
      <c r="AE2570" t="n">
        <v>7</v>
      </c>
      <c r="AF2570" t="n">
        <v>2</v>
      </c>
      <c r="AG2570" t="n">
        <v>2</v>
      </c>
      <c r="AH2570" t="n">
        <v>3</v>
      </c>
      <c r="AI2570" t="n">
        <v>3</v>
      </c>
      <c r="AJ2570" t="n">
        <v>4</v>
      </c>
      <c r="AK2570" t="n">
        <v>4</v>
      </c>
      <c r="AL2570" t="n">
        <v>1</v>
      </c>
      <c r="AM2570" t="n">
        <v>1</v>
      </c>
      <c r="AN2570" t="n">
        <v>0</v>
      </c>
      <c r="AO2570" t="n">
        <v>0</v>
      </c>
      <c r="AP2570" t="inlineStr">
        <is>
          <t>No</t>
        </is>
      </c>
      <c r="AQ2570" t="inlineStr">
        <is>
          <t>No</t>
        </is>
      </c>
      <c r="AS2570">
        <f>HYPERLINK("https://creighton-primo.hosted.exlibrisgroup.com/primo-explore/search?tab=default_tab&amp;search_scope=EVERYTHING&amp;vid=01CRU&amp;lang=en_US&amp;offset=0&amp;query=any,contains,991002807139702656","Catalog Record")</f>
        <v/>
      </c>
      <c r="AT2570">
        <f>HYPERLINK("http://www.worldcat.org/oclc/36877518","WorldCat Record")</f>
        <v/>
      </c>
      <c r="AU2570" t="inlineStr">
        <is>
          <t>1028239804:eng</t>
        </is>
      </c>
      <c r="AV2570" t="inlineStr">
        <is>
          <t>36877518</t>
        </is>
      </c>
      <c r="AW2570" t="inlineStr">
        <is>
          <t>991002807139702656</t>
        </is>
      </c>
      <c r="AX2570" t="inlineStr">
        <is>
          <t>991002807139702656</t>
        </is>
      </c>
      <c r="AY2570" t="inlineStr">
        <is>
          <t>2256764220002656</t>
        </is>
      </c>
      <c r="AZ2570" t="inlineStr">
        <is>
          <t>BOOK</t>
        </is>
      </c>
      <c r="BB2570" t="inlineStr">
        <is>
          <t>9780446673112</t>
        </is>
      </c>
      <c r="BC2570" t="inlineStr">
        <is>
          <t>32285003407987</t>
        </is>
      </c>
      <c r="BD2570" t="inlineStr">
        <is>
          <t>893524072</t>
        </is>
      </c>
    </row>
    <row r="2571">
      <c r="A2571" t="inlineStr">
        <is>
          <t>No</t>
        </is>
      </c>
      <c r="B2571" t="inlineStr">
        <is>
          <t>HQ777 .G5313 1976</t>
        </is>
      </c>
      <c r="C2571" t="inlineStr">
        <is>
          <t>0                      HQ 0777000G  5313        1976</t>
        </is>
      </c>
      <c r="D2571" t="inlineStr">
        <is>
          <t>What are little girls made of? : the roots of feminine stereotypes / Elena Gianini Belotti ; introduction by Margaret Mead.</t>
        </is>
      </c>
      <c r="F2571" t="inlineStr">
        <is>
          <t>No</t>
        </is>
      </c>
      <c r="G2571" t="inlineStr">
        <is>
          <t>1</t>
        </is>
      </c>
      <c r="H2571" t="inlineStr">
        <is>
          <t>No</t>
        </is>
      </c>
      <c r="I2571" t="inlineStr">
        <is>
          <t>No</t>
        </is>
      </c>
      <c r="J2571" t="inlineStr">
        <is>
          <t>0</t>
        </is>
      </c>
      <c r="K2571" t="inlineStr">
        <is>
          <t>Gianini Belotti, Elena.</t>
        </is>
      </c>
      <c r="L2571" t="inlineStr">
        <is>
          <t>New York : Schocken Books, 1976.</t>
        </is>
      </c>
      <c r="M2571" t="inlineStr">
        <is>
          <t>1976</t>
        </is>
      </c>
      <c r="O2571" t="inlineStr">
        <is>
          <t>eng</t>
        </is>
      </c>
      <c r="P2571" t="inlineStr">
        <is>
          <t>nyu</t>
        </is>
      </c>
      <c r="R2571" t="inlineStr">
        <is>
          <t xml:space="preserve">HQ </t>
        </is>
      </c>
      <c r="S2571" t="n">
        <v>9</v>
      </c>
      <c r="T2571" t="n">
        <v>9</v>
      </c>
      <c r="U2571" t="inlineStr">
        <is>
          <t>2001-03-16</t>
        </is>
      </c>
      <c r="V2571" t="inlineStr">
        <is>
          <t>2001-03-16</t>
        </is>
      </c>
      <c r="W2571" t="inlineStr">
        <is>
          <t>1992-11-05</t>
        </is>
      </c>
      <c r="X2571" t="inlineStr">
        <is>
          <t>1992-11-05</t>
        </is>
      </c>
      <c r="Y2571" t="n">
        <v>568</v>
      </c>
      <c r="Z2571" t="n">
        <v>526</v>
      </c>
      <c r="AA2571" t="n">
        <v>558</v>
      </c>
      <c r="AB2571" t="n">
        <v>7</v>
      </c>
      <c r="AC2571" t="n">
        <v>7</v>
      </c>
      <c r="AD2571" t="n">
        <v>16</v>
      </c>
      <c r="AE2571" t="n">
        <v>17</v>
      </c>
      <c r="AF2571" t="n">
        <v>7</v>
      </c>
      <c r="AG2571" t="n">
        <v>7</v>
      </c>
      <c r="AH2571" t="n">
        <v>4</v>
      </c>
      <c r="AI2571" t="n">
        <v>4</v>
      </c>
      <c r="AJ2571" t="n">
        <v>8</v>
      </c>
      <c r="AK2571" t="n">
        <v>9</v>
      </c>
      <c r="AL2571" t="n">
        <v>4</v>
      </c>
      <c r="AM2571" t="n">
        <v>4</v>
      </c>
      <c r="AN2571" t="n">
        <v>0</v>
      </c>
      <c r="AO2571" t="n">
        <v>0</v>
      </c>
      <c r="AP2571" t="inlineStr">
        <is>
          <t>No</t>
        </is>
      </c>
      <c r="AQ2571" t="inlineStr">
        <is>
          <t>Yes</t>
        </is>
      </c>
      <c r="AR2571">
        <f>HYPERLINK("http://catalog.hathitrust.org/Record/000300164","HathiTrust Record")</f>
        <v/>
      </c>
      <c r="AS2571">
        <f>HYPERLINK("https://creighton-primo.hosted.exlibrisgroup.com/primo-explore/search?tab=default_tab&amp;search_scope=EVERYTHING&amp;vid=01CRU&amp;lang=en_US&amp;offset=0&amp;query=any,contains,991004065169702656","Catalog Record")</f>
        <v/>
      </c>
      <c r="AT2571">
        <f>HYPERLINK("http://www.worldcat.org/oclc/2283796","WorldCat Record")</f>
        <v/>
      </c>
      <c r="AU2571" t="inlineStr">
        <is>
          <t>4290587:eng</t>
        </is>
      </c>
      <c r="AV2571" t="inlineStr">
        <is>
          <t>2283796</t>
        </is>
      </c>
      <c r="AW2571" t="inlineStr">
        <is>
          <t>991004065169702656</t>
        </is>
      </c>
      <c r="AX2571" t="inlineStr">
        <is>
          <t>991004065169702656</t>
        </is>
      </c>
      <c r="AY2571" t="inlineStr">
        <is>
          <t>2266964910002656</t>
        </is>
      </c>
      <c r="AZ2571" t="inlineStr">
        <is>
          <t>BOOK</t>
        </is>
      </c>
      <c r="BB2571" t="inlineStr">
        <is>
          <t>9780805236309</t>
        </is>
      </c>
      <c r="BC2571" t="inlineStr">
        <is>
          <t>32285001382653</t>
        </is>
      </c>
      <c r="BD2571" t="inlineStr">
        <is>
          <t>893599380</t>
        </is>
      </c>
    </row>
    <row r="2572">
      <c r="A2572" t="inlineStr">
        <is>
          <t>No</t>
        </is>
      </c>
      <c r="B2572" t="inlineStr">
        <is>
          <t>HQ777 .H25 1976</t>
        </is>
      </c>
      <c r="C2572" t="inlineStr">
        <is>
          <t>0                      HQ 0777000H  25          1976</t>
        </is>
      </c>
      <c r="D2572" t="inlineStr">
        <is>
          <t>Daughters and mothers : mothers and daughters / by Signe Hammer.</t>
        </is>
      </c>
      <c r="F2572" t="inlineStr">
        <is>
          <t>No</t>
        </is>
      </c>
      <c r="G2572" t="inlineStr">
        <is>
          <t>1</t>
        </is>
      </c>
      <c r="H2572" t="inlineStr">
        <is>
          <t>No</t>
        </is>
      </c>
      <c r="I2572" t="inlineStr">
        <is>
          <t>No</t>
        </is>
      </c>
      <c r="J2572" t="inlineStr">
        <is>
          <t>0</t>
        </is>
      </c>
      <c r="K2572" t="inlineStr">
        <is>
          <t>Hammer, Signe.</t>
        </is>
      </c>
      <c r="L2572" t="inlineStr">
        <is>
          <t>New York : New American Library, 1976, c1975.</t>
        </is>
      </c>
      <c r="M2572" t="inlineStr">
        <is>
          <t>1975</t>
        </is>
      </c>
      <c r="O2572" t="inlineStr">
        <is>
          <t>eng</t>
        </is>
      </c>
      <c r="P2572" t="inlineStr">
        <is>
          <t>nyu</t>
        </is>
      </c>
      <c r="Q2572" t="inlineStr">
        <is>
          <t>A Signet book</t>
        </is>
      </c>
      <c r="R2572" t="inlineStr">
        <is>
          <t xml:space="preserve">HQ </t>
        </is>
      </c>
      <c r="S2572" t="n">
        <v>5</v>
      </c>
      <c r="T2572" t="n">
        <v>5</v>
      </c>
      <c r="U2572" t="inlineStr">
        <is>
          <t>1998-04-02</t>
        </is>
      </c>
      <c r="V2572" t="inlineStr">
        <is>
          <t>1998-04-02</t>
        </is>
      </c>
      <c r="W2572" t="inlineStr">
        <is>
          <t>1992-02-28</t>
        </is>
      </c>
      <c r="X2572" t="inlineStr">
        <is>
          <t>1992-02-28</t>
        </is>
      </c>
      <c r="Y2572" t="n">
        <v>77</v>
      </c>
      <c r="Z2572" t="n">
        <v>74</v>
      </c>
      <c r="AA2572" t="n">
        <v>578</v>
      </c>
      <c r="AB2572" t="n">
        <v>1</v>
      </c>
      <c r="AC2572" t="n">
        <v>3</v>
      </c>
      <c r="AD2572" t="n">
        <v>2</v>
      </c>
      <c r="AE2572" t="n">
        <v>11</v>
      </c>
      <c r="AF2572" t="n">
        <v>1</v>
      </c>
      <c r="AG2572" t="n">
        <v>4</v>
      </c>
      <c r="AH2572" t="n">
        <v>1</v>
      </c>
      <c r="AI2572" t="n">
        <v>3</v>
      </c>
      <c r="AJ2572" t="n">
        <v>1</v>
      </c>
      <c r="AK2572" t="n">
        <v>6</v>
      </c>
      <c r="AL2572" t="n">
        <v>0</v>
      </c>
      <c r="AM2572" t="n">
        <v>2</v>
      </c>
      <c r="AN2572" t="n">
        <v>0</v>
      </c>
      <c r="AO2572" t="n">
        <v>0</v>
      </c>
      <c r="AP2572" t="inlineStr">
        <is>
          <t>No</t>
        </is>
      </c>
      <c r="AQ2572" t="inlineStr">
        <is>
          <t>Yes</t>
        </is>
      </c>
      <c r="AR2572">
        <f>HYPERLINK("http://catalog.hathitrust.org/Record/007137692","HathiTrust Record")</f>
        <v/>
      </c>
      <c r="AS2572">
        <f>HYPERLINK("https://creighton-primo.hosted.exlibrisgroup.com/primo-explore/search?tab=default_tab&amp;search_scope=EVERYTHING&amp;vid=01CRU&amp;lang=en_US&amp;offset=0&amp;query=any,contains,991004354529702656","Catalog Record")</f>
        <v/>
      </c>
      <c r="AT2572">
        <f>HYPERLINK("http://www.worldcat.org/oclc/3131480","WorldCat Record")</f>
        <v/>
      </c>
      <c r="AU2572" t="inlineStr">
        <is>
          <t>12715552:eng</t>
        </is>
      </c>
      <c r="AV2572" t="inlineStr">
        <is>
          <t>3131480</t>
        </is>
      </c>
      <c r="AW2572" t="inlineStr">
        <is>
          <t>991004354529702656</t>
        </is>
      </c>
      <c r="AX2572" t="inlineStr">
        <is>
          <t>991004354529702656</t>
        </is>
      </c>
      <c r="AY2572" t="inlineStr">
        <is>
          <t>2257790570002656</t>
        </is>
      </c>
      <c r="AZ2572" t="inlineStr">
        <is>
          <t>BOOK</t>
        </is>
      </c>
      <c r="BB2572" t="inlineStr">
        <is>
          <t>9780451072184</t>
        </is>
      </c>
      <c r="BC2572" t="inlineStr">
        <is>
          <t>32285000938661</t>
        </is>
      </c>
      <c r="BD2572" t="inlineStr">
        <is>
          <t>893229260</t>
        </is>
      </c>
    </row>
    <row r="2573">
      <c r="A2573" t="inlineStr">
        <is>
          <t>No</t>
        </is>
      </c>
      <c r="B2573" t="inlineStr">
        <is>
          <t>HQ777 .N4</t>
        </is>
      </c>
      <c r="C2573" t="inlineStr">
        <is>
          <t>0                      HQ 0777000N  4</t>
        </is>
      </c>
      <c r="D2573" t="inlineStr">
        <is>
          <t>Mothers and daughters : a lifelong relationship / [by] Edith G. Neisser.</t>
        </is>
      </c>
      <c r="F2573" t="inlineStr">
        <is>
          <t>No</t>
        </is>
      </c>
      <c r="G2573" t="inlineStr">
        <is>
          <t>1</t>
        </is>
      </c>
      <c r="H2573" t="inlineStr">
        <is>
          <t>No</t>
        </is>
      </c>
      <c r="I2573" t="inlineStr">
        <is>
          <t>No</t>
        </is>
      </c>
      <c r="J2573" t="inlineStr">
        <is>
          <t>0</t>
        </is>
      </c>
      <c r="K2573" t="inlineStr">
        <is>
          <t>Neisser, Edith G. (Edith Glicksman)</t>
        </is>
      </c>
      <c r="L2573" t="inlineStr">
        <is>
          <t>New York : Harper &amp; Row, [1967]</t>
        </is>
      </c>
      <c r="M2573" t="inlineStr">
        <is>
          <t>1967</t>
        </is>
      </c>
      <c r="N2573" t="inlineStr">
        <is>
          <t>[1st ed.]</t>
        </is>
      </c>
      <c r="O2573" t="inlineStr">
        <is>
          <t>eng</t>
        </is>
      </c>
      <c r="P2573" t="inlineStr">
        <is>
          <t>nyu</t>
        </is>
      </c>
      <c r="R2573" t="inlineStr">
        <is>
          <t xml:space="preserve">HQ </t>
        </is>
      </c>
      <c r="S2573" t="n">
        <v>1</v>
      </c>
      <c r="T2573" t="n">
        <v>1</v>
      </c>
      <c r="U2573" t="inlineStr">
        <is>
          <t>1998-04-02</t>
        </is>
      </c>
      <c r="V2573" t="inlineStr">
        <is>
          <t>1998-04-02</t>
        </is>
      </c>
      <c r="W2573" t="inlineStr">
        <is>
          <t>1992-11-05</t>
        </is>
      </c>
      <c r="X2573" t="inlineStr">
        <is>
          <t>1992-11-05</t>
        </is>
      </c>
      <c r="Y2573" t="n">
        <v>383</v>
      </c>
      <c r="Z2573" t="n">
        <v>349</v>
      </c>
      <c r="AA2573" t="n">
        <v>585</v>
      </c>
      <c r="AB2573" t="n">
        <v>3</v>
      </c>
      <c r="AC2573" t="n">
        <v>4</v>
      </c>
      <c r="AD2573" t="n">
        <v>6</v>
      </c>
      <c r="AE2573" t="n">
        <v>11</v>
      </c>
      <c r="AF2573" t="n">
        <v>3</v>
      </c>
      <c r="AG2573" t="n">
        <v>4</v>
      </c>
      <c r="AH2573" t="n">
        <v>0</v>
      </c>
      <c r="AI2573" t="n">
        <v>3</v>
      </c>
      <c r="AJ2573" t="n">
        <v>4</v>
      </c>
      <c r="AK2573" t="n">
        <v>6</v>
      </c>
      <c r="AL2573" t="n">
        <v>1</v>
      </c>
      <c r="AM2573" t="n">
        <v>1</v>
      </c>
      <c r="AN2573" t="n">
        <v>0</v>
      </c>
      <c r="AO2573" t="n">
        <v>0</v>
      </c>
      <c r="AP2573" t="inlineStr">
        <is>
          <t>No</t>
        </is>
      </c>
      <c r="AQ2573" t="inlineStr">
        <is>
          <t>Yes</t>
        </is>
      </c>
      <c r="AR2573">
        <f>HYPERLINK("http://catalog.hathitrust.org/Record/001110125","HathiTrust Record")</f>
        <v/>
      </c>
      <c r="AS2573">
        <f>HYPERLINK("https://creighton-primo.hosted.exlibrisgroup.com/primo-explore/search?tab=default_tab&amp;search_scope=EVERYTHING&amp;vid=01CRU&amp;lang=en_US&amp;offset=0&amp;query=any,contains,991003756819702656","Catalog Record")</f>
        <v/>
      </c>
      <c r="AT2573">
        <f>HYPERLINK("http://www.worldcat.org/oclc/1438945","WorldCat Record")</f>
        <v/>
      </c>
      <c r="AU2573" t="inlineStr">
        <is>
          <t>1652738:eng</t>
        </is>
      </c>
      <c r="AV2573" t="inlineStr">
        <is>
          <t>1438945</t>
        </is>
      </c>
      <c r="AW2573" t="inlineStr">
        <is>
          <t>991003756819702656</t>
        </is>
      </c>
      <c r="AX2573" t="inlineStr">
        <is>
          <t>991003756819702656</t>
        </is>
      </c>
      <c r="AY2573" t="inlineStr">
        <is>
          <t>2271369610002656</t>
        </is>
      </c>
      <c r="AZ2573" t="inlineStr">
        <is>
          <t>BOOK</t>
        </is>
      </c>
      <c r="BC2573" t="inlineStr">
        <is>
          <t>32285001382646</t>
        </is>
      </c>
      <c r="BD2573" t="inlineStr">
        <is>
          <t>893617707</t>
        </is>
      </c>
    </row>
    <row r="2574">
      <c r="A2574" t="inlineStr">
        <is>
          <t>No</t>
        </is>
      </c>
      <c r="B2574" t="inlineStr">
        <is>
          <t>HQ777 .R665 1998</t>
        </is>
      </c>
      <c r="C2574" t="inlineStr">
        <is>
          <t>0                      HQ 0777000R  665         1998</t>
        </is>
      </c>
      <c r="D2574" t="inlineStr">
        <is>
          <t>Raising their voices : the politics of girls' anger / Lyn Mikel Brown.</t>
        </is>
      </c>
      <c r="F2574" t="inlineStr">
        <is>
          <t>No</t>
        </is>
      </c>
      <c r="G2574" t="inlineStr">
        <is>
          <t>1</t>
        </is>
      </c>
      <c r="H2574" t="inlineStr">
        <is>
          <t>No</t>
        </is>
      </c>
      <c r="I2574" t="inlineStr">
        <is>
          <t>No</t>
        </is>
      </c>
      <c r="J2574" t="inlineStr">
        <is>
          <t>0</t>
        </is>
      </c>
      <c r="K2574" t="inlineStr">
        <is>
          <t>Brown, Lyn Mikel, 1956-</t>
        </is>
      </c>
      <c r="L2574" t="inlineStr">
        <is>
          <t>Cambridge, Mass. : Harvard University Press, 1998.</t>
        </is>
      </c>
      <c r="M2574" t="inlineStr">
        <is>
          <t>1998</t>
        </is>
      </c>
      <c r="O2574" t="inlineStr">
        <is>
          <t>eng</t>
        </is>
      </c>
      <c r="P2574" t="inlineStr">
        <is>
          <t>mau</t>
        </is>
      </c>
      <c r="R2574" t="inlineStr">
        <is>
          <t xml:space="preserve">HQ </t>
        </is>
      </c>
      <c r="S2574" t="n">
        <v>4</v>
      </c>
      <c r="T2574" t="n">
        <v>4</v>
      </c>
      <c r="U2574" t="inlineStr">
        <is>
          <t>2006-09-28</t>
        </is>
      </c>
      <c r="V2574" t="inlineStr">
        <is>
          <t>2006-09-28</t>
        </is>
      </c>
      <c r="W2574" t="inlineStr">
        <is>
          <t>1999-01-14</t>
        </is>
      </c>
      <c r="X2574" t="inlineStr">
        <is>
          <t>1999-01-14</t>
        </is>
      </c>
      <c r="Y2574" t="n">
        <v>711</v>
      </c>
      <c r="Z2574" t="n">
        <v>624</v>
      </c>
      <c r="AA2574" t="n">
        <v>658</v>
      </c>
      <c r="AB2574" t="n">
        <v>4</v>
      </c>
      <c r="AC2574" t="n">
        <v>5</v>
      </c>
      <c r="AD2574" t="n">
        <v>24</v>
      </c>
      <c r="AE2574" t="n">
        <v>25</v>
      </c>
      <c r="AF2574" t="n">
        <v>9</v>
      </c>
      <c r="AG2574" t="n">
        <v>9</v>
      </c>
      <c r="AH2574" t="n">
        <v>6</v>
      </c>
      <c r="AI2574" t="n">
        <v>6</v>
      </c>
      <c r="AJ2574" t="n">
        <v>13</v>
      </c>
      <c r="AK2574" t="n">
        <v>13</v>
      </c>
      <c r="AL2574" t="n">
        <v>3</v>
      </c>
      <c r="AM2574" t="n">
        <v>4</v>
      </c>
      <c r="AN2574" t="n">
        <v>0</v>
      </c>
      <c r="AO2574" t="n">
        <v>0</v>
      </c>
      <c r="AP2574" t="inlineStr">
        <is>
          <t>No</t>
        </is>
      </c>
      <c r="AQ2574" t="inlineStr">
        <is>
          <t>No</t>
        </is>
      </c>
      <c r="AS2574">
        <f>HYPERLINK("https://creighton-primo.hosted.exlibrisgroup.com/primo-explore/search?tab=default_tab&amp;search_scope=EVERYTHING&amp;vid=01CRU&amp;lang=en_US&amp;offset=0&amp;query=any,contains,991002920419702656","Catalog Record")</f>
        <v/>
      </c>
      <c r="AT2574">
        <f>HYPERLINK("http://www.worldcat.org/oclc/38746690","WorldCat Record")</f>
        <v/>
      </c>
      <c r="AU2574" t="inlineStr">
        <is>
          <t>2683534:eng</t>
        </is>
      </c>
      <c r="AV2574" t="inlineStr">
        <is>
          <t>38746690</t>
        </is>
      </c>
      <c r="AW2574" t="inlineStr">
        <is>
          <t>991002920419702656</t>
        </is>
      </c>
      <c r="AX2574" t="inlineStr">
        <is>
          <t>991002920419702656</t>
        </is>
      </c>
      <c r="AY2574" t="inlineStr">
        <is>
          <t>2269191020002656</t>
        </is>
      </c>
      <c r="AZ2574" t="inlineStr">
        <is>
          <t>BOOK</t>
        </is>
      </c>
      <c r="BB2574" t="inlineStr">
        <is>
          <t>9780674838710</t>
        </is>
      </c>
      <c r="BC2574" t="inlineStr">
        <is>
          <t>32285003511945</t>
        </is>
      </c>
      <c r="BD2574" t="inlineStr">
        <is>
          <t>893335895</t>
        </is>
      </c>
    </row>
    <row r="2575">
      <c r="A2575" t="inlineStr">
        <is>
          <t>No</t>
        </is>
      </c>
      <c r="B2575" t="inlineStr">
        <is>
          <t>HQ777 .S4 2005</t>
        </is>
      </c>
      <c r="C2575" t="inlineStr">
        <is>
          <t>0                      HQ 0777000S  4           2005</t>
        </is>
      </c>
      <c r="D2575" t="inlineStr">
        <is>
          <t>Secret gardens, satanic mills : placing girls in European history, 1750-1960 / edited by Mary Jo Maynes, Birgitte Søland, and Christina Benninghaus.</t>
        </is>
      </c>
      <c r="F2575" t="inlineStr">
        <is>
          <t>No</t>
        </is>
      </c>
      <c r="G2575" t="inlineStr">
        <is>
          <t>1</t>
        </is>
      </c>
      <c r="H2575" t="inlineStr">
        <is>
          <t>No</t>
        </is>
      </c>
      <c r="I2575" t="inlineStr">
        <is>
          <t>No</t>
        </is>
      </c>
      <c r="J2575" t="inlineStr">
        <is>
          <t>0</t>
        </is>
      </c>
      <c r="L2575" t="inlineStr">
        <is>
          <t>Bloomington, IN : Indiana University Press, c2005.</t>
        </is>
      </c>
      <c r="M2575" t="inlineStr">
        <is>
          <t>2005</t>
        </is>
      </c>
      <c r="O2575" t="inlineStr">
        <is>
          <t>eng</t>
        </is>
      </c>
      <c r="P2575" t="inlineStr">
        <is>
          <t>inu</t>
        </is>
      </c>
      <c r="R2575" t="inlineStr">
        <is>
          <t xml:space="preserve">HQ </t>
        </is>
      </c>
      <c r="S2575" t="n">
        <v>1</v>
      </c>
      <c r="T2575" t="n">
        <v>1</v>
      </c>
      <c r="U2575" t="inlineStr">
        <is>
          <t>2006-04-17</t>
        </is>
      </c>
      <c r="V2575" t="inlineStr">
        <is>
          <t>2006-04-17</t>
        </is>
      </c>
      <c r="W2575" t="inlineStr">
        <is>
          <t>2006-04-17</t>
        </is>
      </c>
      <c r="X2575" t="inlineStr">
        <is>
          <t>2006-04-17</t>
        </is>
      </c>
      <c r="Y2575" t="n">
        <v>468</v>
      </c>
      <c r="Z2575" t="n">
        <v>383</v>
      </c>
      <c r="AA2575" t="n">
        <v>385</v>
      </c>
      <c r="AB2575" t="n">
        <v>4</v>
      </c>
      <c r="AC2575" t="n">
        <v>4</v>
      </c>
      <c r="AD2575" t="n">
        <v>25</v>
      </c>
      <c r="AE2575" t="n">
        <v>25</v>
      </c>
      <c r="AF2575" t="n">
        <v>11</v>
      </c>
      <c r="AG2575" t="n">
        <v>11</v>
      </c>
      <c r="AH2575" t="n">
        <v>8</v>
      </c>
      <c r="AI2575" t="n">
        <v>8</v>
      </c>
      <c r="AJ2575" t="n">
        <v>10</v>
      </c>
      <c r="AK2575" t="n">
        <v>10</v>
      </c>
      <c r="AL2575" t="n">
        <v>3</v>
      </c>
      <c r="AM2575" t="n">
        <v>3</v>
      </c>
      <c r="AN2575" t="n">
        <v>0</v>
      </c>
      <c r="AO2575" t="n">
        <v>0</v>
      </c>
      <c r="AP2575" t="inlineStr">
        <is>
          <t>No</t>
        </is>
      </c>
      <c r="AQ2575" t="inlineStr">
        <is>
          <t>Yes</t>
        </is>
      </c>
      <c r="AR2575">
        <f>HYPERLINK("http://catalog.hathitrust.org/Record/004926323","HathiTrust Record")</f>
        <v/>
      </c>
      <c r="AS2575">
        <f>HYPERLINK("https://creighton-primo.hosted.exlibrisgroup.com/primo-explore/search?tab=default_tab&amp;search_scope=EVERYTHING&amp;vid=01CRU&amp;lang=en_US&amp;offset=0&amp;query=any,contains,991004784549702656","Catalog Record")</f>
        <v/>
      </c>
      <c r="AT2575">
        <f>HYPERLINK("http://www.worldcat.org/oclc/54446231","WorldCat Record")</f>
        <v/>
      </c>
      <c r="AU2575" t="inlineStr">
        <is>
          <t>905475071:eng</t>
        </is>
      </c>
      <c r="AV2575" t="inlineStr">
        <is>
          <t>54446231</t>
        </is>
      </c>
      <c r="AW2575" t="inlineStr">
        <is>
          <t>991004784549702656</t>
        </is>
      </c>
      <c r="AX2575" t="inlineStr">
        <is>
          <t>991004784549702656</t>
        </is>
      </c>
      <c r="AY2575" t="inlineStr">
        <is>
          <t>2264735880002656</t>
        </is>
      </c>
      <c r="AZ2575" t="inlineStr">
        <is>
          <t>BOOK</t>
        </is>
      </c>
      <c r="BB2575" t="inlineStr">
        <is>
          <t>9780253217103</t>
        </is>
      </c>
      <c r="BC2575" t="inlineStr">
        <is>
          <t>32285005063903</t>
        </is>
      </c>
      <c r="BD2575" t="inlineStr">
        <is>
          <t>893801357</t>
        </is>
      </c>
    </row>
    <row r="2576">
      <c r="A2576" t="inlineStr">
        <is>
          <t>No</t>
        </is>
      </c>
      <c r="B2576" t="inlineStr">
        <is>
          <t>HQ777.2 .E57</t>
        </is>
      </c>
      <c r="C2576" t="inlineStr">
        <is>
          <t>0                      HQ 0777200E  57</t>
        </is>
      </c>
      <c r="D2576" t="inlineStr">
        <is>
          <t>The first birth, a family turning point / Doris R. Entwisle, Susan G. Doering.</t>
        </is>
      </c>
      <c r="F2576" t="inlineStr">
        <is>
          <t>No</t>
        </is>
      </c>
      <c r="G2576" t="inlineStr">
        <is>
          <t>1</t>
        </is>
      </c>
      <c r="H2576" t="inlineStr">
        <is>
          <t>No</t>
        </is>
      </c>
      <c r="I2576" t="inlineStr">
        <is>
          <t>No</t>
        </is>
      </c>
      <c r="J2576" t="inlineStr">
        <is>
          <t>0</t>
        </is>
      </c>
      <c r="K2576" t="inlineStr">
        <is>
          <t>Entwisle, Doris R.</t>
        </is>
      </c>
      <c r="L2576" t="inlineStr">
        <is>
          <t>Baltimore : Johns Hopkins University Press, c1981.</t>
        </is>
      </c>
      <c r="M2576" t="inlineStr">
        <is>
          <t>1981</t>
        </is>
      </c>
      <c r="O2576" t="inlineStr">
        <is>
          <t>eng</t>
        </is>
      </c>
      <c r="P2576" t="inlineStr">
        <is>
          <t>mdu</t>
        </is>
      </c>
      <c r="R2576" t="inlineStr">
        <is>
          <t xml:space="preserve">HQ </t>
        </is>
      </c>
      <c r="S2576" t="n">
        <v>26</v>
      </c>
      <c r="T2576" t="n">
        <v>26</v>
      </c>
      <c r="U2576" t="inlineStr">
        <is>
          <t>2002-04-09</t>
        </is>
      </c>
      <c r="V2576" t="inlineStr">
        <is>
          <t>2002-04-09</t>
        </is>
      </c>
      <c r="W2576" t="inlineStr">
        <is>
          <t>1992-03-26</t>
        </is>
      </c>
      <c r="X2576" t="inlineStr">
        <is>
          <t>1992-03-26</t>
        </is>
      </c>
      <c r="Y2576" t="n">
        <v>475</v>
      </c>
      <c r="Z2576" t="n">
        <v>401</v>
      </c>
      <c r="AA2576" t="n">
        <v>408</v>
      </c>
      <c r="AB2576" t="n">
        <v>4</v>
      </c>
      <c r="AC2576" t="n">
        <v>4</v>
      </c>
      <c r="AD2576" t="n">
        <v>17</v>
      </c>
      <c r="AE2576" t="n">
        <v>17</v>
      </c>
      <c r="AF2576" t="n">
        <v>5</v>
      </c>
      <c r="AG2576" t="n">
        <v>5</v>
      </c>
      <c r="AH2576" t="n">
        <v>3</v>
      </c>
      <c r="AI2576" t="n">
        <v>3</v>
      </c>
      <c r="AJ2576" t="n">
        <v>10</v>
      </c>
      <c r="AK2576" t="n">
        <v>10</v>
      </c>
      <c r="AL2576" t="n">
        <v>2</v>
      </c>
      <c r="AM2576" t="n">
        <v>2</v>
      </c>
      <c r="AN2576" t="n">
        <v>0</v>
      </c>
      <c r="AO2576" t="n">
        <v>0</v>
      </c>
      <c r="AP2576" t="inlineStr">
        <is>
          <t>No</t>
        </is>
      </c>
      <c r="AQ2576" t="inlineStr">
        <is>
          <t>Yes</t>
        </is>
      </c>
      <c r="AR2576">
        <f>HYPERLINK("http://catalog.hathitrust.org/Record/000098859","HathiTrust Record")</f>
        <v/>
      </c>
      <c r="AS2576">
        <f>HYPERLINK("https://creighton-primo.hosted.exlibrisgroup.com/primo-explore/search?tab=default_tab&amp;search_scope=EVERYTHING&amp;vid=01CRU&amp;lang=en_US&amp;offset=0&amp;query=any,contains,991005079359702656","Catalog Record")</f>
        <v/>
      </c>
      <c r="AT2576">
        <f>HYPERLINK("http://www.worldcat.org/oclc/7169470","WorldCat Record")</f>
        <v/>
      </c>
      <c r="AU2576" t="inlineStr">
        <is>
          <t>452232:eng</t>
        </is>
      </c>
      <c r="AV2576" t="inlineStr">
        <is>
          <t>7169470</t>
        </is>
      </c>
      <c r="AW2576" t="inlineStr">
        <is>
          <t>991005079359702656</t>
        </is>
      </c>
      <c r="AX2576" t="inlineStr">
        <is>
          <t>991005079359702656</t>
        </is>
      </c>
      <c r="AY2576" t="inlineStr">
        <is>
          <t>2268630500002656</t>
        </is>
      </c>
      <c r="AZ2576" t="inlineStr">
        <is>
          <t>BOOK</t>
        </is>
      </c>
      <c r="BB2576" t="inlineStr">
        <is>
          <t>9780801824081</t>
        </is>
      </c>
      <c r="BC2576" t="inlineStr">
        <is>
          <t>32285001004869</t>
        </is>
      </c>
      <c r="BD2576" t="inlineStr">
        <is>
          <t>893248326</t>
        </is>
      </c>
    </row>
    <row r="2577">
      <c r="A2577" t="inlineStr">
        <is>
          <t>No</t>
        </is>
      </c>
      <c r="B2577" t="inlineStr">
        <is>
          <t>HQ777.3 .P4</t>
        </is>
      </c>
      <c r="C2577" t="inlineStr">
        <is>
          <t>0                      HQ 0777300P  4</t>
        </is>
      </c>
      <c r="D2577" t="inlineStr">
        <is>
          <t>The joy of the only child / by Ellen Peck.</t>
        </is>
      </c>
      <c r="F2577" t="inlineStr">
        <is>
          <t>No</t>
        </is>
      </c>
      <c r="G2577" t="inlineStr">
        <is>
          <t>1</t>
        </is>
      </c>
      <c r="H2577" t="inlineStr">
        <is>
          <t>No</t>
        </is>
      </c>
      <c r="I2577" t="inlineStr">
        <is>
          <t>No</t>
        </is>
      </c>
      <c r="J2577" t="inlineStr">
        <is>
          <t>0</t>
        </is>
      </c>
      <c r="K2577" t="inlineStr">
        <is>
          <t>Peck, Ellen, 1942-</t>
        </is>
      </c>
      <c r="L2577" t="inlineStr">
        <is>
          <t>New York : Delacorte Press, c1977.</t>
        </is>
      </c>
      <c r="M2577" t="inlineStr">
        <is>
          <t>1977</t>
        </is>
      </c>
      <c r="O2577" t="inlineStr">
        <is>
          <t>eng</t>
        </is>
      </c>
      <c r="P2577" t="inlineStr">
        <is>
          <t>nyu</t>
        </is>
      </c>
      <c r="R2577" t="inlineStr">
        <is>
          <t xml:space="preserve">HQ </t>
        </is>
      </c>
      <c r="S2577" t="n">
        <v>12</v>
      </c>
      <c r="T2577" t="n">
        <v>12</v>
      </c>
      <c r="U2577" t="inlineStr">
        <is>
          <t>2000-10-08</t>
        </is>
      </c>
      <c r="V2577" t="inlineStr">
        <is>
          <t>2000-10-08</t>
        </is>
      </c>
      <c r="W2577" t="inlineStr">
        <is>
          <t>1992-03-26</t>
        </is>
      </c>
      <c r="X2577" t="inlineStr">
        <is>
          <t>1992-03-26</t>
        </is>
      </c>
      <c r="Y2577" t="n">
        <v>260</v>
      </c>
      <c r="Z2577" t="n">
        <v>239</v>
      </c>
      <c r="AA2577" t="n">
        <v>241</v>
      </c>
      <c r="AB2577" t="n">
        <v>2</v>
      </c>
      <c r="AC2577" t="n">
        <v>2</v>
      </c>
      <c r="AD2577" t="n">
        <v>3</v>
      </c>
      <c r="AE2577" t="n">
        <v>3</v>
      </c>
      <c r="AF2577" t="n">
        <v>1</v>
      </c>
      <c r="AG2577" t="n">
        <v>1</v>
      </c>
      <c r="AH2577" t="n">
        <v>1</v>
      </c>
      <c r="AI2577" t="n">
        <v>1</v>
      </c>
      <c r="AJ2577" t="n">
        <v>2</v>
      </c>
      <c r="AK2577" t="n">
        <v>2</v>
      </c>
      <c r="AL2577" t="n">
        <v>1</v>
      </c>
      <c r="AM2577" t="n">
        <v>1</v>
      </c>
      <c r="AN2577" t="n">
        <v>0</v>
      </c>
      <c r="AO2577" t="n">
        <v>0</v>
      </c>
      <c r="AP2577" t="inlineStr">
        <is>
          <t>No</t>
        </is>
      </c>
      <c r="AQ2577" t="inlineStr">
        <is>
          <t>No</t>
        </is>
      </c>
      <c r="AS2577">
        <f>HYPERLINK("https://creighton-primo.hosted.exlibrisgroup.com/primo-explore/search?tab=default_tab&amp;search_scope=EVERYTHING&amp;vid=01CRU&amp;lang=en_US&amp;offset=0&amp;query=any,contains,991004254659702656","Catalog Record")</f>
        <v/>
      </c>
      <c r="AT2577">
        <f>HYPERLINK("http://www.worldcat.org/oclc/2818854","WorldCat Record")</f>
        <v/>
      </c>
      <c r="AU2577" t="inlineStr">
        <is>
          <t>796614839:eng</t>
        </is>
      </c>
      <c r="AV2577" t="inlineStr">
        <is>
          <t>2818854</t>
        </is>
      </c>
      <c r="AW2577" t="inlineStr">
        <is>
          <t>991004254659702656</t>
        </is>
      </c>
      <c r="AX2577" t="inlineStr">
        <is>
          <t>991004254659702656</t>
        </is>
      </c>
      <c r="AY2577" t="inlineStr">
        <is>
          <t>2267800960002656</t>
        </is>
      </c>
      <c r="AZ2577" t="inlineStr">
        <is>
          <t>BOOK</t>
        </is>
      </c>
      <c r="BB2577" t="inlineStr">
        <is>
          <t>9780440042624</t>
        </is>
      </c>
      <c r="BC2577" t="inlineStr">
        <is>
          <t>32285001004877</t>
        </is>
      </c>
      <c r="BD2577" t="inlineStr">
        <is>
          <t>893700028</t>
        </is>
      </c>
    </row>
    <row r="2578">
      <c r="A2578" t="inlineStr">
        <is>
          <t>No</t>
        </is>
      </c>
      <c r="B2578" t="inlineStr">
        <is>
          <t>HQ777.3 .S55 1984</t>
        </is>
      </c>
      <c r="C2578" t="inlineStr">
        <is>
          <t>0                      HQ 0777300S  55          1984</t>
        </is>
      </c>
      <c r="D2578" t="inlineStr">
        <is>
          <t>The Single-child family / edited by Toni Falbo.</t>
        </is>
      </c>
      <c r="F2578" t="inlineStr">
        <is>
          <t>No</t>
        </is>
      </c>
      <c r="G2578" t="inlineStr">
        <is>
          <t>1</t>
        </is>
      </c>
      <c r="H2578" t="inlineStr">
        <is>
          <t>No</t>
        </is>
      </c>
      <c r="I2578" t="inlineStr">
        <is>
          <t>No</t>
        </is>
      </c>
      <c r="J2578" t="inlineStr">
        <is>
          <t>0</t>
        </is>
      </c>
      <c r="L2578" t="inlineStr">
        <is>
          <t>New York : Guilford Press, c1984.</t>
        </is>
      </c>
      <c r="M2578" t="inlineStr">
        <is>
          <t>1984</t>
        </is>
      </c>
      <c r="O2578" t="inlineStr">
        <is>
          <t>eng</t>
        </is>
      </c>
      <c r="P2578" t="inlineStr">
        <is>
          <t>nyu</t>
        </is>
      </c>
      <c r="R2578" t="inlineStr">
        <is>
          <t xml:space="preserve">HQ </t>
        </is>
      </c>
      <c r="S2578" t="n">
        <v>12</v>
      </c>
      <c r="T2578" t="n">
        <v>12</v>
      </c>
      <c r="U2578" t="inlineStr">
        <is>
          <t>1996-04-02</t>
        </is>
      </c>
      <c r="V2578" t="inlineStr">
        <is>
          <t>1996-04-02</t>
        </is>
      </c>
      <c r="W2578" t="inlineStr">
        <is>
          <t>1992-11-12</t>
        </is>
      </c>
      <c r="X2578" t="inlineStr">
        <is>
          <t>1992-11-12</t>
        </is>
      </c>
      <c r="Y2578" t="n">
        <v>637</v>
      </c>
      <c r="Z2578" t="n">
        <v>530</v>
      </c>
      <c r="AA2578" t="n">
        <v>531</v>
      </c>
      <c r="AB2578" t="n">
        <v>4</v>
      </c>
      <c r="AC2578" t="n">
        <v>4</v>
      </c>
      <c r="AD2578" t="n">
        <v>20</v>
      </c>
      <c r="AE2578" t="n">
        <v>20</v>
      </c>
      <c r="AF2578" t="n">
        <v>8</v>
      </c>
      <c r="AG2578" t="n">
        <v>8</v>
      </c>
      <c r="AH2578" t="n">
        <v>6</v>
      </c>
      <c r="AI2578" t="n">
        <v>6</v>
      </c>
      <c r="AJ2578" t="n">
        <v>11</v>
      </c>
      <c r="AK2578" t="n">
        <v>11</v>
      </c>
      <c r="AL2578" t="n">
        <v>3</v>
      </c>
      <c r="AM2578" t="n">
        <v>3</v>
      </c>
      <c r="AN2578" t="n">
        <v>0</v>
      </c>
      <c r="AO2578" t="n">
        <v>0</v>
      </c>
      <c r="AP2578" t="inlineStr">
        <is>
          <t>No</t>
        </is>
      </c>
      <c r="AQ2578" t="inlineStr">
        <is>
          <t>No</t>
        </is>
      </c>
      <c r="AS2578">
        <f>HYPERLINK("https://creighton-primo.hosted.exlibrisgroup.com/primo-explore/search?tab=default_tab&amp;search_scope=EVERYTHING&amp;vid=01CRU&amp;lang=en_US&amp;offset=0&amp;query=any,contains,991000205999702656","Catalog Record")</f>
        <v/>
      </c>
      <c r="AT2578">
        <f>HYPERLINK("http://www.worldcat.org/oclc/9489481","WorldCat Record")</f>
        <v/>
      </c>
      <c r="AU2578" t="inlineStr">
        <is>
          <t>479620016:eng</t>
        </is>
      </c>
      <c r="AV2578" t="inlineStr">
        <is>
          <t>9489481</t>
        </is>
      </c>
      <c r="AW2578" t="inlineStr">
        <is>
          <t>991000205999702656</t>
        </is>
      </c>
      <c r="AX2578" t="inlineStr">
        <is>
          <t>991000205999702656</t>
        </is>
      </c>
      <c r="AY2578" t="inlineStr">
        <is>
          <t>2256322990002656</t>
        </is>
      </c>
      <c r="AZ2578" t="inlineStr">
        <is>
          <t>BOOK</t>
        </is>
      </c>
      <c r="BB2578" t="inlineStr">
        <is>
          <t>9780898626308</t>
        </is>
      </c>
      <c r="BC2578" t="inlineStr">
        <is>
          <t>32285001395788</t>
        </is>
      </c>
      <c r="BD2578" t="inlineStr">
        <is>
          <t>893620300</t>
        </is>
      </c>
    </row>
    <row r="2579">
      <c r="A2579" t="inlineStr">
        <is>
          <t>No</t>
        </is>
      </c>
      <c r="B2579" t="inlineStr">
        <is>
          <t>HQ777.35 .S32 2009</t>
        </is>
      </c>
      <c r="C2579" t="inlineStr">
        <is>
          <t>0                      HQ 0777350S  32          2009</t>
        </is>
      </c>
      <c r="D2579" t="inlineStr">
        <is>
          <t>Twin sense : a sanity-saving guide to raising twins--from pregnancy through the first year / Dagmara Scalise.</t>
        </is>
      </c>
      <c r="F2579" t="inlineStr">
        <is>
          <t>No</t>
        </is>
      </c>
      <c r="G2579" t="inlineStr">
        <is>
          <t>1</t>
        </is>
      </c>
      <c r="H2579" t="inlineStr">
        <is>
          <t>No</t>
        </is>
      </c>
      <c r="I2579" t="inlineStr">
        <is>
          <t>No</t>
        </is>
      </c>
      <c r="J2579" t="inlineStr">
        <is>
          <t>0</t>
        </is>
      </c>
      <c r="K2579" t="inlineStr">
        <is>
          <t>Scalise, Dagmara.</t>
        </is>
      </c>
      <c r="L2579" t="inlineStr">
        <is>
          <t>New York : AMACOM, c2009.</t>
        </is>
      </c>
      <c r="M2579" t="inlineStr">
        <is>
          <t>2009</t>
        </is>
      </c>
      <c r="O2579" t="inlineStr">
        <is>
          <t>eng</t>
        </is>
      </c>
      <c r="P2579" t="inlineStr">
        <is>
          <t>nyu</t>
        </is>
      </c>
      <c r="R2579" t="inlineStr">
        <is>
          <t xml:space="preserve">HQ </t>
        </is>
      </c>
      <c r="S2579" t="n">
        <v>1</v>
      </c>
      <c r="T2579" t="n">
        <v>1</v>
      </c>
      <c r="U2579" t="inlineStr">
        <is>
          <t>2008-09-22</t>
        </is>
      </c>
      <c r="V2579" t="inlineStr">
        <is>
          <t>2008-09-22</t>
        </is>
      </c>
      <c r="W2579" t="inlineStr">
        <is>
          <t>2008-09-22</t>
        </is>
      </c>
      <c r="X2579" t="inlineStr">
        <is>
          <t>2008-09-22</t>
        </is>
      </c>
      <c r="Y2579" t="n">
        <v>497</v>
      </c>
      <c r="Z2579" t="n">
        <v>440</v>
      </c>
      <c r="AA2579" t="n">
        <v>1109</v>
      </c>
      <c r="AB2579" t="n">
        <v>4</v>
      </c>
      <c r="AC2579" t="n">
        <v>23</v>
      </c>
      <c r="AD2579" t="n">
        <v>0</v>
      </c>
      <c r="AE2579" t="n">
        <v>15</v>
      </c>
      <c r="AF2579" t="n">
        <v>0</v>
      </c>
      <c r="AG2579" t="n">
        <v>5</v>
      </c>
      <c r="AH2579" t="n">
        <v>0</v>
      </c>
      <c r="AI2579" t="n">
        <v>1</v>
      </c>
      <c r="AJ2579" t="n">
        <v>0</v>
      </c>
      <c r="AK2579" t="n">
        <v>1</v>
      </c>
      <c r="AL2579" t="n">
        <v>0</v>
      </c>
      <c r="AM2579" t="n">
        <v>10</v>
      </c>
      <c r="AN2579" t="n">
        <v>0</v>
      </c>
      <c r="AO2579" t="n">
        <v>0</v>
      </c>
      <c r="AP2579" t="inlineStr">
        <is>
          <t>No</t>
        </is>
      </c>
      <c r="AQ2579" t="inlineStr">
        <is>
          <t>No</t>
        </is>
      </c>
      <c r="AS2579">
        <f>HYPERLINK("https://creighton-primo.hosted.exlibrisgroup.com/primo-explore/search?tab=default_tab&amp;search_scope=EVERYTHING&amp;vid=01CRU&amp;lang=en_US&amp;offset=0&amp;query=any,contains,991005267359702656","Catalog Record")</f>
        <v/>
      </c>
      <c r="AT2579">
        <f>HYPERLINK("http://www.worldcat.org/oclc/225089984","WorldCat Record")</f>
        <v/>
      </c>
      <c r="AU2579" t="inlineStr">
        <is>
          <t>799428795:eng</t>
        </is>
      </c>
      <c r="AV2579" t="inlineStr">
        <is>
          <t>225089984</t>
        </is>
      </c>
      <c r="AW2579" t="inlineStr">
        <is>
          <t>991005267359702656</t>
        </is>
      </c>
      <c r="AX2579" t="inlineStr">
        <is>
          <t>991005267359702656</t>
        </is>
      </c>
      <c r="AY2579" t="inlineStr">
        <is>
          <t>2270435440002656</t>
        </is>
      </c>
      <c r="AZ2579" t="inlineStr">
        <is>
          <t>BOOK</t>
        </is>
      </c>
      <c r="BB2579" t="inlineStr">
        <is>
          <t>9780814410660</t>
        </is>
      </c>
      <c r="BC2579" t="inlineStr">
        <is>
          <t>32285005459473</t>
        </is>
      </c>
      <c r="BD2579" t="inlineStr">
        <is>
          <t>893902396</t>
        </is>
      </c>
    </row>
    <row r="2580">
      <c r="A2580" t="inlineStr">
        <is>
          <t>No</t>
        </is>
      </c>
      <c r="B2580" t="inlineStr">
        <is>
          <t>HQ777.4 .M39 1994</t>
        </is>
      </c>
      <c r="C2580" t="inlineStr">
        <is>
          <t>0                      HQ 0777400M  39          1994</t>
        </is>
      </c>
      <c r="D2580" t="inlineStr">
        <is>
          <t>Growing up with a single parent : what hurts, what helps / Sara McLanahan, Gary Sandefur.</t>
        </is>
      </c>
      <c r="F2580" t="inlineStr">
        <is>
          <t>No</t>
        </is>
      </c>
      <c r="G2580" t="inlineStr">
        <is>
          <t>1</t>
        </is>
      </c>
      <c r="H2580" t="inlineStr">
        <is>
          <t>No</t>
        </is>
      </c>
      <c r="I2580" t="inlineStr">
        <is>
          <t>No</t>
        </is>
      </c>
      <c r="J2580" t="inlineStr">
        <is>
          <t>0</t>
        </is>
      </c>
      <c r="K2580" t="inlineStr">
        <is>
          <t>McLanahan, Sara.</t>
        </is>
      </c>
      <c r="L2580" t="inlineStr">
        <is>
          <t>Cambridge, Mass. : Harvard University Press, 1994.</t>
        </is>
      </c>
      <c r="M2580" t="inlineStr">
        <is>
          <t>1994</t>
        </is>
      </c>
      <c r="O2580" t="inlineStr">
        <is>
          <t>eng</t>
        </is>
      </c>
      <c r="P2580" t="inlineStr">
        <is>
          <t>mau</t>
        </is>
      </c>
      <c r="R2580" t="inlineStr">
        <is>
          <t xml:space="preserve">HQ </t>
        </is>
      </c>
      <c r="S2580" t="n">
        <v>161</v>
      </c>
      <c r="T2580" t="n">
        <v>161</v>
      </c>
      <c r="U2580" t="inlineStr">
        <is>
          <t>2010-09-03</t>
        </is>
      </c>
      <c r="V2580" t="inlineStr">
        <is>
          <t>2010-09-03</t>
        </is>
      </c>
      <c r="W2580" t="inlineStr">
        <is>
          <t>1995-05-15</t>
        </is>
      </c>
      <c r="X2580" t="inlineStr">
        <is>
          <t>1995-05-15</t>
        </is>
      </c>
      <c r="Y2580" t="n">
        <v>1117</v>
      </c>
      <c r="Z2580" t="n">
        <v>951</v>
      </c>
      <c r="AA2580" t="n">
        <v>954</v>
      </c>
      <c r="AB2580" t="n">
        <v>7</v>
      </c>
      <c r="AC2580" t="n">
        <v>7</v>
      </c>
      <c r="AD2580" t="n">
        <v>39</v>
      </c>
      <c r="AE2580" t="n">
        <v>39</v>
      </c>
      <c r="AF2580" t="n">
        <v>13</v>
      </c>
      <c r="AG2580" t="n">
        <v>13</v>
      </c>
      <c r="AH2580" t="n">
        <v>9</v>
      </c>
      <c r="AI2580" t="n">
        <v>9</v>
      </c>
      <c r="AJ2580" t="n">
        <v>18</v>
      </c>
      <c r="AK2580" t="n">
        <v>18</v>
      </c>
      <c r="AL2580" t="n">
        <v>6</v>
      </c>
      <c r="AM2580" t="n">
        <v>6</v>
      </c>
      <c r="AN2580" t="n">
        <v>2</v>
      </c>
      <c r="AO2580" t="n">
        <v>2</v>
      </c>
      <c r="AP2580" t="inlineStr">
        <is>
          <t>No</t>
        </is>
      </c>
      <c r="AQ2580" t="inlineStr">
        <is>
          <t>Yes</t>
        </is>
      </c>
      <c r="AR2580">
        <f>HYPERLINK("http://catalog.hathitrust.org/Record/002892108","HathiTrust Record")</f>
        <v/>
      </c>
      <c r="AS2580">
        <f>HYPERLINK("https://creighton-primo.hosted.exlibrisgroup.com/primo-explore/search?tab=default_tab&amp;search_scope=EVERYTHING&amp;vid=01CRU&amp;lang=en_US&amp;offset=0&amp;query=any,contains,991002340669702656","Catalog Record")</f>
        <v/>
      </c>
      <c r="AT2580">
        <f>HYPERLINK("http://www.worldcat.org/oclc/30474392","WorldCat Record")</f>
        <v/>
      </c>
      <c r="AU2580" t="inlineStr">
        <is>
          <t>24170141:eng</t>
        </is>
      </c>
      <c r="AV2580" t="inlineStr">
        <is>
          <t>30474392</t>
        </is>
      </c>
      <c r="AW2580" t="inlineStr">
        <is>
          <t>991002340669702656</t>
        </is>
      </c>
      <c r="AX2580" t="inlineStr">
        <is>
          <t>991002340669702656</t>
        </is>
      </c>
      <c r="AY2580" t="inlineStr">
        <is>
          <t>2264118830002656</t>
        </is>
      </c>
      <c r="AZ2580" t="inlineStr">
        <is>
          <t>BOOK</t>
        </is>
      </c>
      <c r="BB2580" t="inlineStr">
        <is>
          <t>9780674364073</t>
        </is>
      </c>
      <c r="BC2580" t="inlineStr">
        <is>
          <t>32285002039880</t>
        </is>
      </c>
      <c r="BD2580" t="inlineStr">
        <is>
          <t>893433763</t>
        </is>
      </c>
    </row>
    <row r="2581">
      <c r="A2581" t="inlineStr">
        <is>
          <t>No</t>
        </is>
      </c>
      <c r="B2581" t="inlineStr">
        <is>
          <t>HQ777.4 .W44</t>
        </is>
      </c>
      <c r="C2581" t="inlineStr">
        <is>
          <t>0                      HQ 0777400W  44</t>
        </is>
      </c>
      <c r="D2581" t="inlineStr">
        <is>
          <t>Going it alone : the family life and social situation of the single parent / Robert S. Weiss.</t>
        </is>
      </c>
      <c r="F2581" t="inlineStr">
        <is>
          <t>No</t>
        </is>
      </c>
      <c r="G2581" t="inlineStr">
        <is>
          <t>1</t>
        </is>
      </c>
      <c r="H2581" t="inlineStr">
        <is>
          <t>No</t>
        </is>
      </c>
      <c r="I2581" t="inlineStr">
        <is>
          <t>No</t>
        </is>
      </c>
      <c r="J2581" t="inlineStr">
        <is>
          <t>0</t>
        </is>
      </c>
      <c r="K2581" t="inlineStr">
        <is>
          <t>Weiss, Robert Stuart, 1925-</t>
        </is>
      </c>
      <c r="L2581" t="inlineStr">
        <is>
          <t>New York : Basic Books, c1979.</t>
        </is>
      </c>
      <c r="M2581" t="inlineStr">
        <is>
          <t>1979</t>
        </is>
      </c>
      <c r="O2581" t="inlineStr">
        <is>
          <t>eng</t>
        </is>
      </c>
      <c r="P2581" t="inlineStr">
        <is>
          <t>nyu</t>
        </is>
      </c>
      <c r="R2581" t="inlineStr">
        <is>
          <t xml:space="preserve">HQ </t>
        </is>
      </c>
      <c r="S2581" t="n">
        <v>13</v>
      </c>
      <c r="T2581" t="n">
        <v>13</v>
      </c>
      <c r="U2581" t="inlineStr">
        <is>
          <t>1999-11-20</t>
        </is>
      </c>
      <c r="V2581" t="inlineStr">
        <is>
          <t>1999-11-20</t>
        </is>
      </c>
      <c r="W2581" t="inlineStr">
        <is>
          <t>1990-04-10</t>
        </is>
      </c>
      <c r="X2581" t="inlineStr">
        <is>
          <t>1990-04-10</t>
        </is>
      </c>
      <c r="Y2581" t="n">
        <v>887</v>
      </c>
      <c r="Z2581" t="n">
        <v>794</v>
      </c>
      <c r="AA2581" t="n">
        <v>801</v>
      </c>
      <c r="AB2581" t="n">
        <v>9</v>
      </c>
      <c r="AC2581" t="n">
        <v>9</v>
      </c>
      <c r="AD2581" t="n">
        <v>22</v>
      </c>
      <c r="AE2581" t="n">
        <v>22</v>
      </c>
      <c r="AF2581" t="n">
        <v>10</v>
      </c>
      <c r="AG2581" t="n">
        <v>10</v>
      </c>
      <c r="AH2581" t="n">
        <v>4</v>
      </c>
      <c r="AI2581" t="n">
        <v>4</v>
      </c>
      <c r="AJ2581" t="n">
        <v>8</v>
      </c>
      <c r="AK2581" t="n">
        <v>8</v>
      </c>
      <c r="AL2581" t="n">
        <v>5</v>
      </c>
      <c r="AM2581" t="n">
        <v>5</v>
      </c>
      <c r="AN2581" t="n">
        <v>0</v>
      </c>
      <c r="AO2581" t="n">
        <v>0</v>
      </c>
      <c r="AP2581" t="inlineStr">
        <is>
          <t>No</t>
        </is>
      </c>
      <c r="AQ2581" t="inlineStr">
        <is>
          <t>Yes</t>
        </is>
      </c>
      <c r="AR2581">
        <f>HYPERLINK("http://catalog.hathitrust.org/Record/000104924","HathiTrust Record")</f>
        <v/>
      </c>
      <c r="AS2581">
        <f>HYPERLINK("https://creighton-primo.hosted.exlibrisgroup.com/primo-explore/search?tab=default_tab&amp;search_scope=EVERYTHING&amp;vid=01CRU&amp;lang=en_US&amp;offset=0&amp;query=any,contains,991004813539702656","Catalog Record")</f>
        <v/>
      </c>
      <c r="AT2581">
        <f>HYPERLINK("http://www.worldcat.org/oclc/5287170","WorldCat Record")</f>
        <v/>
      </c>
      <c r="AU2581" t="inlineStr">
        <is>
          <t>197075416:eng</t>
        </is>
      </c>
      <c r="AV2581" t="inlineStr">
        <is>
          <t>5287170</t>
        </is>
      </c>
      <c r="AW2581" t="inlineStr">
        <is>
          <t>991004813539702656</t>
        </is>
      </c>
      <c r="AX2581" t="inlineStr">
        <is>
          <t>991004813539702656</t>
        </is>
      </c>
      <c r="AY2581" t="inlineStr">
        <is>
          <t>2254996140002656</t>
        </is>
      </c>
      <c r="AZ2581" t="inlineStr">
        <is>
          <t>BOOK</t>
        </is>
      </c>
      <c r="BB2581" t="inlineStr">
        <is>
          <t>9780465026883</t>
        </is>
      </c>
      <c r="BC2581" t="inlineStr">
        <is>
          <t>32285000120229</t>
        </is>
      </c>
      <c r="BD2581" t="inlineStr">
        <is>
          <t>893719408</t>
        </is>
      </c>
    </row>
    <row r="2582">
      <c r="A2582" t="inlineStr">
        <is>
          <t>No</t>
        </is>
      </c>
      <c r="B2582" t="inlineStr">
        <is>
          <t>HQ777.5 .B45 1995</t>
        </is>
      </c>
      <c r="C2582" t="inlineStr">
        <is>
          <t>0                      HQ 0777500B  45          1995</t>
        </is>
      </c>
      <c r="D2582" t="inlineStr">
        <is>
          <t>How to help your child overcome your divorce / Elissa P. Benedek, Catherine F. Brown.</t>
        </is>
      </c>
      <c r="F2582" t="inlineStr">
        <is>
          <t>No</t>
        </is>
      </c>
      <c r="G2582" t="inlineStr">
        <is>
          <t>1</t>
        </is>
      </c>
      <c r="H2582" t="inlineStr">
        <is>
          <t>No</t>
        </is>
      </c>
      <c r="I2582" t="inlineStr">
        <is>
          <t>No</t>
        </is>
      </c>
      <c r="J2582" t="inlineStr">
        <is>
          <t>0</t>
        </is>
      </c>
      <c r="K2582" t="inlineStr">
        <is>
          <t>Benedek, Elissa P.</t>
        </is>
      </c>
      <c r="L2582" t="inlineStr">
        <is>
          <t>Washington, DC : American Psychiatric Press, c1995.</t>
        </is>
      </c>
      <c r="M2582" t="inlineStr">
        <is>
          <t>1995</t>
        </is>
      </c>
      <c r="N2582" t="inlineStr">
        <is>
          <t>1st ed.</t>
        </is>
      </c>
      <c r="O2582" t="inlineStr">
        <is>
          <t>eng</t>
        </is>
      </c>
      <c r="P2582" t="inlineStr">
        <is>
          <t>dcu</t>
        </is>
      </c>
      <c r="R2582" t="inlineStr">
        <is>
          <t xml:space="preserve">HQ </t>
        </is>
      </c>
      <c r="S2582" t="n">
        <v>18</v>
      </c>
      <c r="T2582" t="n">
        <v>18</v>
      </c>
      <c r="U2582" t="inlineStr">
        <is>
          <t>2002-06-13</t>
        </is>
      </c>
      <c r="V2582" t="inlineStr">
        <is>
          <t>2002-06-13</t>
        </is>
      </c>
      <c r="W2582" t="inlineStr">
        <is>
          <t>1997-01-21</t>
        </is>
      </c>
      <c r="X2582" t="inlineStr">
        <is>
          <t>1997-01-21</t>
        </is>
      </c>
      <c r="Y2582" t="n">
        <v>263</v>
      </c>
      <c r="Z2582" t="n">
        <v>243</v>
      </c>
      <c r="AA2582" t="n">
        <v>490</v>
      </c>
      <c r="AB2582" t="n">
        <v>3</v>
      </c>
      <c r="AC2582" t="n">
        <v>4</v>
      </c>
      <c r="AD2582" t="n">
        <v>8</v>
      </c>
      <c r="AE2582" t="n">
        <v>9</v>
      </c>
      <c r="AF2582" t="n">
        <v>3</v>
      </c>
      <c r="AG2582" t="n">
        <v>4</v>
      </c>
      <c r="AH2582" t="n">
        <v>2</v>
      </c>
      <c r="AI2582" t="n">
        <v>2</v>
      </c>
      <c r="AJ2582" t="n">
        <v>6</v>
      </c>
      <c r="AK2582" t="n">
        <v>6</v>
      </c>
      <c r="AL2582" t="n">
        <v>1</v>
      </c>
      <c r="AM2582" t="n">
        <v>1</v>
      </c>
      <c r="AN2582" t="n">
        <v>0</v>
      </c>
      <c r="AO2582" t="n">
        <v>0</v>
      </c>
      <c r="AP2582" t="inlineStr">
        <is>
          <t>No</t>
        </is>
      </c>
      <c r="AQ2582" t="inlineStr">
        <is>
          <t>No</t>
        </is>
      </c>
      <c r="AS2582">
        <f>HYPERLINK("https://creighton-primo.hosted.exlibrisgroup.com/primo-explore/search?tab=default_tab&amp;search_scope=EVERYTHING&amp;vid=01CRU&amp;lang=en_US&amp;offset=0&amp;query=any,contains,991002449889702656","Catalog Record")</f>
        <v/>
      </c>
      <c r="AT2582">
        <f>HYPERLINK("http://www.worldcat.org/oclc/31938727","WorldCat Record")</f>
        <v/>
      </c>
      <c r="AU2582" t="inlineStr">
        <is>
          <t>667376:eng</t>
        </is>
      </c>
      <c r="AV2582" t="inlineStr">
        <is>
          <t>31938727</t>
        </is>
      </c>
      <c r="AW2582" t="inlineStr">
        <is>
          <t>991002449889702656</t>
        </is>
      </c>
      <c r="AX2582" t="inlineStr">
        <is>
          <t>991002449889702656</t>
        </is>
      </c>
      <c r="AY2582" t="inlineStr">
        <is>
          <t>2259477080002656</t>
        </is>
      </c>
      <c r="AZ2582" t="inlineStr">
        <is>
          <t>BOOK</t>
        </is>
      </c>
      <c r="BB2582" t="inlineStr">
        <is>
          <t>9780880485654</t>
        </is>
      </c>
      <c r="BC2582" t="inlineStr">
        <is>
          <t>32285002409810</t>
        </is>
      </c>
      <c r="BD2582" t="inlineStr">
        <is>
          <t>893792485</t>
        </is>
      </c>
    </row>
    <row r="2583">
      <c r="A2583" t="inlineStr">
        <is>
          <t>No</t>
        </is>
      </c>
      <c r="B2583" t="inlineStr">
        <is>
          <t>HQ777.5 .B46 1983</t>
        </is>
      </c>
      <c r="C2583" t="inlineStr">
        <is>
          <t>0                      HQ 0777500B  46          1983</t>
        </is>
      </c>
      <c r="D2583" t="inlineStr">
        <is>
          <t>Divorce without victims : helping children through divorce with a minimum of pain and trauma / Stuart Berger.</t>
        </is>
      </c>
      <c r="F2583" t="inlineStr">
        <is>
          <t>No</t>
        </is>
      </c>
      <c r="G2583" t="inlineStr">
        <is>
          <t>1</t>
        </is>
      </c>
      <c r="H2583" t="inlineStr">
        <is>
          <t>No</t>
        </is>
      </c>
      <c r="I2583" t="inlineStr">
        <is>
          <t>No</t>
        </is>
      </c>
      <c r="J2583" t="inlineStr">
        <is>
          <t>0</t>
        </is>
      </c>
      <c r="K2583" t="inlineStr">
        <is>
          <t>Berger, Stuart.</t>
        </is>
      </c>
      <c r="L2583" t="inlineStr">
        <is>
          <t>Boston : Houghton Mifflin, 1983.</t>
        </is>
      </c>
      <c r="M2583" t="inlineStr">
        <is>
          <t>1983</t>
        </is>
      </c>
      <c r="O2583" t="inlineStr">
        <is>
          <t>eng</t>
        </is>
      </c>
      <c r="P2583" t="inlineStr">
        <is>
          <t>mau</t>
        </is>
      </c>
      <c r="R2583" t="inlineStr">
        <is>
          <t xml:space="preserve">HQ </t>
        </is>
      </c>
      <c r="S2583" t="n">
        <v>30</v>
      </c>
      <c r="T2583" t="n">
        <v>30</v>
      </c>
      <c r="U2583" t="inlineStr">
        <is>
          <t>2010-04-21</t>
        </is>
      </c>
      <c r="V2583" t="inlineStr">
        <is>
          <t>2010-04-21</t>
        </is>
      </c>
      <c r="W2583" t="inlineStr">
        <is>
          <t>1990-04-20</t>
        </is>
      </c>
      <c r="X2583" t="inlineStr">
        <is>
          <t>1990-04-20</t>
        </is>
      </c>
      <c r="Y2583" t="n">
        <v>479</v>
      </c>
      <c r="Z2583" t="n">
        <v>454</v>
      </c>
      <c r="AA2583" t="n">
        <v>513</v>
      </c>
      <c r="AB2583" t="n">
        <v>4</v>
      </c>
      <c r="AC2583" t="n">
        <v>4</v>
      </c>
      <c r="AD2583" t="n">
        <v>4</v>
      </c>
      <c r="AE2583" t="n">
        <v>6</v>
      </c>
      <c r="AF2583" t="n">
        <v>1</v>
      </c>
      <c r="AG2583" t="n">
        <v>2</v>
      </c>
      <c r="AH2583" t="n">
        <v>0</v>
      </c>
      <c r="AI2583" t="n">
        <v>1</v>
      </c>
      <c r="AJ2583" t="n">
        <v>2</v>
      </c>
      <c r="AK2583" t="n">
        <v>3</v>
      </c>
      <c r="AL2583" t="n">
        <v>0</v>
      </c>
      <c r="AM2583" t="n">
        <v>0</v>
      </c>
      <c r="AN2583" t="n">
        <v>2</v>
      </c>
      <c r="AO2583" t="n">
        <v>2</v>
      </c>
      <c r="AP2583" t="inlineStr">
        <is>
          <t>No</t>
        </is>
      </c>
      <c r="AQ2583" t="inlineStr">
        <is>
          <t>Yes</t>
        </is>
      </c>
      <c r="AR2583">
        <f>HYPERLINK("http://catalog.hathitrust.org/Record/007471835","HathiTrust Record")</f>
        <v/>
      </c>
      <c r="AS2583">
        <f>HYPERLINK("https://creighton-primo.hosted.exlibrisgroup.com/primo-explore/search?tab=default_tab&amp;search_scope=EVERYTHING&amp;vid=01CRU&amp;lang=en_US&amp;offset=0&amp;query=any,contains,991000075299702656","Catalog Record")</f>
        <v/>
      </c>
      <c r="AT2583">
        <f>HYPERLINK("http://www.worldcat.org/oclc/8805706","WorldCat Record")</f>
        <v/>
      </c>
      <c r="AU2583" t="inlineStr">
        <is>
          <t>469295:eng</t>
        </is>
      </c>
      <c r="AV2583" t="inlineStr">
        <is>
          <t>8805706</t>
        </is>
      </c>
      <c r="AW2583" t="inlineStr">
        <is>
          <t>991000075299702656</t>
        </is>
      </c>
      <c r="AX2583" t="inlineStr">
        <is>
          <t>991000075299702656</t>
        </is>
      </c>
      <c r="AY2583" t="inlineStr">
        <is>
          <t>2270540710002656</t>
        </is>
      </c>
      <c r="AZ2583" t="inlineStr">
        <is>
          <t>BOOK</t>
        </is>
      </c>
      <c r="BB2583" t="inlineStr">
        <is>
          <t>9780395331156</t>
        </is>
      </c>
      <c r="BC2583" t="inlineStr">
        <is>
          <t>32285000123710</t>
        </is>
      </c>
      <c r="BD2583" t="inlineStr">
        <is>
          <t>893796382</t>
        </is>
      </c>
    </row>
    <row r="2584">
      <c r="A2584" t="inlineStr">
        <is>
          <t>No</t>
        </is>
      </c>
      <c r="B2584" t="inlineStr">
        <is>
          <t>HQ777.5 .C43 1989</t>
        </is>
      </c>
      <c r="C2584" t="inlineStr">
        <is>
          <t>0                      HQ 0777500C  43          1989</t>
        </is>
      </c>
      <c r="D2584" t="inlineStr">
        <is>
          <t>Children of divorce : developmental and clinical issues / Craig A. Everett, editor.</t>
        </is>
      </c>
      <c r="F2584" t="inlineStr">
        <is>
          <t>No</t>
        </is>
      </c>
      <c r="G2584" t="inlineStr">
        <is>
          <t>1</t>
        </is>
      </c>
      <c r="H2584" t="inlineStr">
        <is>
          <t>No</t>
        </is>
      </c>
      <c r="I2584" t="inlineStr">
        <is>
          <t>No</t>
        </is>
      </c>
      <c r="J2584" t="inlineStr">
        <is>
          <t>0</t>
        </is>
      </c>
      <c r="L2584" t="inlineStr">
        <is>
          <t>New York : Haworth Press, c1989.</t>
        </is>
      </c>
      <c r="M2584" t="inlineStr">
        <is>
          <t>1989</t>
        </is>
      </c>
      <c r="O2584" t="inlineStr">
        <is>
          <t>eng</t>
        </is>
      </c>
      <c r="P2584" t="inlineStr">
        <is>
          <t>nyu</t>
        </is>
      </c>
      <c r="R2584" t="inlineStr">
        <is>
          <t xml:space="preserve">HQ </t>
        </is>
      </c>
      <c r="S2584" t="n">
        <v>54</v>
      </c>
      <c r="T2584" t="n">
        <v>54</v>
      </c>
      <c r="U2584" t="inlineStr">
        <is>
          <t>2002-10-21</t>
        </is>
      </c>
      <c r="V2584" t="inlineStr">
        <is>
          <t>2002-10-21</t>
        </is>
      </c>
      <c r="W2584" t="inlineStr">
        <is>
          <t>1990-06-13</t>
        </is>
      </c>
      <c r="X2584" t="inlineStr">
        <is>
          <t>1990-06-13</t>
        </is>
      </c>
      <c r="Y2584" t="n">
        <v>226</v>
      </c>
      <c r="Z2584" t="n">
        <v>162</v>
      </c>
      <c r="AA2584" t="n">
        <v>187</v>
      </c>
      <c r="AB2584" t="n">
        <v>1</v>
      </c>
      <c r="AC2584" t="n">
        <v>1</v>
      </c>
      <c r="AD2584" t="n">
        <v>5</v>
      </c>
      <c r="AE2584" t="n">
        <v>5</v>
      </c>
      <c r="AF2584" t="n">
        <v>3</v>
      </c>
      <c r="AG2584" t="n">
        <v>3</v>
      </c>
      <c r="AH2584" t="n">
        <v>1</v>
      </c>
      <c r="AI2584" t="n">
        <v>1</v>
      </c>
      <c r="AJ2584" t="n">
        <v>3</v>
      </c>
      <c r="AK2584" t="n">
        <v>3</v>
      </c>
      <c r="AL2584" t="n">
        <v>0</v>
      </c>
      <c r="AM2584" t="n">
        <v>0</v>
      </c>
      <c r="AN2584" t="n">
        <v>0</v>
      </c>
      <c r="AO2584" t="n">
        <v>0</v>
      </c>
      <c r="AP2584" t="inlineStr">
        <is>
          <t>No</t>
        </is>
      </c>
      <c r="AQ2584" t="inlineStr">
        <is>
          <t>No</t>
        </is>
      </c>
      <c r="AS2584">
        <f>HYPERLINK("https://creighton-primo.hosted.exlibrisgroup.com/primo-explore/search?tab=default_tab&amp;search_scope=EVERYTHING&amp;vid=01CRU&amp;lang=en_US&amp;offset=0&amp;query=any,contains,991001423259702656","Catalog Record")</f>
        <v/>
      </c>
      <c r="AT2584">
        <f>HYPERLINK("http://www.worldcat.org/oclc/18985995","WorldCat Record")</f>
        <v/>
      </c>
      <c r="AU2584" t="inlineStr">
        <is>
          <t>836805039:eng</t>
        </is>
      </c>
      <c r="AV2584" t="inlineStr">
        <is>
          <t>18985995</t>
        </is>
      </c>
      <c r="AW2584" t="inlineStr">
        <is>
          <t>991001423259702656</t>
        </is>
      </c>
      <c r="AX2584" t="inlineStr">
        <is>
          <t>991001423259702656</t>
        </is>
      </c>
      <c r="AY2584" t="inlineStr">
        <is>
          <t>2266442220002656</t>
        </is>
      </c>
      <c r="AZ2584" t="inlineStr">
        <is>
          <t>BOOK</t>
        </is>
      </c>
      <c r="BB2584" t="inlineStr">
        <is>
          <t>9780866568869</t>
        </is>
      </c>
      <c r="BC2584" t="inlineStr">
        <is>
          <t>32285000177690</t>
        </is>
      </c>
      <c r="BD2584" t="inlineStr">
        <is>
          <t>893238118</t>
        </is>
      </c>
    </row>
    <row r="2585">
      <c r="A2585" t="inlineStr">
        <is>
          <t>No</t>
        </is>
      </c>
      <c r="B2585" t="inlineStr">
        <is>
          <t>HQ777.5 .C44 1988</t>
        </is>
      </c>
      <c r="C2585" t="inlineStr">
        <is>
          <t>0                      HQ 0777500C  44          1988</t>
        </is>
      </c>
      <c r="D2585" t="inlineStr">
        <is>
          <t>Children of divorce : empirical perspectives on adjustment / edited by Sharlene A. Wolchik and Paul Karoly.</t>
        </is>
      </c>
      <c r="F2585" t="inlineStr">
        <is>
          <t>No</t>
        </is>
      </c>
      <c r="G2585" t="inlineStr">
        <is>
          <t>1</t>
        </is>
      </c>
      <c r="H2585" t="inlineStr">
        <is>
          <t>No</t>
        </is>
      </c>
      <c r="I2585" t="inlineStr">
        <is>
          <t>No</t>
        </is>
      </c>
      <c r="J2585" t="inlineStr">
        <is>
          <t>0</t>
        </is>
      </c>
      <c r="L2585" t="inlineStr">
        <is>
          <t>New York : Gardner Press, c1988.</t>
        </is>
      </c>
      <c r="M2585" t="inlineStr">
        <is>
          <t>1988</t>
        </is>
      </c>
      <c r="O2585" t="inlineStr">
        <is>
          <t>eng</t>
        </is>
      </c>
      <c r="P2585" t="inlineStr">
        <is>
          <t>nyu</t>
        </is>
      </c>
      <c r="R2585" t="inlineStr">
        <is>
          <t xml:space="preserve">HQ </t>
        </is>
      </c>
      <c r="S2585" t="n">
        <v>50</v>
      </c>
      <c r="T2585" t="n">
        <v>50</v>
      </c>
      <c r="U2585" t="inlineStr">
        <is>
          <t>2007-11-09</t>
        </is>
      </c>
      <c r="V2585" t="inlineStr">
        <is>
          <t>2007-11-09</t>
        </is>
      </c>
      <c r="W2585" t="inlineStr">
        <is>
          <t>1992-08-26</t>
        </is>
      </c>
      <c r="X2585" t="inlineStr">
        <is>
          <t>1992-08-26</t>
        </is>
      </c>
      <c r="Y2585" t="n">
        <v>228</v>
      </c>
      <c r="Z2585" t="n">
        <v>174</v>
      </c>
      <c r="AA2585" t="n">
        <v>176</v>
      </c>
      <c r="AB2585" t="n">
        <v>3</v>
      </c>
      <c r="AC2585" t="n">
        <v>3</v>
      </c>
      <c r="AD2585" t="n">
        <v>7</v>
      </c>
      <c r="AE2585" t="n">
        <v>7</v>
      </c>
      <c r="AF2585" t="n">
        <v>2</v>
      </c>
      <c r="AG2585" t="n">
        <v>2</v>
      </c>
      <c r="AH2585" t="n">
        <v>1</v>
      </c>
      <c r="AI2585" t="n">
        <v>1</v>
      </c>
      <c r="AJ2585" t="n">
        <v>3</v>
      </c>
      <c r="AK2585" t="n">
        <v>3</v>
      </c>
      <c r="AL2585" t="n">
        <v>2</v>
      </c>
      <c r="AM2585" t="n">
        <v>2</v>
      </c>
      <c r="AN2585" t="n">
        <v>0</v>
      </c>
      <c r="AO2585" t="n">
        <v>0</v>
      </c>
      <c r="AP2585" t="inlineStr">
        <is>
          <t>No</t>
        </is>
      </c>
      <c r="AQ2585" t="inlineStr">
        <is>
          <t>Yes</t>
        </is>
      </c>
      <c r="AR2585">
        <f>HYPERLINK("http://catalog.hathitrust.org/Record/007106695","HathiTrust Record")</f>
        <v/>
      </c>
      <c r="AS2585">
        <f>HYPERLINK("https://creighton-primo.hosted.exlibrisgroup.com/primo-explore/search?tab=default_tab&amp;search_scope=EVERYTHING&amp;vid=01CRU&amp;lang=en_US&amp;offset=0&amp;query=any,contains,991000705309702656","Catalog Record")</f>
        <v/>
      </c>
      <c r="AT2585">
        <f>HYPERLINK("http://www.worldcat.org/oclc/12556705","WorldCat Record")</f>
        <v/>
      </c>
      <c r="AU2585" t="inlineStr">
        <is>
          <t>355463803:eng</t>
        </is>
      </c>
      <c r="AV2585" t="inlineStr">
        <is>
          <t>12556705</t>
        </is>
      </c>
      <c r="AW2585" t="inlineStr">
        <is>
          <t>991000705309702656</t>
        </is>
      </c>
      <c r="AX2585" t="inlineStr">
        <is>
          <t>991000705309702656</t>
        </is>
      </c>
      <c r="AY2585" t="inlineStr">
        <is>
          <t>2254773960002656</t>
        </is>
      </c>
      <c r="AZ2585" t="inlineStr">
        <is>
          <t>BOOK</t>
        </is>
      </c>
      <c r="BB2585" t="inlineStr">
        <is>
          <t>9780898761207</t>
        </is>
      </c>
      <c r="BC2585" t="inlineStr">
        <is>
          <t>32285001198919</t>
        </is>
      </c>
      <c r="BD2585" t="inlineStr">
        <is>
          <t>893890957</t>
        </is>
      </c>
    </row>
    <row r="2586">
      <c r="A2586" t="inlineStr">
        <is>
          <t>No</t>
        </is>
      </c>
      <c r="B2586" t="inlineStr">
        <is>
          <t>HQ777.5 .C45 1981</t>
        </is>
      </c>
      <c r="C2586" t="inlineStr">
        <is>
          <t>0                      HQ 0777500C  45          1981</t>
        </is>
      </c>
      <c r="D2586" t="inlineStr">
        <is>
          <t>Children of separation and divorce : management and treatment / edited by Irving R. Stuart and Lawrence Edwin Abt.</t>
        </is>
      </c>
      <c r="F2586" t="inlineStr">
        <is>
          <t>No</t>
        </is>
      </c>
      <c r="G2586" t="inlineStr">
        <is>
          <t>1</t>
        </is>
      </c>
      <c r="H2586" t="inlineStr">
        <is>
          <t>No</t>
        </is>
      </c>
      <c r="I2586" t="inlineStr">
        <is>
          <t>No</t>
        </is>
      </c>
      <c r="J2586" t="inlineStr">
        <is>
          <t>0</t>
        </is>
      </c>
      <c r="L2586" t="inlineStr">
        <is>
          <t>New York : Van Nostrand Reinhold, c1981.</t>
        </is>
      </c>
      <c r="M2586" t="inlineStr">
        <is>
          <t>1981</t>
        </is>
      </c>
      <c r="O2586" t="inlineStr">
        <is>
          <t>eng</t>
        </is>
      </c>
      <c r="P2586" t="inlineStr">
        <is>
          <t>nyu</t>
        </is>
      </c>
      <c r="R2586" t="inlineStr">
        <is>
          <t xml:space="preserve">HQ </t>
        </is>
      </c>
      <c r="S2586" t="n">
        <v>46</v>
      </c>
      <c r="T2586" t="n">
        <v>46</v>
      </c>
      <c r="U2586" t="inlineStr">
        <is>
          <t>1999-11-03</t>
        </is>
      </c>
      <c r="V2586" t="inlineStr">
        <is>
          <t>1999-11-03</t>
        </is>
      </c>
      <c r="W2586" t="inlineStr">
        <is>
          <t>1990-03-08</t>
        </is>
      </c>
      <c r="X2586" t="inlineStr">
        <is>
          <t>1990-03-08</t>
        </is>
      </c>
      <c r="Y2586" t="n">
        <v>691</v>
      </c>
      <c r="Z2586" t="n">
        <v>609</v>
      </c>
      <c r="AA2586" t="n">
        <v>850</v>
      </c>
      <c r="AB2586" t="n">
        <v>11</v>
      </c>
      <c r="AC2586" t="n">
        <v>13</v>
      </c>
      <c r="AD2586" t="n">
        <v>24</v>
      </c>
      <c r="AE2586" t="n">
        <v>30</v>
      </c>
      <c r="AF2586" t="n">
        <v>6</v>
      </c>
      <c r="AG2586" t="n">
        <v>8</v>
      </c>
      <c r="AH2586" t="n">
        <v>3</v>
      </c>
      <c r="AI2586" t="n">
        <v>4</v>
      </c>
      <c r="AJ2586" t="n">
        <v>11</v>
      </c>
      <c r="AK2586" t="n">
        <v>15</v>
      </c>
      <c r="AL2586" t="n">
        <v>8</v>
      </c>
      <c r="AM2586" t="n">
        <v>8</v>
      </c>
      <c r="AN2586" t="n">
        <v>0</v>
      </c>
      <c r="AO2586" t="n">
        <v>0</v>
      </c>
      <c r="AP2586" t="inlineStr">
        <is>
          <t>No</t>
        </is>
      </c>
      <c r="AQ2586" t="inlineStr">
        <is>
          <t>Yes</t>
        </is>
      </c>
      <c r="AR2586">
        <f>HYPERLINK("http://catalog.hathitrust.org/Record/000763983","HathiTrust Record")</f>
        <v/>
      </c>
      <c r="AS2586">
        <f>HYPERLINK("https://creighton-primo.hosted.exlibrisgroup.com/primo-explore/search?tab=default_tab&amp;search_scope=EVERYTHING&amp;vid=01CRU&amp;lang=en_US&amp;offset=0&amp;query=any,contains,991005100189702656","Catalog Record")</f>
        <v/>
      </c>
      <c r="AT2586">
        <f>HYPERLINK("http://www.worldcat.org/oclc/7282471","WorldCat Record")</f>
        <v/>
      </c>
      <c r="AU2586" t="inlineStr">
        <is>
          <t>908571873:eng</t>
        </is>
      </c>
      <c r="AV2586" t="inlineStr">
        <is>
          <t>7282471</t>
        </is>
      </c>
      <c r="AW2586" t="inlineStr">
        <is>
          <t>991005100189702656</t>
        </is>
      </c>
      <c r="AX2586" t="inlineStr">
        <is>
          <t>991005100189702656</t>
        </is>
      </c>
      <c r="AY2586" t="inlineStr">
        <is>
          <t>2257952870002656</t>
        </is>
      </c>
      <c r="AZ2586" t="inlineStr">
        <is>
          <t>BOOK</t>
        </is>
      </c>
      <c r="BB2586" t="inlineStr">
        <is>
          <t>9780442244316</t>
        </is>
      </c>
      <c r="BC2586" t="inlineStr">
        <is>
          <t>32285000078740</t>
        </is>
      </c>
      <c r="BD2586" t="inlineStr">
        <is>
          <t>893902100</t>
        </is>
      </c>
    </row>
    <row r="2587">
      <c r="A2587" t="inlineStr">
        <is>
          <t>No</t>
        </is>
      </c>
      <c r="B2587" t="inlineStr">
        <is>
          <t>HQ777.5 .C455 1983</t>
        </is>
      </c>
      <c r="C2587" t="inlineStr">
        <is>
          <t>0                      HQ 0777500C  455         1983</t>
        </is>
      </c>
      <c r="D2587" t="inlineStr">
        <is>
          <t>Children and divorce / Lawrence A. Kurdek, editor.</t>
        </is>
      </c>
      <c r="F2587" t="inlineStr">
        <is>
          <t>No</t>
        </is>
      </c>
      <c r="G2587" t="inlineStr">
        <is>
          <t>1</t>
        </is>
      </c>
      <c r="H2587" t="inlineStr">
        <is>
          <t>No</t>
        </is>
      </c>
      <c r="I2587" t="inlineStr">
        <is>
          <t>No</t>
        </is>
      </c>
      <c r="J2587" t="inlineStr">
        <is>
          <t>0</t>
        </is>
      </c>
      <c r="L2587" t="inlineStr">
        <is>
          <t>San Francisco : Jossey-Bass, c1983.</t>
        </is>
      </c>
      <c r="M2587" t="inlineStr">
        <is>
          <t>1983</t>
        </is>
      </c>
      <c r="O2587" t="inlineStr">
        <is>
          <t>eng</t>
        </is>
      </c>
      <c r="P2587" t="inlineStr">
        <is>
          <t>cau</t>
        </is>
      </c>
      <c r="Q2587" t="inlineStr">
        <is>
          <t>New directions for child development, 0195-2269 ; no. 19 (Mar. 1983)</t>
        </is>
      </c>
      <c r="R2587" t="inlineStr">
        <is>
          <t xml:space="preserve">HQ </t>
        </is>
      </c>
      <c r="S2587" t="n">
        <v>39</v>
      </c>
      <c r="T2587" t="n">
        <v>39</v>
      </c>
      <c r="U2587" t="inlineStr">
        <is>
          <t>1999-12-01</t>
        </is>
      </c>
      <c r="V2587" t="inlineStr">
        <is>
          <t>1999-12-01</t>
        </is>
      </c>
      <c r="W2587" t="inlineStr">
        <is>
          <t>1992-06-22</t>
        </is>
      </c>
      <c r="X2587" t="inlineStr">
        <is>
          <t>1992-06-22</t>
        </is>
      </c>
      <c r="Y2587" t="n">
        <v>394</v>
      </c>
      <c r="Z2587" t="n">
        <v>334</v>
      </c>
      <c r="AA2587" t="n">
        <v>340</v>
      </c>
      <c r="AB2587" t="n">
        <v>4</v>
      </c>
      <c r="AC2587" t="n">
        <v>4</v>
      </c>
      <c r="AD2587" t="n">
        <v>17</v>
      </c>
      <c r="AE2587" t="n">
        <v>17</v>
      </c>
      <c r="AF2587" t="n">
        <v>7</v>
      </c>
      <c r="AG2587" t="n">
        <v>7</v>
      </c>
      <c r="AH2587" t="n">
        <v>3</v>
      </c>
      <c r="AI2587" t="n">
        <v>3</v>
      </c>
      <c r="AJ2587" t="n">
        <v>10</v>
      </c>
      <c r="AK2587" t="n">
        <v>10</v>
      </c>
      <c r="AL2587" t="n">
        <v>2</v>
      </c>
      <c r="AM2587" t="n">
        <v>2</v>
      </c>
      <c r="AN2587" t="n">
        <v>1</v>
      </c>
      <c r="AO2587" t="n">
        <v>1</v>
      </c>
      <c r="AP2587" t="inlineStr">
        <is>
          <t>No</t>
        </is>
      </c>
      <c r="AQ2587" t="inlineStr">
        <is>
          <t>Yes</t>
        </is>
      </c>
      <c r="AR2587">
        <f>HYPERLINK("http://catalog.hathitrust.org/Record/000776512","HathiTrust Record")</f>
        <v/>
      </c>
      <c r="AS2587">
        <f>HYPERLINK("https://creighton-primo.hosted.exlibrisgroup.com/primo-explore/search?tab=default_tab&amp;search_scope=EVERYTHING&amp;vid=01CRU&amp;lang=en_US&amp;offset=0&amp;query=any,contains,991000177379702656","Catalog Record")</f>
        <v/>
      </c>
      <c r="AT2587">
        <f>HYPERLINK("http://www.worldcat.org/oclc/9359012","WorldCat Record")</f>
        <v/>
      </c>
      <c r="AU2587" t="inlineStr">
        <is>
          <t>54560376:eng</t>
        </is>
      </c>
      <c r="AV2587" t="inlineStr">
        <is>
          <t>9359012</t>
        </is>
      </c>
      <c r="AW2587" t="inlineStr">
        <is>
          <t>991000177379702656</t>
        </is>
      </c>
      <c r="AX2587" t="inlineStr">
        <is>
          <t>991000177379702656</t>
        </is>
      </c>
      <c r="AY2587" t="inlineStr">
        <is>
          <t>2258141190002656</t>
        </is>
      </c>
      <c r="AZ2587" t="inlineStr">
        <is>
          <t>BOOK</t>
        </is>
      </c>
      <c r="BB2587" t="inlineStr">
        <is>
          <t>9780875899312</t>
        </is>
      </c>
      <c r="BC2587" t="inlineStr">
        <is>
          <t>32285001155190</t>
        </is>
      </c>
      <c r="BD2587" t="inlineStr">
        <is>
          <t>893796491</t>
        </is>
      </c>
    </row>
    <row r="2588">
      <c r="A2588" t="inlineStr">
        <is>
          <t>No</t>
        </is>
      </c>
      <c r="B2588" t="inlineStr">
        <is>
          <t>HQ777.5 .D53 1985</t>
        </is>
      </c>
      <c r="C2588" t="inlineStr">
        <is>
          <t>0                      HQ 0777500D  53          1985</t>
        </is>
      </c>
      <c r="D2588" t="inlineStr">
        <is>
          <t>Helping children of divorce : a handbook for parents and teachers / Susan Arnsberg Diamond.</t>
        </is>
      </c>
      <c r="F2588" t="inlineStr">
        <is>
          <t>No</t>
        </is>
      </c>
      <c r="G2588" t="inlineStr">
        <is>
          <t>1</t>
        </is>
      </c>
      <c r="H2588" t="inlineStr">
        <is>
          <t>No</t>
        </is>
      </c>
      <c r="I2588" t="inlineStr">
        <is>
          <t>No</t>
        </is>
      </c>
      <c r="J2588" t="inlineStr">
        <is>
          <t>0</t>
        </is>
      </c>
      <c r="K2588" t="inlineStr">
        <is>
          <t>Diamond, Susan Arnsberg.</t>
        </is>
      </c>
      <c r="L2588" t="inlineStr">
        <is>
          <t>New York : Schocken Books, 1985.</t>
        </is>
      </c>
      <c r="M2588" t="inlineStr">
        <is>
          <t>1985</t>
        </is>
      </c>
      <c r="O2588" t="inlineStr">
        <is>
          <t>eng</t>
        </is>
      </c>
      <c r="P2588" t="inlineStr">
        <is>
          <t>nyu</t>
        </is>
      </c>
      <c r="R2588" t="inlineStr">
        <is>
          <t xml:space="preserve">HQ </t>
        </is>
      </c>
      <c r="S2588" t="n">
        <v>44</v>
      </c>
      <c r="T2588" t="n">
        <v>44</v>
      </c>
      <c r="U2588" t="inlineStr">
        <is>
          <t>2002-10-21</t>
        </is>
      </c>
      <c r="V2588" t="inlineStr">
        <is>
          <t>2002-10-21</t>
        </is>
      </c>
      <c r="W2588" t="inlineStr">
        <is>
          <t>1990-04-26</t>
        </is>
      </c>
      <c r="X2588" t="inlineStr">
        <is>
          <t>1990-04-26</t>
        </is>
      </c>
      <c r="Y2588" t="n">
        <v>620</v>
      </c>
      <c r="Z2588" t="n">
        <v>579</v>
      </c>
      <c r="AA2588" t="n">
        <v>586</v>
      </c>
      <c r="AB2588" t="n">
        <v>7</v>
      </c>
      <c r="AC2588" t="n">
        <v>7</v>
      </c>
      <c r="AD2588" t="n">
        <v>14</v>
      </c>
      <c r="AE2588" t="n">
        <v>14</v>
      </c>
      <c r="AF2588" t="n">
        <v>7</v>
      </c>
      <c r="AG2588" t="n">
        <v>7</v>
      </c>
      <c r="AH2588" t="n">
        <v>2</v>
      </c>
      <c r="AI2588" t="n">
        <v>2</v>
      </c>
      <c r="AJ2588" t="n">
        <v>4</v>
      </c>
      <c r="AK2588" t="n">
        <v>4</v>
      </c>
      <c r="AL2588" t="n">
        <v>4</v>
      </c>
      <c r="AM2588" t="n">
        <v>4</v>
      </c>
      <c r="AN2588" t="n">
        <v>0</v>
      </c>
      <c r="AO2588" t="n">
        <v>0</v>
      </c>
      <c r="AP2588" t="inlineStr">
        <is>
          <t>No</t>
        </is>
      </c>
      <c r="AQ2588" t="inlineStr">
        <is>
          <t>Yes</t>
        </is>
      </c>
      <c r="AR2588">
        <f>HYPERLINK("http://catalog.hathitrust.org/Record/000653171","HathiTrust Record")</f>
        <v/>
      </c>
      <c r="AS2588">
        <f>HYPERLINK("https://creighton-primo.hosted.exlibrisgroup.com/primo-explore/search?tab=default_tab&amp;search_scope=EVERYTHING&amp;vid=01CRU&amp;lang=en_US&amp;offset=0&amp;query=any,contains,991000513519702656","Catalog Record")</f>
        <v/>
      </c>
      <c r="AT2588">
        <f>HYPERLINK("http://www.worldcat.org/oclc/11261677","WorldCat Record")</f>
        <v/>
      </c>
      <c r="AU2588" t="inlineStr">
        <is>
          <t>196788790:eng</t>
        </is>
      </c>
      <c r="AV2588" t="inlineStr">
        <is>
          <t>11261677</t>
        </is>
      </c>
      <c r="AW2588" t="inlineStr">
        <is>
          <t>991000513519702656</t>
        </is>
      </c>
      <c r="AX2588" t="inlineStr">
        <is>
          <t>991000513519702656</t>
        </is>
      </c>
      <c r="AY2588" t="inlineStr">
        <is>
          <t>2265542990002656</t>
        </is>
      </c>
      <c r="AZ2588" t="inlineStr">
        <is>
          <t>BOOK</t>
        </is>
      </c>
      <c r="BB2588" t="inlineStr">
        <is>
          <t>9780805239744</t>
        </is>
      </c>
      <c r="BC2588" t="inlineStr">
        <is>
          <t>32285000126416</t>
        </is>
      </c>
      <c r="BD2588" t="inlineStr">
        <is>
          <t>893327352</t>
        </is>
      </c>
    </row>
    <row r="2589">
      <c r="A2589" t="inlineStr">
        <is>
          <t>No</t>
        </is>
      </c>
      <c r="B2589" t="inlineStr">
        <is>
          <t>HQ777.5 .G64 1984</t>
        </is>
      </c>
      <c r="C2589" t="inlineStr">
        <is>
          <t>0                      HQ 0777500G  64          1984</t>
        </is>
      </c>
      <c r="D2589" t="inlineStr">
        <is>
          <t>Divorce and your child : practical suggestions for parents / Sonja Goldstein and Albert J. Solnit.</t>
        </is>
      </c>
      <c r="F2589" t="inlineStr">
        <is>
          <t>No</t>
        </is>
      </c>
      <c r="G2589" t="inlineStr">
        <is>
          <t>1</t>
        </is>
      </c>
      <c r="H2589" t="inlineStr">
        <is>
          <t>No</t>
        </is>
      </c>
      <c r="I2589" t="inlineStr">
        <is>
          <t>No</t>
        </is>
      </c>
      <c r="J2589" t="inlineStr">
        <is>
          <t>0</t>
        </is>
      </c>
      <c r="K2589" t="inlineStr">
        <is>
          <t>Goldstein, Sonja, 1926-</t>
        </is>
      </c>
      <c r="L2589" t="inlineStr">
        <is>
          <t>New Haven : Yale University Press, c1984.</t>
        </is>
      </c>
      <c r="M2589" t="inlineStr">
        <is>
          <t>1984</t>
        </is>
      </c>
      <c r="O2589" t="inlineStr">
        <is>
          <t>eng</t>
        </is>
      </c>
      <c r="P2589" t="inlineStr">
        <is>
          <t>ctu</t>
        </is>
      </c>
      <c r="R2589" t="inlineStr">
        <is>
          <t xml:space="preserve">HQ </t>
        </is>
      </c>
      <c r="S2589" t="n">
        <v>44</v>
      </c>
      <c r="T2589" t="n">
        <v>44</v>
      </c>
      <c r="U2589" t="inlineStr">
        <is>
          <t>2002-10-21</t>
        </is>
      </c>
      <c r="V2589" t="inlineStr">
        <is>
          <t>2002-10-21</t>
        </is>
      </c>
      <c r="W2589" t="inlineStr">
        <is>
          <t>1990-03-26</t>
        </is>
      </c>
      <c r="X2589" t="inlineStr">
        <is>
          <t>1990-03-26</t>
        </is>
      </c>
      <c r="Y2589" t="n">
        <v>685</v>
      </c>
      <c r="Z2589" t="n">
        <v>595</v>
      </c>
      <c r="AA2589" t="n">
        <v>597</v>
      </c>
      <c r="AB2589" t="n">
        <v>5</v>
      </c>
      <c r="AC2589" t="n">
        <v>5</v>
      </c>
      <c r="AD2589" t="n">
        <v>19</v>
      </c>
      <c r="AE2589" t="n">
        <v>19</v>
      </c>
      <c r="AF2589" t="n">
        <v>4</v>
      </c>
      <c r="AG2589" t="n">
        <v>4</v>
      </c>
      <c r="AH2589" t="n">
        <v>2</v>
      </c>
      <c r="AI2589" t="n">
        <v>2</v>
      </c>
      <c r="AJ2589" t="n">
        <v>7</v>
      </c>
      <c r="AK2589" t="n">
        <v>7</v>
      </c>
      <c r="AL2589" t="n">
        <v>2</v>
      </c>
      <c r="AM2589" t="n">
        <v>2</v>
      </c>
      <c r="AN2589" t="n">
        <v>7</v>
      </c>
      <c r="AO2589" t="n">
        <v>7</v>
      </c>
      <c r="AP2589" t="inlineStr">
        <is>
          <t>No</t>
        </is>
      </c>
      <c r="AQ2589" t="inlineStr">
        <is>
          <t>No</t>
        </is>
      </c>
      <c r="AS2589">
        <f>HYPERLINK("https://creighton-primo.hosted.exlibrisgroup.com/primo-explore/search?tab=default_tab&amp;search_scope=EVERYTHING&amp;vid=01CRU&amp;lang=en_US&amp;offset=0&amp;query=any,contains,991000326669702656","Catalog Record")</f>
        <v/>
      </c>
      <c r="AT2589">
        <f>HYPERLINK("http://www.worldcat.org/oclc/10183399","WorldCat Record")</f>
        <v/>
      </c>
      <c r="AU2589" t="inlineStr">
        <is>
          <t>329315436:eng</t>
        </is>
      </c>
      <c r="AV2589" t="inlineStr">
        <is>
          <t>10183399</t>
        </is>
      </c>
      <c r="AW2589" t="inlineStr">
        <is>
          <t>991000326669702656</t>
        </is>
      </c>
      <c r="AX2589" t="inlineStr">
        <is>
          <t>991000326669702656</t>
        </is>
      </c>
      <c r="AY2589" t="inlineStr">
        <is>
          <t>2270702480002656</t>
        </is>
      </c>
      <c r="AZ2589" t="inlineStr">
        <is>
          <t>BOOK</t>
        </is>
      </c>
      <c r="BB2589" t="inlineStr">
        <is>
          <t>9780300028102</t>
        </is>
      </c>
      <c r="BC2589" t="inlineStr">
        <is>
          <t>32285000096700</t>
        </is>
      </c>
      <c r="BD2589" t="inlineStr">
        <is>
          <t>893438167</t>
        </is>
      </c>
    </row>
    <row r="2590">
      <c r="A2590" t="inlineStr">
        <is>
          <t>No</t>
        </is>
      </c>
      <c r="B2590" t="inlineStr">
        <is>
          <t>HQ777.5 .H28 1983</t>
        </is>
      </c>
      <c r="C2590" t="inlineStr">
        <is>
          <t>0                      HQ 0777500H  28          1983</t>
        </is>
      </c>
      <c r="D2590" t="inlineStr">
        <is>
          <t>Children and divorce : an annotated bibliography and guide / Evelyn B. Hausslein.</t>
        </is>
      </c>
      <c r="F2590" t="inlineStr">
        <is>
          <t>No</t>
        </is>
      </c>
      <c r="G2590" t="inlineStr">
        <is>
          <t>1</t>
        </is>
      </c>
      <c r="H2590" t="inlineStr">
        <is>
          <t>No</t>
        </is>
      </c>
      <c r="I2590" t="inlineStr">
        <is>
          <t>No</t>
        </is>
      </c>
      <c r="J2590" t="inlineStr">
        <is>
          <t>0</t>
        </is>
      </c>
      <c r="K2590" t="inlineStr">
        <is>
          <t>Hausslein, Evelyn B., 1938-</t>
        </is>
      </c>
      <c r="L2590" t="inlineStr">
        <is>
          <t>New York : Garland Pub., 1983.</t>
        </is>
      </c>
      <c r="M2590" t="inlineStr">
        <is>
          <t>1983</t>
        </is>
      </c>
      <c r="O2590" t="inlineStr">
        <is>
          <t>eng</t>
        </is>
      </c>
      <c r="P2590" t="inlineStr">
        <is>
          <t>nyu</t>
        </is>
      </c>
      <c r="Q2590" t="inlineStr">
        <is>
          <t>Garland reference library of social science ; v. 119</t>
        </is>
      </c>
      <c r="R2590" t="inlineStr">
        <is>
          <t xml:space="preserve">HQ </t>
        </is>
      </c>
      <c r="S2590" t="n">
        <v>21</v>
      </c>
      <c r="T2590" t="n">
        <v>21</v>
      </c>
      <c r="U2590" t="inlineStr">
        <is>
          <t>2002-10-21</t>
        </is>
      </c>
      <c r="V2590" t="inlineStr">
        <is>
          <t>2002-10-21</t>
        </is>
      </c>
      <c r="W2590" t="inlineStr">
        <is>
          <t>1990-04-20</t>
        </is>
      </c>
      <c r="X2590" t="inlineStr">
        <is>
          <t>1990-04-20</t>
        </is>
      </c>
      <c r="Y2590" t="n">
        <v>293</v>
      </c>
      <c r="Z2590" t="n">
        <v>239</v>
      </c>
      <c r="AA2590" t="n">
        <v>247</v>
      </c>
      <c r="AB2590" t="n">
        <v>3</v>
      </c>
      <c r="AC2590" t="n">
        <v>3</v>
      </c>
      <c r="AD2590" t="n">
        <v>11</v>
      </c>
      <c r="AE2590" t="n">
        <v>11</v>
      </c>
      <c r="AF2590" t="n">
        <v>4</v>
      </c>
      <c r="AG2590" t="n">
        <v>4</v>
      </c>
      <c r="AH2590" t="n">
        <v>4</v>
      </c>
      <c r="AI2590" t="n">
        <v>4</v>
      </c>
      <c r="AJ2590" t="n">
        <v>4</v>
      </c>
      <c r="AK2590" t="n">
        <v>4</v>
      </c>
      <c r="AL2590" t="n">
        <v>1</v>
      </c>
      <c r="AM2590" t="n">
        <v>1</v>
      </c>
      <c r="AN2590" t="n">
        <v>1</v>
      </c>
      <c r="AO2590" t="n">
        <v>1</v>
      </c>
      <c r="AP2590" t="inlineStr">
        <is>
          <t>No</t>
        </is>
      </c>
      <c r="AQ2590" t="inlineStr">
        <is>
          <t>Yes</t>
        </is>
      </c>
      <c r="AR2590">
        <f>HYPERLINK("http://catalog.hathitrust.org/Record/000280146","HathiTrust Record")</f>
        <v/>
      </c>
      <c r="AS2590">
        <f>HYPERLINK("https://creighton-primo.hosted.exlibrisgroup.com/primo-explore/search?tab=default_tab&amp;search_scope=EVERYTHING&amp;vid=01CRU&amp;lang=en_US&amp;offset=0&amp;query=any,contains,991000195939702656","Catalog Record")</f>
        <v/>
      </c>
      <c r="AT2590">
        <f>HYPERLINK("http://www.worldcat.org/oclc/9441297","WorldCat Record")</f>
        <v/>
      </c>
      <c r="AU2590" t="inlineStr">
        <is>
          <t>199012940:eng</t>
        </is>
      </c>
      <c r="AV2590" t="inlineStr">
        <is>
          <t>9441297</t>
        </is>
      </c>
      <c r="AW2590" t="inlineStr">
        <is>
          <t>991000195939702656</t>
        </is>
      </c>
      <c r="AX2590" t="inlineStr">
        <is>
          <t>991000195939702656</t>
        </is>
      </c>
      <c r="AY2590" t="inlineStr">
        <is>
          <t>2264874140002656</t>
        </is>
      </c>
      <c r="AZ2590" t="inlineStr">
        <is>
          <t>BOOK</t>
        </is>
      </c>
      <c r="BB2590" t="inlineStr">
        <is>
          <t>9780824093914</t>
        </is>
      </c>
      <c r="BC2590" t="inlineStr">
        <is>
          <t>32285000123728</t>
        </is>
      </c>
      <c r="BD2590" t="inlineStr">
        <is>
          <t>893327116</t>
        </is>
      </c>
    </row>
    <row r="2591">
      <c r="A2591" t="inlineStr">
        <is>
          <t>No</t>
        </is>
      </c>
      <c r="B2591" t="inlineStr">
        <is>
          <t>HQ777.5 .I52 1988</t>
        </is>
      </c>
      <c r="C2591" t="inlineStr">
        <is>
          <t>0                      HQ 0777500I  52          1988</t>
        </is>
      </c>
      <c r="D2591" t="inlineStr">
        <is>
          <t>Impact of divorce, single parenting, and stepparenting on children / edited by E. Mavis Hetherington, Josephine D. Arasteh.</t>
        </is>
      </c>
      <c r="F2591" t="inlineStr">
        <is>
          <t>No</t>
        </is>
      </c>
      <c r="G2591" t="inlineStr">
        <is>
          <t>1</t>
        </is>
      </c>
      <c r="H2591" t="inlineStr">
        <is>
          <t>No</t>
        </is>
      </c>
      <c r="I2591" t="inlineStr">
        <is>
          <t>No</t>
        </is>
      </c>
      <c r="J2591" t="inlineStr">
        <is>
          <t>0</t>
        </is>
      </c>
      <c r="L2591" t="inlineStr">
        <is>
          <t>Hillsdale, N.J. : Lawrence Erlbaum Associates, 1988.</t>
        </is>
      </c>
      <c r="M2591" t="inlineStr">
        <is>
          <t>1988</t>
        </is>
      </c>
      <c r="O2591" t="inlineStr">
        <is>
          <t>eng</t>
        </is>
      </c>
      <c r="P2591" t="inlineStr">
        <is>
          <t>nju</t>
        </is>
      </c>
      <c r="R2591" t="inlineStr">
        <is>
          <t xml:space="preserve">HQ </t>
        </is>
      </c>
      <c r="S2591" t="n">
        <v>63</v>
      </c>
      <c r="T2591" t="n">
        <v>63</v>
      </c>
      <c r="U2591" t="inlineStr">
        <is>
          <t>2007-02-28</t>
        </is>
      </c>
      <c r="V2591" t="inlineStr">
        <is>
          <t>2007-02-28</t>
        </is>
      </c>
      <c r="W2591" t="inlineStr">
        <is>
          <t>1993-09-13</t>
        </is>
      </c>
      <c r="X2591" t="inlineStr">
        <is>
          <t>1993-09-13</t>
        </is>
      </c>
      <c r="Y2591" t="n">
        <v>452</v>
      </c>
      <c r="Z2591" t="n">
        <v>346</v>
      </c>
      <c r="AA2591" t="n">
        <v>367</v>
      </c>
      <c r="AB2591" t="n">
        <v>3</v>
      </c>
      <c r="AC2591" t="n">
        <v>3</v>
      </c>
      <c r="AD2591" t="n">
        <v>16</v>
      </c>
      <c r="AE2591" t="n">
        <v>16</v>
      </c>
      <c r="AF2591" t="n">
        <v>5</v>
      </c>
      <c r="AG2591" t="n">
        <v>5</v>
      </c>
      <c r="AH2591" t="n">
        <v>6</v>
      </c>
      <c r="AI2591" t="n">
        <v>6</v>
      </c>
      <c r="AJ2591" t="n">
        <v>6</v>
      </c>
      <c r="AK2591" t="n">
        <v>6</v>
      </c>
      <c r="AL2591" t="n">
        <v>2</v>
      </c>
      <c r="AM2591" t="n">
        <v>2</v>
      </c>
      <c r="AN2591" t="n">
        <v>0</v>
      </c>
      <c r="AO2591" t="n">
        <v>0</v>
      </c>
      <c r="AP2591" t="inlineStr">
        <is>
          <t>No</t>
        </is>
      </c>
      <c r="AQ2591" t="inlineStr">
        <is>
          <t>Yes</t>
        </is>
      </c>
      <c r="AR2591">
        <f>HYPERLINK("http://catalog.hathitrust.org/Record/001081545","HathiTrust Record")</f>
        <v/>
      </c>
      <c r="AS2591">
        <f>HYPERLINK("https://creighton-primo.hosted.exlibrisgroup.com/primo-explore/search?tab=default_tab&amp;search_scope=EVERYTHING&amp;vid=01CRU&amp;lang=en_US&amp;offset=0&amp;query=any,contains,991001188139702656","Catalog Record")</f>
        <v/>
      </c>
      <c r="AT2591">
        <f>HYPERLINK("http://www.worldcat.org/oclc/17232311","WorldCat Record")</f>
        <v/>
      </c>
      <c r="AU2591" t="inlineStr">
        <is>
          <t>351871061:eng</t>
        </is>
      </c>
      <c r="AV2591" t="inlineStr">
        <is>
          <t>17232311</t>
        </is>
      </c>
      <c r="AW2591" t="inlineStr">
        <is>
          <t>991001188139702656</t>
        </is>
      </c>
      <c r="AX2591" t="inlineStr">
        <is>
          <t>991001188139702656</t>
        </is>
      </c>
      <c r="AY2591" t="inlineStr">
        <is>
          <t>2271359210002656</t>
        </is>
      </c>
      <c r="AZ2591" t="inlineStr">
        <is>
          <t>BOOK</t>
        </is>
      </c>
      <c r="BB2591" t="inlineStr">
        <is>
          <t>9780805801873</t>
        </is>
      </c>
      <c r="BC2591" t="inlineStr">
        <is>
          <t>32285001765675</t>
        </is>
      </c>
      <c r="BD2591" t="inlineStr">
        <is>
          <t>893684132</t>
        </is>
      </c>
    </row>
    <row r="2592">
      <c r="A2592" t="inlineStr">
        <is>
          <t>No</t>
        </is>
      </c>
      <c r="B2592" t="inlineStr">
        <is>
          <t>HQ777.5 .K35 1991</t>
        </is>
      </c>
      <c r="C2592" t="inlineStr">
        <is>
          <t>0                      HQ 0777500K  35          1991</t>
        </is>
      </c>
      <c r="D2592" t="inlineStr">
        <is>
          <t>Growing up with divorce : helping your child avoid immediate and later emotional problems / Neil Kalter.</t>
        </is>
      </c>
      <c r="F2592" t="inlineStr">
        <is>
          <t>No</t>
        </is>
      </c>
      <c r="G2592" t="inlineStr">
        <is>
          <t>1</t>
        </is>
      </c>
      <c r="H2592" t="inlineStr">
        <is>
          <t>No</t>
        </is>
      </c>
      <c r="I2592" t="inlineStr">
        <is>
          <t>No</t>
        </is>
      </c>
      <c r="J2592" t="inlineStr">
        <is>
          <t>0</t>
        </is>
      </c>
      <c r="K2592" t="inlineStr">
        <is>
          <t>Kalter, Neil.</t>
        </is>
      </c>
      <c r="L2592" t="inlineStr">
        <is>
          <t>New York : Fawcett Columbine, 1991, c1990.</t>
        </is>
      </c>
      <c r="M2592" t="inlineStr">
        <is>
          <t>1991</t>
        </is>
      </c>
      <c r="N2592" t="inlineStr">
        <is>
          <t>1st Ballantine Books ed.</t>
        </is>
      </c>
      <c r="O2592" t="inlineStr">
        <is>
          <t>eng</t>
        </is>
      </c>
      <c r="P2592" t="inlineStr">
        <is>
          <t>nyu</t>
        </is>
      </c>
      <c r="R2592" t="inlineStr">
        <is>
          <t xml:space="preserve">HQ </t>
        </is>
      </c>
      <c r="S2592" t="n">
        <v>58</v>
      </c>
      <c r="T2592" t="n">
        <v>58</v>
      </c>
      <c r="U2592" t="inlineStr">
        <is>
          <t>2002-10-21</t>
        </is>
      </c>
      <c r="V2592" t="inlineStr">
        <is>
          <t>2002-10-21</t>
        </is>
      </c>
      <c r="W2592" t="inlineStr">
        <is>
          <t>1991-07-25</t>
        </is>
      </c>
      <c r="X2592" t="inlineStr">
        <is>
          <t>1991-07-25</t>
        </is>
      </c>
      <c r="Y2592" t="n">
        <v>127</v>
      </c>
      <c r="Z2592" t="n">
        <v>122</v>
      </c>
      <c r="AA2592" t="n">
        <v>710</v>
      </c>
      <c r="AB2592" t="n">
        <v>1</v>
      </c>
      <c r="AC2592" t="n">
        <v>3</v>
      </c>
      <c r="AD2592" t="n">
        <v>1</v>
      </c>
      <c r="AE2592" t="n">
        <v>15</v>
      </c>
      <c r="AF2592" t="n">
        <v>0</v>
      </c>
      <c r="AG2592" t="n">
        <v>6</v>
      </c>
      <c r="AH2592" t="n">
        <v>0</v>
      </c>
      <c r="AI2592" t="n">
        <v>2</v>
      </c>
      <c r="AJ2592" t="n">
        <v>0</v>
      </c>
      <c r="AK2592" t="n">
        <v>8</v>
      </c>
      <c r="AL2592" t="n">
        <v>0</v>
      </c>
      <c r="AM2592" t="n">
        <v>2</v>
      </c>
      <c r="AN2592" t="n">
        <v>1</v>
      </c>
      <c r="AO2592" t="n">
        <v>1</v>
      </c>
      <c r="AP2592" t="inlineStr">
        <is>
          <t>No</t>
        </is>
      </c>
      <c r="AQ2592" t="inlineStr">
        <is>
          <t>No</t>
        </is>
      </c>
      <c r="AS2592">
        <f>HYPERLINK("https://creighton-primo.hosted.exlibrisgroup.com/primo-explore/search?tab=default_tab&amp;search_scope=EVERYTHING&amp;vid=01CRU&amp;lang=en_US&amp;offset=0&amp;query=any,contains,991001857349702656","Catalog Record")</f>
        <v/>
      </c>
      <c r="AT2592">
        <f>HYPERLINK("http://www.worldcat.org/oclc/23297481","WorldCat Record")</f>
        <v/>
      </c>
      <c r="AU2592" t="inlineStr">
        <is>
          <t>21346408:eng</t>
        </is>
      </c>
      <c r="AV2592" t="inlineStr">
        <is>
          <t>23297481</t>
        </is>
      </c>
      <c r="AW2592" t="inlineStr">
        <is>
          <t>991001857349702656</t>
        </is>
      </c>
      <c r="AX2592" t="inlineStr">
        <is>
          <t>991001857349702656</t>
        </is>
      </c>
      <c r="AY2592" t="inlineStr">
        <is>
          <t>2271797720002656</t>
        </is>
      </c>
      <c r="AZ2592" t="inlineStr">
        <is>
          <t>BOOK</t>
        </is>
      </c>
      <c r="BB2592" t="inlineStr">
        <is>
          <t>9780449905630</t>
        </is>
      </c>
      <c r="BC2592" t="inlineStr">
        <is>
          <t>32285000662816</t>
        </is>
      </c>
      <c r="BD2592" t="inlineStr">
        <is>
          <t>893244465</t>
        </is>
      </c>
    </row>
    <row r="2593">
      <c r="A2593" t="inlineStr">
        <is>
          <t>No</t>
        </is>
      </c>
      <c r="B2593" t="inlineStr">
        <is>
          <t>HQ777.5 .L83</t>
        </is>
      </c>
      <c r="C2593" t="inlineStr">
        <is>
          <t>0                      HQ 0777500L  83</t>
        </is>
      </c>
      <c r="D2593" t="inlineStr">
        <is>
          <t>Child custody : a study of families after divorce / Deborah Anna Luepnitz.</t>
        </is>
      </c>
      <c r="F2593" t="inlineStr">
        <is>
          <t>No</t>
        </is>
      </c>
      <c r="G2593" t="inlineStr">
        <is>
          <t>1</t>
        </is>
      </c>
      <c r="H2593" t="inlineStr">
        <is>
          <t>No</t>
        </is>
      </c>
      <c r="I2593" t="inlineStr">
        <is>
          <t>No</t>
        </is>
      </c>
      <c r="J2593" t="inlineStr">
        <is>
          <t>0</t>
        </is>
      </c>
      <c r="K2593" t="inlineStr">
        <is>
          <t>Luepnitz, Deborah Anna.</t>
        </is>
      </c>
      <c r="L2593" t="inlineStr">
        <is>
          <t>Lexington, Mass. : Lexington Books, 1982.</t>
        </is>
      </c>
      <c r="M2593" t="inlineStr">
        <is>
          <t>1981</t>
        </is>
      </c>
      <c r="O2593" t="inlineStr">
        <is>
          <t>eng</t>
        </is>
      </c>
      <c r="P2593" t="inlineStr">
        <is>
          <t>mau</t>
        </is>
      </c>
      <c r="R2593" t="inlineStr">
        <is>
          <t xml:space="preserve">HQ </t>
        </is>
      </c>
      <c r="S2593" t="n">
        <v>11</v>
      </c>
      <c r="T2593" t="n">
        <v>11</v>
      </c>
      <c r="U2593" t="inlineStr">
        <is>
          <t>1995-03-13</t>
        </is>
      </c>
      <c r="V2593" t="inlineStr">
        <is>
          <t>1995-03-13</t>
        </is>
      </c>
      <c r="W2593" t="inlineStr">
        <is>
          <t>1990-03-08</t>
        </is>
      </c>
      <c r="X2593" t="inlineStr">
        <is>
          <t>1990-03-08</t>
        </is>
      </c>
      <c r="Y2593" t="n">
        <v>710</v>
      </c>
      <c r="Z2593" t="n">
        <v>609</v>
      </c>
      <c r="AA2593" t="n">
        <v>629</v>
      </c>
      <c r="AB2593" t="n">
        <v>5</v>
      </c>
      <c r="AC2593" t="n">
        <v>5</v>
      </c>
      <c r="AD2593" t="n">
        <v>29</v>
      </c>
      <c r="AE2593" t="n">
        <v>29</v>
      </c>
      <c r="AF2593" t="n">
        <v>9</v>
      </c>
      <c r="AG2593" t="n">
        <v>9</v>
      </c>
      <c r="AH2593" t="n">
        <v>5</v>
      </c>
      <c r="AI2593" t="n">
        <v>5</v>
      </c>
      <c r="AJ2593" t="n">
        <v>8</v>
      </c>
      <c r="AK2593" t="n">
        <v>8</v>
      </c>
      <c r="AL2593" t="n">
        <v>3</v>
      </c>
      <c r="AM2593" t="n">
        <v>3</v>
      </c>
      <c r="AN2593" t="n">
        <v>9</v>
      </c>
      <c r="AO2593" t="n">
        <v>9</v>
      </c>
      <c r="AP2593" t="inlineStr">
        <is>
          <t>No</t>
        </is>
      </c>
      <c r="AQ2593" t="inlineStr">
        <is>
          <t>Yes</t>
        </is>
      </c>
      <c r="AR2593">
        <f>HYPERLINK("http://catalog.hathitrust.org/Record/000262552","HathiTrust Record")</f>
        <v/>
      </c>
      <c r="AS2593">
        <f>HYPERLINK("https://creighton-primo.hosted.exlibrisgroup.com/primo-explore/search?tab=default_tab&amp;search_scope=EVERYTHING&amp;vid=01CRU&amp;lang=en_US&amp;offset=0&amp;query=any,contains,991005165899702656","Catalog Record")</f>
        <v/>
      </c>
      <c r="AT2593">
        <f>HYPERLINK("http://www.worldcat.org/oclc/7835333","WorldCat Record")</f>
        <v/>
      </c>
      <c r="AU2593" t="inlineStr">
        <is>
          <t>29737513:eng</t>
        </is>
      </c>
      <c r="AV2593" t="inlineStr">
        <is>
          <t>7835333</t>
        </is>
      </c>
      <c r="AW2593" t="inlineStr">
        <is>
          <t>991005165899702656</t>
        </is>
      </c>
      <c r="AX2593" t="inlineStr">
        <is>
          <t>991005165899702656</t>
        </is>
      </c>
      <c r="AY2593" t="inlineStr">
        <is>
          <t>2254935870002656</t>
        </is>
      </c>
      <c r="AZ2593" t="inlineStr">
        <is>
          <t>BOOK</t>
        </is>
      </c>
      <c r="BB2593" t="inlineStr">
        <is>
          <t>9780669043655</t>
        </is>
      </c>
      <c r="BC2593" t="inlineStr">
        <is>
          <t>32285000078757</t>
        </is>
      </c>
      <c r="BD2593" t="inlineStr">
        <is>
          <t>893418485</t>
        </is>
      </c>
    </row>
    <row r="2594">
      <c r="A2594" t="inlineStr">
        <is>
          <t>No</t>
        </is>
      </c>
      <c r="B2594" t="inlineStr">
        <is>
          <t>HQ777.5 .N48 1981</t>
        </is>
      </c>
      <c r="C2594" t="inlineStr">
        <is>
          <t>0                      HQ 0777500N  48          1981</t>
        </is>
      </c>
      <c r="D2594" t="inlineStr">
        <is>
          <t>101 ways to be a long-distance super-dad / by George Newman ; [ill., cover, and design by Tom Taber].</t>
        </is>
      </c>
      <c r="F2594" t="inlineStr">
        <is>
          <t>No</t>
        </is>
      </c>
      <c r="G2594" t="inlineStr">
        <is>
          <t>1</t>
        </is>
      </c>
      <c r="H2594" t="inlineStr">
        <is>
          <t>No</t>
        </is>
      </c>
      <c r="I2594" t="inlineStr">
        <is>
          <t>No</t>
        </is>
      </c>
      <c r="J2594" t="inlineStr">
        <is>
          <t>0</t>
        </is>
      </c>
      <c r="K2594" t="inlineStr">
        <is>
          <t>Newman, George.</t>
        </is>
      </c>
      <c r="L2594" t="inlineStr">
        <is>
          <t>Mountain View, CA : Blossom Valley Press, c1981.</t>
        </is>
      </c>
      <c r="M2594" t="inlineStr">
        <is>
          <t>1981</t>
        </is>
      </c>
      <c r="O2594" t="inlineStr">
        <is>
          <t>eng</t>
        </is>
      </c>
      <c r="P2594" t="inlineStr">
        <is>
          <t>cau</t>
        </is>
      </c>
      <c r="R2594" t="inlineStr">
        <is>
          <t xml:space="preserve">HQ </t>
        </is>
      </c>
      <c r="S2594" t="n">
        <v>2</v>
      </c>
      <c r="T2594" t="n">
        <v>2</v>
      </c>
      <c r="U2594" t="inlineStr">
        <is>
          <t>1992-04-04</t>
        </is>
      </c>
      <c r="V2594" t="inlineStr">
        <is>
          <t>1992-04-04</t>
        </is>
      </c>
      <c r="W2594" t="inlineStr">
        <is>
          <t>1990-03-08</t>
        </is>
      </c>
      <c r="X2594" t="inlineStr">
        <is>
          <t>1990-03-08</t>
        </is>
      </c>
      <c r="Y2594" t="n">
        <v>67</v>
      </c>
      <c r="Z2594" t="n">
        <v>67</v>
      </c>
      <c r="AA2594" t="n">
        <v>110</v>
      </c>
      <c r="AB2594" t="n">
        <v>1</v>
      </c>
      <c r="AC2594" t="n">
        <v>1</v>
      </c>
      <c r="AD2594" t="n">
        <v>0</v>
      </c>
      <c r="AE2594" t="n">
        <v>0</v>
      </c>
      <c r="AF2594" t="n">
        <v>0</v>
      </c>
      <c r="AG2594" t="n">
        <v>0</v>
      </c>
      <c r="AH2594" t="n">
        <v>0</v>
      </c>
      <c r="AI2594" t="n">
        <v>0</v>
      </c>
      <c r="AJ2594" t="n">
        <v>0</v>
      </c>
      <c r="AK2594" t="n">
        <v>0</v>
      </c>
      <c r="AL2594" t="n">
        <v>0</v>
      </c>
      <c r="AM2594" t="n">
        <v>0</v>
      </c>
      <c r="AN2594" t="n">
        <v>0</v>
      </c>
      <c r="AO2594" t="n">
        <v>0</v>
      </c>
      <c r="AP2594" t="inlineStr">
        <is>
          <t>No</t>
        </is>
      </c>
      <c r="AQ2594" t="inlineStr">
        <is>
          <t>No</t>
        </is>
      </c>
      <c r="AS2594">
        <f>HYPERLINK("https://creighton-primo.hosted.exlibrisgroup.com/primo-explore/search?tab=default_tab&amp;search_scope=EVERYTHING&amp;vid=01CRU&amp;lang=en_US&amp;offset=0&amp;query=any,contains,991005175319702656","Catalog Record")</f>
        <v/>
      </c>
      <c r="AT2594">
        <f>HYPERLINK("http://www.worldcat.org/oclc/7914050","WorldCat Record")</f>
        <v/>
      </c>
      <c r="AU2594" t="inlineStr">
        <is>
          <t>3856207374:eng</t>
        </is>
      </c>
      <c r="AV2594" t="inlineStr">
        <is>
          <t>7914050</t>
        </is>
      </c>
      <c r="AW2594" t="inlineStr">
        <is>
          <t>991005175319702656</t>
        </is>
      </c>
      <c r="AX2594" t="inlineStr">
        <is>
          <t>991005175319702656</t>
        </is>
      </c>
      <c r="AY2594" t="inlineStr">
        <is>
          <t>2272313870002656</t>
        </is>
      </c>
      <c r="AZ2594" t="inlineStr">
        <is>
          <t>BOOK</t>
        </is>
      </c>
      <c r="BB2594" t="inlineStr">
        <is>
          <t>9780939894000</t>
        </is>
      </c>
      <c r="BC2594" t="inlineStr">
        <is>
          <t>32285000078765</t>
        </is>
      </c>
      <c r="BD2594" t="inlineStr">
        <is>
          <t>893713573</t>
        </is>
      </c>
    </row>
    <row r="2595">
      <c r="A2595" t="inlineStr">
        <is>
          <t>No</t>
        </is>
      </c>
      <c r="B2595" t="inlineStr">
        <is>
          <t>HQ777.5 .P796 2001</t>
        </is>
      </c>
      <c r="C2595" t="inlineStr">
        <is>
          <t>0                      HQ 0777500P  796         2001</t>
        </is>
      </c>
      <c r="D2595" t="inlineStr">
        <is>
          <t>Children in changing families : life after parental separation / Jan Pryor and Bryan Rodgers.</t>
        </is>
      </c>
      <c r="F2595" t="inlineStr">
        <is>
          <t>No</t>
        </is>
      </c>
      <c r="G2595" t="inlineStr">
        <is>
          <t>1</t>
        </is>
      </c>
      <c r="H2595" t="inlineStr">
        <is>
          <t>No</t>
        </is>
      </c>
      <c r="I2595" t="inlineStr">
        <is>
          <t>No</t>
        </is>
      </c>
      <c r="J2595" t="inlineStr">
        <is>
          <t>0</t>
        </is>
      </c>
      <c r="K2595" t="inlineStr">
        <is>
          <t>Pryor, Jan.</t>
        </is>
      </c>
      <c r="L2595" t="inlineStr">
        <is>
          <t>Oxford ; Malden, Mass. : Blackwell Publishers, 2001.</t>
        </is>
      </c>
      <c r="M2595" t="inlineStr">
        <is>
          <t>2001</t>
        </is>
      </c>
      <c r="O2595" t="inlineStr">
        <is>
          <t>eng</t>
        </is>
      </c>
      <c r="P2595" t="inlineStr">
        <is>
          <t>enk</t>
        </is>
      </c>
      <c r="Q2595" t="inlineStr">
        <is>
          <t>Understanding children's worlds</t>
        </is>
      </c>
      <c r="R2595" t="inlineStr">
        <is>
          <t xml:space="preserve">HQ </t>
        </is>
      </c>
      <c r="S2595" t="n">
        <v>3</v>
      </c>
      <c r="T2595" t="n">
        <v>3</v>
      </c>
      <c r="U2595" t="inlineStr">
        <is>
          <t>2004-03-31</t>
        </is>
      </c>
      <c r="V2595" t="inlineStr">
        <is>
          <t>2004-03-31</t>
        </is>
      </c>
      <c r="W2595" t="inlineStr">
        <is>
          <t>2002-07-10</t>
        </is>
      </c>
      <c r="X2595" t="inlineStr">
        <is>
          <t>2002-07-10</t>
        </is>
      </c>
      <c r="Y2595" t="n">
        <v>538</v>
      </c>
      <c r="Z2595" t="n">
        <v>451</v>
      </c>
      <c r="AA2595" t="n">
        <v>513</v>
      </c>
      <c r="AB2595" t="n">
        <v>2</v>
      </c>
      <c r="AC2595" t="n">
        <v>2</v>
      </c>
      <c r="AD2595" t="n">
        <v>19</v>
      </c>
      <c r="AE2595" t="n">
        <v>22</v>
      </c>
      <c r="AF2595" t="n">
        <v>9</v>
      </c>
      <c r="AG2595" t="n">
        <v>9</v>
      </c>
      <c r="AH2595" t="n">
        <v>5</v>
      </c>
      <c r="AI2595" t="n">
        <v>7</v>
      </c>
      <c r="AJ2595" t="n">
        <v>9</v>
      </c>
      <c r="AK2595" t="n">
        <v>11</v>
      </c>
      <c r="AL2595" t="n">
        <v>1</v>
      </c>
      <c r="AM2595" t="n">
        <v>1</v>
      </c>
      <c r="AN2595" t="n">
        <v>0</v>
      </c>
      <c r="AO2595" t="n">
        <v>0</v>
      </c>
      <c r="AP2595" t="inlineStr">
        <is>
          <t>No</t>
        </is>
      </c>
      <c r="AQ2595" t="inlineStr">
        <is>
          <t>No</t>
        </is>
      </c>
      <c r="AS2595">
        <f>HYPERLINK("https://creighton-primo.hosted.exlibrisgroup.com/primo-explore/search?tab=default_tab&amp;search_scope=EVERYTHING&amp;vid=01CRU&amp;lang=en_US&amp;offset=0&amp;query=any,contains,991003825269702656","Catalog Record")</f>
        <v/>
      </c>
      <c r="AT2595">
        <f>HYPERLINK("http://www.worldcat.org/oclc/47665256","WorldCat Record")</f>
        <v/>
      </c>
      <c r="AU2595" t="inlineStr">
        <is>
          <t>837036653:eng</t>
        </is>
      </c>
      <c r="AV2595" t="inlineStr">
        <is>
          <t>47665256</t>
        </is>
      </c>
      <c r="AW2595" t="inlineStr">
        <is>
          <t>991003825269702656</t>
        </is>
      </c>
      <c r="AX2595" t="inlineStr">
        <is>
          <t>991003825269702656</t>
        </is>
      </c>
      <c r="AY2595" t="inlineStr">
        <is>
          <t>2258338550002656</t>
        </is>
      </c>
      <c r="AZ2595" t="inlineStr">
        <is>
          <t>BOOK</t>
        </is>
      </c>
      <c r="BB2595" t="inlineStr">
        <is>
          <t>9780631215752</t>
        </is>
      </c>
      <c r="BC2595" t="inlineStr">
        <is>
          <t>32285004497565</t>
        </is>
      </c>
      <c r="BD2595" t="inlineStr">
        <is>
          <t>893512403</t>
        </is>
      </c>
    </row>
    <row r="2596">
      <c r="A2596" t="inlineStr">
        <is>
          <t>No</t>
        </is>
      </c>
      <c r="B2596" t="inlineStr">
        <is>
          <t>HQ777.5 .R53 1980</t>
        </is>
      </c>
      <c r="C2596" t="inlineStr">
        <is>
          <t>0                      HQ 0777500R  53          1980</t>
        </is>
      </c>
      <c r="D2596" t="inlineStr">
        <is>
          <t>Mom's house, dad's house : making shared custody work / Isolina Ricci.</t>
        </is>
      </c>
      <c r="F2596" t="inlineStr">
        <is>
          <t>No</t>
        </is>
      </c>
      <c r="G2596" t="inlineStr">
        <is>
          <t>1</t>
        </is>
      </c>
      <c r="H2596" t="inlineStr">
        <is>
          <t>No</t>
        </is>
      </c>
      <c r="I2596" t="inlineStr">
        <is>
          <t>No</t>
        </is>
      </c>
      <c r="J2596" t="inlineStr">
        <is>
          <t>0</t>
        </is>
      </c>
      <c r="K2596" t="inlineStr">
        <is>
          <t>Ricci, Isolina.</t>
        </is>
      </c>
      <c r="L2596" t="inlineStr">
        <is>
          <t>New York : Macmillan, c1980.</t>
        </is>
      </c>
      <c r="M2596" t="inlineStr">
        <is>
          <t>1980</t>
        </is>
      </c>
      <c r="O2596" t="inlineStr">
        <is>
          <t>eng</t>
        </is>
      </c>
      <c r="P2596" t="inlineStr">
        <is>
          <t>nyu</t>
        </is>
      </c>
      <c r="R2596" t="inlineStr">
        <is>
          <t xml:space="preserve">HQ </t>
        </is>
      </c>
      <c r="S2596" t="n">
        <v>4</v>
      </c>
      <c r="T2596" t="n">
        <v>4</v>
      </c>
      <c r="U2596" t="inlineStr">
        <is>
          <t>1994-09-06</t>
        </is>
      </c>
      <c r="V2596" t="inlineStr">
        <is>
          <t>1994-09-06</t>
        </is>
      </c>
      <c r="W2596" t="inlineStr">
        <is>
          <t>1990-03-08</t>
        </is>
      </c>
      <c r="X2596" t="inlineStr">
        <is>
          <t>1990-03-08</t>
        </is>
      </c>
      <c r="Y2596" t="n">
        <v>406</v>
      </c>
      <c r="Z2596" t="n">
        <v>358</v>
      </c>
      <c r="AA2596" t="n">
        <v>563</v>
      </c>
      <c r="AB2596" t="n">
        <v>4</v>
      </c>
      <c r="AC2596" t="n">
        <v>5</v>
      </c>
      <c r="AD2596" t="n">
        <v>5</v>
      </c>
      <c r="AE2596" t="n">
        <v>9</v>
      </c>
      <c r="AF2596" t="n">
        <v>3</v>
      </c>
      <c r="AG2596" t="n">
        <v>5</v>
      </c>
      <c r="AH2596" t="n">
        <v>1</v>
      </c>
      <c r="AI2596" t="n">
        <v>1</v>
      </c>
      <c r="AJ2596" t="n">
        <v>2</v>
      </c>
      <c r="AK2596" t="n">
        <v>2</v>
      </c>
      <c r="AL2596" t="n">
        <v>0</v>
      </c>
      <c r="AM2596" t="n">
        <v>0</v>
      </c>
      <c r="AN2596" t="n">
        <v>0</v>
      </c>
      <c r="AO2596" t="n">
        <v>2</v>
      </c>
      <c r="AP2596" t="inlineStr">
        <is>
          <t>No</t>
        </is>
      </c>
      <c r="AQ2596" t="inlineStr">
        <is>
          <t>Yes</t>
        </is>
      </c>
      <c r="AR2596">
        <f>HYPERLINK("http://catalog.hathitrust.org/Record/007131243","HathiTrust Record")</f>
        <v/>
      </c>
      <c r="AS2596">
        <f>HYPERLINK("https://creighton-primo.hosted.exlibrisgroup.com/primo-explore/search?tab=default_tab&amp;search_scope=EVERYTHING&amp;vid=01CRU&amp;lang=en_US&amp;offset=0&amp;query=any,contains,991004998909702656","Catalog Record")</f>
        <v/>
      </c>
      <c r="AT2596">
        <f>HYPERLINK("http://www.worldcat.org/oclc/6532781","WorldCat Record")</f>
        <v/>
      </c>
      <c r="AU2596" t="inlineStr">
        <is>
          <t>3944592049:eng</t>
        </is>
      </c>
      <c r="AV2596" t="inlineStr">
        <is>
          <t>6532781</t>
        </is>
      </c>
      <c r="AW2596" t="inlineStr">
        <is>
          <t>991004998909702656</t>
        </is>
      </c>
      <c r="AX2596" t="inlineStr">
        <is>
          <t>991004998909702656</t>
        </is>
      </c>
      <c r="AY2596" t="inlineStr">
        <is>
          <t>2262091140002656</t>
        </is>
      </c>
      <c r="AZ2596" t="inlineStr">
        <is>
          <t>BOOK</t>
        </is>
      </c>
      <c r="BB2596" t="inlineStr">
        <is>
          <t>9780026025508</t>
        </is>
      </c>
      <c r="BC2596" t="inlineStr">
        <is>
          <t>32285000078773</t>
        </is>
      </c>
      <c r="BD2596" t="inlineStr">
        <is>
          <t>893606696</t>
        </is>
      </c>
    </row>
    <row r="2597">
      <c r="A2597" t="inlineStr">
        <is>
          <t>No</t>
        </is>
      </c>
      <c r="B2597" t="inlineStr">
        <is>
          <t>HQ777.5 .S7 2000</t>
        </is>
      </c>
      <c r="C2597" t="inlineStr">
        <is>
          <t>0                      HQ 0777500S  7           2000</t>
        </is>
      </c>
      <c r="D2597" t="inlineStr">
        <is>
          <t>The love they lost : living with the legacy of our parents' divorce / Stephanie Staal.</t>
        </is>
      </c>
      <c r="F2597" t="inlineStr">
        <is>
          <t>No</t>
        </is>
      </c>
      <c r="G2597" t="inlineStr">
        <is>
          <t>1</t>
        </is>
      </c>
      <c r="H2597" t="inlineStr">
        <is>
          <t>No</t>
        </is>
      </c>
      <c r="I2597" t="inlineStr">
        <is>
          <t>No</t>
        </is>
      </c>
      <c r="J2597" t="inlineStr">
        <is>
          <t>0</t>
        </is>
      </c>
      <c r="K2597" t="inlineStr">
        <is>
          <t>Staal, Stephanie.</t>
        </is>
      </c>
      <c r="L2597" t="inlineStr">
        <is>
          <t>New York : Delacorte Press, c2000.</t>
        </is>
      </c>
      <c r="M2597" t="inlineStr">
        <is>
          <t>2000</t>
        </is>
      </c>
      <c r="O2597" t="inlineStr">
        <is>
          <t>eng</t>
        </is>
      </c>
      <c r="P2597" t="inlineStr">
        <is>
          <t>nyu</t>
        </is>
      </c>
      <c r="R2597" t="inlineStr">
        <is>
          <t xml:space="preserve">HQ </t>
        </is>
      </c>
      <c r="S2597" t="n">
        <v>3</v>
      </c>
      <c r="T2597" t="n">
        <v>3</v>
      </c>
      <c r="U2597" t="inlineStr">
        <is>
          <t>2004-11-20</t>
        </is>
      </c>
      <c r="V2597" t="inlineStr">
        <is>
          <t>2004-11-20</t>
        </is>
      </c>
      <c r="W2597" t="inlineStr">
        <is>
          <t>2001-08-29</t>
        </is>
      </c>
      <c r="X2597" t="inlineStr">
        <is>
          <t>2001-08-29</t>
        </is>
      </c>
      <c r="Y2597" t="n">
        <v>614</v>
      </c>
      <c r="Z2597" t="n">
        <v>591</v>
      </c>
      <c r="AA2597" t="n">
        <v>698</v>
      </c>
      <c r="AB2597" t="n">
        <v>4</v>
      </c>
      <c r="AC2597" t="n">
        <v>5</v>
      </c>
      <c r="AD2597" t="n">
        <v>12</v>
      </c>
      <c r="AE2597" t="n">
        <v>18</v>
      </c>
      <c r="AF2597" t="n">
        <v>4</v>
      </c>
      <c r="AG2597" t="n">
        <v>8</v>
      </c>
      <c r="AH2597" t="n">
        <v>2</v>
      </c>
      <c r="AI2597" t="n">
        <v>2</v>
      </c>
      <c r="AJ2597" t="n">
        <v>7</v>
      </c>
      <c r="AK2597" t="n">
        <v>8</v>
      </c>
      <c r="AL2597" t="n">
        <v>2</v>
      </c>
      <c r="AM2597" t="n">
        <v>3</v>
      </c>
      <c r="AN2597" t="n">
        <v>0</v>
      </c>
      <c r="AO2597" t="n">
        <v>0</v>
      </c>
      <c r="AP2597" t="inlineStr">
        <is>
          <t>No</t>
        </is>
      </c>
      <c r="AQ2597" t="inlineStr">
        <is>
          <t>No</t>
        </is>
      </c>
      <c r="AS2597">
        <f>HYPERLINK("https://creighton-primo.hosted.exlibrisgroup.com/primo-explore/search?tab=default_tab&amp;search_scope=EVERYTHING&amp;vid=01CRU&amp;lang=en_US&amp;offset=0&amp;query=any,contains,991003591219702656","Catalog Record")</f>
        <v/>
      </c>
      <c r="AT2597">
        <f>HYPERLINK("http://www.worldcat.org/oclc/43954049","WorldCat Record")</f>
        <v/>
      </c>
      <c r="AU2597" t="inlineStr">
        <is>
          <t>852683003:eng</t>
        </is>
      </c>
      <c r="AV2597" t="inlineStr">
        <is>
          <t>43954049</t>
        </is>
      </c>
      <c r="AW2597" t="inlineStr">
        <is>
          <t>991003591219702656</t>
        </is>
      </c>
      <c r="AX2597" t="inlineStr">
        <is>
          <t>991003591219702656</t>
        </is>
      </c>
      <c r="AY2597" t="inlineStr">
        <is>
          <t>2255014700002656</t>
        </is>
      </c>
      <c r="AZ2597" t="inlineStr">
        <is>
          <t>BOOK</t>
        </is>
      </c>
      <c r="BB2597" t="inlineStr">
        <is>
          <t>9780385334099</t>
        </is>
      </c>
      <c r="BC2597" t="inlineStr">
        <is>
          <t>32285004382494</t>
        </is>
      </c>
      <c r="BD2597" t="inlineStr">
        <is>
          <t>893611204</t>
        </is>
      </c>
    </row>
    <row r="2598">
      <c r="A2598" t="inlineStr">
        <is>
          <t>No</t>
        </is>
      </c>
      <c r="B2598" t="inlineStr">
        <is>
          <t>HQ777.5 .T498 1997</t>
        </is>
      </c>
      <c r="C2598" t="inlineStr">
        <is>
          <t>0                      HQ 0777500T  498         1997</t>
        </is>
      </c>
      <c r="D2598" t="inlineStr">
        <is>
          <t>Through the eyes of children : healing stories for children of divorce / Janet R. Johnston ... [et al.] ; illustrated by Karen Breunig.</t>
        </is>
      </c>
      <c r="F2598" t="inlineStr">
        <is>
          <t>No</t>
        </is>
      </c>
      <c r="G2598" t="inlineStr">
        <is>
          <t>1</t>
        </is>
      </c>
      <c r="H2598" t="inlineStr">
        <is>
          <t>No</t>
        </is>
      </c>
      <c r="I2598" t="inlineStr">
        <is>
          <t>No</t>
        </is>
      </c>
      <c r="J2598" t="inlineStr">
        <is>
          <t>0</t>
        </is>
      </c>
      <c r="L2598" t="inlineStr">
        <is>
          <t>New York : Free Press, c1997.</t>
        </is>
      </c>
      <c r="M2598" t="inlineStr">
        <is>
          <t>1997</t>
        </is>
      </c>
      <c r="O2598" t="inlineStr">
        <is>
          <t>eng</t>
        </is>
      </c>
      <c r="P2598" t="inlineStr">
        <is>
          <t>nyu</t>
        </is>
      </c>
      <c r="R2598" t="inlineStr">
        <is>
          <t xml:space="preserve">HQ </t>
        </is>
      </c>
      <c r="S2598" t="n">
        <v>8</v>
      </c>
      <c r="T2598" t="n">
        <v>8</v>
      </c>
      <c r="U2598" t="inlineStr">
        <is>
          <t>2005-03-16</t>
        </is>
      </c>
      <c r="V2598" t="inlineStr">
        <is>
          <t>2005-03-16</t>
        </is>
      </c>
      <c r="W2598" t="inlineStr">
        <is>
          <t>1998-02-13</t>
        </is>
      </c>
      <c r="X2598" t="inlineStr">
        <is>
          <t>1998-02-13</t>
        </is>
      </c>
      <c r="Y2598" t="n">
        <v>169</v>
      </c>
      <c r="Z2598" t="n">
        <v>144</v>
      </c>
      <c r="AA2598" t="n">
        <v>144</v>
      </c>
      <c r="AB2598" t="n">
        <v>2</v>
      </c>
      <c r="AC2598" t="n">
        <v>2</v>
      </c>
      <c r="AD2598" t="n">
        <v>7</v>
      </c>
      <c r="AE2598" t="n">
        <v>7</v>
      </c>
      <c r="AF2598" t="n">
        <v>2</v>
      </c>
      <c r="AG2598" t="n">
        <v>2</v>
      </c>
      <c r="AH2598" t="n">
        <v>2</v>
      </c>
      <c r="AI2598" t="n">
        <v>2</v>
      </c>
      <c r="AJ2598" t="n">
        <v>3</v>
      </c>
      <c r="AK2598" t="n">
        <v>3</v>
      </c>
      <c r="AL2598" t="n">
        <v>1</v>
      </c>
      <c r="AM2598" t="n">
        <v>1</v>
      </c>
      <c r="AN2598" t="n">
        <v>0</v>
      </c>
      <c r="AO2598" t="n">
        <v>0</v>
      </c>
      <c r="AP2598" t="inlineStr">
        <is>
          <t>No</t>
        </is>
      </c>
      <c r="AQ2598" t="inlineStr">
        <is>
          <t>No</t>
        </is>
      </c>
      <c r="AS2598">
        <f>HYPERLINK("https://creighton-primo.hosted.exlibrisgroup.com/primo-explore/search?tab=default_tab&amp;search_scope=EVERYTHING&amp;vid=01CRU&amp;lang=en_US&amp;offset=0&amp;query=any,contains,991002782869702656","Catalog Record")</f>
        <v/>
      </c>
      <c r="AT2598">
        <f>HYPERLINK("http://www.worldcat.org/oclc/36543417","WorldCat Record")</f>
        <v/>
      </c>
      <c r="AU2598" t="inlineStr">
        <is>
          <t>45570534:eng</t>
        </is>
      </c>
      <c r="AV2598" t="inlineStr">
        <is>
          <t>36543417</t>
        </is>
      </c>
      <c r="AW2598" t="inlineStr">
        <is>
          <t>991002782869702656</t>
        </is>
      </c>
      <c r="AX2598" t="inlineStr">
        <is>
          <t>991002782869702656</t>
        </is>
      </c>
      <c r="AY2598" t="inlineStr">
        <is>
          <t>2257914530002656</t>
        </is>
      </c>
      <c r="AZ2598" t="inlineStr">
        <is>
          <t>BOOK</t>
        </is>
      </c>
      <c r="BB2598" t="inlineStr">
        <is>
          <t>9780684837031</t>
        </is>
      </c>
      <c r="BC2598" t="inlineStr">
        <is>
          <t>32285003313797</t>
        </is>
      </c>
      <c r="BD2598" t="inlineStr">
        <is>
          <t>893704514</t>
        </is>
      </c>
    </row>
    <row r="2599">
      <c r="A2599" t="inlineStr">
        <is>
          <t>No</t>
        </is>
      </c>
      <c r="B2599" t="inlineStr">
        <is>
          <t>HQ777.6 .E24 2004</t>
        </is>
      </c>
      <c r="C2599" t="inlineStr">
        <is>
          <t>0                      HQ 0777600E  24          2004</t>
        </is>
      </c>
      <c r="D2599" t="inlineStr">
        <is>
          <t>Home-alone America : the hidden toll of day care, behavioral drugs, and other parent substitutes / Mary Eberstadt.</t>
        </is>
      </c>
      <c r="F2599" t="inlineStr">
        <is>
          <t>No</t>
        </is>
      </c>
      <c r="G2599" t="inlineStr">
        <is>
          <t>1</t>
        </is>
      </c>
      <c r="H2599" t="inlineStr">
        <is>
          <t>No</t>
        </is>
      </c>
      <c r="I2599" t="inlineStr">
        <is>
          <t>No</t>
        </is>
      </c>
      <c r="J2599" t="inlineStr">
        <is>
          <t>0</t>
        </is>
      </c>
      <c r="K2599" t="inlineStr">
        <is>
          <t>Eberstadt, Mary.</t>
        </is>
      </c>
      <c r="L2599" t="inlineStr">
        <is>
          <t>New York : Sentinel, 2004.</t>
        </is>
      </c>
      <c r="M2599" t="inlineStr">
        <is>
          <t>2004</t>
        </is>
      </c>
      <c r="O2599" t="inlineStr">
        <is>
          <t>eng</t>
        </is>
      </c>
      <c r="P2599" t="inlineStr">
        <is>
          <t>nyu</t>
        </is>
      </c>
      <c r="R2599" t="inlineStr">
        <is>
          <t xml:space="preserve">HQ </t>
        </is>
      </c>
      <c r="S2599" t="n">
        <v>1</v>
      </c>
      <c r="T2599" t="n">
        <v>1</v>
      </c>
      <c r="U2599" t="inlineStr">
        <is>
          <t>2005-01-17</t>
        </is>
      </c>
      <c r="V2599" t="inlineStr">
        <is>
          <t>2005-01-17</t>
        </is>
      </c>
      <c r="W2599" t="inlineStr">
        <is>
          <t>2005-01-17</t>
        </is>
      </c>
      <c r="X2599" t="inlineStr">
        <is>
          <t>2005-01-17</t>
        </is>
      </c>
      <c r="Y2599" t="n">
        <v>926</v>
      </c>
      <c r="Z2599" t="n">
        <v>872</v>
      </c>
      <c r="AA2599" t="n">
        <v>885</v>
      </c>
      <c r="AB2599" t="n">
        <v>7</v>
      </c>
      <c r="AC2599" t="n">
        <v>7</v>
      </c>
      <c r="AD2599" t="n">
        <v>22</v>
      </c>
      <c r="AE2599" t="n">
        <v>22</v>
      </c>
      <c r="AF2599" t="n">
        <v>9</v>
      </c>
      <c r="AG2599" t="n">
        <v>9</v>
      </c>
      <c r="AH2599" t="n">
        <v>6</v>
      </c>
      <c r="AI2599" t="n">
        <v>6</v>
      </c>
      <c r="AJ2599" t="n">
        <v>10</v>
      </c>
      <c r="AK2599" t="n">
        <v>10</v>
      </c>
      <c r="AL2599" t="n">
        <v>4</v>
      </c>
      <c r="AM2599" t="n">
        <v>4</v>
      </c>
      <c r="AN2599" t="n">
        <v>0</v>
      </c>
      <c r="AO2599" t="n">
        <v>0</v>
      </c>
      <c r="AP2599" t="inlineStr">
        <is>
          <t>No</t>
        </is>
      </c>
      <c r="AQ2599" t="inlineStr">
        <is>
          <t>Yes</t>
        </is>
      </c>
      <c r="AR2599">
        <f>HYPERLINK("http://catalog.hathitrust.org/Record/004916390","HathiTrust Record")</f>
        <v/>
      </c>
      <c r="AS2599">
        <f>HYPERLINK("https://creighton-primo.hosted.exlibrisgroup.com/primo-explore/search?tab=default_tab&amp;search_scope=EVERYTHING&amp;vid=01CRU&amp;lang=en_US&amp;offset=0&amp;query=any,contains,991004433869702656","Catalog Record")</f>
        <v/>
      </c>
      <c r="AT2599">
        <f>HYPERLINK("http://www.worldcat.org/oclc/55679158","WorldCat Record")</f>
        <v/>
      </c>
      <c r="AU2599" t="inlineStr">
        <is>
          <t>1060818:eng</t>
        </is>
      </c>
      <c r="AV2599" t="inlineStr">
        <is>
          <t>55679158</t>
        </is>
      </c>
      <c r="AW2599" t="inlineStr">
        <is>
          <t>991004433869702656</t>
        </is>
      </c>
      <c r="AX2599" t="inlineStr">
        <is>
          <t>991004433869702656</t>
        </is>
      </c>
      <c r="AY2599" t="inlineStr">
        <is>
          <t>2258543430002656</t>
        </is>
      </c>
      <c r="AZ2599" t="inlineStr">
        <is>
          <t>BOOK</t>
        </is>
      </c>
      <c r="BB2599" t="inlineStr">
        <is>
          <t>9781595230041</t>
        </is>
      </c>
      <c r="BC2599" t="inlineStr">
        <is>
          <t>32285005021299</t>
        </is>
      </c>
      <c r="BD2599" t="inlineStr">
        <is>
          <t>893442610</t>
        </is>
      </c>
    </row>
    <row r="2600">
      <c r="A2600" t="inlineStr">
        <is>
          <t>No</t>
        </is>
      </c>
      <c r="B2600" t="inlineStr">
        <is>
          <t>HQ777.6 .G76 1986</t>
        </is>
      </c>
      <c r="C2600" t="inlineStr">
        <is>
          <t>0                      HQ 0777600G  76          1986</t>
        </is>
      </c>
      <c r="D2600" t="inlineStr">
        <is>
          <t>The working parent dilemma : how to balance the responsibilities of children and careers / Earl A. Grollman [and] Gerri L. Sweder.</t>
        </is>
      </c>
      <c r="F2600" t="inlineStr">
        <is>
          <t>No</t>
        </is>
      </c>
      <c r="G2600" t="inlineStr">
        <is>
          <t>1</t>
        </is>
      </c>
      <c r="H2600" t="inlineStr">
        <is>
          <t>No</t>
        </is>
      </c>
      <c r="I2600" t="inlineStr">
        <is>
          <t>No</t>
        </is>
      </c>
      <c r="J2600" t="inlineStr">
        <is>
          <t>0</t>
        </is>
      </c>
      <c r="K2600" t="inlineStr">
        <is>
          <t>Grollman, Earl A.</t>
        </is>
      </c>
      <c r="L2600" t="inlineStr">
        <is>
          <t>Boston : Beacon Press, 1986.</t>
        </is>
      </c>
      <c r="M2600" t="inlineStr">
        <is>
          <t>1986</t>
        </is>
      </c>
      <c r="N2600" t="inlineStr">
        <is>
          <t>1st ed.</t>
        </is>
      </c>
      <c r="O2600" t="inlineStr">
        <is>
          <t>eng</t>
        </is>
      </c>
      <c r="P2600" t="inlineStr">
        <is>
          <t>mau</t>
        </is>
      </c>
      <c r="R2600" t="inlineStr">
        <is>
          <t xml:space="preserve">HQ </t>
        </is>
      </c>
      <c r="S2600" t="n">
        <v>27</v>
      </c>
      <c r="T2600" t="n">
        <v>27</v>
      </c>
      <c r="U2600" t="inlineStr">
        <is>
          <t>2004-12-02</t>
        </is>
      </c>
      <c r="V2600" t="inlineStr">
        <is>
          <t>2004-12-02</t>
        </is>
      </c>
      <c r="W2600" t="inlineStr">
        <is>
          <t>1989-12-08</t>
        </is>
      </c>
      <c r="X2600" t="inlineStr">
        <is>
          <t>1989-12-08</t>
        </is>
      </c>
      <c r="Y2600" t="n">
        <v>670</v>
      </c>
      <c r="Z2600" t="n">
        <v>626</v>
      </c>
      <c r="AA2600" t="n">
        <v>641</v>
      </c>
      <c r="AB2600" t="n">
        <v>5</v>
      </c>
      <c r="AC2600" t="n">
        <v>5</v>
      </c>
      <c r="AD2600" t="n">
        <v>9</v>
      </c>
      <c r="AE2600" t="n">
        <v>11</v>
      </c>
      <c r="AF2600" t="n">
        <v>2</v>
      </c>
      <c r="AG2600" t="n">
        <v>3</v>
      </c>
      <c r="AH2600" t="n">
        <v>1</v>
      </c>
      <c r="AI2600" t="n">
        <v>2</v>
      </c>
      <c r="AJ2600" t="n">
        <v>3</v>
      </c>
      <c r="AK2600" t="n">
        <v>3</v>
      </c>
      <c r="AL2600" t="n">
        <v>3</v>
      </c>
      <c r="AM2600" t="n">
        <v>3</v>
      </c>
      <c r="AN2600" t="n">
        <v>0</v>
      </c>
      <c r="AO2600" t="n">
        <v>0</v>
      </c>
      <c r="AP2600" t="inlineStr">
        <is>
          <t>No</t>
        </is>
      </c>
      <c r="AQ2600" t="inlineStr">
        <is>
          <t>Yes</t>
        </is>
      </c>
      <c r="AR2600">
        <f>HYPERLINK("http://catalog.hathitrust.org/Record/000626389","HathiTrust Record")</f>
        <v/>
      </c>
      <c r="AS2600">
        <f>HYPERLINK("https://creighton-primo.hosted.exlibrisgroup.com/primo-explore/search?tab=default_tab&amp;search_scope=EVERYTHING&amp;vid=01CRU&amp;lang=en_US&amp;offset=0&amp;query=any,contains,991000687459702656","Catalog Record")</f>
        <v/>
      </c>
      <c r="AT2600">
        <f>HYPERLINK("http://www.worldcat.org/oclc/12421807","WorldCat Record")</f>
        <v/>
      </c>
      <c r="AU2600" t="inlineStr">
        <is>
          <t>248363333:eng</t>
        </is>
      </c>
      <c r="AV2600" t="inlineStr">
        <is>
          <t>12421807</t>
        </is>
      </c>
      <c r="AW2600" t="inlineStr">
        <is>
          <t>991000687459702656</t>
        </is>
      </c>
      <c r="AX2600" t="inlineStr">
        <is>
          <t>991000687459702656</t>
        </is>
      </c>
      <c r="AY2600" t="inlineStr">
        <is>
          <t>2255898070002656</t>
        </is>
      </c>
      <c r="AZ2600" t="inlineStr">
        <is>
          <t>BOOK</t>
        </is>
      </c>
      <c r="BB2600" t="inlineStr">
        <is>
          <t>9780807027028</t>
        </is>
      </c>
      <c r="BC2600" t="inlineStr">
        <is>
          <t>32285000030246</t>
        </is>
      </c>
      <c r="BD2600" t="inlineStr">
        <is>
          <t>893808786</t>
        </is>
      </c>
    </row>
    <row r="2601">
      <c r="A2601" t="inlineStr">
        <is>
          <t>No</t>
        </is>
      </c>
      <c r="B2601" t="inlineStr">
        <is>
          <t>HQ777.6 .K35 1980</t>
        </is>
      </c>
      <c r="C2601" t="inlineStr">
        <is>
          <t>0                      HQ 0777600K  35          1980</t>
        </is>
      </c>
      <c r="D2601" t="inlineStr">
        <is>
          <t>Parenting in an unresponsive society : managing work and family life / Sheila B. Kamerman.</t>
        </is>
      </c>
      <c r="F2601" t="inlineStr">
        <is>
          <t>No</t>
        </is>
      </c>
      <c r="G2601" t="inlineStr">
        <is>
          <t>1</t>
        </is>
      </c>
      <c r="H2601" t="inlineStr">
        <is>
          <t>No</t>
        </is>
      </c>
      <c r="I2601" t="inlineStr">
        <is>
          <t>No</t>
        </is>
      </c>
      <c r="J2601" t="inlineStr">
        <is>
          <t>0</t>
        </is>
      </c>
      <c r="K2601" t="inlineStr">
        <is>
          <t>Kamerman, Sheila B.</t>
        </is>
      </c>
      <c r="L2601" t="inlineStr">
        <is>
          <t>New York : Free Press ; London : Collier Macmillan Publishers, c1980.</t>
        </is>
      </c>
      <c r="M2601" t="inlineStr">
        <is>
          <t>1980</t>
        </is>
      </c>
      <c r="O2601" t="inlineStr">
        <is>
          <t>eng</t>
        </is>
      </c>
      <c r="P2601" t="inlineStr">
        <is>
          <t>nyu</t>
        </is>
      </c>
      <c r="R2601" t="inlineStr">
        <is>
          <t xml:space="preserve">HQ </t>
        </is>
      </c>
      <c r="S2601" t="n">
        <v>7</v>
      </c>
      <c r="T2601" t="n">
        <v>7</v>
      </c>
      <c r="U2601" t="inlineStr">
        <is>
          <t>1997-11-10</t>
        </is>
      </c>
      <c r="V2601" t="inlineStr">
        <is>
          <t>1997-11-10</t>
        </is>
      </c>
      <c r="W2601" t="inlineStr">
        <is>
          <t>1992-03-26</t>
        </is>
      </c>
      <c r="X2601" t="inlineStr">
        <is>
          <t>1992-03-26</t>
        </is>
      </c>
      <c r="Y2601" t="n">
        <v>715</v>
      </c>
      <c r="Z2601" t="n">
        <v>633</v>
      </c>
      <c r="AA2601" t="n">
        <v>640</v>
      </c>
      <c r="AB2601" t="n">
        <v>7</v>
      </c>
      <c r="AC2601" t="n">
        <v>7</v>
      </c>
      <c r="AD2601" t="n">
        <v>30</v>
      </c>
      <c r="AE2601" t="n">
        <v>30</v>
      </c>
      <c r="AF2601" t="n">
        <v>12</v>
      </c>
      <c r="AG2601" t="n">
        <v>12</v>
      </c>
      <c r="AH2601" t="n">
        <v>8</v>
      </c>
      <c r="AI2601" t="n">
        <v>8</v>
      </c>
      <c r="AJ2601" t="n">
        <v>12</v>
      </c>
      <c r="AK2601" t="n">
        <v>12</v>
      </c>
      <c r="AL2601" t="n">
        <v>6</v>
      </c>
      <c r="AM2601" t="n">
        <v>6</v>
      </c>
      <c r="AN2601" t="n">
        <v>0</v>
      </c>
      <c r="AO2601" t="n">
        <v>0</v>
      </c>
      <c r="AP2601" t="inlineStr">
        <is>
          <t>No</t>
        </is>
      </c>
      <c r="AQ2601" t="inlineStr">
        <is>
          <t>Yes</t>
        </is>
      </c>
      <c r="AR2601">
        <f>HYPERLINK("http://catalog.hathitrust.org/Record/000226010","HathiTrust Record")</f>
        <v/>
      </c>
      <c r="AS2601">
        <f>HYPERLINK("https://creighton-primo.hosted.exlibrisgroup.com/primo-explore/search?tab=default_tab&amp;search_scope=EVERYTHING&amp;vid=01CRU&amp;lang=en_US&amp;offset=0&amp;query=any,contains,991004944719702656","Catalog Record")</f>
        <v/>
      </c>
      <c r="AT2601">
        <f>HYPERLINK("http://www.worldcat.org/oclc/6199717","WorldCat Record")</f>
        <v/>
      </c>
      <c r="AU2601" t="inlineStr">
        <is>
          <t>308833989:eng</t>
        </is>
      </c>
      <c r="AV2601" t="inlineStr">
        <is>
          <t>6199717</t>
        </is>
      </c>
      <c r="AW2601" t="inlineStr">
        <is>
          <t>991004944719702656</t>
        </is>
      </c>
      <c r="AX2601" t="inlineStr">
        <is>
          <t>991004944719702656</t>
        </is>
      </c>
      <c r="AY2601" t="inlineStr">
        <is>
          <t>2262186140002656</t>
        </is>
      </c>
      <c r="AZ2601" t="inlineStr">
        <is>
          <t>BOOK</t>
        </is>
      </c>
      <c r="BB2601" t="inlineStr">
        <is>
          <t>9780029167304</t>
        </is>
      </c>
      <c r="BC2601" t="inlineStr">
        <is>
          <t>32285001040749</t>
        </is>
      </c>
      <c r="BD2601" t="inlineStr">
        <is>
          <t>893236087</t>
        </is>
      </c>
    </row>
    <row r="2602">
      <c r="A2602" t="inlineStr">
        <is>
          <t>No</t>
        </is>
      </c>
      <c r="B2602" t="inlineStr">
        <is>
          <t>HQ777.6 .R5</t>
        </is>
      </c>
      <c r="C2602" t="inlineStr">
        <is>
          <t>0                      HQ 0777600R  5</t>
        </is>
      </c>
      <c r="D2602" t="inlineStr">
        <is>
          <t>The working mother's guide to child development / F. Philip Rice.</t>
        </is>
      </c>
      <c r="F2602" t="inlineStr">
        <is>
          <t>No</t>
        </is>
      </c>
      <c r="G2602" t="inlineStr">
        <is>
          <t>1</t>
        </is>
      </c>
      <c r="H2602" t="inlineStr">
        <is>
          <t>No</t>
        </is>
      </c>
      <c r="I2602" t="inlineStr">
        <is>
          <t>No</t>
        </is>
      </c>
      <c r="J2602" t="inlineStr">
        <is>
          <t>0</t>
        </is>
      </c>
      <c r="K2602" t="inlineStr">
        <is>
          <t>Rice, F. Philip.</t>
        </is>
      </c>
      <c r="L2602" t="inlineStr">
        <is>
          <t>Englewood Cliffs, N.J. : Prentice-Hall, c1979.</t>
        </is>
      </c>
      <c r="M2602" t="inlineStr">
        <is>
          <t>1979</t>
        </is>
      </c>
      <c r="O2602" t="inlineStr">
        <is>
          <t>eng</t>
        </is>
      </c>
      <c r="P2602" t="inlineStr">
        <is>
          <t>nju</t>
        </is>
      </c>
      <c r="Q2602" t="inlineStr">
        <is>
          <t>Spectrum book</t>
        </is>
      </c>
      <c r="R2602" t="inlineStr">
        <is>
          <t xml:space="preserve">HQ </t>
        </is>
      </c>
      <c r="S2602" t="n">
        <v>10</v>
      </c>
      <c r="T2602" t="n">
        <v>10</v>
      </c>
      <c r="U2602" t="inlineStr">
        <is>
          <t>1996-11-05</t>
        </is>
      </c>
      <c r="V2602" t="inlineStr">
        <is>
          <t>1996-11-05</t>
        </is>
      </c>
      <c r="W2602" t="inlineStr">
        <is>
          <t>1990-04-20</t>
        </is>
      </c>
      <c r="X2602" t="inlineStr">
        <is>
          <t>1990-04-20</t>
        </is>
      </c>
      <c r="Y2602" t="n">
        <v>144</v>
      </c>
      <c r="Z2602" t="n">
        <v>122</v>
      </c>
      <c r="AA2602" t="n">
        <v>122</v>
      </c>
      <c r="AB2602" t="n">
        <v>1</v>
      </c>
      <c r="AC2602" t="n">
        <v>1</v>
      </c>
      <c r="AD2602" t="n">
        <v>0</v>
      </c>
      <c r="AE2602" t="n">
        <v>0</v>
      </c>
      <c r="AF2602" t="n">
        <v>0</v>
      </c>
      <c r="AG2602" t="n">
        <v>0</v>
      </c>
      <c r="AH2602" t="n">
        <v>0</v>
      </c>
      <c r="AI2602" t="n">
        <v>0</v>
      </c>
      <c r="AJ2602" t="n">
        <v>0</v>
      </c>
      <c r="AK2602" t="n">
        <v>0</v>
      </c>
      <c r="AL2602" t="n">
        <v>0</v>
      </c>
      <c r="AM2602" t="n">
        <v>0</v>
      </c>
      <c r="AN2602" t="n">
        <v>0</v>
      </c>
      <c r="AO2602" t="n">
        <v>0</v>
      </c>
      <c r="AP2602" t="inlineStr">
        <is>
          <t>No</t>
        </is>
      </c>
      <c r="AQ2602" t="inlineStr">
        <is>
          <t>No</t>
        </is>
      </c>
      <c r="AS2602">
        <f>HYPERLINK("https://creighton-primo.hosted.exlibrisgroup.com/primo-explore/search?tab=default_tab&amp;search_scope=EVERYTHING&amp;vid=01CRU&amp;lang=en_US&amp;offset=0&amp;query=any,contains,991004832429702656","Catalog Record")</f>
        <v/>
      </c>
      <c r="AT2602">
        <f>HYPERLINK("http://www.worldcat.org/oclc/5412574","WorldCat Record")</f>
        <v/>
      </c>
      <c r="AU2602" t="inlineStr">
        <is>
          <t>17328743:eng</t>
        </is>
      </c>
      <c r="AV2602" t="inlineStr">
        <is>
          <t>5412574</t>
        </is>
      </c>
      <c r="AW2602" t="inlineStr">
        <is>
          <t>991004832429702656</t>
        </is>
      </c>
      <c r="AX2602" t="inlineStr">
        <is>
          <t>991004832429702656</t>
        </is>
      </c>
      <c r="AY2602" t="inlineStr">
        <is>
          <t>2258940230002656</t>
        </is>
      </c>
      <c r="AZ2602" t="inlineStr">
        <is>
          <t>BOOK</t>
        </is>
      </c>
      <c r="BB2602" t="inlineStr">
        <is>
          <t>9780139678028</t>
        </is>
      </c>
      <c r="BC2602" t="inlineStr">
        <is>
          <t>32285000123736</t>
        </is>
      </c>
      <c r="BD2602" t="inlineStr">
        <is>
          <t>893507275</t>
        </is>
      </c>
    </row>
    <row r="2603">
      <c r="A2603" t="inlineStr">
        <is>
          <t>No</t>
        </is>
      </c>
      <c r="B2603" t="inlineStr">
        <is>
          <t>HQ777.65 .L66 1983</t>
        </is>
      </c>
      <c r="C2603" t="inlineStr">
        <is>
          <t>0                      HQ 0777650L  66          1983</t>
        </is>
      </c>
      <c r="D2603" t="inlineStr">
        <is>
          <t>The handbook for latchkey children and their parents / by Lynette and Thomas Long.</t>
        </is>
      </c>
      <c r="F2603" t="inlineStr">
        <is>
          <t>No</t>
        </is>
      </c>
      <c r="G2603" t="inlineStr">
        <is>
          <t>1</t>
        </is>
      </c>
      <c r="H2603" t="inlineStr">
        <is>
          <t>No</t>
        </is>
      </c>
      <c r="I2603" t="inlineStr">
        <is>
          <t>No</t>
        </is>
      </c>
      <c r="J2603" t="inlineStr">
        <is>
          <t>0</t>
        </is>
      </c>
      <c r="K2603" t="inlineStr">
        <is>
          <t>Long, Lynette.</t>
        </is>
      </c>
      <c r="L2603" t="inlineStr">
        <is>
          <t>New York : Arbor House, c1983.</t>
        </is>
      </c>
      <c r="M2603" t="inlineStr">
        <is>
          <t>1983</t>
        </is>
      </c>
      <c r="O2603" t="inlineStr">
        <is>
          <t>eng</t>
        </is>
      </c>
      <c r="P2603" t="inlineStr">
        <is>
          <t>nyu</t>
        </is>
      </c>
      <c r="R2603" t="inlineStr">
        <is>
          <t xml:space="preserve">HQ </t>
        </is>
      </c>
      <c r="S2603" t="n">
        <v>16</v>
      </c>
      <c r="T2603" t="n">
        <v>16</v>
      </c>
      <c r="U2603" t="inlineStr">
        <is>
          <t>1997-11-10</t>
        </is>
      </c>
      <c r="V2603" t="inlineStr">
        <is>
          <t>1997-11-10</t>
        </is>
      </c>
      <c r="W2603" t="inlineStr">
        <is>
          <t>1990-04-20</t>
        </is>
      </c>
      <c r="X2603" t="inlineStr">
        <is>
          <t>1990-04-20</t>
        </is>
      </c>
      <c r="Y2603" t="n">
        <v>686</v>
      </c>
      <c r="Z2603" t="n">
        <v>655</v>
      </c>
      <c r="AA2603" t="n">
        <v>682</v>
      </c>
      <c r="AB2603" t="n">
        <v>10</v>
      </c>
      <c r="AC2603" t="n">
        <v>10</v>
      </c>
      <c r="AD2603" t="n">
        <v>10</v>
      </c>
      <c r="AE2603" t="n">
        <v>10</v>
      </c>
      <c r="AF2603" t="n">
        <v>2</v>
      </c>
      <c r="AG2603" t="n">
        <v>2</v>
      </c>
      <c r="AH2603" t="n">
        <v>2</v>
      </c>
      <c r="AI2603" t="n">
        <v>2</v>
      </c>
      <c r="AJ2603" t="n">
        <v>4</v>
      </c>
      <c r="AK2603" t="n">
        <v>4</v>
      </c>
      <c r="AL2603" t="n">
        <v>5</v>
      </c>
      <c r="AM2603" t="n">
        <v>5</v>
      </c>
      <c r="AN2603" t="n">
        <v>0</v>
      </c>
      <c r="AO2603" t="n">
        <v>0</v>
      </c>
      <c r="AP2603" t="inlineStr">
        <is>
          <t>No</t>
        </is>
      </c>
      <c r="AQ2603" t="inlineStr">
        <is>
          <t>No</t>
        </is>
      </c>
      <c r="AS2603">
        <f>HYPERLINK("https://creighton-primo.hosted.exlibrisgroup.com/primo-explore/search?tab=default_tab&amp;search_scope=EVERYTHING&amp;vid=01CRU&amp;lang=en_US&amp;offset=0&amp;query=any,contains,991000255799702656","Catalog Record")</f>
        <v/>
      </c>
      <c r="AT2603">
        <f>HYPERLINK("http://www.worldcat.org/oclc/9768174","WorldCat Record")</f>
        <v/>
      </c>
      <c r="AU2603" t="inlineStr">
        <is>
          <t>3922390:eng</t>
        </is>
      </c>
      <c r="AV2603" t="inlineStr">
        <is>
          <t>9768174</t>
        </is>
      </c>
      <c r="AW2603" t="inlineStr">
        <is>
          <t>991000255799702656</t>
        </is>
      </c>
      <c r="AX2603" t="inlineStr">
        <is>
          <t>991000255799702656</t>
        </is>
      </c>
      <c r="AY2603" t="inlineStr">
        <is>
          <t>2256401410002656</t>
        </is>
      </c>
      <c r="AZ2603" t="inlineStr">
        <is>
          <t>BOOK</t>
        </is>
      </c>
      <c r="BB2603" t="inlineStr">
        <is>
          <t>9780877955078</t>
        </is>
      </c>
      <c r="BC2603" t="inlineStr">
        <is>
          <t>32285000123744</t>
        </is>
      </c>
      <c r="BD2603" t="inlineStr">
        <is>
          <t>893771507</t>
        </is>
      </c>
    </row>
    <row r="2604">
      <c r="A2604" t="inlineStr">
        <is>
          <t>No</t>
        </is>
      </c>
      <c r="B2604" t="inlineStr">
        <is>
          <t>HQ777.65 .R63 1986</t>
        </is>
      </c>
      <c r="C2604" t="inlineStr">
        <is>
          <t>0                      HQ 0777650R  63          1986</t>
        </is>
      </c>
      <c r="D2604" t="inlineStr">
        <is>
          <t>Latchkey kids : unlocking doors for children and their families / Bryan E. Robinson, Bobbie H. Rowland, Mick Coleman.</t>
        </is>
      </c>
      <c r="F2604" t="inlineStr">
        <is>
          <t>No</t>
        </is>
      </c>
      <c r="G2604" t="inlineStr">
        <is>
          <t>1</t>
        </is>
      </c>
      <c r="H2604" t="inlineStr">
        <is>
          <t>No</t>
        </is>
      </c>
      <c r="I2604" t="inlineStr">
        <is>
          <t>No</t>
        </is>
      </c>
      <c r="J2604" t="inlineStr">
        <is>
          <t>0</t>
        </is>
      </c>
      <c r="K2604" t="inlineStr">
        <is>
          <t>Robinson, Bryan E.</t>
        </is>
      </c>
      <c r="L2604" t="inlineStr">
        <is>
          <t>Lexington, Mass. : Lexington Books, c1986.</t>
        </is>
      </c>
      <c r="M2604" t="inlineStr">
        <is>
          <t>1986</t>
        </is>
      </c>
      <c r="O2604" t="inlineStr">
        <is>
          <t>eng</t>
        </is>
      </c>
      <c r="P2604" t="inlineStr">
        <is>
          <t>mau</t>
        </is>
      </c>
      <c r="R2604" t="inlineStr">
        <is>
          <t xml:space="preserve">HQ </t>
        </is>
      </c>
      <c r="S2604" t="n">
        <v>23</v>
      </c>
      <c r="T2604" t="n">
        <v>23</v>
      </c>
      <c r="U2604" t="inlineStr">
        <is>
          <t>1999-11-21</t>
        </is>
      </c>
      <c r="V2604" t="inlineStr">
        <is>
          <t>1999-11-21</t>
        </is>
      </c>
      <c r="W2604" t="inlineStr">
        <is>
          <t>1992-03-23</t>
        </is>
      </c>
      <c r="X2604" t="inlineStr">
        <is>
          <t>1992-03-23</t>
        </is>
      </c>
      <c r="Y2604" t="n">
        <v>812</v>
      </c>
      <c r="Z2604" t="n">
        <v>747</v>
      </c>
      <c r="AA2604" t="n">
        <v>1150</v>
      </c>
      <c r="AB2604" t="n">
        <v>6</v>
      </c>
      <c r="AC2604" t="n">
        <v>10</v>
      </c>
      <c r="AD2604" t="n">
        <v>23</v>
      </c>
      <c r="AE2604" t="n">
        <v>31</v>
      </c>
      <c r="AF2604" t="n">
        <v>10</v>
      </c>
      <c r="AG2604" t="n">
        <v>12</v>
      </c>
      <c r="AH2604" t="n">
        <v>3</v>
      </c>
      <c r="AI2604" t="n">
        <v>5</v>
      </c>
      <c r="AJ2604" t="n">
        <v>11</v>
      </c>
      <c r="AK2604" t="n">
        <v>14</v>
      </c>
      <c r="AL2604" t="n">
        <v>4</v>
      </c>
      <c r="AM2604" t="n">
        <v>8</v>
      </c>
      <c r="AN2604" t="n">
        <v>0</v>
      </c>
      <c r="AO2604" t="n">
        <v>0</v>
      </c>
      <c r="AP2604" t="inlineStr">
        <is>
          <t>No</t>
        </is>
      </c>
      <c r="AQ2604" t="inlineStr">
        <is>
          <t>Yes</t>
        </is>
      </c>
      <c r="AR2604">
        <f>HYPERLINK("http://catalog.hathitrust.org/Record/000632658","HathiTrust Record")</f>
        <v/>
      </c>
      <c r="AS2604">
        <f>HYPERLINK("https://creighton-primo.hosted.exlibrisgroup.com/primo-explore/search?tab=default_tab&amp;search_scope=EVERYTHING&amp;vid=01CRU&amp;lang=en_US&amp;offset=0&amp;query=any,contains,991000843179702656","Catalog Record")</f>
        <v/>
      </c>
      <c r="AT2604">
        <f>HYPERLINK("http://www.worldcat.org/oclc/13527066","WorldCat Record")</f>
        <v/>
      </c>
      <c r="AU2604" t="inlineStr">
        <is>
          <t>836980975:eng</t>
        </is>
      </c>
      <c r="AV2604" t="inlineStr">
        <is>
          <t>13527066</t>
        </is>
      </c>
      <c r="AW2604" t="inlineStr">
        <is>
          <t>991000843179702656</t>
        </is>
      </c>
      <c r="AX2604" t="inlineStr">
        <is>
          <t>991000843179702656</t>
        </is>
      </c>
      <c r="AY2604" t="inlineStr">
        <is>
          <t>2261584230002656</t>
        </is>
      </c>
      <c r="AZ2604" t="inlineStr">
        <is>
          <t>BOOK</t>
        </is>
      </c>
      <c r="BB2604" t="inlineStr">
        <is>
          <t>9780669119299</t>
        </is>
      </c>
      <c r="BC2604" t="inlineStr">
        <is>
          <t>32285001027134</t>
        </is>
      </c>
      <c r="BD2604" t="inlineStr">
        <is>
          <t>893502869</t>
        </is>
      </c>
    </row>
    <row r="2605">
      <c r="A2605" t="inlineStr">
        <is>
          <t>No</t>
        </is>
      </c>
      <c r="B2605" t="inlineStr">
        <is>
          <t>HQ777.7 .B444 1989</t>
        </is>
      </c>
      <c r="C2605" t="inlineStr">
        <is>
          <t>0                      HQ 0777700B  444         1989</t>
        </is>
      </c>
      <c r="D2605" t="inlineStr">
        <is>
          <t>Strangers in the house : the world of stepsiblings and half-siblings / William R. Beer.</t>
        </is>
      </c>
      <c r="F2605" t="inlineStr">
        <is>
          <t>No</t>
        </is>
      </c>
      <c r="G2605" t="inlineStr">
        <is>
          <t>1</t>
        </is>
      </c>
      <c r="H2605" t="inlineStr">
        <is>
          <t>No</t>
        </is>
      </c>
      <c r="I2605" t="inlineStr">
        <is>
          <t>No</t>
        </is>
      </c>
      <c r="J2605" t="inlineStr">
        <is>
          <t>0</t>
        </is>
      </c>
      <c r="K2605" t="inlineStr">
        <is>
          <t>Beer, William R., 1943-</t>
        </is>
      </c>
      <c r="L2605" t="inlineStr">
        <is>
          <t>New Brunswick, N.J. : Transaction Books, c1989.</t>
        </is>
      </c>
      <c r="M2605" t="inlineStr">
        <is>
          <t>1989</t>
        </is>
      </c>
      <c r="O2605" t="inlineStr">
        <is>
          <t>eng</t>
        </is>
      </c>
      <c r="P2605" t="inlineStr">
        <is>
          <t>nju</t>
        </is>
      </c>
      <c r="R2605" t="inlineStr">
        <is>
          <t xml:space="preserve">HQ </t>
        </is>
      </c>
      <c r="S2605" t="n">
        <v>9</v>
      </c>
      <c r="T2605" t="n">
        <v>9</v>
      </c>
      <c r="U2605" t="inlineStr">
        <is>
          <t>2007-09-19</t>
        </is>
      </c>
      <c r="V2605" t="inlineStr">
        <is>
          <t>2007-09-19</t>
        </is>
      </c>
      <c r="W2605" t="inlineStr">
        <is>
          <t>1992-02-21</t>
        </is>
      </c>
      <c r="X2605" t="inlineStr">
        <is>
          <t>1992-02-21</t>
        </is>
      </c>
      <c r="Y2605" t="n">
        <v>646</v>
      </c>
      <c r="Z2605" t="n">
        <v>574</v>
      </c>
      <c r="AA2605" t="n">
        <v>619</v>
      </c>
      <c r="AB2605" t="n">
        <v>6</v>
      </c>
      <c r="AC2605" t="n">
        <v>7</v>
      </c>
      <c r="AD2605" t="n">
        <v>27</v>
      </c>
      <c r="AE2605" t="n">
        <v>28</v>
      </c>
      <c r="AF2605" t="n">
        <v>10</v>
      </c>
      <c r="AG2605" t="n">
        <v>10</v>
      </c>
      <c r="AH2605" t="n">
        <v>6</v>
      </c>
      <c r="AI2605" t="n">
        <v>6</v>
      </c>
      <c r="AJ2605" t="n">
        <v>15</v>
      </c>
      <c r="AK2605" t="n">
        <v>15</v>
      </c>
      <c r="AL2605" t="n">
        <v>5</v>
      </c>
      <c r="AM2605" t="n">
        <v>6</v>
      </c>
      <c r="AN2605" t="n">
        <v>0</v>
      </c>
      <c r="AO2605" t="n">
        <v>0</v>
      </c>
      <c r="AP2605" t="inlineStr">
        <is>
          <t>No</t>
        </is>
      </c>
      <c r="AQ2605" t="inlineStr">
        <is>
          <t>No</t>
        </is>
      </c>
      <c r="AS2605">
        <f>HYPERLINK("https://creighton-primo.hosted.exlibrisgroup.com/primo-explore/search?tab=default_tab&amp;search_scope=EVERYTHING&amp;vid=01CRU&amp;lang=en_US&amp;offset=0&amp;query=any,contains,991001324449702656","Catalog Record")</f>
        <v/>
      </c>
      <c r="AT2605">
        <f>HYPERLINK("http://www.worldcat.org/oclc/18259076","WorldCat Record")</f>
        <v/>
      </c>
      <c r="AU2605" t="inlineStr">
        <is>
          <t>225345617:eng</t>
        </is>
      </c>
      <c r="AV2605" t="inlineStr">
        <is>
          <t>18259076</t>
        </is>
      </c>
      <c r="AW2605" t="inlineStr">
        <is>
          <t>991001324449702656</t>
        </is>
      </c>
      <c r="AX2605" t="inlineStr">
        <is>
          <t>991001324449702656</t>
        </is>
      </c>
      <c r="AY2605" t="inlineStr">
        <is>
          <t>2255280810002656</t>
        </is>
      </c>
      <c r="AZ2605" t="inlineStr">
        <is>
          <t>BOOK</t>
        </is>
      </c>
      <c r="BB2605" t="inlineStr">
        <is>
          <t>9780887382628</t>
        </is>
      </c>
      <c r="BC2605" t="inlineStr">
        <is>
          <t>32285000973213</t>
        </is>
      </c>
      <c r="BD2605" t="inlineStr">
        <is>
          <t>893426517</t>
        </is>
      </c>
    </row>
    <row r="2606">
      <c r="A2606" t="inlineStr">
        <is>
          <t>No</t>
        </is>
      </c>
      <c r="B2606" t="inlineStr">
        <is>
          <t>HQ777.9 .F44 2005</t>
        </is>
      </c>
      <c r="C2606" t="inlineStr">
        <is>
          <t>0                      HQ 0777900F  44          2005</t>
        </is>
      </c>
      <c r="D2606" t="inlineStr">
        <is>
          <t>Race after Hitler : Black occupation children in postwar Germany and America / Heide Fehrenbach.</t>
        </is>
      </c>
      <c r="F2606" t="inlineStr">
        <is>
          <t>No</t>
        </is>
      </c>
      <c r="G2606" t="inlineStr">
        <is>
          <t>1</t>
        </is>
      </c>
      <c r="H2606" t="inlineStr">
        <is>
          <t>No</t>
        </is>
      </c>
      <c r="I2606" t="inlineStr">
        <is>
          <t>No</t>
        </is>
      </c>
      <c r="J2606" t="inlineStr">
        <is>
          <t>0</t>
        </is>
      </c>
      <c r="K2606" t="inlineStr">
        <is>
          <t>Fehrenbach, Heide.</t>
        </is>
      </c>
      <c r="L2606" t="inlineStr">
        <is>
          <t>Princeton, N.J. : Princeton University Press, c2005.</t>
        </is>
      </c>
      <c r="M2606" t="inlineStr">
        <is>
          <t>2005</t>
        </is>
      </c>
      <c r="O2606" t="inlineStr">
        <is>
          <t>eng</t>
        </is>
      </c>
      <c r="P2606" t="inlineStr">
        <is>
          <t>nju</t>
        </is>
      </c>
      <c r="R2606" t="inlineStr">
        <is>
          <t xml:space="preserve">HQ </t>
        </is>
      </c>
      <c r="S2606" t="n">
        <v>1</v>
      </c>
      <c r="T2606" t="n">
        <v>1</v>
      </c>
      <c r="U2606" t="inlineStr">
        <is>
          <t>2006-04-20</t>
        </is>
      </c>
      <c r="V2606" t="inlineStr">
        <is>
          <t>2006-04-20</t>
        </is>
      </c>
      <c r="W2606" t="inlineStr">
        <is>
          <t>2006-04-20</t>
        </is>
      </c>
      <c r="X2606" t="inlineStr">
        <is>
          <t>2006-04-20</t>
        </is>
      </c>
      <c r="Y2606" t="n">
        <v>470</v>
      </c>
      <c r="Z2606" t="n">
        <v>373</v>
      </c>
      <c r="AA2606" t="n">
        <v>588</v>
      </c>
      <c r="AB2606" t="n">
        <v>3</v>
      </c>
      <c r="AC2606" t="n">
        <v>4</v>
      </c>
      <c r="AD2606" t="n">
        <v>24</v>
      </c>
      <c r="AE2606" t="n">
        <v>33</v>
      </c>
      <c r="AF2606" t="n">
        <v>11</v>
      </c>
      <c r="AG2606" t="n">
        <v>16</v>
      </c>
      <c r="AH2606" t="n">
        <v>7</v>
      </c>
      <c r="AI2606" t="n">
        <v>8</v>
      </c>
      <c r="AJ2606" t="n">
        <v>11</v>
      </c>
      <c r="AK2606" t="n">
        <v>15</v>
      </c>
      <c r="AL2606" t="n">
        <v>2</v>
      </c>
      <c r="AM2606" t="n">
        <v>3</v>
      </c>
      <c r="AN2606" t="n">
        <v>0</v>
      </c>
      <c r="AO2606" t="n">
        <v>0</v>
      </c>
      <c r="AP2606" t="inlineStr">
        <is>
          <t>No</t>
        </is>
      </c>
      <c r="AQ2606" t="inlineStr">
        <is>
          <t>No</t>
        </is>
      </c>
      <c r="AS2606">
        <f>HYPERLINK("https://creighton-primo.hosted.exlibrisgroup.com/primo-explore/search?tab=default_tab&amp;search_scope=EVERYTHING&amp;vid=01CRU&amp;lang=en_US&amp;offset=0&amp;query=any,contains,991004792349702656","Catalog Record")</f>
        <v/>
      </c>
      <c r="AT2606">
        <f>HYPERLINK("http://www.worldcat.org/oclc/56686508","WorldCat Record")</f>
        <v/>
      </c>
      <c r="AU2606" t="inlineStr">
        <is>
          <t>796708146:eng</t>
        </is>
      </c>
      <c r="AV2606" t="inlineStr">
        <is>
          <t>56686508</t>
        </is>
      </c>
      <c r="AW2606" t="inlineStr">
        <is>
          <t>991004792349702656</t>
        </is>
      </c>
      <c r="AX2606" t="inlineStr">
        <is>
          <t>991004792349702656</t>
        </is>
      </c>
      <c r="AY2606" t="inlineStr">
        <is>
          <t>2272225740002656</t>
        </is>
      </c>
      <c r="AZ2606" t="inlineStr">
        <is>
          <t>BOOK</t>
        </is>
      </c>
      <c r="BB2606" t="inlineStr">
        <is>
          <t>9780691119069</t>
        </is>
      </c>
      <c r="BC2606" t="inlineStr">
        <is>
          <t>32285005064398</t>
        </is>
      </c>
      <c r="BD2606" t="inlineStr">
        <is>
          <t>893719384</t>
        </is>
      </c>
    </row>
    <row r="2607">
      <c r="A2607" t="inlineStr">
        <is>
          <t>No</t>
        </is>
      </c>
      <c r="B2607" t="inlineStr">
        <is>
          <t>HQ777.9 .F86 1994</t>
        </is>
      </c>
      <c r="C2607" t="inlineStr">
        <is>
          <t>0                      HQ 0777900F  86          1994</t>
        </is>
      </c>
      <c r="D2607" t="inlineStr">
        <is>
          <t>Black, white, other : biracial Americans talk about race and identity / Lise Funderburg.</t>
        </is>
      </c>
      <c r="F2607" t="inlineStr">
        <is>
          <t>No</t>
        </is>
      </c>
      <c r="G2607" t="inlineStr">
        <is>
          <t>1</t>
        </is>
      </c>
      <c r="H2607" t="inlineStr">
        <is>
          <t>No</t>
        </is>
      </c>
      <c r="I2607" t="inlineStr">
        <is>
          <t>No</t>
        </is>
      </c>
      <c r="J2607" t="inlineStr">
        <is>
          <t>0</t>
        </is>
      </c>
      <c r="K2607" t="inlineStr">
        <is>
          <t>Funderburg, Lise.</t>
        </is>
      </c>
      <c r="L2607" t="inlineStr">
        <is>
          <t>New York : W. Morrow and Co., c1994.</t>
        </is>
      </c>
      <c r="M2607" t="inlineStr">
        <is>
          <t>1994</t>
        </is>
      </c>
      <c r="N2607" t="inlineStr">
        <is>
          <t>1st ed.</t>
        </is>
      </c>
      <c r="O2607" t="inlineStr">
        <is>
          <t>eng</t>
        </is>
      </c>
      <c r="P2607" t="inlineStr">
        <is>
          <t>nyu</t>
        </is>
      </c>
      <c r="R2607" t="inlineStr">
        <is>
          <t xml:space="preserve">HQ </t>
        </is>
      </c>
      <c r="S2607" t="n">
        <v>20</v>
      </c>
      <c r="T2607" t="n">
        <v>20</v>
      </c>
      <c r="U2607" t="inlineStr">
        <is>
          <t>2009-04-15</t>
        </is>
      </c>
      <c r="V2607" t="inlineStr">
        <is>
          <t>2009-04-15</t>
        </is>
      </c>
      <c r="W2607" t="inlineStr">
        <is>
          <t>1994-12-06</t>
        </is>
      </c>
      <c r="X2607" t="inlineStr">
        <is>
          <t>1994-12-06</t>
        </is>
      </c>
      <c r="Y2607" t="n">
        <v>970</v>
      </c>
      <c r="Z2607" t="n">
        <v>933</v>
      </c>
      <c r="AA2607" t="n">
        <v>949</v>
      </c>
      <c r="AB2607" t="n">
        <v>7</v>
      </c>
      <c r="AC2607" t="n">
        <v>7</v>
      </c>
      <c r="AD2607" t="n">
        <v>28</v>
      </c>
      <c r="AE2607" t="n">
        <v>28</v>
      </c>
      <c r="AF2607" t="n">
        <v>7</v>
      </c>
      <c r="AG2607" t="n">
        <v>7</v>
      </c>
      <c r="AH2607" t="n">
        <v>5</v>
      </c>
      <c r="AI2607" t="n">
        <v>5</v>
      </c>
      <c r="AJ2607" t="n">
        <v>17</v>
      </c>
      <c r="AK2607" t="n">
        <v>17</v>
      </c>
      <c r="AL2607" t="n">
        <v>6</v>
      </c>
      <c r="AM2607" t="n">
        <v>6</v>
      </c>
      <c r="AN2607" t="n">
        <v>0</v>
      </c>
      <c r="AO2607" t="n">
        <v>0</v>
      </c>
      <c r="AP2607" t="inlineStr">
        <is>
          <t>No</t>
        </is>
      </c>
      <c r="AQ2607" t="inlineStr">
        <is>
          <t>Yes</t>
        </is>
      </c>
      <c r="AR2607">
        <f>HYPERLINK("http://catalog.hathitrust.org/Record/002818028","HathiTrust Record")</f>
        <v/>
      </c>
      <c r="AS2607">
        <f>HYPERLINK("https://creighton-primo.hosted.exlibrisgroup.com/primo-explore/search?tab=default_tab&amp;search_scope=EVERYTHING&amp;vid=01CRU&amp;lang=en_US&amp;offset=0&amp;query=any,contains,991002256879702656","Catalog Record")</f>
        <v/>
      </c>
      <c r="AT2607">
        <f>HYPERLINK("http://www.worldcat.org/oclc/29254668","WorldCat Record")</f>
        <v/>
      </c>
      <c r="AU2607" t="inlineStr">
        <is>
          <t>375447583:eng</t>
        </is>
      </c>
      <c r="AV2607" t="inlineStr">
        <is>
          <t>29254668</t>
        </is>
      </c>
      <c r="AW2607" t="inlineStr">
        <is>
          <t>991002256879702656</t>
        </is>
      </c>
      <c r="AX2607" t="inlineStr">
        <is>
          <t>991002256879702656</t>
        </is>
      </c>
      <c r="AY2607" t="inlineStr">
        <is>
          <t>2255897370002656</t>
        </is>
      </c>
      <c r="AZ2607" t="inlineStr">
        <is>
          <t>BOOK</t>
        </is>
      </c>
      <c r="BB2607" t="inlineStr">
        <is>
          <t>9780688118242</t>
        </is>
      </c>
      <c r="BC2607" t="inlineStr">
        <is>
          <t>32285001976157</t>
        </is>
      </c>
      <c r="BD2607" t="inlineStr">
        <is>
          <t>893328867</t>
        </is>
      </c>
    </row>
    <row r="2608">
      <c r="A2608" t="inlineStr">
        <is>
          <t>No</t>
        </is>
      </c>
      <c r="B2608" t="inlineStr">
        <is>
          <t>HQ777.9 .H34 1998</t>
        </is>
      </c>
      <c r="C2608" t="inlineStr">
        <is>
          <t>0                      HQ 0777900H  34          1998</t>
        </is>
      </c>
      <c r="D2608" t="inlineStr">
        <is>
          <t>Half and half : writers on growing up biracial and bicultural / edited and with an introduction by Claudine Chiawei O'Hearn.</t>
        </is>
      </c>
      <c r="F2608" t="inlineStr">
        <is>
          <t>No</t>
        </is>
      </c>
      <c r="G2608" t="inlineStr">
        <is>
          <t>1</t>
        </is>
      </c>
      <c r="H2608" t="inlineStr">
        <is>
          <t>No</t>
        </is>
      </c>
      <c r="I2608" t="inlineStr">
        <is>
          <t>No</t>
        </is>
      </c>
      <c r="J2608" t="inlineStr">
        <is>
          <t>0</t>
        </is>
      </c>
      <c r="L2608" t="inlineStr">
        <is>
          <t>New York : Pantheon Books, c1998.</t>
        </is>
      </c>
      <c r="M2608" t="inlineStr">
        <is>
          <t>1998</t>
        </is>
      </c>
      <c r="N2608" t="inlineStr">
        <is>
          <t>1st ed.</t>
        </is>
      </c>
      <c r="O2608" t="inlineStr">
        <is>
          <t>eng</t>
        </is>
      </c>
      <c r="P2608" t="inlineStr">
        <is>
          <t>nyu</t>
        </is>
      </c>
      <c r="R2608" t="inlineStr">
        <is>
          <t xml:space="preserve">HQ </t>
        </is>
      </c>
      <c r="S2608" t="n">
        <v>2</v>
      </c>
      <c r="T2608" t="n">
        <v>2</v>
      </c>
      <c r="U2608" t="inlineStr">
        <is>
          <t>2000-02-12</t>
        </is>
      </c>
      <c r="V2608" t="inlineStr">
        <is>
          <t>2000-02-12</t>
        </is>
      </c>
      <c r="W2608" t="inlineStr">
        <is>
          <t>1998-08-25</t>
        </is>
      </c>
      <c r="X2608" t="inlineStr">
        <is>
          <t>1998-08-25</t>
        </is>
      </c>
      <c r="Y2608" t="n">
        <v>820</v>
      </c>
      <c r="Z2608" t="n">
        <v>772</v>
      </c>
      <c r="AA2608" t="n">
        <v>793</v>
      </c>
      <c r="AB2608" t="n">
        <v>5</v>
      </c>
      <c r="AC2608" t="n">
        <v>5</v>
      </c>
      <c r="AD2608" t="n">
        <v>24</v>
      </c>
      <c r="AE2608" t="n">
        <v>24</v>
      </c>
      <c r="AF2608" t="n">
        <v>7</v>
      </c>
      <c r="AG2608" t="n">
        <v>7</v>
      </c>
      <c r="AH2608" t="n">
        <v>5</v>
      </c>
      <c r="AI2608" t="n">
        <v>5</v>
      </c>
      <c r="AJ2608" t="n">
        <v>13</v>
      </c>
      <c r="AK2608" t="n">
        <v>13</v>
      </c>
      <c r="AL2608" t="n">
        <v>4</v>
      </c>
      <c r="AM2608" t="n">
        <v>4</v>
      </c>
      <c r="AN2608" t="n">
        <v>0</v>
      </c>
      <c r="AO2608" t="n">
        <v>0</v>
      </c>
      <c r="AP2608" t="inlineStr">
        <is>
          <t>No</t>
        </is>
      </c>
      <c r="AQ2608" t="inlineStr">
        <is>
          <t>Yes</t>
        </is>
      </c>
      <c r="AR2608">
        <f>HYPERLINK("http://catalog.hathitrust.org/Record/003978326","HathiTrust Record")</f>
        <v/>
      </c>
      <c r="AS2608">
        <f>HYPERLINK("https://creighton-primo.hosted.exlibrisgroup.com/primo-explore/search?tab=default_tab&amp;search_scope=EVERYTHING&amp;vid=01CRU&amp;lang=en_US&amp;offset=0&amp;query=any,contains,991002884709702656","Catalog Record")</f>
        <v/>
      </c>
      <c r="AT2608">
        <f>HYPERLINK("http://www.worldcat.org/oclc/38014127","WorldCat Record")</f>
        <v/>
      </c>
      <c r="AU2608" t="inlineStr">
        <is>
          <t>502951152:eng</t>
        </is>
      </c>
      <c r="AV2608" t="inlineStr">
        <is>
          <t>38014127</t>
        </is>
      </c>
      <c r="AW2608" t="inlineStr">
        <is>
          <t>991002884709702656</t>
        </is>
      </c>
      <c r="AX2608" t="inlineStr">
        <is>
          <t>991002884709702656</t>
        </is>
      </c>
      <c r="AY2608" t="inlineStr">
        <is>
          <t>2268225080002656</t>
        </is>
      </c>
      <c r="AZ2608" t="inlineStr">
        <is>
          <t>BOOK</t>
        </is>
      </c>
      <c r="BB2608" t="inlineStr">
        <is>
          <t>9780375400315</t>
        </is>
      </c>
      <c r="BC2608" t="inlineStr">
        <is>
          <t>32285003461901</t>
        </is>
      </c>
      <c r="BD2608" t="inlineStr">
        <is>
          <t>893251741</t>
        </is>
      </c>
    </row>
    <row r="2609">
      <c r="A2609" t="inlineStr">
        <is>
          <t>No</t>
        </is>
      </c>
      <c r="B2609" t="inlineStr">
        <is>
          <t>HQ778.5 .C49 1992</t>
        </is>
      </c>
      <c r="C2609" t="inlineStr">
        <is>
          <t>0                      HQ 0778500C  49          1992</t>
        </is>
      </c>
      <c r="D2609" t="inlineStr">
        <is>
          <t>Child care in context : cross-cultural perspectives / edited by Michael E. Lamb ... [et al.].</t>
        </is>
      </c>
      <c r="F2609" t="inlineStr">
        <is>
          <t>No</t>
        </is>
      </c>
      <c r="G2609" t="inlineStr">
        <is>
          <t>1</t>
        </is>
      </c>
      <c r="H2609" t="inlineStr">
        <is>
          <t>No</t>
        </is>
      </c>
      <c r="I2609" t="inlineStr">
        <is>
          <t>No</t>
        </is>
      </c>
      <c r="J2609" t="inlineStr">
        <is>
          <t>0</t>
        </is>
      </c>
      <c r="L2609" t="inlineStr">
        <is>
          <t>Hillsdale, N.J. : L. Erlbaum, 1992.</t>
        </is>
      </c>
      <c r="M2609" t="inlineStr">
        <is>
          <t>1992</t>
        </is>
      </c>
      <c r="O2609" t="inlineStr">
        <is>
          <t>eng</t>
        </is>
      </c>
      <c r="P2609" t="inlineStr">
        <is>
          <t>nju</t>
        </is>
      </c>
      <c r="R2609" t="inlineStr">
        <is>
          <t xml:space="preserve">HQ </t>
        </is>
      </c>
      <c r="S2609" t="n">
        <v>26</v>
      </c>
      <c r="T2609" t="n">
        <v>26</v>
      </c>
      <c r="U2609" t="inlineStr">
        <is>
          <t>2000-03-02</t>
        </is>
      </c>
      <c r="V2609" t="inlineStr">
        <is>
          <t>2000-03-02</t>
        </is>
      </c>
      <c r="W2609" t="inlineStr">
        <is>
          <t>1992-06-02</t>
        </is>
      </c>
      <c r="X2609" t="inlineStr">
        <is>
          <t>1992-06-02</t>
        </is>
      </c>
      <c r="Y2609" t="n">
        <v>346</v>
      </c>
      <c r="Z2609" t="n">
        <v>247</v>
      </c>
      <c r="AA2609" t="n">
        <v>268</v>
      </c>
      <c r="AB2609" t="n">
        <v>3</v>
      </c>
      <c r="AC2609" t="n">
        <v>3</v>
      </c>
      <c r="AD2609" t="n">
        <v>17</v>
      </c>
      <c r="AE2609" t="n">
        <v>17</v>
      </c>
      <c r="AF2609" t="n">
        <v>4</v>
      </c>
      <c r="AG2609" t="n">
        <v>4</v>
      </c>
      <c r="AH2609" t="n">
        <v>5</v>
      </c>
      <c r="AI2609" t="n">
        <v>5</v>
      </c>
      <c r="AJ2609" t="n">
        <v>9</v>
      </c>
      <c r="AK2609" t="n">
        <v>9</v>
      </c>
      <c r="AL2609" t="n">
        <v>2</v>
      </c>
      <c r="AM2609" t="n">
        <v>2</v>
      </c>
      <c r="AN2609" t="n">
        <v>0</v>
      </c>
      <c r="AO2609" t="n">
        <v>0</v>
      </c>
      <c r="AP2609" t="inlineStr">
        <is>
          <t>No</t>
        </is>
      </c>
      <c r="AQ2609" t="inlineStr">
        <is>
          <t>Yes</t>
        </is>
      </c>
      <c r="AR2609">
        <f>HYPERLINK("http://catalog.hathitrust.org/Record/002511388","HathiTrust Record")</f>
        <v/>
      </c>
      <c r="AS2609">
        <f>HYPERLINK("https://creighton-primo.hosted.exlibrisgroup.com/primo-explore/search?tab=default_tab&amp;search_scope=EVERYTHING&amp;vid=01CRU&amp;lang=en_US&amp;offset=0&amp;query=any,contains,991001958159702656","Catalog Record")</f>
        <v/>
      </c>
      <c r="AT2609">
        <f>HYPERLINK("http://www.worldcat.org/oclc/24795737","WorldCat Record")</f>
        <v/>
      </c>
      <c r="AU2609" t="inlineStr">
        <is>
          <t>890431000:eng</t>
        </is>
      </c>
      <c r="AV2609" t="inlineStr">
        <is>
          <t>24795737</t>
        </is>
      </c>
      <c r="AW2609" t="inlineStr">
        <is>
          <t>991001958159702656</t>
        </is>
      </c>
      <c r="AX2609" t="inlineStr">
        <is>
          <t>991001958159702656</t>
        </is>
      </c>
      <c r="AY2609" t="inlineStr">
        <is>
          <t>2259826310002656</t>
        </is>
      </c>
      <c r="AZ2609" t="inlineStr">
        <is>
          <t>BOOK</t>
        </is>
      </c>
      <c r="BB2609" t="inlineStr">
        <is>
          <t>9780805807974</t>
        </is>
      </c>
      <c r="BC2609" t="inlineStr">
        <is>
          <t>32285001125706</t>
        </is>
      </c>
      <c r="BD2609" t="inlineStr">
        <is>
          <t>893328514</t>
        </is>
      </c>
    </row>
    <row r="2610">
      <c r="A2610" t="inlineStr">
        <is>
          <t>No</t>
        </is>
      </c>
      <c r="B2610" t="inlineStr">
        <is>
          <t>HQ778.6 .S45 1993</t>
        </is>
      </c>
      <c r="C2610" t="inlineStr">
        <is>
          <t>0                      HQ 0778600S  45          1993</t>
        </is>
      </c>
      <c r="D2610" t="inlineStr">
        <is>
          <t>School-age child care : an action manual for the 90s and beyond / Michelle Seligson and Michael Allenson ; foreword by Marian Wright Edelman.</t>
        </is>
      </c>
      <c r="F2610" t="inlineStr">
        <is>
          <t>No</t>
        </is>
      </c>
      <c r="G2610" t="inlineStr">
        <is>
          <t>1</t>
        </is>
      </c>
      <c r="H2610" t="inlineStr">
        <is>
          <t>No</t>
        </is>
      </c>
      <c r="I2610" t="inlineStr">
        <is>
          <t>No</t>
        </is>
      </c>
      <c r="J2610" t="inlineStr">
        <is>
          <t>0</t>
        </is>
      </c>
      <c r="K2610" t="inlineStr">
        <is>
          <t>Seligson, Michelle, 1941-</t>
        </is>
      </c>
      <c r="L2610" t="inlineStr">
        <is>
          <t>Westport, Conn. : Auburn House, 1993.</t>
        </is>
      </c>
      <c r="M2610" t="inlineStr">
        <is>
          <t>1993</t>
        </is>
      </c>
      <c r="O2610" t="inlineStr">
        <is>
          <t>eng</t>
        </is>
      </c>
      <c r="P2610" t="inlineStr">
        <is>
          <t>ctu</t>
        </is>
      </c>
      <c r="R2610" t="inlineStr">
        <is>
          <t xml:space="preserve">HQ </t>
        </is>
      </c>
      <c r="S2610" t="n">
        <v>3</v>
      </c>
      <c r="T2610" t="n">
        <v>3</v>
      </c>
      <c r="U2610" t="inlineStr">
        <is>
          <t>1998-03-05</t>
        </is>
      </c>
      <c r="V2610" t="inlineStr">
        <is>
          <t>1998-03-05</t>
        </is>
      </c>
      <c r="W2610" t="inlineStr">
        <is>
          <t>1994-05-11</t>
        </is>
      </c>
      <c r="X2610" t="inlineStr">
        <is>
          <t>1994-05-11</t>
        </is>
      </c>
      <c r="Y2610" t="n">
        <v>252</v>
      </c>
      <c r="Z2610" t="n">
        <v>229</v>
      </c>
      <c r="AA2610" t="n">
        <v>868</v>
      </c>
      <c r="AB2610" t="n">
        <v>2</v>
      </c>
      <c r="AC2610" t="n">
        <v>7</v>
      </c>
      <c r="AD2610" t="n">
        <v>7</v>
      </c>
      <c r="AE2610" t="n">
        <v>19</v>
      </c>
      <c r="AF2610" t="n">
        <v>2</v>
      </c>
      <c r="AG2610" t="n">
        <v>6</v>
      </c>
      <c r="AH2610" t="n">
        <v>3</v>
      </c>
      <c r="AI2610" t="n">
        <v>5</v>
      </c>
      <c r="AJ2610" t="n">
        <v>4</v>
      </c>
      <c r="AK2610" t="n">
        <v>9</v>
      </c>
      <c r="AL2610" t="n">
        <v>1</v>
      </c>
      <c r="AM2610" t="n">
        <v>5</v>
      </c>
      <c r="AN2610" t="n">
        <v>0</v>
      </c>
      <c r="AO2610" t="n">
        <v>0</v>
      </c>
      <c r="AP2610" t="inlineStr">
        <is>
          <t>No</t>
        </is>
      </c>
      <c r="AQ2610" t="inlineStr">
        <is>
          <t>Yes</t>
        </is>
      </c>
      <c r="AR2610">
        <f>HYPERLINK("http://catalog.hathitrust.org/Record/002704522","HathiTrust Record")</f>
        <v/>
      </c>
      <c r="AS2610">
        <f>HYPERLINK("https://creighton-primo.hosted.exlibrisgroup.com/primo-explore/search?tab=default_tab&amp;search_scope=EVERYTHING&amp;vid=01CRU&amp;lang=en_US&amp;offset=0&amp;query=any,contains,991002038899702656","Catalog Record")</f>
        <v/>
      </c>
      <c r="AT2610">
        <f>HYPERLINK("http://www.worldcat.org/oclc/26013080","WorldCat Record")</f>
        <v/>
      </c>
      <c r="AU2610" t="inlineStr">
        <is>
          <t>283557920:eng</t>
        </is>
      </c>
      <c r="AV2610" t="inlineStr">
        <is>
          <t>26013080</t>
        </is>
      </c>
      <c r="AW2610" t="inlineStr">
        <is>
          <t>991002038899702656</t>
        </is>
      </c>
      <c r="AX2610" t="inlineStr">
        <is>
          <t>991002038899702656</t>
        </is>
      </c>
      <c r="AY2610" t="inlineStr">
        <is>
          <t>2258290560002656</t>
        </is>
      </c>
      <c r="AZ2610" t="inlineStr">
        <is>
          <t>BOOK</t>
        </is>
      </c>
      <c r="BB2610" t="inlineStr">
        <is>
          <t>9780865690240</t>
        </is>
      </c>
      <c r="BC2610" t="inlineStr">
        <is>
          <t>32285001895852</t>
        </is>
      </c>
      <c r="BD2610" t="inlineStr">
        <is>
          <t>893879430</t>
        </is>
      </c>
    </row>
    <row r="2611">
      <c r="A2611" t="inlineStr">
        <is>
          <t>No</t>
        </is>
      </c>
      <c r="B2611" t="inlineStr">
        <is>
          <t>HQ778.63 .G674 1995</t>
        </is>
      </c>
      <c r="C2611" t="inlineStr">
        <is>
          <t>0                      HQ 0778630G  674         1995</t>
        </is>
      </c>
      <c r="D2611" t="inlineStr">
        <is>
          <t>Everybody's children : child care as a public problem / William T. Gormley, Jr.</t>
        </is>
      </c>
      <c r="F2611" t="inlineStr">
        <is>
          <t>No</t>
        </is>
      </c>
      <c r="G2611" t="inlineStr">
        <is>
          <t>1</t>
        </is>
      </c>
      <c r="H2611" t="inlineStr">
        <is>
          <t>No</t>
        </is>
      </c>
      <c r="I2611" t="inlineStr">
        <is>
          <t>No</t>
        </is>
      </c>
      <c r="J2611" t="inlineStr">
        <is>
          <t>0</t>
        </is>
      </c>
      <c r="K2611" t="inlineStr">
        <is>
          <t>Gormley, William T., Jr., 1950-</t>
        </is>
      </c>
      <c r="L2611" t="inlineStr">
        <is>
          <t>Washington, D.C. : Brookings Institution, c1995.</t>
        </is>
      </c>
      <c r="M2611" t="inlineStr">
        <is>
          <t>1995</t>
        </is>
      </c>
      <c r="O2611" t="inlineStr">
        <is>
          <t>eng</t>
        </is>
      </c>
      <c r="P2611" t="inlineStr">
        <is>
          <t>dcu</t>
        </is>
      </c>
      <c r="R2611" t="inlineStr">
        <is>
          <t xml:space="preserve">HQ </t>
        </is>
      </c>
      <c r="S2611" t="n">
        <v>15</v>
      </c>
      <c r="T2611" t="n">
        <v>15</v>
      </c>
      <c r="U2611" t="inlineStr">
        <is>
          <t>1998-10-26</t>
        </is>
      </c>
      <c r="V2611" t="inlineStr">
        <is>
          <t>1998-10-26</t>
        </is>
      </c>
      <c r="W2611" t="inlineStr">
        <is>
          <t>1995-09-18</t>
        </is>
      </c>
      <c r="X2611" t="inlineStr">
        <is>
          <t>1995-09-18</t>
        </is>
      </c>
      <c r="Y2611" t="n">
        <v>758</v>
      </c>
      <c r="Z2611" t="n">
        <v>678</v>
      </c>
      <c r="AA2611" t="n">
        <v>1116</v>
      </c>
      <c r="AB2611" t="n">
        <v>4</v>
      </c>
      <c r="AC2611" t="n">
        <v>7</v>
      </c>
      <c r="AD2611" t="n">
        <v>31</v>
      </c>
      <c r="AE2611" t="n">
        <v>37</v>
      </c>
      <c r="AF2611" t="n">
        <v>12</v>
      </c>
      <c r="AG2611" t="n">
        <v>14</v>
      </c>
      <c r="AH2611" t="n">
        <v>5</v>
      </c>
      <c r="AI2611" t="n">
        <v>6</v>
      </c>
      <c r="AJ2611" t="n">
        <v>14</v>
      </c>
      <c r="AK2611" t="n">
        <v>15</v>
      </c>
      <c r="AL2611" t="n">
        <v>3</v>
      </c>
      <c r="AM2611" t="n">
        <v>6</v>
      </c>
      <c r="AN2611" t="n">
        <v>3</v>
      </c>
      <c r="AO2611" t="n">
        <v>3</v>
      </c>
      <c r="AP2611" t="inlineStr">
        <is>
          <t>No</t>
        </is>
      </c>
      <c r="AQ2611" t="inlineStr">
        <is>
          <t>Yes</t>
        </is>
      </c>
      <c r="AR2611">
        <f>HYPERLINK("http://catalog.hathitrust.org/Record/003002738","HathiTrust Record")</f>
        <v/>
      </c>
      <c r="AS2611">
        <f>HYPERLINK("https://creighton-primo.hosted.exlibrisgroup.com/primo-explore/search?tab=default_tab&amp;search_scope=EVERYTHING&amp;vid=01CRU&amp;lang=en_US&amp;offset=0&amp;query=any,contains,991002499779702656","Catalog Record")</f>
        <v/>
      </c>
      <c r="AT2611">
        <f>HYPERLINK("http://www.worldcat.org/oclc/32510652","WorldCat Record")</f>
        <v/>
      </c>
      <c r="AU2611" t="inlineStr">
        <is>
          <t>34266795:eng</t>
        </is>
      </c>
      <c r="AV2611" t="inlineStr">
        <is>
          <t>32510652</t>
        </is>
      </c>
      <c r="AW2611" t="inlineStr">
        <is>
          <t>991002499779702656</t>
        </is>
      </c>
      <c r="AX2611" t="inlineStr">
        <is>
          <t>991002499779702656</t>
        </is>
      </c>
      <c r="AY2611" t="inlineStr">
        <is>
          <t>2259542660002656</t>
        </is>
      </c>
      <c r="AZ2611" t="inlineStr">
        <is>
          <t>BOOK</t>
        </is>
      </c>
      <c r="BB2611" t="inlineStr">
        <is>
          <t>9780815732235</t>
        </is>
      </c>
      <c r="BC2611" t="inlineStr">
        <is>
          <t>32285002086022</t>
        </is>
      </c>
      <c r="BD2611" t="inlineStr">
        <is>
          <t>893792534</t>
        </is>
      </c>
    </row>
    <row r="2612">
      <c r="A2612" t="inlineStr">
        <is>
          <t>No</t>
        </is>
      </c>
      <c r="B2612" t="inlineStr">
        <is>
          <t>HQ778.63 .G74 2001</t>
        </is>
      </c>
      <c r="C2612" t="inlineStr">
        <is>
          <t>0                      HQ 0778630G  74          2001</t>
        </is>
      </c>
      <c r="D2612" t="inlineStr">
        <is>
          <t>The four-thirds solution : solving the child-care crisis in America today / stanley I. Greenspan with Jacqueline Salmon.</t>
        </is>
      </c>
      <c r="F2612" t="inlineStr">
        <is>
          <t>No</t>
        </is>
      </c>
      <c r="G2612" t="inlineStr">
        <is>
          <t>1</t>
        </is>
      </c>
      <c r="H2612" t="inlineStr">
        <is>
          <t>No</t>
        </is>
      </c>
      <c r="I2612" t="inlineStr">
        <is>
          <t>No</t>
        </is>
      </c>
      <c r="J2612" t="inlineStr">
        <is>
          <t>0</t>
        </is>
      </c>
      <c r="K2612" t="inlineStr">
        <is>
          <t>Greenspan, Stanley I.</t>
        </is>
      </c>
      <c r="L2612" t="inlineStr">
        <is>
          <t>Cambridge, MA : Perseus Publishing, c2001.</t>
        </is>
      </c>
      <c r="M2612" t="inlineStr">
        <is>
          <t>2001</t>
        </is>
      </c>
      <c r="O2612" t="inlineStr">
        <is>
          <t>eng</t>
        </is>
      </c>
      <c r="P2612" t="inlineStr">
        <is>
          <t>mau</t>
        </is>
      </c>
      <c r="R2612" t="inlineStr">
        <is>
          <t xml:space="preserve">HQ </t>
        </is>
      </c>
      <c r="S2612" t="n">
        <v>2</v>
      </c>
      <c r="T2612" t="n">
        <v>2</v>
      </c>
      <c r="U2612" t="inlineStr">
        <is>
          <t>2007-08-31</t>
        </is>
      </c>
      <c r="V2612" t="inlineStr">
        <is>
          <t>2007-08-31</t>
        </is>
      </c>
      <c r="W2612" t="inlineStr">
        <is>
          <t>2002-02-06</t>
        </is>
      </c>
      <c r="X2612" t="inlineStr">
        <is>
          <t>2002-02-06</t>
        </is>
      </c>
      <c r="Y2612" t="n">
        <v>460</v>
      </c>
      <c r="Z2612" t="n">
        <v>444</v>
      </c>
      <c r="AA2612" t="n">
        <v>454</v>
      </c>
      <c r="AB2612" t="n">
        <v>4</v>
      </c>
      <c r="AC2612" t="n">
        <v>4</v>
      </c>
      <c r="AD2612" t="n">
        <v>13</v>
      </c>
      <c r="AE2612" t="n">
        <v>13</v>
      </c>
      <c r="AF2612" t="n">
        <v>5</v>
      </c>
      <c r="AG2612" t="n">
        <v>5</v>
      </c>
      <c r="AH2612" t="n">
        <v>2</v>
      </c>
      <c r="AI2612" t="n">
        <v>2</v>
      </c>
      <c r="AJ2612" t="n">
        <v>6</v>
      </c>
      <c r="AK2612" t="n">
        <v>6</v>
      </c>
      <c r="AL2612" t="n">
        <v>3</v>
      </c>
      <c r="AM2612" t="n">
        <v>3</v>
      </c>
      <c r="AN2612" t="n">
        <v>0</v>
      </c>
      <c r="AO2612" t="n">
        <v>0</v>
      </c>
      <c r="AP2612" t="inlineStr">
        <is>
          <t>No</t>
        </is>
      </c>
      <c r="AQ2612" t="inlineStr">
        <is>
          <t>Yes</t>
        </is>
      </c>
      <c r="AR2612">
        <f>HYPERLINK("http://catalog.hathitrust.org/Record/007140883","HathiTrust Record")</f>
        <v/>
      </c>
      <c r="AS2612">
        <f>HYPERLINK("https://creighton-primo.hosted.exlibrisgroup.com/primo-explore/search?tab=default_tab&amp;search_scope=EVERYTHING&amp;vid=01CRU&amp;lang=en_US&amp;offset=0&amp;query=any,contains,991003711879702656","Catalog Record")</f>
        <v/>
      </c>
      <c r="AT2612">
        <f>HYPERLINK("http://www.worldcat.org/oclc/48197435","WorldCat Record")</f>
        <v/>
      </c>
      <c r="AU2612" t="inlineStr">
        <is>
          <t>34913675:eng</t>
        </is>
      </c>
      <c r="AV2612" t="inlineStr">
        <is>
          <t>48197435</t>
        </is>
      </c>
      <c r="AW2612" t="inlineStr">
        <is>
          <t>991003711879702656</t>
        </is>
      </c>
      <c r="AX2612" t="inlineStr">
        <is>
          <t>991003711879702656</t>
        </is>
      </c>
      <c r="AY2612" t="inlineStr">
        <is>
          <t>2262087620002656</t>
        </is>
      </c>
      <c r="AZ2612" t="inlineStr">
        <is>
          <t>BOOK</t>
        </is>
      </c>
      <c r="BB2612" t="inlineStr">
        <is>
          <t>9780738202006</t>
        </is>
      </c>
      <c r="BC2612" t="inlineStr">
        <is>
          <t>32285004453097</t>
        </is>
      </c>
      <c r="BD2612" t="inlineStr">
        <is>
          <t>893787654</t>
        </is>
      </c>
    </row>
    <row r="2613">
      <c r="A2613" t="inlineStr">
        <is>
          <t>No</t>
        </is>
      </c>
      <c r="B2613" t="inlineStr">
        <is>
          <t>HQ778.63 .H37 1996</t>
        </is>
      </c>
      <c r="C2613" t="inlineStr">
        <is>
          <t>0                      HQ 0778630H  37          1996</t>
        </is>
      </c>
      <c r="D2613" t="inlineStr">
        <is>
          <t>School-age care environment rating scale / Thelma Harms, Ellen Vineberg Jacobs, Donna Romano White.</t>
        </is>
      </c>
      <c r="F2613" t="inlineStr">
        <is>
          <t>No</t>
        </is>
      </c>
      <c r="G2613" t="inlineStr">
        <is>
          <t>1</t>
        </is>
      </c>
      <c r="H2613" t="inlineStr">
        <is>
          <t>No</t>
        </is>
      </c>
      <c r="I2613" t="inlineStr">
        <is>
          <t>No</t>
        </is>
      </c>
      <c r="J2613" t="inlineStr">
        <is>
          <t>0</t>
        </is>
      </c>
      <c r="K2613" t="inlineStr">
        <is>
          <t>Harms, Thelma.</t>
        </is>
      </c>
      <c r="L2613" t="inlineStr">
        <is>
          <t>New York : Teachers College Press, c1996.</t>
        </is>
      </c>
      <c r="M2613" t="inlineStr">
        <is>
          <t>1996</t>
        </is>
      </c>
      <c r="O2613" t="inlineStr">
        <is>
          <t>eng</t>
        </is>
      </c>
      <c r="P2613" t="inlineStr">
        <is>
          <t>nyu</t>
        </is>
      </c>
      <c r="R2613" t="inlineStr">
        <is>
          <t xml:space="preserve">HQ </t>
        </is>
      </c>
      <c r="S2613" t="n">
        <v>1</v>
      </c>
      <c r="T2613" t="n">
        <v>1</v>
      </c>
      <c r="U2613" t="inlineStr">
        <is>
          <t>2000-11-08</t>
        </is>
      </c>
      <c r="V2613" t="inlineStr">
        <is>
          <t>2000-11-08</t>
        </is>
      </c>
      <c r="W2613" t="inlineStr">
        <is>
          <t>2000-11-08</t>
        </is>
      </c>
      <c r="X2613" t="inlineStr">
        <is>
          <t>2000-11-08</t>
        </is>
      </c>
      <c r="Y2613" t="n">
        <v>263</v>
      </c>
      <c r="Z2613" t="n">
        <v>232</v>
      </c>
      <c r="AA2613" t="n">
        <v>232</v>
      </c>
      <c r="AB2613" t="n">
        <v>3</v>
      </c>
      <c r="AC2613" t="n">
        <v>3</v>
      </c>
      <c r="AD2613" t="n">
        <v>5</v>
      </c>
      <c r="AE2613" t="n">
        <v>5</v>
      </c>
      <c r="AF2613" t="n">
        <v>1</v>
      </c>
      <c r="AG2613" t="n">
        <v>1</v>
      </c>
      <c r="AH2613" t="n">
        <v>1</v>
      </c>
      <c r="AI2613" t="n">
        <v>1</v>
      </c>
      <c r="AJ2613" t="n">
        <v>3</v>
      </c>
      <c r="AK2613" t="n">
        <v>3</v>
      </c>
      <c r="AL2613" t="n">
        <v>2</v>
      </c>
      <c r="AM2613" t="n">
        <v>2</v>
      </c>
      <c r="AN2613" t="n">
        <v>0</v>
      </c>
      <c r="AO2613" t="n">
        <v>0</v>
      </c>
      <c r="AP2613" t="inlineStr">
        <is>
          <t>No</t>
        </is>
      </c>
      <c r="AQ2613" t="inlineStr">
        <is>
          <t>No</t>
        </is>
      </c>
      <c r="AS2613">
        <f>HYPERLINK("https://creighton-primo.hosted.exlibrisgroup.com/primo-explore/search?tab=default_tab&amp;search_scope=EVERYTHING&amp;vid=01CRU&amp;lang=en_US&amp;offset=0&amp;query=any,contains,991003244769702656","Catalog Record")</f>
        <v/>
      </c>
      <c r="AT2613">
        <f>HYPERLINK("http://www.worldcat.org/oclc/33955504","WorldCat Record")</f>
        <v/>
      </c>
      <c r="AU2613" t="inlineStr">
        <is>
          <t>5613120380:eng</t>
        </is>
      </c>
      <c r="AV2613" t="inlineStr">
        <is>
          <t>33955504</t>
        </is>
      </c>
      <c r="AW2613" t="inlineStr">
        <is>
          <t>991003244769702656</t>
        </is>
      </c>
      <c r="AX2613" t="inlineStr">
        <is>
          <t>991003244769702656</t>
        </is>
      </c>
      <c r="AY2613" t="inlineStr">
        <is>
          <t>2265450690002656</t>
        </is>
      </c>
      <c r="AZ2613" t="inlineStr">
        <is>
          <t>BOOK</t>
        </is>
      </c>
      <c r="BB2613" t="inlineStr">
        <is>
          <t>9780807735077</t>
        </is>
      </c>
      <c r="BC2613" t="inlineStr">
        <is>
          <t>32285004264130</t>
        </is>
      </c>
      <c r="BD2613" t="inlineStr">
        <is>
          <t>893774550</t>
        </is>
      </c>
    </row>
    <row r="2614">
      <c r="A2614" t="inlineStr">
        <is>
          <t>No</t>
        </is>
      </c>
      <c r="B2614" t="inlineStr">
        <is>
          <t>HQ778.63 .H435 2002</t>
        </is>
      </c>
      <c r="C2614" t="inlineStr">
        <is>
          <t>0                      HQ 0778630H  435         2002</t>
        </is>
      </c>
      <c r="D2614" t="inlineStr">
        <is>
          <t>America's child care problem : the way out / Suzanne W. Helburn and Barbara R. Bergmann.</t>
        </is>
      </c>
      <c r="F2614" t="inlineStr">
        <is>
          <t>No</t>
        </is>
      </c>
      <c r="G2614" t="inlineStr">
        <is>
          <t>1</t>
        </is>
      </c>
      <c r="H2614" t="inlineStr">
        <is>
          <t>No</t>
        </is>
      </c>
      <c r="I2614" t="inlineStr">
        <is>
          <t>No</t>
        </is>
      </c>
      <c r="J2614" t="inlineStr">
        <is>
          <t>0</t>
        </is>
      </c>
      <c r="K2614" t="inlineStr">
        <is>
          <t>Helburn, Suzanne W. (Suzanne Wiggins), 1930-</t>
        </is>
      </c>
      <c r="L2614" t="inlineStr">
        <is>
          <t>New York, N.Y. : Palgrave for St. Martin's Press, 2002.</t>
        </is>
      </c>
      <c r="M2614" t="inlineStr">
        <is>
          <t>2002</t>
        </is>
      </c>
      <c r="N2614" t="inlineStr">
        <is>
          <t>1st Palgrave ed.</t>
        </is>
      </c>
      <c r="O2614" t="inlineStr">
        <is>
          <t>eng</t>
        </is>
      </c>
      <c r="P2614" t="inlineStr">
        <is>
          <t>nyu</t>
        </is>
      </c>
      <c r="R2614" t="inlineStr">
        <is>
          <t xml:space="preserve">HQ </t>
        </is>
      </c>
      <c r="S2614" t="n">
        <v>3</v>
      </c>
      <c r="T2614" t="n">
        <v>3</v>
      </c>
      <c r="U2614" t="inlineStr">
        <is>
          <t>2003-03-28</t>
        </is>
      </c>
      <c r="V2614" t="inlineStr">
        <is>
          <t>2003-03-28</t>
        </is>
      </c>
      <c r="W2614" t="inlineStr">
        <is>
          <t>2002-11-19</t>
        </is>
      </c>
      <c r="X2614" t="inlineStr">
        <is>
          <t>2002-11-19</t>
        </is>
      </c>
      <c r="Y2614" t="n">
        <v>703</v>
      </c>
      <c r="Z2614" t="n">
        <v>656</v>
      </c>
      <c r="AA2614" t="n">
        <v>750</v>
      </c>
      <c r="AB2614" t="n">
        <v>5</v>
      </c>
      <c r="AC2614" t="n">
        <v>7</v>
      </c>
      <c r="AD2614" t="n">
        <v>32</v>
      </c>
      <c r="AE2614" t="n">
        <v>36</v>
      </c>
      <c r="AF2614" t="n">
        <v>12</v>
      </c>
      <c r="AG2614" t="n">
        <v>14</v>
      </c>
      <c r="AH2614" t="n">
        <v>9</v>
      </c>
      <c r="AI2614" t="n">
        <v>9</v>
      </c>
      <c r="AJ2614" t="n">
        <v>15</v>
      </c>
      <c r="AK2614" t="n">
        <v>16</v>
      </c>
      <c r="AL2614" t="n">
        <v>4</v>
      </c>
      <c r="AM2614" t="n">
        <v>5</v>
      </c>
      <c r="AN2614" t="n">
        <v>1</v>
      </c>
      <c r="AO2614" t="n">
        <v>1</v>
      </c>
      <c r="AP2614" t="inlineStr">
        <is>
          <t>No</t>
        </is>
      </c>
      <c r="AQ2614" t="inlineStr">
        <is>
          <t>No</t>
        </is>
      </c>
      <c r="AS2614">
        <f>HYPERLINK("https://creighton-primo.hosted.exlibrisgroup.com/primo-explore/search?tab=default_tab&amp;search_scope=EVERYTHING&amp;vid=01CRU&amp;lang=en_US&amp;offset=0&amp;query=any,contains,991003934629702656","Catalog Record")</f>
        <v/>
      </c>
      <c r="AT2614">
        <f>HYPERLINK("http://www.worldcat.org/oclc/48613576","WorldCat Record")</f>
        <v/>
      </c>
      <c r="AU2614" t="inlineStr">
        <is>
          <t>793971350:eng</t>
        </is>
      </c>
      <c r="AV2614" t="inlineStr">
        <is>
          <t>48613576</t>
        </is>
      </c>
      <c r="AW2614" t="inlineStr">
        <is>
          <t>991003934629702656</t>
        </is>
      </c>
      <c r="AX2614" t="inlineStr">
        <is>
          <t>991003934629702656</t>
        </is>
      </c>
      <c r="AY2614" t="inlineStr">
        <is>
          <t>2255635250002656</t>
        </is>
      </c>
      <c r="AZ2614" t="inlineStr">
        <is>
          <t>BOOK</t>
        </is>
      </c>
      <c r="BB2614" t="inlineStr">
        <is>
          <t>9780312211493</t>
        </is>
      </c>
      <c r="BC2614" t="inlineStr">
        <is>
          <t>32285004664297</t>
        </is>
      </c>
      <c r="BD2614" t="inlineStr">
        <is>
          <t>893781654</t>
        </is>
      </c>
    </row>
    <row r="2615">
      <c r="A2615" t="inlineStr">
        <is>
          <t>No</t>
        </is>
      </c>
      <c r="B2615" t="inlineStr">
        <is>
          <t>HQ778.63 .K58 1999</t>
        </is>
      </c>
      <c r="C2615" t="inlineStr">
        <is>
          <t>0                      HQ 0778630K  58          1999</t>
        </is>
      </c>
      <c r="D2615" t="inlineStr">
        <is>
          <t>The child care provider : promoting young children's development / by Carol S. Klass.</t>
        </is>
      </c>
      <c r="F2615" t="inlineStr">
        <is>
          <t>No</t>
        </is>
      </c>
      <c r="G2615" t="inlineStr">
        <is>
          <t>1</t>
        </is>
      </c>
      <c r="H2615" t="inlineStr">
        <is>
          <t>No</t>
        </is>
      </c>
      <c r="I2615" t="inlineStr">
        <is>
          <t>No</t>
        </is>
      </c>
      <c r="J2615" t="inlineStr">
        <is>
          <t>0</t>
        </is>
      </c>
      <c r="K2615" t="inlineStr">
        <is>
          <t>Klass, Carol Speekman.</t>
        </is>
      </c>
      <c r="L2615" t="inlineStr">
        <is>
          <t>Baltimore, Md. : Paul H. Brookes Pub. Co., c1999.</t>
        </is>
      </c>
      <c r="M2615" t="inlineStr">
        <is>
          <t>1999</t>
        </is>
      </c>
      <c r="O2615" t="inlineStr">
        <is>
          <t>eng</t>
        </is>
      </c>
      <c r="P2615" t="inlineStr">
        <is>
          <t>mdu</t>
        </is>
      </c>
      <c r="R2615" t="inlineStr">
        <is>
          <t xml:space="preserve">HQ </t>
        </is>
      </c>
      <c r="S2615" t="n">
        <v>5</v>
      </c>
      <c r="T2615" t="n">
        <v>5</v>
      </c>
      <c r="U2615" t="inlineStr">
        <is>
          <t>2008-10-22</t>
        </is>
      </c>
      <c r="V2615" t="inlineStr">
        <is>
          <t>2008-10-22</t>
        </is>
      </c>
      <c r="W2615" t="inlineStr">
        <is>
          <t>1999-09-28</t>
        </is>
      </c>
      <c r="X2615" t="inlineStr">
        <is>
          <t>1999-09-28</t>
        </is>
      </c>
      <c r="Y2615" t="n">
        <v>317</v>
      </c>
      <c r="Z2615" t="n">
        <v>278</v>
      </c>
      <c r="AA2615" t="n">
        <v>286</v>
      </c>
      <c r="AB2615" t="n">
        <v>4</v>
      </c>
      <c r="AC2615" t="n">
        <v>4</v>
      </c>
      <c r="AD2615" t="n">
        <v>7</v>
      </c>
      <c r="AE2615" t="n">
        <v>7</v>
      </c>
      <c r="AF2615" t="n">
        <v>1</v>
      </c>
      <c r="AG2615" t="n">
        <v>1</v>
      </c>
      <c r="AH2615" t="n">
        <v>1</v>
      </c>
      <c r="AI2615" t="n">
        <v>1</v>
      </c>
      <c r="AJ2615" t="n">
        <v>4</v>
      </c>
      <c r="AK2615" t="n">
        <v>4</v>
      </c>
      <c r="AL2615" t="n">
        <v>2</v>
      </c>
      <c r="AM2615" t="n">
        <v>2</v>
      </c>
      <c r="AN2615" t="n">
        <v>0</v>
      </c>
      <c r="AO2615" t="n">
        <v>0</v>
      </c>
      <c r="AP2615" t="inlineStr">
        <is>
          <t>No</t>
        </is>
      </c>
      <c r="AQ2615" t="inlineStr">
        <is>
          <t>Yes</t>
        </is>
      </c>
      <c r="AR2615">
        <f>HYPERLINK("http://catalog.hathitrust.org/Record/004120625","HathiTrust Record")</f>
        <v/>
      </c>
      <c r="AS2615">
        <f>HYPERLINK("https://creighton-primo.hosted.exlibrisgroup.com/primo-explore/search?tab=default_tab&amp;search_scope=EVERYTHING&amp;vid=01CRU&amp;lang=en_US&amp;offset=0&amp;query=any,contains,991003009319702656","Catalog Record")</f>
        <v/>
      </c>
      <c r="AT2615">
        <f>HYPERLINK("http://www.worldcat.org/oclc/40830187","WorldCat Record")</f>
        <v/>
      </c>
      <c r="AU2615" t="inlineStr">
        <is>
          <t>20657382:eng</t>
        </is>
      </c>
      <c r="AV2615" t="inlineStr">
        <is>
          <t>40830187</t>
        </is>
      </c>
      <c r="AW2615" t="inlineStr">
        <is>
          <t>991003009319702656</t>
        </is>
      </c>
      <c r="AX2615" t="inlineStr">
        <is>
          <t>991003009319702656</t>
        </is>
      </c>
      <c r="AY2615" t="inlineStr">
        <is>
          <t>2256034190002656</t>
        </is>
      </c>
      <c r="AZ2615" t="inlineStr">
        <is>
          <t>BOOK</t>
        </is>
      </c>
      <c r="BB2615" t="inlineStr">
        <is>
          <t>9781557663962</t>
        </is>
      </c>
      <c r="BC2615" t="inlineStr">
        <is>
          <t>32285003591202</t>
        </is>
      </c>
      <c r="BD2615" t="inlineStr">
        <is>
          <t>893899527</t>
        </is>
      </c>
    </row>
    <row r="2616">
      <c r="A2616" t="inlineStr">
        <is>
          <t>No</t>
        </is>
      </c>
      <c r="B2616" t="inlineStr">
        <is>
          <t>HQ778.63 .M37 2002</t>
        </is>
      </c>
      <c r="C2616" t="inlineStr">
        <is>
          <t>0                      HQ 0778630M  37          2002</t>
        </is>
      </c>
      <c r="D2616" t="inlineStr">
        <is>
          <t>Growing up in child care : a case for quality early education / Ben Mardell ; [foreword by Carlina Rinaldi].</t>
        </is>
      </c>
      <c r="F2616" t="inlineStr">
        <is>
          <t>No</t>
        </is>
      </c>
      <c r="G2616" t="inlineStr">
        <is>
          <t>1</t>
        </is>
      </c>
      <c r="H2616" t="inlineStr">
        <is>
          <t>No</t>
        </is>
      </c>
      <c r="I2616" t="inlineStr">
        <is>
          <t>No</t>
        </is>
      </c>
      <c r="J2616" t="inlineStr">
        <is>
          <t>0</t>
        </is>
      </c>
      <c r="K2616" t="inlineStr">
        <is>
          <t>Mardell, Ben.</t>
        </is>
      </c>
      <c r="L2616" t="inlineStr">
        <is>
          <t>Portsmouth, NH : Heinemann, c2002.</t>
        </is>
      </c>
      <c r="M2616" t="inlineStr">
        <is>
          <t>2002</t>
        </is>
      </c>
      <c r="O2616" t="inlineStr">
        <is>
          <t>eng</t>
        </is>
      </c>
      <c r="P2616" t="inlineStr">
        <is>
          <t>nhu</t>
        </is>
      </c>
      <c r="R2616" t="inlineStr">
        <is>
          <t xml:space="preserve">HQ </t>
        </is>
      </c>
      <c r="S2616" t="n">
        <v>2</v>
      </c>
      <c r="T2616" t="n">
        <v>2</v>
      </c>
      <c r="U2616" t="inlineStr">
        <is>
          <t>2009-09-20</t>
        </is>
      </c>
      <c r="V2616" t="inlineStr">
        <is>
          <t>2009-09-20</t>
        </is>
      </c>
      <c r="W2616" t="inlineStr">
        <is>
          <t>2003-07-24</t>
        </is>
      </c>
      <c r="X2616" t="inlineStr">
        <is>
          <t>2003-07-24</t>
        </is>
      </c>
      <c r="Y2616" t="n">
        <v>250</v>
      </c>
      <c r="Z2616" t="n">
        <v>230</v>
      </c>
      <c r="AA2616" t="n">
        <v>237</v>
      </c>
      <c r="AB2616" t="n">
        <v>4</v>
      </c>
      <c r="AC2616" t="n">
        <v>4</v>
      </c>
      <c r="AD2616" t="n">
        <v>13</v>
      </c>
      <c r="AE2616" t="n">
        <v>13</v>
      </c>
      <c r="AF2616" t="n">
        <v>3</v>
      </c>
      <c r="AG2616" t="n">
        <v>3</v>
      </c>
      <c r="AH2616" t="n">
        <v>4</v>
      </c>
      <c r="AI2616" t="n">
        <v>4</v>
      </c>
      <c r="AJ2616" t="n">
        <v>8</v>
      </c>
      <c r="AK2616" t="n">
        <v>8</v>
      </c>
      <c r="AL2616" t="n">
        <v>3</v>
      </c>
      <c r="AM2616" t="n">
        <v>3</v>
      </c>
      <c r="AN2616" t="n">
        <v>0</v>
      </c>
      <c r="AO2616" t="n">
        <v>0</v>
      </c>
      <c r="AP2616" t="inlineStr">
        <is>
          <t>No</t>
        </is>
      </c>
      <c r="AQ2616" t="inlineStr">
        <is>
          <t>No</t>
        </is>
      </c>
      <c r="AS2616">
        <f>HYPERLINK("https://creighton-primo.hosted.exlibrisgroup.com/primo-explore/search?tab=default_tab&amp;search_scope=EVERYTHING&amp;vid=01CRU&amp;lang=en_US&amp;offset=0&amp;query=any,contains,991004082279702656","Catalog Record")</f>
        <v/>
      </c>
      <c r="AT2616">
        <f>HYPERLINK("http://www.worldcat.org/oclc/49705109","WorldCat Record")</f>
        <v/>
      </c>
      <c r="AU2616" t="inlineStr">
        <is>
          <t>1005202:eng</t>
        </is>
      </c>
      <c r="AV2616" t="inlineStr">
        <is>
          <t>49705109</t>
        </is>
      </c>
      <c r="AW2616" t="inlineStr">
        <is>
          <t>991004082279702656</t>
        </is>
      </c>
      <c r="AX2616" t="inlineStr">
        <is>
          <t>991004082279702656</t>
        </is>
      </c>
      <c r="AY2616" t="inlineStr">
        <is>
          <t>2272191930002656</t>
        </is>
      </c>
      <c r="AZ2616" t="inlineStr">
        <is>
          <t>BOOK</t>
        </is>
      </c>
      <c r="BB2616" t="inlineStr">
        <is>
          <t>9780325004242</t>
        </is>
      </c>
      <c r="BC2616" t="inlineStr">
        <is>
          <t>32285004757257</t>
        </is>
      </c>
      <c r="BD2616" t="inlineStr">
        <is>
          <t>893775593</t>
        </is>
      </c>
    </row>
    <row r="2617">
      <c r="A2617" t="inlineStr">
        <is>
          <t>No</t>
        </is>
      </c>
      <c r="B2617" t="inlineStr">
        <is>
          <t>HQ778.63 .P65 2007</t>
        </is>
      </c>
      <c r="C2617" t="inlineStr">
        <is>
          <t>0                      HQ 0778630P  65          2007</t>
        </is>
      </c>
      <c r="D2617" t="inlineStr">
        <is>
          <t>Who cares for our children? : the child care crisis in the other America / Valerie Polakow ; foreword by Barbara Ehrenreich.</t>
        </is>
      </c>
      <c r="F2617" t="inlineStr">
        <is>
          <t>No</t>
        </is>
      </c>
      <c r="G2617" t="inlineStr">
        <is>
          <t>1</t>
        </is>
      </c>
      <c r="H2617" t="inlineStr">
        <is>
          <t>No</t>
        </is>
      </c>
      <c r="I2617" t="inlineStr">
        <is>
          <t>No</t>
        </is>
      </c>
      <c r="J2617" t="inlineStr">
        <is>
          <t>0</t>
        </is>
      </c>
      <c r="K2617" t="inlineStr">
        <is>
          <t>Polakow, Valerie.</t>
        </is>
      </c>
      <c r="L2617" t="inlineStr">
        <is>
          <t>New York : Teachers College Press, c2007.</t>
        </is>
      </c>
      <c r="M2617" t="inlineStr">
        <is>
          <t>2007</t>
        </is>
      </c>
      <c r="O2617" t="inlineStr">
        <is>
          <t>eng</t>
        </is>
      </c>
      <c r="P2617" t="inlineStr">
        <is>
          <t>nyu</t>
        </is>
      </c>
      <c r="R2617" t="inlineStr">
        <is>
          <t xml:space="preserve">HQ </t>
        </is>
      </c>
      <c r="S2617" t="n">
        <v>4</v>
      </c>
      <c r="T2617" t="n">
        <v>4</v>
      </c>
      <c r="U2617" t="inlineStr">
        <is>
          <t>2009-09-20</t>
        </is>
      </c>
      <c r="V2617" t="inlineStr">
        <is>
          <t>2009-09-20</t>
        </is>
      </c>
      <c r="W2617" t="inlineStr">
        <is>
          <t>2007-10-25</t>
        </is>
      </c>
      <c r="X2617" t="inlineStr">
        <is>
          <t>2007-10-25</t>
        </is>
      </c>
      <c r="Y2617" t="n">
        <v>538</v>
      </c>
      <c r="Z2617" t="n">
        <v>500</v>
      </c>
      <c r="AA2617" t="n">
        <v>521</v>
      </c>
      <c r="AB2617" t="n">
        <v>4</v>
      </c>
      <c r="AC2617" t="n">
        <v>4</v>
      </c>
      <c r="AD2617" t="n">
        <v>20</v>
      </c>
      <c r="AE2617" t="n">
        <v>21</v>
      </c>
      <c r="AF2617" t="n">
        <v>8</v>
      </c>
      <c r="AG2617" t="n">
        <v>9</v>
      </c>
      <c r="AH2617" t="n">
        <v>3</v>
      </c>
      <c r="AI2617" t="n">
        <v>4</v>
      </c>
      <c r="AJ2617" t="n">
        <v>11</v>
      </c>
      <c r="AK2617" t="n">
        <v>11</v>
      </c>
      <c r="AL2617" t="n">
        <v>3</v>
      </c>
      <c r="AM2617" t="n">
        <v>3</v>
      </c>
      <c r="AN2617" t="n">
        <v>0</v>
      </c>
      <c r="AO2617" t="n">
        <v>0</v>
      </c>
      <c r="AP2617" t="inlineStr">
        <is>
          <t>No</t>
        </is>
      </c>
      <c r="AQ2617" t="inlineStr">
        <is>
          <t>Yes</t>
        </is>
      </c>
      <c r="AR2617">
        <f>HYPERLINK("http://catalog.hathitrust.org/Record/005551470","HathiTrust Record")</f>
        <v/>
      </c>
      <c r="AS2617">
        <f>HYPERLINK("https://creighton-primo.hosted.exlibrisgroup.com/primo-explore/search?tab=default_tab&amp;search_scope=EVERYTHING&amp;vid=01CRU&amp;lang=en_US&amp;offset=0&amp;query=any,contains,991005122489702656","Catalog Record")</f>
        <v/>
      </c>
      <c r="AT2617">
        <f>HYPERLINK("http://www.worldcat.org/oclc/76786703","WorldCat Record")</f>
        <v/>
      </c>
      <c r="AU2617" t="inlineStr">
        <is>
          <t>369743380:eng</t>
        </is>
      </c>
      <c r="AV2617" t="inlineStr">
        <is>
          <t>76786703</t>
        </is>
      </c>
      <c r="AW2617" t="inlineStr">
        <is>
          <t>991005122489702656</t>
        </is>
      </c>
      <c r="AX2617" t="inlineStr">
        <is>
          <t>991005122489702656</t>
        </is>
      </c>
      <c r="AY2617" t="inlineStr">
        <is>
          <t>2263994010002656</t>
        </is>
      </c>
      <c r="AZ2617" t="inlineStr">
        <is>
          <t>BOOK</t>
        </is>
      </c>
      <c r="BB2617" t="inlineStr">
        <is>
          <t>9780807747742</t>
        </is>
      </c>
      <c r="BC2617" t="inlineStr">
        <is>
          <t>32285005361307</t>
        </is>
      </c>
      <c r="BD2617" t="inlineStr">
        <is>
          <t>893707295</t>
        </is>
      </c>
    </row>
    <row r="2618">
      <c r="A2618" t="inlineStr">
        <is>
          <t>No</t>
        </is>
      </c>
      <c r="B2618" t="inlineStr">
        <is>
          <t>HQ778.63 .S54 2001</t>
        </is>
      </c>
      <c r="C2618" t="inlineStr">
        <is>
          <t>0                      HQ 0778630S  54          2001</t>
        </is>
      </c>
      <c r="D2618" t="inlineStr">
        <is>
          <t>What's wrong with day care : freeing parents to raise their own children / Charles Siegel.</t>
        </is>
      </c>
      <c r="F2618" t="inlineStr">
        <is>
          <t>No</t>
        </is>
      </c>
      <c r="G2618" t="inlineStr">
        <is>
          <t>1</t>
        </is>
      </c>
      <c r="H2618" t="inlineStr">
        <is>
          <t>No</t>
        </is>
      </c>
      <c r="I2618" t="inlineStr">
        <is>
          <t>No</t>
        </is>
      </c>
      <c r="J2618" t="inlineStr">
        <is>
          <t>0</t>
        </is>
      </c>
      <c r="K2618" t="inlineStr">
        <is>
          <t>Siegel, Charles.</t>
        </is>
      </c>
      <c r="L2618" t="inlineStr">
        <is>
          <t>New York: Teachers College Press, c2001.</t>
        </is>
      </c>
      <c r="M2618" t="inlineStr">
        <is>
          <t>2001</t>
        </is>
      </c>
      <c r="O2618" t="inlineStr">
        <is>
          <t>eng</t>
        </is>
      </c>
      <c r="P2618" t="inlineStr">
        <is>
          <t>nyu</t>
        </is>
      </c>
      <c r="R2618" t="inlineStr">
        <is>
          <t xml:space="preserve">HQ </t>
        </is>
      </c>
      <c r="S2618" t="n">
        <v>5</v>
      </c>
      <c r="T2618" t="n">
        <v>5</v>
      </c>
      <c r="U2618" t="inlineStr">
        <is>
          <t>2009-09-26</t>
        </is>
      </c>
      <c r="V2618" t="inlineStr">
        <is>
          <t>2009-09-26</t>
        </is>
      </c>
      <c r="W2618" t="inlineStr">
        <is>
          <t>2001-05-02</t>
        </is>
      </c>
      <c r="X2618" t="inlineStr">
        <is>
          <t>2001-05-02</t>
        </is>
      </c>
      <c r="Y2618" t="n">
        <v>487</v>
      </c>
      <c r="Z2618" t="n">
        <v>453</v>
      </c>
      <c r="AA2618" t="n">
        <v>851</v>
      </c>
      <c r="AB2618" t="n">
        <v>2</v>
      </c>
      <c r="AC2618" t="n">
        <v>26</v>
      </c>
      <c r="AD2618" t="n">
        <v>16</v>
      </c>
      <c r="AE2618" t="n">
        <v>32</v>
      </c>
      <c r="AF2618" t="n">
        <v>6</v>
      </c>
      <c r="AG2618" t="n">
        <v>9</v>
      </c>
      <c r="AH2618" t="n">
        <v>4</v>
      </c>
      <c r="AI2618" t="n">
        <v>6</v>
      </c>
      <c r="AJ2618" t="n">
        <v>9</v>
      </c>
      <c r="AK2618" t="n">
        <v>13</v>
      </c>
      <c r="AL2618" t="n">
        <v>1</v>
      </c>
      <c r="AM2618" t="n">
        <v>11</v>
      </c>
      <c r="AN2618" t="n">
        <v>0</v>
      </c>
      <c r="AO2618" t="n">
        <v>0</v>
      </c>
      <c r="AP2618" t="inlineStr">
        <is>
          <t>No</t>
        </is>
      </c>
      <c r="AQ2618" t="inlineStr">
        <is>
          <t>No</t>
        </is>
      </c>
      <c r="AS2618">
        <f>HYPERLINK("https://creighton-primo.hosted.exlibrisgroup.com/primo-explore/search?tab=default_tab&amp;search_scope=EVERYTHING&amp;vid=01CRU&amp;lang=en_US&amp;offset=0&amp;query=any,contains,991003493689702656","Catalog Record")</f>
        <v/>
      </c>
      <c r="AT2618">
        <f>HYPERLINK("http://www.worldcat.org/oclc/44427091","WorldCat Record")</f>
        <v/>
      </c>
      <c r="AU2618" t="inlineStr">
        <is>
          <t>9693671:eng</t>
        </is>
      </c>
      <c r="AV2618" t="inlineStr">
        <is>
          <t>44427091</t>
        </is>
      </c>
      <c r="AW2618" t="inlineStr">
        <is>
          <t>991003493689702656</t>
        </is>
      </c>
      <c r="AX2618" t="inlineStr">
        <is>
          <t>991003493689702656</t>
        </is>
      </c>
      <c r="AY2618" t="inlineStr">
        <is>
          <t>2257654090002656</t>
        </is>
      </c>
      <c r="AZ2618" t="inlineStr">
        <is>
          <t>BOOK</t>
        </is>
      </c>
      <c r="BB2618" t="inlineStr">
        <is>
          <t>9780807739815</t>
        </is>
      </c>
      <c r="BC2618" t="inlineStr">
        <is>
          <t>32285004315650</t>
        </is>
      </c>
      <c r="BD2618" t="inlineStr">
        <is>
          <t>893435047</t>
        </is>
      </c>
    </row>
    <row r="2619">
      <c r="A2619" t="inlineStr">
        <is>
          <t>No</t>
        </is>
      </c>
      <c r="B2619" t="inlineStr">
        <is>
          <t>HQ778.63 .S763 2002</t>
        </is>
      </c>
      <c r="C2619" t="inlineStr">
        <is>
          <t>0                      HQ 0778630S  763         2002</t>
        </is>
      </c>
      <c r="D2619" t="inlineStr">
        <is>
          <t>Investing in our future : a guide to child care financing / by Louise Stoney, Scott Groginsky, Julie Poppe.</t>
        </is>
      </c>
      <c r="F2619" t="inlineStr">
        <is>
          <t>No</t>
        </is>
      </c>
      <c r="G2619" t="inlineStr">
        <is>
          <t>1</t>
        </is>
      </c>
      <c r="H2619" t="inlineStr">
        <is>
          <t>No</t>
        </is>
      </c>
      <c r="I2619" t="inlineStr">
        <is>
          <t>No</t>
        </is>
      </c>
      <c r="J2619" t="inlineStr">
        <is>
          <t>0</t>
        </is>
      </c>
      <c r="K2619" t="inlineStr">
        <is>
          <t>Stoney, Louise.</t>
        </is>
      </c>
      <c r="L2619" t="inlineStr">
        <is>
          <t>Denver, Colo. : National Conference of State Legislatures, c2002.</t>
        </is>
      </c>
      <c r="M2619" t="inlineStr">
        <is>
          <t>2002</t>
        </is>
      </c>
      <c r="O2619" t="inlineStr">
        <is>
          <t>eng</t>
        </is>
      </c>
      <c r="P2619" t="inlineStr">
        <is>
          <t>cou</t>
        </is>
      </c>
      <c r="R2619" t="inlineStr">
        <is>
          <t xml:space="preserve">HQ </t>
        </is>
      </c>
      <c r="S2619" t="n">
        <v>1</v>
      </c>
      <c r="T2619" t="n">
        <v>1</v>
      </c>
      <c r="U2619" t="inlineStr">
        <is>
          <t>2004-02-04</t>
        </is>
      </c>
      <c r="V2619" t="inlineStr">
        <is>
          <t>2004-02-04</t>
        </is>
      </c>
      <c r="W2619" t="inlineStr">
        <is>
          <t>2004-02-04</t>
        </is>
      </c>
      <c r="X2619" t="inlineStr">
        <is>
          <t>2004-02-04</t>
        </is>
      </c>
      <c r="Y2619" t="n">
        <v>39</v>
      </c>
      <c r="Z2619" t="n">
        <v>38</v>
      </c>
      <c r="AA2619" t="n">
        <v>41</v>
      </c>
      <c r="AB2619" t="n">
        <v>1</v>
      </c>
      <c r="AC2619" t="n">
        <v>1</v>
      </c>
      <c r="AD2619" t="n">
        <v>1</v>
      </c>
      <c r="AE2619" t="n">
        <v>1</v>
      </c>
      <c r="AF2619" t="n">
        <v>1</v>
      </c>
      <c r="AG2619" t="n">
        <v>1</v>
      </c>
      <c r="AH2619" t="n">
        <v>0</v>
      </c>
      <c r="AI2619" t="n">
        <v>0</v>
      </c>
      <c r="AJ2619" t="n">
        <v>1</v>
      </c>
      <c r="AK2619" t="n">
        <v>1</v>
      </c>
      <c r="AL2619" t="n">
        <v>0</v>
      </c>
      <c r="AM2619" t="n">
        <v>0</v>
      </c>
      <c r="AN2619" t="n">
        <v>0</v>
      </c>
      <c r="AO2619" t="n">
        <v>0</v>
      </c>
      <c r="AP2619" t="inlineStr">
        <is>
          <t>No</t>
        </is>
      </c>
      <c r="AQ2619" t="inlineStr">
        <is>
          <t>No</t>
        </is>
      </c>
      <c r="AS2619">
        <f>HYPERLINK("https://creighton-primo.hosted.exlibrisgroup.com/primo-explore/search?tab=default_tab&amp;search_scope=EVERYTHING&amp;vid=01CRU&amp;lang=en_US&amp;offset=0&amp;query=any,contains,991004224799702656","Catalog Record")</f>
        <v/>
      </c>
      <c r="AT2619">
        <f>HYPERLINK("http://www.worldcat.org/oclc/50158294","WorldCat Record")</f>
        <v/>
      </c>
      <c r="AU2619" t="inlineStr">
        <is>
          <t>6040745:eng</t>
        </is>
      </c>
      <c r="AV2619" t="inlineStr">
        <is>
          <t>50158294</t>
        </is>
      </c>
      <c r="AW2619" t="inlineStr">
        <is>
          <t>991004224799702656</t>
        </is>
      </c>
      <c r="AX2619" t="inlineStr">
        <is>
          <t>991004224799702656</t>
        </is>
      </c>
      <c r="AY2619" t="inlineStr">
        <is>
          <t>2257529960002656</t>
        </is>
      </c>
      <c r="AZ2619" t="inlineStr">
        <is>
          <t>BOOK</t>
        </is>
      </c>
      <c r="BB2619" t="inlineStr">
        <is>
          <t>9781580242349</t>
        </is>
      </c>
      <c r="BC2619" t="inlineStr">
        <is>
          <t>32285004637442</t>
        </is>
      </c>
      <c r="BD2619" t="inlineStr">
        <is>
          <t>893525821</t>
        </is>
      </c>
    </row>
    <row r="2620">
      <c r="A2620" t="inlineStr">
        <is>
          <t>No</t>
        </is>
      </c>
      <c r="B2620" t="inlineStr">
        <is>
          <t>HQ778.63 .U77 2002</t>
        </is>
      </c>
      <c r="C2620" t="inlineStr">
        <is>
          <t>0                      HQ 0778630U  77          2002</t>
        </is>
      </c>
      <c r="D2620" t="inlineStr">
        <is>
          <t>Making care work : employed mothers in the new childcare market / Lynet Uttal.</t>
        </is>
      </c>
      <c r="F2620" t="inlineStr">
        <is>
          <t>No</t>
        </is>
      </c>
      <c r="G2620" t="inlineStr">
        <is>
          <t>1</t>
        </is>
      </c>
      <c r="H2620" t="inlineStr">
        <is>
          <t>No</t>
        </is>
      </c>
      <c r="I2620" t="inlineStr">
        <is>
          <t>No</t>
        </is>
      </c>
      <c r="J2620" t="inlineStr">
        <is>
          <t>0</t>
        </is>
      </c>
      <c r="K2620" t="inlineStr">
        <is>
          <t>Uttal, Lynet, 1959-</t>
        </is>
      </c>
      <c r="L2620" t="inlineStr">
        <is>
          <t>New Brunswick : Rutgers University Press, c2002.</t>
        </is>
      </c>
      <c r="M2620" t="inlineStr">
        <is>
          <t>2002</t>
        </is>
      </c>
      <c r="O2620" t="inlineStr">
        <is>
          <t>eng</t>
        </is>
      </c>
      <c r="P2620" t="inlineStr">
        <is>
          <t>nju</t>
        </is>
      </c>
      <c r="R2620" t="inlineStr">
        <is>
          <t xml:space="preserve">HQ </t>
        </is>
      </c>
      <c r="S2620" t="n">
        <v>2</v>
      </c>
      <c r="T2620" t="n">
        <v>2</v>
      </c>
      <c r="U2620" t="inlineStr">
        <is>
          <t>2007-04-20</t>
        </is>
      </c>
      <c r="V2620" t="inlineStr">
        <is>
          <t>2007-04-20</t>
        </is>
      </c>
      <c r="W2620" t="inlineStr">
        <is>
          <t>2002-09-17</t>
        </is>
      </c>
      <c r="X2620" t="inlineStr">
        <is>
          <t>2002-09-17</t>
        </is>
      </c>
      <c r="Y2620" t="n">
        <v>362</v>
      </c>
      <c r="Z2620" t="n">
        <v>309</v>
      </c>
      <c r="AA2620" t="n">
        <v>310</v>
      </c>
      <c r="AB2620" t="n">
        <v>2</v>
      </c>
      <c r="AC2620" t="n">
        <v>2</v>
      </c>
      <c r="AD2620" t="n">
        <v>10</v>
      </c>
      <c r="AE2620" t="n">
        <v>10</v>
      </c>
      <c r="AF2620" t="n">
        <v>3</v>
      </c>
      <c r="AG2620" t="n">
        <v>3</v>
      </c>
      <c r="AH2620" t="n">
        <v>3</v>
      </c>
      <c r="AI2620" t="n">
        <v>3</v>
      </c>
      <c r="AJ2620" t="n">
        <v>5</v>
      </c>
      <c r="AK2620" t="n">
        <v>5</v>
      </c>
      <c r="AL2620" t="n">
        <v>1</v>
      </c>
      <c r="AM2620" t="n">
        <v>1</v>
      </c>
      <c r="AN2620" t="n">
        <v>0</v>
      </c>
      <c r="AO2620" t="n">
        <v>0</v>
      </c>
      <c r="AP2620" t="inlineStr">
        <is>
          <t>No</t>
        </is>
      </c>
      <c r="AQ2620" t="inlineStr">
        <is>
          <t>No</t>
        </is>
      </c>
      <c r="AS2620">
        <f>HYPERLINK("https://creighton-primo.hosted.exlibrisgroup.com/primo-explore/search?tab=default_tab&amp;search_scope=EVERYTHING&amp;vid=01CRU&amp;lang=en_US&amp;offset=0&amp;query=any,contains,991003868699702656","Catalog Record")</f>
        <v/>
      </c>
      <c r="AT2620">
        <f>HYPERLINK("http://www.worldcat.org/oclc/48508043","WorldCat Record")</f>
        <v/>
      </c>
      <c r="AU2620" t="inlineStr">
        <is>
          <t>37151679:eng</t>
        </is>
      </c>
      <c r="AV2620" t="inlineStr">
        <is>
          <t>48508043</t>
        </is>
      </c>
      <c r="AW2620" t="inlineStr">
        <is>
          <t>991003868699702656</t>
        </is>
      </c>
      <c r="AX2620" t="inlineStr">
        <is>
          <t>991003868699702656</t>
        </is>
      </c>
      <c r="AY2620" t="inlineStr">
        <is>
          <t>2267673140002656</t>
        </is>
      </c>
      <c r="AZ2620" t="inlineStr">
        <is>
          <t>BOOK</t>
        </is>
      </c>
      <c r="BB2620" t="inlineStr">
        <is>
          <t>9780813531106</t>
        </is>
      </c>
      <c r="BC2620" t="inlineStr">
        <is>
          <t>32285004647789</t>
        </is>
      </c>
      <c r="BD2620" t="inlineStr">
        <is>
          <t>893775303</t>
        </is>
      </c>
    </row>
    <row r="2621">
      <c r="A2621" t="inlineStr">
        <is>
          <t>No</t>
        </is>
      </c>
      <c r="B2621" t="inlineStr">
        <is>
          <t>HQ778.7.U6 A94 1988</t>
        </is>
      </c>
      <c r="C2621" t="inlineStr">
        <is>
          <t>0                      HQ 0778700U  6                  A  94          1988</t>
        </is>
      </c>
      <c r="D2621" t="inlineStr">
        <is>
          <t>In the business of child care : employer initiatives and working women / Judith D. Auerbach.</t>
        </is>
      </c>
      <c r="F2621" t="inlineStr">
        <is>
          <t>No</t>
        </is>
      </c>
      <c r="G2621" t="inlineStr">
        <is>
          <t>1</t>
        </is>
      </c>
      <c r="H2621" t="inlineStr">
        <is>
          <t>No</t>
        </is>
      </c>
      <c r="I2621" t="inlineStr">
        <is>
          <t>No</t>
        </is>
      </c>
      <c r="J2621" t="inlineStr">
        <is>
          <t>0</t>
        </is>
      </c>
      <c r="K2621" t="inlineStr">
        <is>
          <t>Auerbach, Judith D.</t>
        </is>
      </c>
      <c r="L2621" t="inlineStr">
        <is>
          <t>New York : Praeger, 1988.</t>
        </is>
      </c>
      <c r="M2621" t="inlineStr">
        <is>
          <t>1988</t>
        </is>
      </c>
      <c r="O2621" t="inlineStr">
        <is>
          <t>eng</t>
        </is>
      </c>
      <c r="P2621" t="inlineStr">
        <is>
          <t>nyu</t>
        </is>
      </c>
      <c r="R2621" t="inlineStr">
        <is>
          <t xml:space="preserve">HQ </t>
        </is>
      </c>
      <c r="S2621" t="n">
        <v>18</v>
      </c>
      <c r="T2621" t="n">
        <v>18</v>
      </c>
      <c r="U2621" t="inlineStr">
        <is>
          <t>1998-11-24</t>
        </is>
      </c>
      <c r="V2621" t="inlineStr">
        <is>
          <t>1998-11-24</t>
        </is>
      </c>
      <c r="W2621" t="inlineStr">
        <is>
          <t>1990-02-14</t>
        </is>
      </c>
      <c r="X2621" t="inlineStr">
        <is>
          <t>1990-02-14</t>
        </is>
      </c>
      <c r="Y2621" t="n">
        <v>578</v>
      </c>
      <c r="Z2621" t="n">
        <v>511</v>
      </c>
      <c r="AA2621" t="n">
        <v>528</v>
      </c>
      <c r="AB2621" t="n">
        <v>5</v>
      </c>
      <c r="AC2621" t="n">
        <v>5</v>
      </c>
      <c r="AD2621" t="n">
        <v>21</v>
      </c>
      <c r="AE2621" t="n">
        <v>23</v>
      </c>
      <c r="AF2621" t="n">
        <v>7</v>
      </c>
      <c r="AG2621" t="n">
        <v>8</v>
      </c>
      <c r="AH2621" t="n">
        <v>7</v>
      </c>
      <c r="AI2621" t="n">
        <v>8</v>
      </c>
      <c r="AJ2621" t="n">
        <v>9</v>
      </c>
      <c r="AK2621" t="n">
        <v>9</v>
      </c>
      <c r="AL2621" t="n">
        <v>4</v>
      </c>
      <c r="AM2621" t="n">
        <v>4</v>
      </c>
      <c r="AN2621" t="n">
        <v>0</v>
      </c>
      <c r="AO2621" t="n">
        <v>0</v>
      </c>
      <c r="AP2621" t="inlineStr">
        <is>
          <t>No</t>
        </is>
      </c>
      <c r="AQ2621" t="inlineStr">
        <is>
          <t>Yes</t>
        </is>
      </c>
      <c r="AR2621">
        <f>HYPERLINK("http://catalog.hathitrust.org/Record/000921764","HathiTrust Record")</f>
        <v/>
      </c>
      <c r="AS2621">
        <f>HYPERLINK("https://creighton-primo.hosted.exlibrisgroup.com/primo-explore/search?tab=default_tab&amp;search_scope=EVERYTHING&amp;vid=01CRU&amp;lang=en_US&amp;offset=0&amp;query=any,contains,991001152729702656","Catalog Record")</f>
        <v/>
      </c>
      <c r="AT2621">
        <f>HYPERLINK("http://www.worldcat.org/oclc/16830803","WorldCat Record")</f>
        <v/>
      </c>
      <c r="AU2621" t="inlineStr">
        <is>
          <t>2564399:eng</t>
        </is>
      </c>
      <c r="AV2621" t="inlineStr">
        <is>
          <t>16830803</t>
        </is>
      </c>
      <c r="AW2621" t="inlineStr">
        <is>
          <t>991001152729702656</t>
        </is>
      </c>
      <c r="AX2621" t="inlineStr">
        <is>
          <t>991001152729702656</t>
        </is>
      </c>
      <c r="AY2621" t="inlineStr">
        <is>
          <t>2255089490002656</t>
        </is>
      </c>
      <c r="AZ2621" t="inlineStr">
        <is>
          <t>BOOK</t>
        </is>
      </c>
      <c r="BB2621" t="inlineStr">
        <is>
          <t>9780275928582</t>
        </is>
      </c>
      <c r="BC2621" t="inlineStr">
        <is>
          <t>32285000053339</t>
        </is>
      </c>
      <c r="BD2621" t="inlineStr">
        <is>
          <t>893503139</t>
        </is>
      </c>
    </row>
    <row r="2622">
      <c r="A2622" t="inlineStr">
        <is>
          <t>No</t>
        </is>
      </c>
      <c r="B2622" t="inlineStr">
        <is>
          <t>HQ778.7.U6 B76 1990</t>
        </is>
      </c>
      <c r="C2622" t="inlineStr">
        <is>
          <t>0                      HQ 0778700U  6                  B  76          1990</t>
        </is>
      </c>
      <c r="D2622" t="inlineStr">
        <is>
          <t>The day care dilemma : critical concerns for American families / Angela Browne Miller.</t>
        </is>
      </c>
      <c r="F2622" t="inlineStr">
        <is>
          <t>No</t>
        </is>
      </c>
      <c r="G2622" t="inlineStr">
        <is>
          <t>1</t>
        </is>
      </c>
      <c r="H2622" t="inlineStr">
        <is>
          <t>No</t>
        </is>
      </c>
      <c r="I2622" t="inlineStr">
        <is>
          <t>No</t>
        </is>
      </c>
      <c r="J2622" t="inlineStr">
        <is>
          <t>0</t>
        </is>
      </c>
      <c r="K2622" t="inlineStr">
        <is>
          <t>Browne Miller, Angela, 1952-</t>
        </is>
      </c>
      <c r="L2622" t="inlineStr">
        <is>
          <t>New York : Insight Books, c1990.</t>
        </is>
      </c>
      <c r="M2622" t="inlineStr">
        <is>
          <t>1990</t>
        </is>
      </c>
      <c r="O2622" t="inlineStr">
        <is>
          <t>eng</t>
        </is>
      </c>
      <c r="P2622" t="inlineStr">
        <is>
          <t>nyu</t>
        </is>
      </c>
      <c r="R2622" t="inlineStr">
        <is>
          <t xml:space="preserve">HQ </t>
        </is>
      </c>
      <c r="S2622" t="n">
        <v>55</v>
      </c>
      <c r="T2622" t="n">
        <v>55</v>
      </c>
      <c r="U2622" t="inlineStr">
        <is>
          <t>2008-10-21</t>
        </is>
      </c>
      <c r="V2622" t="inlineStr">
        <is>
          <t>2008-10-21</t>
        </is>
      </c>
      <c r="W2622" t="inlineStr">
        <is>
          <t>1990-10-17</t>
        </is>
      </c>
      <c r="X2622" t="inlineStr">
        <is>
          <t>1990-10-17</t>
        </is>
      </c>
      <c r="Y2622" t="n">
        <v>844</v>
      </c>
      <c r="Z2622" t="n">
        <v>782</v>
      </c>
      <c r="AA2622" t="n">
        <v>810</v>
      </c>
      <c r="AB2622" t="n">
        <v>6</v>
      </c>
      <c r="AC2622" t="n">
        <v>6</v>
      </c>
      <c r="AD2622" t="n">
        <v>29</v>
      </c>
      <c r="AE2622" t="n">
        <v>29</v>
      </c>
      <c r="AF2622" t="n">
        <v>10</v>
      </c>
      <c r="AG2622" t="n">
        <v>10</v>
      </c>
      <c r="AH2622" t="n">
        <v>7</v>
      </c>
      <c r="AI2622" t="n">
        <v>7</v>
      </c>
      <c r="AJ2622" t="n">
        <v>13</v>
      </c>
      <c r="AK2622" t="n">
        <v>13</v>
      </c>
      <c r="AL2622" t="n">
        <v>5</v>
      </c>
      <c r="AM2622" t="n">
        <v>5</v>
      </c>
      <c r="AN2622" t="n">
        <v>0</v>
      </c>
      <c r="AO2622" t="n">
        <v>0</v>
      </c>
      <c r="AP2622" t="inlineStr">
        <is>
          <t>No</t>
        </is>
      </c>
      <c r="AQ2622" t="inlineStr">
        <is>
          <t>Yes</t>
        </is>
      </c>
      <c r="AR2622">
        <f>HYPERLINK("http://catalog.hathitrust.org/Record/004504417","HathiTrust Record")</f>
        <v/>
      </c>
      <c r="AS2622">
        <f>HYPERLINK("https://creighton-primo.hosted.exlibrisgroup.com/primo-explore/search?tab=default_tab&amp;search_scope=EVERYTHING&amp;vid=01CRU&amp;lang=en_US&amp;offset=0&amp;query=any,contains,991001610639702656","Catalog Record")</f>
        <v/>
      </c>
      <c r="AT2622">
        <f>HYPERLINK("http://www.worldcat.org/oclc/20724263","WorldCat Record")</f>
        <v/>
      </c>
      <c r="AU2622" t="inlineStr">
        <is>
          <t>198842460:eng</t>
        </is>
      </c>
      <c r="AV2622" t="inlineStr">
        <is>
          <t>20724263</t>
        </is>
      </c>
      <c r="AW2622" t="inlineStr">
        <is>
          <t>991001610639702656</t>
        </is>
      </c>
      <c r="AX2622" t="inlineStr">
        <is>
          <t>991001610639702656</t>
        </is>
      </c>
      <c r="AY2622" t="inlineStr">
        <is>
          <t>2271693460002656</t>
        </is>
      </c>
      <c r="AZ2622" t="inlineStr">
        <is>
          <t>BOOK</t>
        </is>
      </c>
      <c r="BB2622" t="inlineStr">
        <is>
          <t>9780306434358</t>
        </is>
      </c>
      <c r="BC2622" t="inlineStr">
        <is>
          <t>32285000311315</t>
        </is>
      </c>
      <c r="BD2622" t="inlineStr">
        <is>
          <t>893684427</t>
        </is>
      </c>
    </row>
    <row r="2623">
      <c r="A2623" t="inlineStr">
        <is>
          <t>No</t>
        </is>
      </c>
      <c r="B2623" t="inlineStr">
        <is>
          <t>HQ778.7.U6 C37 1989</t>
        </is>
      </c>
      <c r="C2623" t="inlineStr">
        <is>
          <t>0                      HQ 0778700U  6                  C  37          1989</t>
        </is>
      </c>
      <c r="D2623" t="inlineStr">
        <is>
          <t>Caring for children : challenge to America / edited by Jeffrey S. Lande, Sandra Scarr, Nina Gunzenhauser.</t>
        </is>
      </c>
      <c r="F2623" t="inlineStr">
        <is>
          <t>No</t>
        </is>
      </c>
      <c r="G2623" t="inlineStr">
        <is>
          <t>1</t>
        </is>
      </c>
      <c r="H2623" t="inlineStr">
        <is>
          <t>No</t>
        </is>
      </c>
      <c r="I2623" t="inlineStr">
        <is>
          <t>No</t>
        </is>
      </c>
      <c r="J2623" t="inlineStr">
        <is>
          <t>0</t>
        </is>
      </c>
      <c r="L2623" t="inlineStr">
        <is>
          <t>Hillsdale, N.J. : L. Erlbaum Associates, 1989.</t>
        </is>
      </c>
      <c r="M2623" t="inlineStr">
        <is>
          <t>1989</t>
        </is>
      </c>
      <c r="O2623" t="inlineStr">
        <is>
          <t>eng</t>
        </is>
      </c>
      <c r="P2623" t="inlineStr">
        <is>
          <t>nju</t>
        </is>
      </c>
      <c r="R2623" t="inlineStr">
        <is>
          <t xml:space="preserve">HQ </t>
        </is>
      </c>
      <c r="S2623" t="n">
        <v>28</v>
      </c>
      <c r="T2623" t="n">
        <v>28</v>
      </c>
      <c r="U2623" t="inlineStr">
        <is>
          <t>2000-05-01</t>
        </is>
      </c>
      <c r="V2623" t="inlineStr">
        <is>
          <t>2000-05-01</t>
        </is>
      </c>
      <c r="W2623" t="inlineStr">
        <is>
          <t>1990-02-14</t>
        </is>
      </c>
      <c r="X2623" t="inlineStr">
        <is>
          <t>1990-02-14</t>
        </is>
      </c>
      <c r="Y2623" t="n">
        <v>291</v>
      </c>
      <c r="Z2623" t="n">
        <v>248</v>
      </c>
      <c r="AA2623" t="n">
        <v>269</v>
      </c>
      <c r="AB2623" t="n">
        <v>3</v>
      </c>
      <c r="AC2623" t="n">
        <v>3</v>
      </c>
      <c r="AD2623" t="n">
        <v>12</v>
      </c>
      <c r="AE2623" t="n">
        <v>12</v>
      </c>
      <c r="AF2623" t="n">
        <v>2</v>
      </c>
      <c r="AG2623" t="n">
        <v>2</v>
      </c>
      <c r="AH2623" t="n">
        <v>4</v>
      </c>
      <c r="AI2623" t="n">
        <v>4</v>
      </c>
      <c r="AJ2623" t="n">
        <v>8</v>
      </c>
      <c r="AK2623" t="n">
        <v>8</v>
      </c>
      <c r="AL2623" t="n">
        <v>2</v>
      </c>
      <c r="AM2623" t="n">
        <v>2</v>
      </c>
      <c r="AN2623" t="n">
        <v>0</v>
      </c>
      <c r="AO2623" t="n">
        <v>0</v>
      </c>
      <c r="AP2623" t="inlineStr">
        <is>
          <t>No</t>
        </is>
      </c>
      <c r="AQ2623" t="inlineStr">
        <is>
          <t>No</t>
        </is>
      </c>
      <c r="AS2623">
        <f>HYPERLINK("https://creighton-primo.hosted.exlibrisgroup.com/primo-explore/search?tab=default_tab&amp;search_scope=EVERYTHING&amp;vid=01CRU&amp;lang=en_US&amp;offset=0&amp;query=any,contains,991001449739702656","Catalog Record")</f>
        <v/>
      </c>
      <c r="AT2623">
        <f>HYPERLINK("http://www.worldcat.org/oclc/19323159","WorldCat Record")</f>
        <v/>
      </c>
      <c r="AU2623" t="inlineStr">
        <is>
          <t>355906597:eng</t>
        </is>
      </c>
      <c r="AV2623" t="inlineStr">
        <is>
          <t>19323159</t>
        </is>
      </c>
      <c r="AW2623" t="inlineStr">
        <is>
          <t>991001449739702656</t>
        </is>
      </c>
      <c r="AX2623" t="inlineStr">
        <is>
          <t>991001449739702656</t>
        </is>
      </c>
      <c r="AY2623" t="inlineStr">
        <is>
          <t>2268541620002656</t>
        </is>
      </c>
      <c r="AZ2623" t="inlineStr">
        <is>
          <t>BOOK</t>
        </is>
      </c>
      <c r="BB2623" t="inlineStr">
        <is>
          <t>9780805802566</t>
        </is>
      </c>
      <c r="BC2623" t="inlineStr">
        <is>
          <t>32285000053347</t>
        </is>
      </c>
      <c r="BD2623" t="inlineStr">
        <is>
          <t>893256251</t>
        </is>
      </c>
    </row>
    <row r="2624">
      <c r="A2624" t="inlineStr">
        <is>
          <t>No</t>
        </is>
      </c>
      <c r="B2624" t="inlineStr">
        <is>
          <t>HQ778.7.U6 C49 1992</t>
        </is>
      </c>
      <c r="C2624" t="inlineStr">
        <is>
          <t>0                      HQ 0778700U  6                  C  49          1992</t>
        </is>
      </c>
      <c r="D2624" t="inlineStr">
        <is>
          <t>Child care in the 1990s : trends and consequences / edited by Alan Booth.</t>
        </is>
      </c>
      <c r="F2624" t="inlineStr">
        <is>
          <t>No</t>
        </is>
      </c>
      <c r="G2624" t="inlineStr">
        <is>
          <t>1</t>
        </is>
      </c>
      <c r="H2624" t="inlineStr">
        <is>
          <t>No</t>
        </is>
      </c>
      <c r="I2624" t="inlineStr">
        <is>
          <t>No</t>
        </is>
      </c>
      <c r="J2624" t="inlineStr">
        <is>
          <t>0</t>
        </is>
      </c>
      <c r="L2624" t="inlineStr">
        <is>
          <t>Hillsdale, N.J. : L. Erlbaum Associates, 1992.</t>
        </is>
      </c>
      <c r="M2624" t="inlineStr">
        <is>
          <t>1992</t>
        </is>
      </c>
      <c r="O2624" t="inlineStr">
        <is>
          <t>eng</t>
        </is>
      </c>
      <c r="P2624" t="inlineStr">
        <is>
          <t>nju</t>
        </is>
      </c>
      <c r="R2624" t="inlineStr">
        <is>
          <t xml:space="preserve">HQ </t>
        </is>
      </c>
      <c r="S2624" t="n">
        <v>42</v>
      </c>
      <c r="T2624" t="n">
        <v>42</v>
      </c>
      <c r="U2624" t="inlineStr">
        <is>
          <t>2003-11-23</t>
        </is>
      </c>
      <c r="V2624" t="inlineStr">
        <is>
          <t>2003-11-23</t>
        </is>
      </c>
      <c r="W2624" t="inlineStr">
        <is>
          <t>1993-09-28</t>
        </is>
      </c>
      <c r="X2624" t="inlineStr">
        <is>
          <t>1993-09-28</t>
        </is>
      </c>
      <c r="Y2624" t="n">
        <v>337</v>
      </c>
      <c r="Z2624" t="n">
        <v>273</v>
      </c>
      <c r="AA2624" t="n">
        <v>295</v>
      </c>
      <c r="AB2624" t="n">
        <v>3</v>
      </c>
      <c r="AC2624" t="n">
        <v>3</v>
      </c>
      <c r="AD2624" t="n">
        <v>12</v>
      </c>
      <c r="AE2624" t="n">
        <v>12</v>
      </c>
      <c r="AF2624" t="n">
        <v>3</v>
      </c>
      <c r="AG2624" t="n">
        <v>3</v>
      </c>
      <c r="AH2624" t="n">
        <v>2</v>
      </c>
      <c r="AI2624" t="n">
        <v>2</v>
      </c>
      <c r="AJ2624" t="n">
        <v>7</v>
      </c>
      <c r="AK2624" t="n">
        <v>7</v>
      </c>
      <c r="AL2624" t="n">
        <v>2</v>
      </c>
      <c r="AM2624" t="n">
        <v>2</v>
      </c>
      <c r="AN2624" t="n">
        <v>0</v>
      </c>
      <c r="AO2624" t="n">
        <v>0</v>
      </c>
      <c r="AP2624" t="inlineStr">
        <is>
          <t>No</t>
        </is>
      </c>
      <c r="AQ2624" t="inlineStr">
        <is>
          <t>No</t>
        </is>
      </c>
      <c r="AS2624">
        <f>HYPERLINK("https://creighton-primo.hosted.exlibrisgroup.com/primo-explore/search?tab=default_tab&amp;search_scope=EVERYTHING&amp;vid=01CRU&amp;lang=en_US&amp;offset=0&amp;query=any,contains,991001987789702656","Catalog Record")</f>
        <v/>
      </c>
      <c r="AT2624">
        <f>HYPERLINK("http://www.worldcat.org/oclc/25246729","WorldCat Record")</f>
        <v/>
      </c>
      <c r="AU2624" t="inlineStr">
        <is>
          <t>356250138:eng</t>
        </is>
      </c>
      <c r="AV2624" t="inlineStr">
        <is>
          <t>25246729</t>
        </is>
      </c>
      <c r="AW2624" t="inlineStr">
        <is>
          <t>991001987789702656</t>
        </is>
      </c>
      <c r="AX2624" t="inlineStr">
        <is>
          <t>991001987789702656</t>
        </is>
      </c>
      <c r="AY2624" t="inlineStr">
        <is>
          <t>2256227000002656</t>
        </is>
      </c>
      <c r="AZ2624" t="inlineStr">
        <is>
          <t>BOOK</t>
        </is>
      </c>
      <c r="BB2624" t="inlineStr">
        <is>
          <t>9780805810608</t>
        </is>
      </c>
      <c r="BC2624" t="inlineStr">
        <is>
          <t>32285001768091</t>
        </is>
      </c>
      <c r="BD2624" t="inlineStr">
        <is>
          <t>893408561</t>
        </is>
      </c>
    </row>
    <row r="2625">
      <c r="A2625" t="inlineStr">
        <is>
          <t>No</t>
        </is>
      </c>
      <c r="B2625" t="inlineStr">
        <is>
          <t>HQ778.7.U6 C55 1991</t>
        </is>
      </c>
      <c r="C2625" t="inlineStr">
        <is>
          <t>0                      HQ 0778700U  6                  C  55          1991</t>
        </is>
      </c>
      <c r="D2625" t="inlineStr">
        <is>
          <t>Child-care programs : raising the standards / [Jeffrey Trawick-Smith, editor].</t>
        </is>
      </c>
      <c r="F2625" t="inlineStr">
        <is>
          <t>No</t>
        </is>
      </c>
      <c r="G2625" t="inlineStr">
        <is>
          <t>1</t>
        </is>
      </c>
      <c r="H2625" t="inlineStr">
        <is>
          <t>No</t>
        </is>
      </c>
      <c r="I2625" t="inlineStr">
        <is>
          <t>No</t>
        </is>
      </c>
      <c r="J2625" t="inlineStr">
        <is>
          <t>0</t>
        </is>
      </c>
      <c r="L2625" t="inlineStr">
        <is>
          <t>Bloomington, IN : Phi Delta Kappa, Center on Evaluation, Development, and Research, [1991]</t>
        </is>
      </c>
      <c r="M2625" t="inlineStr">
        <is>
          <t>1991</t>
        </is>
      </c>
      <c r="O2625" t="inlineStr">
        <is>
          <t>eng</t>
        </is>
      </c>
      <c r="P2625" t="inlineStr">
        <is>
          <t>inu</t>
        </is>
      </c>
      <c r="Q2625" t="inlineStr">
        <is>
          <t>Hot topics series</t>
        </is>
      </c>
      <c r="R2625" t="inlineStr">
        <is>
          <t xml:space="preserve">HQ </t>
        </is>
      </c>
      <c r="S2625" t="n">
        <v>13</v>
      </c>
      <c r="T2625" t="n">
        <v>13</v>
      </c>
      <c r="U2625" t="inlineStr">
        <is>
          <t>2000-08-28</t>
        </is>
      </c>
      <c r="V2625" t="inlineStr">
        <is>
          <t>2000-08-28</t>
        </is>
      </c>
      <c r="W2625" t="inlineStr">
        <is>
          <t>1993-03-16</t>
        </is>
      </c>
      <c r="X2625" t="inlineStr">
        <is>
          <t>1993-03-16</t>
        </is>
      </c>
      <c r="Y2625" t="n">
        <v>100</v>
      </c>
      <c r="Z2625" t="n">
        <v>96</v>
      </c>
      <c r="AA2625" t="n">
        <v>97</v>
      </c>
      <c r="AB2625" t="n">
        <v>2</v>
      </c>
      <c r="AC2625" t="n">
        <v>2</v>
      </c>
      <c r="AD2625" t="n">
        <v>2</v>
      </c>
      <c r="AE2625" t="n">
        <v>2</v>
      </c>
      <c r="AF2625" t="n">
        <v>1</v>
      </c>
      <c r="AG2625" t="n">
        <v>1</v>
      </c>
      <c r="AH2625" t="n">
        <v>0</v>
      </c>
      <c r="AI2625" t="n">
        <v>0</v>
      </c>
      <c r="AJ2625" t="n">
        <v>1</v>
      </c>
      <c r="AK2625" t="n">
        <v>1</v>
      </c>
      <c r="AL2625" t="n">
        <v>1</v>
      </c>
      <c r="AM2625" t="n">
        <v>1</v>
      </c>
      <c r="AN2625" t="n">
        <v>0</v>
      </c>
      <c r="AO2625" t="n">
        <v>0</v>
      </c>
      <c r="AP2625" t="inlineStr">
        <is>
          <t>No</t>
        </is>
      </c>
      <c r="AQ2625" t="inlineStr">
        <is>
          <t>Yes</t>
        </is>
      </c>
      <c r="AR2625">
        <f>HYPERLINK("http://catalog.hathitrust.org/Record/101933952","HathiTrust Record")</f>
        <v/>
      </c>
      <c r="AS2625">
        <f>HYPERLINK("https://creighton-primo.hosted.exlibrisgroup.com/primo-explore/search?tab=default_tab&amp;search_scope=EVERYTHING&amp;vid=01CRU&amp;lang=en_US&amp;offset=0&amp;query=any,contains,991001902439702656","Catalog Record")</f>
        <v/>
      </c>
      <c r="AT2625">
        <f>HYPERLINK("http://www.worldcat.org/oclc/24025306","WorldCat Record")</f>
        <v/>
      </c>
      <c r="AU2625" t="inlineStr">
        <is>
          <t>25260413:eng</t>
        </is>
      </c>
      <c r="AV2625" t="inlineStr">
        <is>
          <t>24025306</t>
        </is>
      </c>
      <c r="AW2625" t="inlineStr">
        <is>
          <t>991001902439702656</t>
        </is>
      </c>
      <c r="AX2625" t="inlineStr">
        <is>
          <t>991001902439702656</t>
        </is>
      </c>
      <c r="AY2625" t="inlineStr">
        <is>
          <t>2268538130002656</t>
        </is>
      </c>
      <c r="AZ2625" t="inlineStr">
        <is>
          <t>BOOK</t>
        </is>
      </c>
      <c r="BC2625" t="inlineStr">
        <is>
          <t>32285001587681</t>
        </is>
      </c>
      <c r="BD2625" t="inlineStr">
        <is>
          <t>893684737</t>
        </is>
      </c>
    </row>
    <row r="2626">
      <c r="A2626" t="inlineStr">
        <is>
          <t>No</t>
        </is>
      </c>
      <c r="B2626" t="inlineStr">
        <is>
          <t>HQ778.7.U6 G663 1993</t>
        </is>
      </c>
      <c r="C2626" t="inlineStr">
        <is>
          <t>0                      HQ 0778700U  6                  G  663         1993</t>
        </is>
      </c>
      <c r="D2626" t="inlineStr">
        <is>
          <t>Multicultural issues in child care / Janet Gonzalez-Mena.</t>
        </is>
      </c>
      <c r="F2626" t="inlineStr">
        <is>
          <t>No</t>
        </is>
      </c>
      <c r="G2626" t="inlineStr">
        <is>
          <t>1</t>
        </is>
      </c>
      <c r="H2626" t="inlineStr">
        <is>
          <t>No</t>
        </is>
      </c>
      <c r="I2626" t="inlineStr">
        <is>
          <t>No</t>
        </is>
      </c>
      <c r="J2626" t="inlineStr">
        <is>
          <t>0</t>
        </is>
      </c>
      <c r="K2626" t="inlineStr">
        <is>
          <t>Gonzalez-Mena, Janet.</t>
        </is>
      </c>
      <c r="L2626" t="inlineStr">
        <is>
          <t>Mountain View, Calif. : Mayfield Pub. Co., c1993.</t>
        </is>
      </c>
      <c r="M2626" t="inlineStr">
        <is>
          <t>1993</t>
        </is>
      </c>
      <c r="O2626" t="inlineStr">
        <is>
          <t>eng</t>
        </is>
      </c>
      <c r="P2626" t="inlineStr">
        <is>
          <t>cau</t>
        </is>
      </c>
      <c r="R2626" t="inlineStr">
        <is>
          <t xml:space="preserve">HQ </t>
        </is>
      </c>
      <c r="S2626" t="n">
        <v>4</v>
      </c>
      <c r="T2626" t="n">
        <v>4</v>
      </c>
      <c r="U2626" t="inlineStr">
        <is>
          <t>1995-04-07</t>
        </is>
      </c>
      <c r="V2626" t="inlineStr">
        <is>
          <t>1995-04-07</t>
        </is>
      </c>
      <c r="W2626" t="inlineStr">
        <is>
          <t>1993-09-08</t>
        </is>
      </c>
      <c r="X2626" t="inlineStr">
        <is>
          <t>1993-09-08</t>
        </is>
      </c>
      <c r="Y2626" t="n">
        <v>178</v>
      </c>
      <c r="Z2626" t="n">
        <v>136</v>
      </c>
      <c r="AA2626" t="n">
        <v>388</v>
      </c>
      <c r="AB2626" t="n">
        <v>3</v>
      </c>
      <c r="AC2626" t="n">
        <v>5</v>
      </c>
      <c r="AD2626" t="n">
        <v>3</v>
      </c>
      <c r="AE2626" t="n">
        <v>12</v>
      </c>
      <c r="AF2626" t="n">
        <v>0</v>
      </c>
      <c r="AG2626" t="n">
        <v>3</v>
      </c>
      <c r="AH2626" t="n">
        <v>0</v>
      </c>
      <c r="AI2626" t="n">
        <v>1</v>
      </c>
      <c r="AJ2626" t="n">
        <v>1</v>
      </c>
      <c r="AK2626" t="n">
        <v>7</v>
      </c>
      <c r="AL2626" t="n">
        <v>2</v>
      </c>
      <c r="AM2626" t="n">
        <v>4</v>
      </c>
      <c r="AN2626" t="n">
        <v>0</v>
      </c>
      <c r="AO2626" t="n">
        <v>0</v>
      </c>
      <c r="AP2626" t="inlineStr">
        <is>
          <t>No</t>
        </is>
      </c>
      <c r="AQ2626" t="inlineStr">
        <is>
          <t>Yes</t>
        </is>
      </c>
      <c r="AR2626">
        <f>HYPERLINK("http://catalog.hathitrust.org/Record/003024009","HathiTrust Record")</f>
        <v/>
      </c>
      <c r="AS2626">
        <f>HYPERLINK("https://creighton-primo.hosted.exlibrisgroup.com/primo-explore/search?tab=default_tab&amp;search_scope=EVERYTHING&amp;vid=01CRU&amp;lang=en_US&amp;offset=0&amp;query=any,contains,991002042409702656","Catalog Record")</f>
        <v/>
      </c>
      <c r="AT2626">
        <f>HYPERLINK("http://www.worldcat.org/oclc/26054909","WorldCat Record")</f>
        <v/>
      </c>
      <c r="AU2626" t="inlineStr">
        <is>
          <t>13364454:eng</t>
        </is>
      </c>
      <c r="AV2626" t="inlineStr">
        <is>
          <t>26054909</t>
        </is>
      </c>
      <c r="AW2626" t="inlineStr">
        <is>
          <t>991002042409702656</t>
        </is>
      </c>
      <c r="AX2626" t="inlineStr">
        <is>
          <t>991002042409702656</t>
        </is>
      </c>
      <c r="AY2626" t="inlineStr">
        <is>
          <t>2256407400002656</t>
        </is>
      </c>
      <c r="AZ2626" t="inlineStr">
        <is>
          <t>BOOK</t>
        </is>
      </c>
      <c r="BB2626" t="inlineStr">
        <is>
          <t>9781559342056</t>
        </is>
      </c>
      <c r="BC2626" t="inlineStr">
        <is>
          <t>32285001729978</t>
        </is>
      </c>
      <c r="BD2626" t="inlineStr">
        <is>
          <t>893791972</t>
        </is>
      </c>
    </row>
    <row r="2627">
      <c r="A2627" t="inlineStr">
        <is>
          <t>No</t>
        </is>
      </c>
      <c r="B2627" t="inlineStr">
        <is>
          <t>HQ778.7.U6 H35 1994</t>
        </is>
      </c>
      <c r="C2627" t="inlineStr">
        <is>
          <t>0                      HQ 0778700U  6                  H  35          1994</t>
        </is>
      </c>
      <c r="D2627" t="inlineStr">
        <is>
          <t>Handbook on quality child care for young children : settings, standards, and resources / edited by Carol Ann Baglin and Michael Bender.</t>
        </is>
      </c>
      <c r="F2627" t="inlineStr">
        <is>
          <t>No</t>
        </is>
      </c>
      <c r="G2627" t="inlineStr">
        <is>
          <t>1</t>
        </is>
      </c>
      <c r="H2627" t="inlineStr">
        <is>
          <t>No</t>
        </is>
      </c>
      <c r="I2627" t="inlineStr">
        <is>
          <t>No</t>
        </is>
      </c>
      <c r="J2627" t="inlineStr">
        <is>
          <t>0</t>
        </is>
      </c>
      <c r="L2627" t="inlineStr">
        <is>
          <t>San Diego, Calif. : Singular Pub. Group, 1994.</t>
        </is>
      </c>
      <c r="M2627" t="inlineStr">
        <is>
          <t>1994</t>
        </is>
      </c>
      <c r="O2627" t="inlineStr">
        <is>
          <t>eng</t>
        </is>
      </c>
      <c r="P2627" t="inlineStr">
        <is>
          <t>cau</t>
        </is>
      </c>
      <c r="R2627" t="inlineStr">
        <is>
          <t xml:space="preserve">HQ </t>
        </is>
      </c>
      <c r="S2627" t="n">
        <v>17</v>
      </c>
      <c r="T2627" t="n">
        <v>17</v>
      </c>
      <c r="U2627" t="inlineStr">
        <is>
          <t>2003-03-28</t>
        </is>
      </c>
      <c r="V2627" t="inlineStr">
        <is>
          <t>2003-03-28</t>
        </is>
      </c>
      <c r="W2627" t="inlineStr">
        <is>
          <t>1994-01-26</t>
        </is>
      </c>
      <c r="X2627" t="inlineStr">
        <is>
          <t>1994-01-26</t>
        </is>
      </c>
      <c r="Y2627" t="n">
        <v>159</v>
      </c>
      <c r="Z2627" t="n">
        <v>138</v>
      </c>
      <c r="AA2627" t="n">
        <v>141</v>
      </c>
      <c r="AB2627" t="n">
        <v>3</v>
      </c>
      <c r="AC2627" t="n">
        <v>3</v>
      </c>
      <c r="AD2627" t="n">
        <v>6</v>
      </c>
      <c r="AE2627" t="n">
        <v>6</v>
      </c>
      <c r="AF2627" t="n">
        <v>1</v>
      </c>
      <c r="AG2627" t="n">
        <v>1</v>
      </c>
      <c r="AH2627" t="n">
        <v>2</v>
      </c>
      <c r="AI2627" t="n">
        <v>2</v>
      </c>
      <c r="AJ2627" t="n">
        <v>2</v>
      </c>
      <c r="AK2627" t="n">
        <v>2</v>
      </c>
      <c r="AL2627" t="n">
        <v>2</v>
      </c>
      <c r="AM2627" t="n">
        <v>2</v>
      </c>
      <c r="AN2627" t="n">
        <v>0</v>
      </c>
      <c r="AO2627" t="n">
        <v>0</v>
      </c>
      <c r="AP2627" t="inlineStr">
        <is>
          <t>No</t>
        </is>
      </c>
      <c r="AQ2627" t="inlineStr">
        <is>
          <t>No</t>
        </is>
      </c>
      <c r="AS2627">
        <f>HYPERLINK("https://creighton-primo.hosted.exlibrisgroup.com/primo-explore/search?tab=default_tab&amp;search_scope=EVERYTHING&amp;vid=01CRU&amp;lang=en_US&amp;offset=0&amp;query=any,contains,991002204509702656","Catalog Record")</f>
        <v/>
      </c>
      <c r="AT2627">
        <f>HYPERLINK("http://www.worldcat.org/oclc/28374384","WorldCat Record")</f>
        <v/>
      </c>
      <c r="AU2627" t="inlineStr">
        <is>
          <t>836839721:eng</t>
        </is>
      </c>
      <c r="AV2627" t="inlineStr">
        <is>
          <t>28374384</t>
        </is>
      </c>
      <c r="AW2627" t="inlineStr">
        <is>
          <t>991002204509702656</t>
        </is>
      </c>
      <c r="AX2627" t="inlineStr">
        <is>
          <t>991002204509702656</t>
        </is>
      </c>
      <c r="AY2627" t="inlineStr">
        <is>
          <t>2254745460002656</t>
        </is>
      </c>
      <c r="AZ2627" t="inlineStr">
        <is>
          <t>BOOK</t>
        </is>
      </c>
      <c r="BB2627" t="inlineStr">
        <is>
          <t>9781565930933</t>
        </is>
      </c>
      <c r="BC2627" t="inlineStr">
        <is>
          <t>32285001833564</t>
        </is>
      </c>
      <c r="BD2627" t="inlineStr">
        <is>
          <t>893439885</t>
        </is>
      </c>
    </row>
    <row r="2628">
      <c r="A2628" t="inlineStr">
        <is>
          <t>No</t>
        </is>
      </c>
      <c r="B2628" t="inlineStr">
        <is>
          <t>HQ778.7.U6 K34 1987</t>
        </is>
      </c>
      <c r="C2628" t="inlineStr">
        <is>
          <t>0                      HQ 0778700U  6                  K  34          1987</t>
        </is>
      </c>
      <c r="D2628" t="inlineStr">
        <is>
          <t>Child care : facing the hard choices / Alfred J. Kahn, Sheila B. Kamerman.</t>
        </is>
      </c>
      <c r="F2628" t="inlineStr">
        <is>
          <t>No</t>
        </is>
      </c>
      <c r="G2628" t="inlineStr">
        <is>
          <t>1</t>
        </is>
      </c>
      <c r="H2628" t="inlineStr">
        <is>
          <t>No</t>
        </is>
      </c>
      <c r="I2628" t="inlineStr">
        <is>
          <t>No</t>
        </is>
      </c>
      <c r="J2628" t="inlineStr">
        <is>
          <t>0</t>
        </is>
      </c>
      <c r="K2628" t="inlineStr">
        <is>
          <t>Kahn, Alfred J., 1919-2009.</t>
        </is>
      </c>
      <c r="L2628" t="inlineStr">
        <is>
          <t>Dover, Mass. : Auburn House Pub. Co, c1987.</t>
        </is>
      </c>
      <c r="M2628" t="inlineStr">
        <is>
          <t>1987</t>
        </is>
      </c>
      <c r="O2628" t="inlineStr">
        <is>
          <t>eng</t>
        </is>
      </c>
      <c r="P2628" t="inlineStr">
        <is>
          <t>mau</t>
        </is>
      </c>
      <c r="R2628" t="inlineStr">
        <is>
          <t xml:space="preserve">HQ </t>
        </is>
      </c>
      <c r="S2628" t="n">
        <v>20</v>
      </c>
      <c r="T2628" t="n">
        <v>20</v>
      </c>
      <c r="U2628" t="inlineStr">
        <is>
          <t>1998-11-24</t>
        </is>
      </c>
      <c r="V2628" t="inlineStr">
        <is>
          <t>1998-11-24</t>
        </is>
      </c>
      <c r="W2628" t="inlineStr">
        <is>
          <t>1991-08-09</t>
        </is>
      </c>
      <c r="X2628" t="inlineStr">
        <is>
          <t>1991-08-09</t>
        </is>
      </c>
      <c r="Y2628" t="n">
        <v>658</v>
      </c>
      <c r="Z2628" t="n">
        <v>595</v>
      </c>
      <c r="AA2628" t="n">
        <v>600</v>
      </c>
      <c r="AB2628" t="n">
        <v>5</v>
      </c>
      <c r="AC2628" t="n">
        <v>5</v>
      </c>
      <c r="AD2628" t="n">
        <v>28</v>
      </c>
      <c r="AE2628" t="n">
        <v>28</v>
      </c>
      <c r="AF2628" t="n">
        <v>13</v>
      </c>
      <c r="AG2628" t="n">
        <v>13</v>
      </c>
      <c r="AH2628" t="n">
        <v>6</v>
      </c>
      <c r="AI2628" t="n">
        <v>6</v>
      </c>
      <c r="AJ2628" t="n">
        <v>13</v>
      </c>
      <c r="AK2628" t="n">
        <v>13</v>
      </c>
      <c r="AL2628" t="n">
        <v>4</v>
      </c>
      <c r="AM2628" t="n">
        <v>4</v>
      </c>
      <c r="AN2628" t="n">
        <v>1</v>
      </c>
      <c r="AO2628" t="n">
        <v>1</v>
      </c>
      <c r="AP2628" t="inlineStr">
        <is>
          <t>No</t>
        </is>
      </c>
      <c r="AQ2628" t="inlineStr">
        <is>
          <t>Yes</t>
        </is>
      </c>
      <c r="AR2628">
        <f>HYPERLINK("http://catalog.hathitrust.org/Record/000822977","HathiTrust Record")</f>
        <v/>
      </c>
      <c r="AS2628">
        <f>HYPERLINK("https://creighton-primo.hosted.exlibrisgroup.com/primo-explore/search?tab=default_tab&amp;search_scope=EVERYTHING&amp;vid=01CRU&amp;lang=en_US&amp;offset=0&amp;query=any,contains,991000955289702656","Catalog Record")</f>
        <v/>
      </c>
      <c r="AT2628">
        <f>HYPERLINK("http://www.worldcat.org/oclc/14716784","WorldCat Record")</f>
        <v/>
      </c>
      <c r="AU2628" t="inlineStr">
        <is>
          <t>375861724:eng</t>
        </is>
      </c>
      <c r="AV2628" t="inlineStr">
        <is>
          <t>14716784</t>
        </is>
      </c>
      <c r="AW2628" t="inlineStr">
        <is>
          <t>991000955289702656</t>
        </is>
      </c>
      <c r="AX2628" t="inlineStr">
        <is>
          <t>991000955289702656</t>
        </is>
      </c>
      <c r="AY2628" t="inlineStr">
        <is>
          <t>2255865170002656</t>
        </is>
      </c>
      <c r="AZ2628" t="inlineStr">
        <is>
          <t>BOOK</t>
        </is>
      </c>
      <c r="BB2628" t="inlineStr">
        <is>
          <t>9780865691643</t>
        </is>
      </c>
      <c r="BC2628" t="inlineStr">
        <is>
          <t>32285000681287</t>
        </is>
      </c>
      <c r="BD2628" t="inlineStr">
        <is>
          <t>893596064</t>
        </is>
      </c>
    </row>
    <row r="2629">
      <c r="A2629" t="inlineStr">
        <is>
          <t>No</t>
        </is>
      </c>
      <c r="B2629" t="inlineStr">
        <is>
          <t>HQ778.7.U6 M37 1988</t>
        </is>
      </c>
      <c r="C2629" t="inlineStr">
        <is>
          <t>0                      HQ 0778700U  6                  M  37          1988</t>
        </is>
      </c>
      <c r="D2629" t="inlineStr">
        <is>
          <t>Caring for the developing child / Patricia E. Marhoefer, Lisa A. Vadnais.</t>
        </is>
      </c>
      <c r="F2629" t="inlineStr">
        <is>
          <t>No</t>
        </is>
      </c>
      <c r="G2629" t="inlineStr">
        <is>
          <t>1</t>
        </is>
      </c>
      <c r="H2629" t="inlineStr">
        <is>
          <t>No</t>
        </is>
      </c>
      <c r="I2629" t="inlineStr">
        <is>
          <t>No</t>
        </is>
      </c>
      <c r="J2629" t="inlineStr">
        <is>
          <t>0</t>
        </is>
      </c>
      <c r="K2629" t="inlineStr">
        <is>
          <t>Marhoefer, Patricia E.</t>
        </is>
      </c>
      <c r="L2629" t="inlineStr">
        <is>
          <t>Albany, N.Y. : Delmar, c1988.</t>
        </is>
      </c>
      <c r="M2629" t="inlineStr">
        <is>
          <t>1988</t>
        </is>
      </c>
      <c r="O2629" t="inlineStr">
        <is>
          <t>eng</t>
        </is>
      </c>
      <c r="P2629" t="inlineStr">
        <is>
          <t>nyu</t>
        </is>
      </c>
      <c r="R2629" t="inlineStr">
        <is>
          <t xml:space="preserve">HQ </t>
        </is>
      </c>
      <c r="S2629" t="n">
        <v>11</v>
      </c>
      <c r="T2629" t="n">
        <v>11</v>
      </c>
      <c r="U2629" t="inlineStr">
        <is>
          <t>1996-03-01</t>
        </is>
      </c>
      <c r="V2629" t="inlineStr">
        <is>
          <t>1996-03-01</t>
        </is>
      </c>
      <c r="W2629" t="inlineStr">
        <is>
          <t>1991-08-09</t>
        </is>
      </c>
      <c r="X2629" t="inlineStr">
        <is>
          <t>1991-08-09</t>
        </is>
      </c>
      <c r="Y2629" t="n">
        <v>115</v>
      </c>
      <c r="Z2629" t="n">
        <v>84</v>
      </c>
      <c r="AA2629" t="n">
        <v>142</v>
      </c>
      <c r="AB2629" t="n">
        <v>4</v>
      </c>
      <c r="AC2629" t="n">
        <v>4</v>
      </c>
      <c r="AD2629" t="n">
        <v>3</v>
      </c>
      <c r="AE2629" t="n">
        <v>3</v>
      </c>
      <c r="AF2629" t="n">
        <v>0</v>
      </c>
      <c r="AG2629" t="n">
        <v>0</v>
      </c>
      <c r="AH2629" t="n">
        <v>0</v>
      </c>
      <c r="AI2629" t="n">
        <v>0</v>
      </c>
      <c r="AJ2629" t="n">
        <v>0</v>
      </c>
      <c r="AK2629" t="n">
        <v>0</v>
      </c>
      <c r="AL2629" t="n">
        <v>3</v>
      </c>
      <c r="AM2629" t="n">
        <v>3</v>
      </c>
      <c r="AN2629" t="n">
        <v>0</v>
      </c>
      <c r="AO2629" t="n">
        <v>0</v>
      </c>
      <c r="AP2629" t="inlineStr">
        <is>
          <t>No</t>
        </is>
      </c>
      <c r="AQ2629" t="inlineStr">
        <is>
          <t>Yes</t>
        </is>
      </c>
      <c r="AR2629">
        <f>HYPERLINK("http://catalog.hathitrust.org/Record/000930316","HathiTrust Record")</f>
        <v/>
      </c>
      <c r="AS2629">
        <f>HYPERLINK("https://creighton-primo.hosted.exlibrisgroup.com/primo-explore/search?tab=default_tab&amp;search_scope=EVERYTHING&amp;vid=01CRU&amp;lang=en_US&amp;offset=0&amp;query=any,contains,991001225129702656","Catalog Record")</f>
        <v/>
      </c>
      <c r="AT2629">
        <f>HYPERLINK("http://www.worldcat.org/oclc/17506308","WorldCat Record")</f>
        <v/>
      </c>
      <c r="AU2629" t="inlineStr">
        <is>
          <t>15487427:eng</t>
        </is>
      </c>
      <c r="AV2629" t="inlineStr">
        <is>
          <t>17506308</t>
        </is>
      </c>
      <c r="AW2629" t="inlineStr">
        <is>
          <t>991001225129702656</t>
        </is>
      </c>
      <c r="AX2629" t="inlineStr">
        <is>
          <t>991001225129702656</t>
        </is>
      </c>
      <c r="AY2629" t="inlineStr">
        <is>
          <t>2271634480002656</t>
        </is>
      </c>
      <c r="AZ2629" t="inlineStr">
        <is>
          <t>BOOK</t>
        </is>
      </c>
      <c r="BB2629" t="inlineStr">
        <is>
          <t>9780827328495</t>
        </is>
      </c>
      <c r="BC2629" t="inlineStr">
        <is>
          <t>32285000681279</t>
        </is>
      </c>
      <c r="BD2629" t="inlineStr">
        <is>
          <t>893885148</t>
        </is>
      </c>
    </row>
    <row r="2630">
      <c r="A2630" t="inlineStr">
        <is>
          <t>No</t>
        </is>
      </c>
      <c r="B2630" t="inlineStr">
        <is>
          <t>HQ778.7.U6 W38 1987</t>
        </is>
      </c>
      <c r="C2630" t="inlineStr">
        <is>
          <t>0                      HQ 0778700U  6                  W  38          1987</t>
        </is>
      </c>
      <c r="D2630" t="inlineStr">
        <is>
          <t>Day care : a source book / Kathleen Pullan Watkins, Lucius Durant, Jr.</t>
        </is>
      </c>
      <c r="F2630" t="inlineStr">
        <is>
          <t>No</t>
        </is>
      </c>
      <c r="G2630" t="inlineStr">
        <is>
          <t>1</t>
        </is>
      </c>
      <c r="H2630" t="inlineStr">
        <is>
          <t>No</t>
        </is>
      </c>
      <c r="I2630" t="inlineStr">
        <is>
          <t>No</t>
        </is>
      </c>
      <c r="J2630" t="inlineStr">
        <is>
          <t>0</t>
        </is>
      </c>
      <c r="K2630" t="inlineStr">
        <is>
          <t>Watkins, Kathleen Pullan.</t>
        </is>
      </c>
      <c r="L2630" t="inlineStr">
        <is>
          <t>New York : Garland Pub., 1987.</t>
        </is>
      </c>
      <c r="M2630" t="inlineStr">
        <is>
          <t>1987</t>
        </is>
      </c>
      <c r="O2630" t="inlineStr">
        <is>
          <t>eng</t>
        </is>
      </c>
      <c r="P2630" t="inlineStr">
        <is>
          <t>nyu</t>
        </is>
      </c>
      <c r="Q2630" t="inlineStr">
        <is>
          <t>Garland reference library of social science ; vol. 360. Source books on education ; vol. 12</t>
        </is>
      </c>
      <c r="R2630" t="inlineStr">
        <is>
          <t xml:space="preserve">HQ </t>
        </is>
      </c>
      <c r="S2630" t="n">
        <v>13</v>
      </c>
      <c r="T2630" t="n">
        <v>13</v>
      </c>
      <c r="U2630" t="inlineStr">
        <is>
          <t>2008-10-21</t>
        </is>
      </c>
      <c r="V2630" t="inlineStr">
        <is>
          <t>2008-10-21</t>
        </is>
      </c>
      <c r="W2630" t="inlineStr">
        <is>
          <t>1991-08-09</t>
        </is>
      </c>
      <c r="X2630" t="inlineStr">
        <is>
          <t>1991-08-09</t>
        </is>
      </c>
      <c r="Y2630" t="n">
        <v>284</v>
      </c>
      <c r="Z2630" t="n">
        <v>249</v>
      </c>
      <c r="AA2630" t="n">
        <v>251</v>
      </c>
      <c r="AB2630" t="n">
        <v>3</v>
      </c>
      <c r="AC2630" t="n">
        <v>3</v>
      </c>
      <c r="AD2630" t="n">
        <v>8</v>
      </c>
      <c r="AE2630" t="n">
        <v>8</v>
      </c>
      <c r="AF2630" t="n">
        <v>1</v>
      </c>
      <c r="AG2630" t="n">
        <v>1</v>
      </c>
      <c r="AH2630" t="n">
        <v>1</v>
      </c>
      <c r="AI2630" t="n">
        <v>1</v>
      </c>
      <c r="AJ2630" t="n">
        <v>5</v>
      </c>
      <c r="AK2630" t="n">
        <v>5</v>
      </c>
      <c r="AL2630" t="n">
        <v>2</v>
      </c>
      <c r="AM2630" t="n">
        <v>2</v>
      </c>
      <c r="AN2630" t="n">
        <v>0</v>
      </c>
      <c r="AO2630" t="n">
        <v>0</v>
      </c>
      <c r="AP2630" t="inlineStr">
        <is>
          <t>No</t>
        </is>
      </c>
      <c r="AQ2630" t="inlineStr">
        <is>
          <t>Yes</t>
        </is>
      </c>
      <c r="AR2630">
        <f>HYPERLINK("http://catalog.hathitrust.org/Record/000858528","HathiTrust Record")</f>
        <v/>
      </c>
      <c r="AS2630">
        <f>HYPERLINK("https://creighton-primo.hosted.exlibrisgroup.com/primo-explore/search?tab=default_tab&amp;search_scope=EVERYTHING&amp;vid=01CRU&amp;lang=en_US&amp;offset=0&amp;query=any,contains,991000987719702656","Catalog Record")</f>
        <v/>
      </c>
      <c r="AT2630">
        <f>HYPERLINK("http://www.worldcat.org/oclc/15083666","WorldCat Record")</f>
        <v/>
      </c>
      <c r="AU2630" t="inlineStr">
        <is>
          <t>441447067:eng</t>
        </is>
      </c>
      <c r="AV2630" t="inlineStr">
        <is>
          <t>15083666</t>
        </is>
      </c>
      <c r="AW2630" t="inlineStr">
        <is>
          <t>991000987719702656</t>
        </is>
      </c>
      <c r="AX2630" t="inlineStr">
        <is>
          <t>991000987719702656</t>
        </is>
      </c>
      <c r="AY2630" t="inlineStr">
        <is>
          <t>2258056660002656</t>
        </is>
      </c>
      <c r="AZ2630" t="inlineStr">
        <is>
          <t>BOOK</t>
        </is>
      </c>
      <c r="BB2630" t="inlineStr">
        <is>
          <t>9780824085254</t>
        </is>
      </c>
      <c r="BC2630" t="inlineStr">
        <is>
          <t>32285000681261</t>
        </is>
      </c>
      <c r="BD2630" t="inlineStr">
        <is>
          <t>893333951</t>
        </is>
      </c>
    </row>
    <row r="2631">
      <c r="A2631" t="inlineStr">
        <is>
          <t>No</t>
        </is>
      </c>
      <c r="B2631" t="inlineStr">
        <is>
          <t>HQ778.7.U6 Z54 1991</t>
        </is>
      </c>
      <c r="C2631" t="inlineStr">
        <is>
          <t>0                      HQ 0778700U  6                  Z  54          1991</t>
        </is>
      </c>
      <c r="D2631" t="inlineStr">
        <is>
          <t>Child care choices : balancing the needs of children, families, and society / Edward F. Zigler and Mary E. Lang.</t>
        </is>
      </c>
      <c r="F2631" t="inlineStr">
        <is>
          <t>No</t>
        </is>
      </c>
      <c r="G2631" t="inlineStr">
        <is>
          <t>1</t>
        </is>
      </c>
      <c r="H2631" t="inlineStr">
        <is>
          <t>No</t>
        </is>
      </c>
      <c r="I2631" t="inlineStr">
        <is>
          <t>No</t>
        </is>
      </c>
      <c r="J2631" t="inlineStr">
        <is>
          <t>0</t>
        </is>
      </c>
      <c r="K2631" t="inlineStr">
        <is>
          <t>Zigler, Edward, 1930-2019.</t>
        </is>
      </c>
      <c r="L2631" t="inlineStr">
        <is>
          <t>New York : Free Press ; Toronto : Collier Macmillan Canada, c1991.</t>
        </is>
      </c>
      <c r="M2631" t="inlineStr">
        <is>
          <t>1991</t>
        </is>
      </c>
      <c r="O2631" t="inlineStr">
        <is>
          <t>eng</t>
        </is>
      </c>
      <c r="P2631" t="inlineStr">
        <is>
          <t>nyu</t>
        </is>
      </c>
      <c r="R2631" t="inlineStr">
        <is>
          <t xml:space="preserve">HQ </t>
        </is>
      </c>
      <c r="S2631" t="n">
        <v>33</v>
      </c>
      <c r="T2631" t="n">
        <v>33</v>
      </c>
      <c r="U2631" t="inlineStr">
        <is>
          <t>2003-05-21</t>
        </is>
      </c>
      <c r="V2631" t="inlineStr">
        <is>
          <t>2003-05-21</t>
        </is>
      </c>
      <c r="W2631" t="inlineStr">
        <is>
          <t>1991-03-26</t>
        </is>
      </c>
      <c r="X2631" t="inlineStr">
        <is>
          <t>1991-03-26</t>
        </is>
      </c>
      <c r="Y2631" t="n">
        <v>768</v>
      </c>
      <c r="Z2631" t="n">
        <v>700</v>
      </c>
      <c r="AA2631" t="n">
        <v>728</v>
      </c>
      <c r="AB2631" t="n">
        <v>6</v>
      </c>
      <c r="AC2631" t="n">
        <v>6</v>
      </c>
      <c r="AD2631" t="n">
        <v>21</v>
      </c>
      <c r="AE2631" t="n">
        <v>21</v>
      </c>
      <c r="AF2631" t="n">
        <v>9</v>
      </c>
      <c r="AG2631" t="n">
        <v>9</v>
      </c>
      <c r="AH2631" t="n">
        <v>4</v>
      </c>
      <c r="AI2631" t="n">
        <v>4</v>
      </c>
      <c r="AJ2631" t="n">
        <v>10</v>
      </c>
      <c r="AK2631" t="n">
        <v>10</v>
      </c>
      <c r="AL2631" t="n">
        <v>4</v>
      </c>
      <c r="AM2631" t="n">
        <v>4</v>
      </c>
      <c r="AN2631" t="n">
        <v>0</v>
      </c>
      <c r="AO2631" t="n">
        <v>0</v>
      </c>
      <c r="AP2631" t="inlineStr">
        <is>
          <t>No</t>
        </is>
      </c>
      <c r="AQ2631" t="inlineStr">
        <is>
          <t>Yes</t>
        </is>
      </c>
      <c r="AR2631">
        <f>HYPERLINK("http://catalog.hathitrust.org/Record/002220182","HathiTrust Record")</f>
        <v/>
      </c>
      <c r="AS2631">
        <f>HYPERLINK("https://creighton-primo.hosted.exlibrisgroup.com/primo-explore/search?tab=default_tab&amp;search_scope=EVERYTHING&amp;vid=01CRU&amp;lang=en_US&amp;offset=0&amp;query=any,contains,991001708229702656","Catalog Record")</f>
        <v/>
      </c>
      <c r="AT2631">
        <f>HYPERLINK("http://www.worldcat.org/oclc/21592324","WorldCat Record")</f>
        <v/>
      </c>
      <c r="AU2631" t="inlineStr">
        <is>
          <t>141480633:eng</t>
        </is>
      </c>
      <c r="AV2631" t="inlineStr">
        <is>
          <t>21592324</t>
        </is>
      </c>
      <c r="AW2631" t="inlineStr">
        <is>
          <t>991001708229702656</t>
        </is>
      </c>
      <c r="AX2631" t="inlineStr">
        <is>
          <t>991001708229702656</t>
        </is>
      </c>
      <c r="AY2631" t="inlineStr">
        <is>
          <t>2263062360002656</t>
        </is>
      </c>
      <c r="AZ2631" t="inlineStr">
        <is>
          <t>BOOK</t>
        </is>
      </c>
      <c r="BB2631" t="inlineStr">
        <is>
          <t>9780029358214</t>
        </is>
      </c>
      <c r="BC2631" t="inlineStr">
        <is>
          <t>32285000513365</t>
        </is>
      </c>
      <c r="BD2631" t="inlineStr">
        <is>
          <t>893340625</t>
        </is>
      </c>
    </row>
    <row r="2632">
      <c r="A2632" t="inlineStr">
        <is>
          <t>No</t>
        </is>
      </c>
      <c r="B2632" t="inlineStr">
        <is>
          <t>HQ781 .S36</t>
        </is>
      </c>
      <c r="C2632" t="inlineStr">
        <is>
          <t>0                      HQ 0781000S  36</t>
        </is>
      </c>
      <c r="D2632" t="inlineStr">
        <is>
          <t>Images of childhood : an illustrated social history / Anita Schorsch ; foreword by Robert Coles.</t>
        </is>
      </c>
      <c r="F2632" t="inlineStr">
        <is>
          <t>No</t>
        </is>
      </c>
      <c r="G2632" t="inlineStr">
        <is>
          <t>1</t>
        </is>
      </c>
      <c r="H2632" t="inlineStr">
        <is>
          <t>No</t>
        </is>
      </c>
      <c r="I2632" t="inlineStr">
        <is>
          <t>No</t>
        </is>
      </c>
      <c r="J2632" t="inlineStr">
        <is>
          <t>0</t>
        </is>
      </c>
      <c r="K2632" t="inlineStr">
        <is>
          <t>Schorsch, Anita.</t>
        </is>
      </c>
      <c r="L2632" t="inlineStr">
        <is>
          <t>New York : Mayflower Books, 1979.</t>
        </is>
      </c>
      <c r="M2632" t="inlineStr">
        <is>
          <t>1979</t>
        </is>
      </c>
      <c r="N2632" t="inlineStr">
        <is>
          <t>1st ed.</t>
        </is>
      </c>
      <c r="O2632" t="inlineStr">
        <is>
          <t>eng</t>
        </is>
      </c>
      <c r="P2632" t="inlineStr">
        <is>
          <t>nyu</t>
        </is>
      </c>
      <c r="R2632" t="inlineStr">
        <is>
          <t xml:space="preserve">HQ </t>
        </is>
      </c>
      <c r="S2632" t="n">
        <v>7</v>
      </c>
      <c r="T2632" t="n">
        <v>7</v>
      </c>
      <c r="U2632" t="inlineStr">
        <is>
          <t>2009-05-27</t>
        </is>
      </c>
      <c r="V2632" t="inlineStr">
        <is>
          <t>2009-05-27</t>
        </is>
      </c>
      <c r="W2632" t="inlineStr">
        <is>
          <t>1992-11-12</t>
        </is>
      </c>
      <c r="X2632" t="inlineStr">
        <is>
          <t>1992-11-12</t>
        </is>
      </c>
      <c r="Y2632" t="n">
        <v>596</v>
      </c>
      <c r="Z2632" t="n">
        <v>523</v>
      </c>
      <c r="AA2632" t="n">
        <v>585</v>
      </c>
      <c r="AB2632" t="n">
        <v>1</v>
      </c>
      <c r="AC2632" t="n">
        <v>1</v>
      </c>
      <c r="AD2632" t="n">
        <v>18</v>
      </c>
      <c r="AE2632" t="n">
        <v>19</v>
      </c>
      <c r="AF2632" t="n">
        <v>8</v>
      </c>
      <c r="AG2632" t="n">
        <v>9</v>
      </c>
      <c r="AH2632" t="n">
        <v>4</v>
      </c>
      <c r="AI2632" t="n">
        <v>4</v>
      </c>
      <c r="AJ2632" t="n">
        <v>12</v>
      </c>
      <c r="AK2632" t="n">
        <v>12</v>
      </c>
      <c r="AL2632" t="n">
        <v>0</v>
      </c>
      <c r="AM2632" t="n">
        <v>0</v>
      </c>
      <c r="AN2632" t="n">
        <v>0</v>
      </c>
      <c r="AO2632" t="n">
        <v>0</v>
      </c>
      <c r="AP2632" t="inlineStr">
        <is>
          <t>No</t>
        </is>
      </c>
      <c r="AQ2632" t="inlineStr">
        <is>
          <t>Yes</t>
        </is>
      </c>
      <c r="AR2632">
        <f>HYPERLINK("http://catalog.hathitrust.org/Record/000180696","HathiTrust Record")</f>
        <v/>
      </c>
      <c r="AS2632">
        <f>HYPERLINK("https://creighton-primo.hosted.exlibrisgroup.com/primo-explore/search?tab=default_tab&amp;search_scope=EVERYTHING&amp;vid=01CRU&amp;lang=en_US&amp;offset=0&amp;query=any,contains,991004768329702656","Catalog Record")</f>
        <v/>
      </c>
      <c r="AT2632">
        <f>HYPERLINK("http://www.worldcat.org/oclc/5040888","WorldCat Record")</f>
        <v/>
      </c>
      <c r="AU2632" t="inlineStr">
        <is>
          <t>889998647:eng</t>
        </is>
      </c>
      <c r="AV2632" t="inlineStr">
        <is>
          <t>5040888</t>
        </is>
      </c>
      <c r="AW2632" t="inlineStr">
        <is>
          <t>991004768329702656</t>
        </is>
      </c>
      <c r="AX2632" t="inlineStr">
        <is>
          <t>991004768329702656</t>
        </is>
      </c>
      <c r="AY2632" t="inlineStr">
        <is>
          <t>2261180300002656</t>
        </is>
      </c>
      <c r="AZ2632" t="inlineStr">
        <is>
          <t>BOOK</t>
        </is>
      </c>
      <c r="BB2632" t="inlineStr">
        <is>
          <t>9780831748753</t>
        </is>
      </c>
      <c r="BC2632" t="inlineStr">
        <is>
          <t>32285001395796</t>
        </is>
      </c>
      <c r="BD2632" t="inlineStr">
        <is>
          <t>893254073</t>
        </is>
      </c>
    </row>
    <row r="2633">
      <c r="A2633" t="inlineStr">
        <is>
          <t>No</t>
        </is>
      </c>
      <c r="B2633" t="inlineStr">
        <is>
          <t>HQ782 .H36 1970</t>
        </is>
      </c>
      <c r="C2633" t="inlineStr">
        <is>
          <t>0                      HQ 0782000H  36          1970</t>
        </is>
      </c>
      <c r="D2633" t="inlineStr">
        <is>
          <t>The complete book of children's play / by Ruth E. Hartley and Robert M. Goldenson. Introduction by Lawrence K. Frank.</t>
        </is>
      </c>
      <c r="F2633" t="inlineStr">
        <is>
          <t>No</t>
        </is>
      </c>
      <c r="G2633" t="inlineStr">
        <is>
          <t>1</t>
        </is>
      </c>
      <c r="H2633" t="inlineStr">
        <is>
          <t>No</t>
        </is>
      </c>
      <c r="I2633" t="inlineStr">
        <is>
          <t>No</t>
        </is>
      </c>
      <c r="J2633" t="inlineStr">
        <is>
          <t>0</t>
        </is>
      </c>
      <c r="K2633" t="inlineStr">
        <is>
          <t>Hartley, Ruth E. (Ruth Edith), 1909-</t>
        </is>
      </c>
      <c r="L2633" t="inlineStr">
        <is>
          <t>New York : Crowell, 1970, c1963.</t>
        </is>
      </c>
      <c r="M2633" t="inlineStr">
        <is>
          <t>1970</t>
        </is>
      </c>
      <c r="N2633" t="inlineStr">
        <is>
          <t>Apollo edition.</t>
        </is>
      </c>
      <c r="O2633" t="inlineStr">
        <is>
          <t>eng</t>
        </is>
      </c>
      <c r="P2633" t="inlineStr">
        <is>
          <t>nyu</t>
        </is>
      </c>
      <c r="R2633" t="inlineStr">
        <is>
          <t xml:space="preserve">HQ </t>
        </is>
      </c>
      <c r="S2633" t="n">
        <v>4</v>
      </c>
      <c r="T2633" t="n">
        <v>4</v>
      </c>
      <c r="U2633" t="inlineStr">
        <is>
          <t>1997-09-17</t>
        </is>
      </c>
      <c r="V2633" t="inlineStr">
        <is>
          <t>1997-09-17</t>
        </is>
      </c>
      <c r="W2633" t="inlineStr">
        <is>
          <t>1993-05-04</t>
        </is>
      </c>
      <c r="X2633" t="inlineStr">
        <is>
          <t>1993-05-04</t>
        </is>
      </c>
      <c r="Y2633" t="n">
        <v>39</v>
      </c>
      <c r="Z2633" t="n">
        <v>34</v>
      </c>
      <c r="AA2633" t="n">
        <v>576</v>
      </c>
      <c r="AB2633" t="n">
        <v>2</v>
      </c>
      <c r="AC2633" t="n">
        <v>6</v>
      </c>
      <c r="AD2633" t="n">
        <v>1</v>
      </c>
      <c r="AE2633" t="n">
        <v>18</v>
      </c>
      <c r="AF2633" t="n">
        <v>0</v>
      </c>
      <c r="AG2633" t="n">
        <v>4</v>
      </c>
      <c r="AH2633" t="n">
        <v>0</v>
      </c>
      <c r="AI2633" t="n">
        <v>3</v>
      </c>
      <c r="AJ2633" t="n">
        <v>0</v>
      </c>
      <c r="AK2633" t="n">
        <v>8</v>
      </c>
      <c r="AL2633" t="n">
        <v>1</v>
      </c>
      <c r="AM2633" t="n">
        <v>5</v>
      </c>
      <c r="AN2633" t="n">
        <v>0</v>
      </c>
      <c r="AO2633" t="n">
        <v>0</v>
      </c>
      <c r="AP2633" t="inlineStr">
        <is>
          <t>No</t>
        </is>
      </c>
      <c r="AQ2633" t="inlineStr">
        <is>
          <t>No</t>
        </is>
      </c>
      <c r="AS2633">
        <f>HYPERLINK("https://creighton-primo.hosted.exlibrisgroup.com/primo-explore/search?tab=default_tab&amp;search_scope=EVERYTHING&amp;vid=01CRU&amp;lang=en_US&amp;offset=0&amp;query=any,contains,991004013969702656","Catalog Record")</f>
        <v/>
      </c>
      <c r="AT2633">
        <f>HYPERLINK("http://www.worldcat.org/oclc/2100624","WorldCat Record")</f>
        <v/>
      </c>
      <c r="AU2633" t="inlineStr">
        <is>
          <t>1364136:eng</t>
        </is>
      </c>
      <c r="AV2633" t="inlineStr">
        <is>
          <t>2100624</t>
        </is>
      </c>
      <c r="AW2633" t="inlineStr">
        <is>
          <t>991004013969702656</t>
        </is>
      </c>
      <c r="AX2633" t="inlineStr">
        <is>
          <t>991004013969702656</t>
        </is>
      </c>
      <c r="AY2633" t="inlineStr">
        <is>
          <t>2272578610002656</t>
        </is>
      </c>
      <c r="AZ2633" t="inlineStr">
        <is>
          <t>BOOK</t>
        </is>
      </c>
      <c r="BC2633" t="inlineStr">
        <is>
          <t>32285001581585</t>
        </is>
      </c>
      <c r="BD2633" t="inlineStr">
        <is>
          <t>893605533</t>
        </is>
      </c>
    </row>
    <row r="2634">
      <c r="A2634" t="inlineStr">
        <is>
          <t>No</t>
        </is>
      </c>
      <c r="B2634" t="inlineStr">
        <is>
          <t>HQ782 .K36 1989</t>
        </is>
      </c>
      <c r="C2634" t="inlineStr">
        <is>
          <t>0                      HQ 0782000K  36          1989</t>
        </is>
      </c>
      <c r="D2634" t="inlineStr">
        <is>
          <t>A child's play life : an ethnographic study / Diana Kelly-Byrne.</t>
        </is>
      </c>
      <c r="F2634" t="inlineStr">
        <is>
          <t>No</t>
        </is>
      </c>
      <c r="G2634" t="inlineStr">
        <is>
          <t>1</t>
        </is>
      </c>
      <c r="H2634" t="inlineStr">
        <is>
          <t>No</t>
        </is>
      </c>
      <c r="I2634" t="inlineStr">
        <is>
          <t>No</t>
        </is>
      </c>
      <c r="J2634" t="inlineStr">
        <is>
          <t>0</t>
        </is>
      </c>
      <c r="K2634" t="inlineStr">
        <is>
          <t>Kelly-Byrne, Diana.</t>
        </is>
      </c>
      <c r="L2634" t="inlineStr">
        <is>
          <t>New York : Teachers College Press, c1989.</t>
        </is>
      </c>
      <c r="M2634" t="inlineStr">
        <is>
          <t>1989</t>
        </is>
      </c>
      <c r="O2634" t="inlineStr">
        <is>
          <t>eng</t>
        </is>
      </c>
      <c r="P2634" t="inlineStr">
        <is>
          <t>nyu</t>
        </is>
      </c>
      <c r="Q2634" t="inlineStr">
        <is>
          <t>Early childhood education series</t>
        </is>
      </c>
      <c r="R2634" t="inlineStr">
        <is>
          <t xml:space="preserve">HQ </t>
        </is>
      </c>
      <c r="S2634" t="n">
        <v>5</v>
      </c>
      <c r="T2634" t="n">
        <v>5</v>
      </c>
      <c r="U2634" t="inlineStr">
        <is>
          <t>2008-12-02</t>
        </is>
      </c>
      <c r="V2634" t="inlineStr">
        <is>
          <t>2008-12-02</t>
        </is>
      </c>
      <c r="W2634" t="inlineStr">
        <is>
          <t>1989-12-29</t>
        </is>
      </c>
      <c r="X2634" t="inlineStr">
        <is>
          <t>1989-12-29</t>
        </is>
      </c>
      <c r="Y2634" t="n">
        <v>446</v>
      </c>
      <c r="Z2634" t="n">
        <v>372</v>
      </c>
      <c r="AA2634" t="n">
        <v>731</v>
      </c>
      <c r="AB2634" t="n">
        <v>3</v>
      </c>
      <c r="AC2634" t="n">
        <v>4</v>
      </c>
      <c r="AD2634" t="n">
        <v>20</v>
      </c>
      <c r="AE2634" t="n">
        <v>27</v>
      </c>
      <c r="AF2634" t="n">
        <v>10</v>
      </c>
      <c r="AG2634" t="n">
        <v>15</v>
      </c>
      <c r="AH2634" t="n">
        <v>4</v>
      </c>
      <c r="AI2634" t="n">
        <v>5</v>
      </c>
      <c r="AJ2634" t="n">
        <v>12</v>
      </c>
      <c r="AK2634" t="n">
        <v>14</v>
      </c>
      <c r="AL2634" t="n">
        <v>2</v>
      </c>
      <c r="AM2634" t="n">
        <v>3</v>
      </c>
      <c r="AN2634" t="n">
        <v>0</v>
      </c>
      <c r="AO2634" t="n">
        <v>0</v>
      </c>
      <c r="AP2634" t="inlineStr">
        <is>
          <t>No</t>
        </is>
      </c>
      <c r="AQ2634" t="inlineStr">
        <is>
          <t>No</t>
        </is>
      </c>
      <c r="AS2634">
        <f>HYPERLINK("https://creighton-primo.hosted.exlibrisgroup.com/primo-explore/search?tab=default_tab&amp;search_scope=EVERYTHING&amp;vid=01CRU&amp;lang=en_US&amp;offset=0&amp;query=any,contains,991001444529702656","Catalog Record")</f>
        <v/>
      </c>
      <c r="AT2634">
        <f>HYPERLINK("http://www.worldcat.org/oclc/19267700","WorldCat Record")</f>
        <v/>
      </c>
      <c r="AU2634" t="inlineStr">
        <is>
          <t>799516708:eng</t>
        </is>
      </c>
      <c r="AV2634" t="inlineStr">
        <is>
          <t>19267700</t>
        </is>
      </c>
      <c r="AW2634" t="inlineStr">
        <is>
          <t>991001444529702656</t>
        </is>
      </c>
      <c r="AX2634" t="inlineStr">
        <is>
          <t>991001444529702656</t>
        </is>
      </c>
      <c r="AY2634" t="inlineStr">
        <is>
          <t>2268083680002656</t>
        </is>
      </c>
      <c r="AZ2634" t="inlineStr">
        <is>
          <t>BOOK</t>
        </is>
      </c>
      <c r="BB2634" t="inlineStr">
        <is>
          <t>9780807729427</t>
        </is>
      </c>
      <c r="BC2634" t="inlineStr">
        <is>
          <t>32285000026053</t>
        </is>
      </c>
      <c r="BD2634" t="inlineStr">
        <is>
          <t>893261837</t>
        </is>
      </c>
    </row>
    <row r="2635">
      <c r="A2635" t="inlineStr">
        <is>
          <t>No</t>
        </is>
      </c>
      <c r="B2635" t="inlineStr">
        <is>
          <t>HQ782 .M47</t>
        </is>
      </c>
      <c r="C2635" t="inlineStr">
        <is>
          <t>0                      HQ 0782000M  47</t>
        </is>
      </c>
      <c r="D2635" t="inlineStr">
        <is>
          <t>Play and playthings : a reference guide / Bernard Mergen.</t>
        </is>
      </c>
      <c r="F2635" t="inlineStr">
        <is>
          <t>No</t>
        </is>
      </c>
      <c r="G2635" t="inlineStr">
        <is>
          <t>1</t>
        </is>
      </c>
      <c r="H2635" t="inlineStr">
        <is>
          <t>No</t>
        </is>
      </c>
      <c r="I2635" t="inlineStr">
        <is>
          <t>No</t>
        </is>
      </c>
      <c r="J2635" t="inlineStr">
        <is>
          <t>0</t>
        </is>
      </c>
      <c r="K2635" t="inlineStr">
        <is>
          <t>Mergen, Bernard.</t>
        </is>
      </c>
      <c r="L2635" t="inlineStr">
        <is>
          <t>Westport, Conn. : Greenwood Press, c1982.</t>
        </is>
      </c>
      <c r="M2635" t="inlineStr">
        <is>
          <t>1983</t>
        </is>
      </c>
      <c r="O2635" t="inlineStr">
        <is>
          <t>eng</t>
        </is>
      </c>
      <c r="P2635" t="inlineStr">
        <is>
          <t>ctu</t>
        </is>
      </c>
      <c r="Q2635" t="inlineStr">
        <is>
          <t>American popular culture, 0193-6859</t>
        </is>
      </c>
      <c r="R2635" t="inlineStr">
        <is>
          <t xml:space="preserve">HQ </t>
        </is>
      </c>
      <c r="S2635" t="n">
        <v>2</v>
      </c>
      <c r="T2635" t="n">
        <v>2</v>
      </c>
      <c r="U2635" t="inlineStr">
        <is>
          <t>2009-06-23</t>
        </is>
      </c>
      <c r="V2635" t="inlineStr">
        <is>
          <t>2009-06-23</t>
        </is>
      </c>
      <c r="W2635" t="inlineStr">
        <is>
          <t>1992-11-12</t>
        </is>
      </c>
      <c r="X2635" t="inlineStr">
        <is>
          <t>1992-11-12</t>
        </is>
      </c>
      <c r="Y2635" t="n">
        <v>613</v>
      </c>
      <c r="Z2635" t="n">
        <v>537</v>
      </c>
      <c r="AA2635" t="n">
        <v>543</v>
      </c>
      <c r="AB2635" t="n">
        <v>3</v>
      </c>
      <c r="AC2635" t="n">
        <v>3</v>
      </c>
      <c r="AD2635" t="n">
        <v>15</v>
      </c>
      <c r="AE2635" t="n">
        <v>15</v>
      </c>
      <c r="AF2635" t="n">
        <v>5</v>
      </c>
      <c r="AG2635" t="n">
        <v>5</v>
      </c>
      <c r="AH2635" t="n">
        <v>3</v>
      </c>
      <c r="AI2635" t="n">
        <v>3</v>
      </c>
      <c r="AJ2635" t="n">
        <v>8</v>
      </c>
      <c r="AK2635" t="n">
        <v>8</v>
      </c>
      <c r="AL2635" t="n">
        <v>2</v>
      </c>
      <c r="AM2635" t="n">
        <v>2</v>
      </c>
      <c r="AN2635" t="n">
        <v>0</v>
      </c>
      <c r="AO2635" t="n">
        <v>0</v>
      </c>
      <c r="AP2635" t="inlineStr">
        <is>
          <t>No</t>
        </is>
      </c>
      <c r="AQ2635" t="inlineStr">
        <is>
          <t>Yes</t>
        </is>
      </c>
      <c r="AR2635">
        <f>HYPERLINK("http://catalog.hathitrust.org/Record/000195271","HathiTrust Record")</f>
        <v/>
      </c>
      <c r="AS2635">
        <f>HYPERLINK("https://creighton-primo.hosted.exlibrisgroup.com/primo-explore/search?tab=default_tab&amp;search_scope=EVERYTHING&amp;vid=01CRU&amp;lang=en_US&amp;offset=0&amp;query=any,contains,991005239499702656","Catalog Record")</f>
        <v/>
      </c>
      <c r="AT2635">
        <f>HYPERLINK("http://www.worldcat.org/oclc/8408887","WorldCat Record")</f>
        <v/>
      </c>
      <c r="AU2635" t="inlineStr">
        <is>
          <t>233212592:eng</t>
        </is>
      </c>
      <c r="AV2635" t="inlineStr">
        <is>
          <t>8408887</t>
        </is>
      </c>
      <c r="AW2635" t="inlineStr">
        <is>
          <t>991005239499702656</t>
        </is>
      </c>
      <c r="AX2635" t="inlineStr">
        <is>
          <t>991005239499702656</t>
        </is>
      </c>
      <c r="AY2635" t="inlineStr">
        <is>
          <t>2272615740002656</t>
        </is>
      </c>
      <c r="AZ2635" t="inlineStr">
        <is>
          <t>BOOK</t>
        </is>
      </c>
      <c r="BB2635" t="inlineStr">
        <is>
          <t>9780313221361</t>
        </is>
      </c>
      <c r="BC2635" t="inlineStr">
        <is>
          <t>32285001395804</t>
        </is>
      </c>
      <c r="BD2635" t="inlineStr">
        <is>
          <t>893701244</t>
        </is>
      </c>
    </row>
    <row r="2636">
      <c r="A2636" t="inlineStr">
        <is>
          <t>No</t>
        </is>
      </c>
      <c r="B2636" t="inlineStr">
        <is>
          <t>HQ782 .M87 1986</t>
        </is>
      </c>
      <c r="C2636" t="inlineStr">
        <is>
          <t>0                      HQ 0782000M  87          1986</t>
        </is>
      </c>
      <c r="D2636" t="inlineStr">
        <is>
          <t>Adaptive play for special needs children : strategies to enhance communication and learning / Caroline Ramsey Musselwhite.</t>
        </is>
      </c>
      <c r="F2636" t="inlineStr">
        <is>
          <t>No</t>
        </is>
      </c>
      <c r="G2636" t="inlineStr">
        <is>
          <t>1</t>
        </is>
      </c>
      <c r="H2636" t="inlineStr">
        <is>
          <t>No</t>
        </is>
      </c>
      <c r="I2636" t="inlineStr">
        <is>
          <t>No</t>
        </is>
      </c>
      <c r="J2636" t="inlineStr">
        <is>
          <t>0</t>
        </is>
      </c>
      <c r="K2636" t="inlineStr">
        <is>
          <t>Musselwhite, Caroline Ramsey.</t>
        </is>
      </c>
      <c r="L2636" t="inlineStr">
        <is>
          <t>San Diego, CA : College-Hill Press, c1986.</t>
        </is>
      </c>
      <c r="M2636" t="inlineStr">
        <is>
          <t>1986</t>
        </is>
      </c>
      <c r="O2636" t="inlineStr">
        <is>
          <t>eng</t>
        </is>
      </c>
      <c r="P2636" t="inlineStr">
        <is>
          <t>cau</t>
        </is>
      </c>
      <c r="R2636" t="inlineStr">
        <is>
          <t xml:space="preserve">HQ </t>
        </is>
      </c>
      <c r="S2636" t="n">
        <v>5</v>
      </c>
      <c r="T2636" t="n">
        <v>5</v>
      </c>
      <c r="U2636" t="inlineStr">
        <is>
          <t>1997-09-17</t>
        </is>
      </c>
      <c r="V2636" t="inlineStr">
        <is>
          <t>1997-09-17</t>
        </is>
      </c>
      <c r="W2636" t="inlineStr">
        <is>
          <t>1992-11-12</t>
        </is>
      </c>
      <c r="X2636" t="inlineStr">
        <is>
          <t>1992-11-12</t>
        </is>
      </c>
      <c r="Y2636" t="n">
        <v>529</v>
      </c>
      <c r="Z2636" t="n">
        <v>471</v>
      </c>
      <c r="AA2636" t="n">
        <v>520</v>
      </c>
      <c r="AB2636" t="n">
        <v>5</v>
      </c>
      <c r="AC2636" t="n">
        <v>5</v>
      </c>
      <c r="AD2636" t="n">
        <v>23</v>
      </c>
      <c r="AE2636" t="n">
        <v>24</v>
      </c>
      <c r="AF2636" t="n">
        <v>13</v>
      </c>
      <c r="AG2636" t="n">
        <v>14</v>
      </c>
      <c r="AH2636" t="n">
        <v>3</v>
      </c>
      <c r="AI2636" t="n">
        <v>3</v>
      </c>
      <c r="AJ2636" t="n">
        <v>9</v>
      </c>
      <c r="AK2636" t="n">
        <v>9</v>
      </c>
      <c r="AL2636" t="n">
        <v>4</v>
      </c>
      <c r="AM2636" t="n">
        <v>4</v>
      </c>
      <c r="AN2636" t="n">
        <v>0</v>
      </c>
      <c r="AO2636" t="n">
        <v>0</v>
      </c>
      <c r="AP2636" t="inlineStr">
        <is>
          <t>No</t>
        </is>
      </c>
      <c r="AQ2636" t="inlineStr">
        <is>
          <t>Yes</t>
        </is>
      </c>
      <c r="AR2636">
        <f>HYPERLINK("http://catalog.hathitrust.org/Record/007472179","HathiTrust Record")</f>
        <v/>
      </c>
      <c r="AS2636">
        <f>HYPERLINK("https://creighton-primo.hosted.exlibrisgroup.com/primo-explore/search?tab=default_tab&amp;search_scope=EVERYTHING&amp;vid=01CRU&amp;lang=en_US&amp;offset=0&amp;query=any,contains,991000639769702656","Catalog Record")</f>
        <v/>
      </c>
      <c r="AT2636">
        <f>HYPERLINK("http://www.worldcat.org/oclc/12103379","WorldCat Record")</f>
        <v/>
      </c>
      <c r="AU2636" t="inlineStr">
        <is>
          <t>4800128:eng</t>
        </is>
      </c>
      <c r="AV2636" t="inlineStr">
        <is>
          <t>12103379</t>
        </is>
      </c>
      <c r="AW2636" t="inlineStr">
        <is>
          <t>991000639769702656</t>
        </is>
      </c>
      <c r="AX2636" t="inlineStr">
        <is>
          <t>991000639769702656</t>
        </is>
      </c>
      <c r="AY2636" t="inlineStr">
        <is>
          <t>2260731480002656</t>
        </is>
      </c>
      <c r="AZ2636" t="inlineStr">
        <is>
          <t>BOOK</t>
        </is>
      </c>
      <c r="BB2636" t="inlineStr">
        <is>
          <t>9780887441394</t>
        </is>
      </c>
      <c r="BC2636" t="inlineStr">
        <is>
          <t>32285001395812</t>
        </is>
      </c>
      <c r="BD2636" t="inlineStr">
        <is>
          <t>893689896</t>
        </is>
      </c>
    </row>
    <row r="2637">
      <c r="A2637" t="inlineStr">
        <is>
          <t>No</t>
        </is>
      </c>
      <c r="B2637" t="inlineStr">
        <is>
          <t>HQ782 .P47 1982</t>
        </is>
      </c>
      <c r="C2637" t="inlineStr">
        <is>
          <t>0                      HQ 0782000P  47          1982</t>
        </is>
      </c>
      <c r="D2637" t="inlineStr">
        <is>
          <t>The Play of children : current theory and research / volume editors, D.J. Pepler, K.H. Rubin.</t>
        </is>
      </c>
      <c r="F2637" t="inlineStr">
        <is>
          <t>No</t>
        </is>
      </c>
      <c r="G2637" t="inlineStr">
        <is>
          <t>1</t>
        </is>
      </c>
      <c r="H2637" t="inlineStr">
        <is>
          <t>No</t>
        </is>
      </c>
      <c r="I2637" t="inlineStr">
        <is>
          <t>No</t>
        </is>
      </c>
      <c r="J2637" t="inlineStr">
        <is>
          <t>0</t>
        </is>
      </c>
      <c r="L2637" t="inlineStr">
        <is>
          <t>Basel ; New York : Karger, 1982.</t>
        </is>
      </c>
      <c r="M2637" t="inlineStr">
        <is>
          <t>1982</t>
        </is>
      </c>
      <c r="O2637" t="inlineStr">
        <is>
          <t>eng</t>
        </is>
      </c>
      <c r="P2637" t="inlineStr">
        <is>
          <t xml:space="preserve">sz </t>
        </is>
      </c>
      <c r="Q2637" t="inlineStr">
        <is>
          <t>Contributions to human development ; v. 6</t>
        </is>
      </c>
      <c r="R2637" t="inlineStr">
        <is>
          <t xml:space="preserve">HQ </t>
        </is>
      </c>
      <c r="S2637" t="n">
        <v>9</v>
      </c>
      <c r="T2637" t="n">
        <v>9</v>
      </c>
      <c r="U2637" t="inlineStr">
        <is>
          <t>2008-12-02</t>
        </is>
      </c>
      <c r="V2637" t="inlineStr">
        <is>
          <t>2008-12-02</t>
        </is>
      </c>
      <c r="W2637" t="inlineStr">
        <is>
          <t>1990-04-17</t>
        </is>
      </c>
      <c r="X2637" t="inlineStr">
        <is>
          <t>1990-04-17</t>
        </is>
      </c>
      <c r="Y2637" t="n">
        <v>382</v>
      </c>
      <c r="Z2637" t="n">
        <v>252</v>
      </c>
      <c r="AA2637" t="n">
        <v>270</v>
      </c>
      <c r="AB2637" t="n">
        <v>3</v>
      </c>
      <c r="AC2637" t="n">
        <v>3</v>
      </c>
      <c r="AD2637" t="n">
        <v>14</v>
      </c>
      <c r="AE2637" t="n">
        <v>14</v>
      </c>
      <c r="AF2637" t="n">
        <v>3</v>
      </c>
      <c r="AG2637" t="n">
        <v>3</v>
      </c>
      <c r="AH2637" t="n">
        <v>4</v>
      </c>
      <c r="AI2637" t="n">
        <v>4</v>
      </c>
      <c r="AJ2637" t="n">
        <v>7</v>
      </c>
      <c r="AK2637" t="n">
        <v>7</v>
      </c>
      <c r="AL2637" t="n">
        <v>2</v>
      </c>
      <c r="AM2637" t="n">
        <v>2</v>
      </c>
      <c r="AN2637" t="n">
        <v>0</v>
      </c>
      <c r="AO2637" t="n">
        <v>0</v>
      </c>
      <c r="AP2637" t="inlineStr">
        <is>
          <t>No</t>
        </is>
      </c>
      <c r="AQ2637" t="inlineStr">
        <is>
          <t>Yes</t>
        </is>
      </c>
      <c r="AR2637">
        <f>HYPERLINK("http://catalog.hathitrust.org/Record/000310719","HathiTrust Record")</f>
        <v/>
      </c>
      <c r="AS2637">
        <f>HYPERLINK("https://creighton-primo.hosted.exlibrisgroup.com/primo-explore/search?tab=default_tab&amp;search_scope=EVERYTHING&amp;vid=01CRU&amp;lang=en_US&amp;offset=0&amp;query=any,contains,991000044209702656","Catalog Record")</f>
        <v/>
      </c>
      <c r="AT2637">
        <f>HYPERLINK("http://www.worldcat.org/oclc/8667382","WorldCat Record")</f>
        <v/>
      </c>
      <c r="AU2637" t="inlineStr">
        <is>
          <t>155442777:eng</t>
        </is>
      </c>
      <c r="AV2637" t="inlineStr">
        <is>
          <t>8667382</t>
        </is>
      </c>
      <c r="AW2637" t="inlineStr">
        <is>
          <t>991000044209702656</t>
        </is>
      </c>
      <c r="AX2637" t="inlineStr">
        <is>
          <t>991000044209702656</t>
        </is>
      </c>
      <c r="AY2637" t="inlineStr">
        <is>
          <t>2271167460002656</t>
        </is>
      </c>
      <c r="AZ2637" t="inlineStr">
        <is>
          <t>BOOK</t>
        </is>
      </c>
      <c r="BB2637" t="inlineStr">
        <is>
          <t>9783805535403</t>
        </is>
      </c>
      <c r="BC2637" t="inlineStr">
        <is>
          <t>32285000121144</t>
        </is>
      </c>
      <c r="BD2637" t="inlineStr">
        <is>
          <t>893495857</t>
        </is>
      </c>
    </row>
    <row r="2638">
      <c r="A2638" t="inlineStr">
        <is>
          <t>No</t>
        </is>
      </c>
      <c r="B2638" t="inlineStr">
        <is>
          <t>HQ782 .P52</t>
        </is>
      </c>
      <c r="C2638" t="inlineStr">
        <is>
          <t>0                      HQ 0782000P  52</t>
        </is>
      </c>
      <c r="D2638" t="inlineStr">
        <is>
          <t>Play, its role in development and evolution / edited by Jerome S. Bruner, Alison Jolly, Kathy Sylva.</t>
        </is>
      </c>
      <c r="F2638" t="inlineStr">
        <is>
          <t>No</t>
        </is>
      </c>
      <c r="G2638" t="inlineStr">
        <is>
          <t>1</t>
        </is>
      </c>
      <c r="H2638" t="inlineStr">
        <is>
          <t>No</t>
        </is>
      </c>
      <c r="I2638" t="inlineStr">
        <is>
          <t>No</t>
        </is>
      </c>
      <c r="J2638" t="inlineStr">
        <is>
          <t>0</t>
        </is>
      </c>
      <c r="L2638" t="inlineStr">
        <is>
          <t>New York : Basic Books, 1976.</t>
        </is>
      </c>
      <c r="M2638" t="inlineStr">
        <is>
          <t>1976</t>
        </is>
      </c>
      <c r="O2638" t="inlineStr">
        <is>
          <t>eng</t>
        </is>
      </c>
      <c r="P2638" t="inlineStr">
        <is>
          <t>nyu</t>
        </is>
      </c>
      <c r="R2638" t="inlineStr">
        <is>
          <t xml:space="preserve">HQ </t>
        </is>
      </c>
      <c r="S2638" t="n">
        <v>3</v>
      </c>
      <c r="T2638" t="n">
        <v>3</v>
      </c>
      <c r="U2638" t="inlineStr">
        <is>
          <t>2002-03-24</t>
        </is>
      </c>
      <c r="V2638" t="inlineStr">
        <is>
          <t>2002-03-24</t>
        </is>
      </c>
      <c r="W2638" t="inlineStr">
        <is>
          <t>1997-08-13</t>
        </is>
      </c>
      <c r="X2638" t="inlineStr">
        <is>
          <t>1997-08-13</t>
        </is>
      </c>
      <c r="Y2638" t="n">
        <v>847</v>
      </c>
      <c r="Z2638" t="n">
        <v>749</v>
      </c>
      <c r="AA2638" t="n">
        <v>799</v>
      </c>
      <c r="AB2638" t="n">
        <v>6</v>
      </c>
      <c r="AC2638" t="n">
        <v>6</v>
      </c>
      <c r="AD2638" t="n">
        <v>35</v>
      </c>
      <c r="AE2638" t="n">
        <v>37</v>
      </c>
      <c r="AF2638" t="n">
        <v>15</v>
      </c>
      <c r="AG2638" t="n">
        <v>15</v>
      </c>
      <c r="AH2638" t="n">
        <v>8</v>
      </c>
      <c r="AI2638" t="n">
        <v>9</v>
      </c>
      <c r="AJ2638" t="n">
        <v>16</v>
      </c>
      <c r="AK2638" t="n">
        <v>18</v>
      </c>
      <c r="AL2638" t="n">
        <v>5</v>
      </c>
      <c r="AM2638" t="n">
        <v>5</v>
      </c>
      <c r="AN2638" t="n">
        <v>0</v>
      </c>
      <c r="AO2638" t="n">
        <v>0</v>
      </c>
      <c r="AP2638" t="inlineStr">
        <is>
          <t>No</t>
        </is>
      </c>
      <c r="AQ2638" t="inlineStr">
        <is>
          <t>Yes</t>
        </is>
      </c>
      <c r="AR2638">
        <f>HYPERLINK("http://catalog.hathitrust.org/Record/000087101","HathiTrust Record")</f>
        <v/>
      </c>
      <c r="AS2638">
        <f>HYPERLINK("https://creighton-primo.hosted.exlibrisgroup.com/primo-explore/search?tab=default_tab&amp;search_scope=EVERYTHING&amp;vid=01CRU&amp;lang=en_US&amp;offset=0&amp;query=any,contains,991004179569702656","Catalog Record")</f>
        <v/>
      </c>
      <c r="AT2638">
        <f>HYPERLINK("http://www.worldcat.org/oclc/2600450","WorldCat Record")</f>
        <v/>
      </c>
      <c r="AU2638" t="inlineStr">
        <is>
          <t>4921192479:eng</t>
        </is>
      </c>
      <c r="AV2638" t="inlineStr">
        <is>
          <t>2600450</t>
        </is>
      </c>
      <c r="AW2638" t="inlineStr">
        <is>
          <t>991004179569702656</t>
        </is>
      </c>
      <c r="AX2638" t="inlineStr">
        <is>
          <t>991004179569702656</t>
        </is>
      </c>
      <c r="AY2638" t="inlineStr">
        <is>
          <t>2270984020002656</t>
        </is>
      </c>
      <c r="AZ2638" t="inlineStr">
        <is>
          <t>BOOK</t>
        </is>
      </c>
      <c r="BB2638" t="inlineStr">
        <is>
          <t>9780465057818</t>
        </is>
      </c>
      <c r="BC2638" t="inlineStr">
        <is>
          <t>32285003101705</t>
        </is>
      </c>
      <c r="BD2638" t="inlineStr">
        <is>
          <t>893882145</t>
        </is>
      </c>
    </row>
    <row r="2639">
      <c r="A2639" t="inlineStr">
        <is>
          <t>No</t>
        </is>
      </c>
      <c r="B2639" t="inlineStr">
        <is>
          <t>HQ782 .S39</t>
        </is>
      </c>
      <c r="C2639" t="inlineStr">
        <is>
          <t>0                      HQ 0782000S  39</t>
        </is>
      </c>
      <c r="D2639" t="inlineStr">
        <is>
          <t>Just pretending : ways to help children grow through imaginative play / Marilyn Segal, Don Adcock.</t>
        </is>
      </c>
      <c r="F2639" t="inlineStr">
        <is>
          <t>No</t>
        </is>
      </c>
      <c r="G2639" t="inlineStr">
        <is>
          <t>1</t>
        </is>
      </c>
      <c r="H2639" t="inlineStr">
        <is>
          <t>No</t>
        </is>
      </c>
      <c r="I2639" t="inlineStr">
        <is>
          <t>No</t>
        </is>
      </c>
      <c r="J2639" t="inlineStr">
        <is>
          <t>0</t>
        </is>
      </c>
      <c r="K2639" t="inlineStr">
        <is>
          <t>Segal, Marilyn M.</t>
        </is>
      </c>
      <c r="L2639" t="inlineStr">
        <is>
          <t>Englewood Cliffs, N.J. : Prentice-Hall, c1981.</t>
        </is>
      </c>
      <c r="M2639" t="inlineStr">
        <is>
          <t>1981</t>
        </is>
      </c>
      <c r="O2639" t="inlineStr">
        <is>
          <t>eng</t>
        </is>
      </c>
      <c r="P2639" t="inlineStr">
        <is>
          <t>nju</t>
        </is>
      </c>
      <c r="Q2639" t="inlineStr">
        <is>
          <t>A Spectrum book</t>
        </is>
      </c>
      <c r="R2639" t="inlineStr">
        <is>
          <t xml:space="preserve">HQ </t>
        </is>
      </c>
      <c r="S2639" t="n">
        <v>3</v>
      </c>
      <c r="T2639" t="n">
        <v>3</v>
      </c>
      <c r="U2639" t="inlineStr">
        <is>
          <t>1995-10-04</t>
        </is>
      </c>
      <c r="V2639" t="inlineStr">
        <is>
          <t>1995-10-04</t>
        </is>
      </c>
      <c r="W2639" t="inlineStr">
        <is>
          <t>1990-04-10</t>
        </is>
      </c>
      <c r="X2639" t="inlineStr">
        <is>
          <t>1990-04-10</t>
        </is>
      </c>
      <c r="Y2639" t="n">
        <v>302</v>
      </c>
      <c r="Z2639" t="n">
        <v>253</v>
      </c>
      <c r="AA2639" t="n">
        <v>258</v>
      </c>
      <c r="AB2639" t="n">
        <v>3</v>
      </c>
      <c r="AC2639" t="n">
        <v>3</v>
      </c>
      <c r="AD2639" t="n">
        <v>4</v>
      </c>
      <c r="AE2639" t="n">
        <v>4</v>
      </c>
      <c r="AF2639" t="n">
        <v>2</v>
      </c>
      <c r="AG2639" t="n">
        <v>2</v>
      </c>
      <c r="AH2639" t="n">
        <v>0</v>
      </c>
      <c r="AI2639" t="n">
        <v>0</v>
      </c>
      <c r="AJ2639" t="n">
        <v>1</v>
      </c>
      <c r="AK2639" t="n">
        <v>1</v>
      </c>
      <c r="AL2639" t="n">
        <v>2</v>
      </c>
      <c r="AM2639" t="n">
        <v>2</v>
      </c>
      <c r="AN2639" t="n">
        <v>0</v>
      </c>
      <c r="AO2639" t="n">
        <v>0</v>
      </c>
      <c r="AP2639" t="inlineStr">
        <is>
          <t>No</t>
        </is>
      </c>
      <c r="AQ2639" t="inlineStr">
        <is>
          <t>No</t>
        </is>
      </c>
      <c r="AS2639">
        <f>HYPERLINK("https://creighton-primo.hosted.exlibrisgroup.com/primo-explore/search?tab=default_tab&amp;search_scope=EVERYTHING&amp;vid=01CRU&amp;lang=en_US&amp;offset=0&amp;query=any,contains,991005100689702656","Catalog Record")</f>
        <v/>
      </c>
      <c r="AT2639">
        <f>HYPERLINK("http://www.worldcat.org/oclc/7283015","WorldCat Record")</f>
        <v/>
      </c>
      <c r="AU2639" t="inlineStr">
        <is>
          <t>796150124:eng</t>
        </is>
      </c>
      <c r="AV2639" t="inlineStr">
        <is>
          <t>7283015</t>
        </is>
      </c>
      <c r="AW2639" t="inlineStr">
        <is>
          <t>991005100689702656</t>
        </is>
      </c>
      <c r="AX2639" t="inlineStr">
        <is>
          <t>991005100689702656</t>
        </is>
      </c>
      <c r="AY2639" t="inlineStr">
        <is>
          <t>2257387530002656</t>
        </is>
      </c>
      <c r="AZ2639" t="inlineStr">
        <is>
          <t>BOOK</t>
        </is>
      </c>
      <c r="BB2639" t="inlineStr">
        <is>
          <t>9780135140598</t>
        </is>
      </c>
      <c r="BC2639" t="inlineStr">
        <is>
          <t>32285000120245</t>
        </is>
      </c>
      <c r="BD2639" t="inlineStr">
        <is>
          <t>893526898</t>
        </is>
      </c>
    </row>
    <row r="2640">
      <c r="A2640" t="inlineStr">
        <is>
          <t>No</t>
        </is>
      </c>
      <c r="B2640" t="inlineStr">
        <is>
          <t>HQ783 .B37 1980</t>
        </is>
      </c>
      <c r="C2640" t="inlineStr">
        <is>
          <t>0                      HQ 0783000B  37          1980</t>
        </is>
      </c>
      <c r="D2640" t="inlineStr">
        <is>
          <t>Child effects on adults / Richard Q. Bell, Lawrence V. Harper.</t>
        </is>
      </c>
      <c r="F2640" t="inlineStr">
        <is>
          <t>No</t>
        </is>
      </c>
      <c r="G2640" t="inlineStr">
        <is>
          <t>1</t>
        </is>
      </c>
      <c r="H2640" t="inlineStr">
        <is>
          <t>No</t>
        </is>
      </c>
      <c r="I2640" t="inlineStr">
        <is>
          <t>No</t>
        </is>
      </c>
      <c r="J2640" t="inlineStr">
        <is>
          <t>0</t>
        </is>
      </c>
      <c r="K2640" t="inlineStr">
        <is>
          <t>Bell, Richard Q., 1919-</t>
        </is>
      </c>
      <c r="L2640" t="inlineStr">
        <is>
          <t>Lincoln : University of Nebraska Press, [1980] c1977.</t>
        </is>
      </c>
      <c r="M2640" t="inlineStr">
        <is>
          <t>1980</t>
        </is>
      </c>
      <c r="O2640" t="inlineStr">
        <is>
          <t>eng</t>
        </is>
      </c>
      <c r="P2640" t="inlineStr">
        <is>
          <t>nbu</t>
        </is>
      </c>
      <c r="Q2640" t="inlineStr">
        <is>
          <t>Bison books in clinical psychology</t>
        </is>
      </c>
      <c r="R2640" t="inlineStr">
        <is>
          <t xml:space="preserve">HQ </t>
        </is>
      </c>
      <c r="S2640" t="n">
        <v>1</v>
      </c>
      <c r="T2640" t="n">
        <v>1</v>
      </c>
      <c r="U2640" t="inlineStr">
        <is>
          <t>1993-04-20</t>
        </is>
      </c>
      <c r="V2640" t="inlineStr">
        <is>
          <t>1993-04-20</t>
        </is>
      </c>
      <c r="W2640" t="inlineStr">
        <is>
          <t>1992-11-12</t>
        </is>
      </c>
      <c r="X2640" t="inlineStr">
        <is>
          <t>1992-11-12</t>
        </is>
      </c>
      <c r="Y2640" t="n">
        <v>135</v>
      </c>
      <c r="Z2640" t="n">
        <v>109</v>
      </c>
      <c r="AA2640" t="n">
        <v>476</v>
      </c>
      <c r="AB2640" t="n">
        <v>4</v>
      </c>
      <c r="AC2640" t="n">
        <v>6</v>
      </c>
      <c r="AD2640" t="n">
        <v>8</v>
      </c>
      <c r="AE2640" t="n">
        <v>21</v>
      </c>
      <c r="AF2640" t="n">
        <v>3</v>
      </c>
      <c r="AG2640" t="n">
        <v>5</v>
      </c>
      <c r="AH2640" t="n">
        <v>1</v>
      </c>
      <c r="AI2640" t="n">
        <v>6</v>
      </c>
      <c r="AJ2640" t="n">
        <v>4</v>
      </c>
      <c r="AK2640" t="n">
        <v>11</v>
      </c>
      <c r="AL2640" t="n">
        <v>3</v>
      </c>
      <c r="AM2640" t="n">
        <v>4</v>
      </c>
      <c r="AN2640" t="n">
        <v>0</v>
      </c>
      <c r="AO2640" t="n">
        <v>0</v>
      </c>
      <c r="AP2640" t="inlineStr">
        <is>
          <t>No</t>
        </is>
      </c>
      <c r="AQ2640" t="inlineStr">
        <is>
          <t>Yes</t>
        </is>
      </c>
      <c r="AR2640">
        <f>HYPERLINK("http://catalog.hathitrust.org/Record/101648000","HathiTrust Record")</f>
        <v/>
      </c>
      <c r="AS2640">
        <f>HYPERLINK("https://creighton-primo.hosted.exlibrisgroup.com/primo-explore/search?tab=default_tab&amp;search_scope=EVERYTHING&amp;vid=01CRU&amp;lang=en_US&amp;offset=0&amp;query=any,contains,991005265099702656","Catalog Record")</f>
        <v/>
      </c>
      <c r="AT2640">
        <f>HYPERLINK("http://www.worldcat.org/oclc/6379034","WorldCat Record")</f>
        <v/>
      </c>
      <c r="AU2640" t="inlineStr">
        <is>
          <t>455515:eng</t>
        </is>
      </c>
      <c r="AV2640" t="inlineStr">
        <is>
          <t>6379034</t>
        </is>
      </c>
      <c r="AW2640" t="inlineStr">
        <is>
          <t>991005265099702656</t>
        </is>
      </c>
      <c r="AX2640" t="inlineStr">
        <is>
          <t>991005265099702656</t>
        </is>
      </c>
      <c r="AY2640" t="inlineStr">
        <is>
          <t>2270744580002656</t>
        </is>
      </c>
      <c r="AZ2640" t="inlineStr">
        <is>
          <t>BOOK</t>
        </is>
      </c>
      <c r="BB2640" t="inlineStr">
        <is>
          <t>9780803260580</t>
        </is>
      </c>
      <c r="BC2640" t="inlineStr">
        <is>
          <t>32285001395820</t>
        </is>
      </c>
      <c r="BD2640" t="inlineStr">
        <is>
          <t>893443685</t>
        </is>
      </c>
    </row>
    <row r="2641">
      <c r="A2641" t="inlineStr">
        <is>
          <t>No</t>
        </is>
      </c>
      <c r="B2641" t="inlineStr">
        <is>
          <t>HQ783 .B56 1982</t>
        </is>
      </c>
      <c r="C2641" t="inlineStr">
        <is>
          <t>0                      HQ 0783000B  56          1982</t>
        </is>
      </c>
      <c r="D2641" t="inlineStr">
        <is>
          <t>Social development / Ruth Blunden.</t>
        </is>
      </c>
      <c r="F2641" t="inlineStr">
        <is>
          <t>No</t>
        </is>
      </c>
      <c r="G2641" t="inlineStr">
        <is>
          <t>1</t>
        </is>
      </c>
      <c r="H2641" t="inlineStr">
        <is>
          <t>No</t>
        </is>
      </c>
      <c r="I2641" t="inlineStr">
        <is>
          <t>No</t>
        </is>
      </c>
      <c r="J2641" t="inlineStr">
        <is>
          <t>0</t>
        </is>
      </c>
      <c r="K2641" t="inlineStr">
        <is>
          <t>Blunden, Ruth.</t>
        </is>
      </c>
      <c r="L2641" t="inlineStr">
        <is>
          <t>Lancaster [Lancashire] ; Boston : MTP Press, c1982.</t>
        </is>
      </c>
      <c r="M2641" t="inlineStr">
        <is>
          <t>1982</t>
        </is>
      </c>
      <c r="O2641" t="inlineStr">
        <is>
          <t>eng</t>
        </is>
      </c>
      <c r="P2641" t="inlineStr">
        <is>
          <t>enk</t>
        </is>
      </c>
      <c r="Q2641" t="inlineStr">
        <is>
          <t>Studies in developmental paediatrics ; v. 4</t>
        </is>
      </c>
      <c r="R2641" t="inlineStr">
        <is>
          <t xml:space="preserve">HQ </t>
        </is>
      </c>
      <c r="S2641" t="n">
        <v>4</v>
      </c>
      <c r="T2641" t="n">
        <v>4</v>
      </c>
      <c r="U2641" t="inlineStr">
        <is>
          <t>1996-03-23</t>
        </is>
      </c>
      <c r="V2641" t="inlineStr">
        <is>
          <t>1996-03-23</t>
        </is>
      </c>
      <c r="W2641" t="inlineStr">
        <is>
          <t>1992-11-12</t>
        </is>
      </c>
      <c r="X2641" t="inlineStr">
        <is>
          <t>1992-11-12</t>
        </is>
      </c>
      <c r="Y2641" t="n">
        <v>124</v>
      </c>
      <c r="Z2641" t="n">
        <v>84</v>
      </c>
      <c r="AA2641" t="n">
        <v>89</v>
      </c>
      <c r="AB2641" t="n">
        <v>1</v>
      </c>
      <c r="AC2641" t="n">
        <v>1</v>
      </c>
      <c r="AD2641" t="n">
        <v>0</v>
      </c>
      <c r="AE2641" t="n">
        <v>0</v>
      </c>
      <c r="AF2641" t="n">
        <v>0</v>
      </c>
      <c r="AG2641" t="n">
        <v>0</v>
      </c>
      <c r="AH2641" t="n">
        <v>0</v>
      </c>
      <c r="AI2641" t="n">
        <v>0</v>
      </c>
      <c r="AJ2641" t="n">
        <v>0</v>
      </c>
      <c r="AK2641" t="n">
        <v>0</v>
      </c>
      <c r="AL2641" t="n">
        <v>0</v>
      </c>
      <c r="AM2641" t="n">
        <v>0</v>
      </c>
      <c r="AN2641" t="n">
        <v>0</v>
      </c>
      <c r="AO2641" t="n">
        <v>0</v>
      </c>
      <c r="AP2641" t="inlineStr">
        <is>
          <t>No</t>
        </is>
      </c>
      <c r="AQ2641" t="inlineStr">
        <is>
          <t>Yes</t>
        </is>
      </c>
      <c r="AR2641">
        <f>HYPERLINK("http://catalog.hathitrust.org/Record/000147851","HathiTrust Record")</f>
        <v/>
      </c>
      <c r="AS2641">
        <f>HYPERLINK("https://creighton-primo.hosted.exlibrisgroup.com/primo-explore/search?tab=default_tab&amp;search_scope=EVERYTHING&amp;vid=01CRU&amp;lang=en_US&amp;offset=0&amp;query=any,contains,991005198649702656","Catalog Record")</f>
        <v/>
      </c>
      <c r="AT2641">
        <f>HYPERLINK("http://www.worldcat.org/oclc/8052918","WorldCat Record")</f>
        <v/>
      </c>
      <c r="AU2641" t="inlineStr">
        <is>
          <t>509415:eng</t>
        </is>
      </c>
      <c r="AV2641" t="inlineStr">
        <is>
          <t>8052918</t>
        </is>
      </c>
      <c r="AW2641" t="inlineStr">
        <is>
          <t>991005198649702656</t>
        </is>
      </c>
      <c r="AX2641" t="inlineStr">
        <is>
          <t>991005198649702656</t>
        </is>
      </c>
      <c r="AY2641" t="inlineStr">
        <is>
          <t>2256212480002656</t>
        </is>
      </c>
      <c r="AZ2641" t="inlineStr">
        <is>
          <t>BOOK</t>
        </is>
      </c>
      <c r="BB2641" t="inlineStr">
        <is>
          <t>9780852003046</t>
        </is>
      </c>
      <c r="BC2641" t="inlineStr">
        <is>
          <t>32285001395838</t>
        </is>
      </c>
      <c r="BD2641" t="inlineStr">
        <is>
          <t>893326351</t>
        </is>
      </c>
    </row>
    <row r="2642">
      <c r="A2642" t="inlineStr">
        <is>
          <t>No</t>
        </is>
      </c>
      <c r="B2642" t="inlineStr">
        <is>
          <t>HQ783 .C336</t>
        </is>
      </c>
      <c r="C2642" t="inlineStr">
        <is>
          <t>0                      HQ 0783000C  336</t>
        </is>
      </c>
      <c r="D2642" t="inlineStr">
        <is>
          <t>Social development : the origins and plasticity of interchanges / Robert B. Cairns.</t>
        </is>
      </c>
      <c r="F2642" t="inlineStr">
        <is>
          <t>No</t>
        </is>
      </c>
      <c r="G2642" t="inlineStr">
        <is>
          <t>1</t>
        </is>
      </c>
      <c r="H2642" t="inlineStr">
        <is>
          <t>No</t>
        </is>
      </c>
      <c r="I2642" t="inlineStr">
        <is>
          <t>No</t>
        </is>
      </c>
      <c r="J2642" t="inlineStr">
        <is>
          <t>0</t>
        </is>
      </c>
      <c r="K2642" t="inlineStr">
        <is>
          <t>Cairns, Robert B., 1933-1999.</t>
        </is>
      </c>
      <c r="L2642" t="inlineStr">
        <is>
          <t>San Francisco : Freeman, c1979.</t>
        </is>
      </c>
      <c r="M2642" t="inlineStr">
        <is>
          <t>1979</t>
        </is>
      </c>
      <c r="O2642" t="inlineStr">
        <is>
          <t>eng</t>
        </is>
      </c>
      <c r="P2642" t="inlineStr">
        <is>
          <t>cau</t>
        </is>
      </c>
      <c r="Q2642" t="inlineStr">
        <is>
          <t>A Series of books in psychology</t>
        </is>
      </c>
      <c r="R2642" t="inlineStr">
        <is>
          <t xml:space="preserve">HQ </t>
        </is>
      </c>
      <c r="S2642" t="n">
        <v>3</v>
      </c>
      <c r="T2642" t="n">
        <v>3</v>
      </c>
      <c r="U2642" t="inlineStr">
        <is>
          <t>1999-02-14</t>
        </is>
      </c>
      <c r="V2642" t="inlineStr">
        <is>
          <t>1999-02-14</t>
        </is>
      </c>
      <c r="W2642" t="inlineStr">
        <is>
          <t>1992-11-12</t>
        </is>
      </c>
      <c r="X2642" t="inlineStr">
        <is>
          <t>1992-11-12</t>
        </is>
      </c>
      <c r="Y2642" t="n">
        <v>423</v>
      </c>
      <c r="Z2642" t="n">
        <v>289</v>
      </c>
      <c r="AA2642" t="n">
        <v>289</v>
      </c>
      <c r="AB2642" t="n">
        <v>3</v>
      </c>
      <c r="AC2642" t="n">
        <v>3</v>
      </c>
      <c r="AD2642" t="n">
        <v>14</v>
      </c>
      <c r="AE2642" t="n">
        <v>14</v>
      </c>
      <c r="AF2642" t="n">
        <v>4</v>
      </c>
      <c r="AG2642" t="n">
        <v>4</v>
      </c>
      <c r="AH2642" t="n">
        <v>3</v>
      </c>
      <c r="AI2642" t="n">
        <v>3</v>
      </c>
      <c r="AJ2642" t="n">
        <v>7</v>
      </c>
      <c r="AK2642" t="n">
        <v>7</v>
      </c>
      <c r="AL2642" t="n">
        <v>2</v>
      </c>
      <c r="AM2642" t="n">
        <v>2</v>
      </c>
      <c r="AN2642" t="n">
        <v>0</v>
      </c>
      <c r="AO2642" t="n">
        <v>0</v>
      </c>
      <c r="AP2642" t="inlineStr">
        <is>
          <t>No</t>
        </is>
      </c>
      <c r="AQ2642" t="inlineStr">
        <is>
          <t>No</t>
        </is>
      </c>
      <c r="AS2642">
        <f>HYPERLINK("https://creighton-primo.hosted.exlibrisgroup.com/primo-explore/search?tab=default_tab&amp;search_scope=EVERYTHING&amp;vid=01CRU&amp;lang=en_US&amp;offset=0&amp;query=any,contains,991004610209702656","Catalog Record")</f>
        <v/>
      </c>
      <c r="AT2642">
        <f>HYPERLINK("http://www.worldcat.org/oclc/4211114","WorldCat Record")</f>
        <v/>
      </c>
      <c r="AU2642" t="inlineStr">
        <is>
          <t>889728668:eng</t>
        </is>
      </c>
      <c r="AV2642" t="inlineStr">
        <is>
          <t>4211114</t>
        </is>
      </c>
      <c r="AW2642" t="inlineStr">
        <is>
          <t>991004610209702656</t>
        </is>
      </c>
      <c r="AX2642" t="inlineStr">
        <is>
          <t>991004610209702656</t>
        </is>
      </c>
      <c r="AY2642" t="inlineStr">
        <is>
          <t>2256583800002656</t>
        </is>
      </c>
      <c r="AZ2642" t="inlineStr">
        <is>
          <t>BOOK</t>
        </is>
      </c>
      <c r="BB2642" t="inlineStr">
        <is>
          <t>9780716701958</t>
        </is>
      </c>
      <c r="BC2642" t="inlineStr">
        <is>
          <t>32285001395846</t>
        </is>
      </c>
      <c r="BD2642" t="inlineStr">
        <is>
          <t>893536108</t>
        </is>
      </c>
    </row>
    <row r="2643">
      <c r="A2643" t="inlineStr">
        <is>
          <t>No</t>
        </is>
      </c>
      <c r="B2643" t="inlineStr">
        <is>
          <t>HQ783 .C525 1988</t>
        </is>
      </c>
      <c r="C2643" t="inlineStr">
        <is>
          <t>0                      HQ 0783000C  525         1988</t>
        </is>
      </c>
      <c r="D2643" t="inlineStr">
        <is>
          <t>Childhood socialization / Gerald Handel, editor.</t>
        </is>
      </c>
      <c r="F2643" t="inlineStr">
        <is>
          <t>No</t>
        </is>
      </c>
      <c r="G2643" t="inlineStr">
        <is>
          <t>1</t>
        </is>
      </c>
      <c r="H2643" t="inlineStr">
        <is>
          <t>No</t>
        </is>
      </c>
      <c r="I2643" t="inlineStr">
        <is>
          <t>No</t>
        </is>
      </c>
      <c r="J2643" t="inlineStr">
        <is>
          <t>0</t>
        </is>
      </c>
      <c r="L2643" t="inlineStr">
        <is>
          <t>New York : Aldine de Gruyter, 1988.</t>
        </is>
      </c>
      <c r="M2643" t="inlineStr">
        <is>
          <t>1988</t>
        </is>
      </c>
      <c r="O2643" t="inlineStr">
        <is>
          <t>eng</t>
        </is>
      </c>
      <c r="P2643" t="inlineStr">
        <is>
          <t>nyu</t>
        </is>
      </c>
      <c r="R2643" t="inlineStr">
        <is>
          <t xml:space="preserve">HQ </t>
        </is>
      </c>
      <c r="S2643" t="n">
        <v>3</v>
      </c>
      <c r="T2643" t="n">
        <v>3</v>
      </c>
      <c r="U2643" t="inlineStr">
        <is>
          <t>1995-04-10</t>
        </is>
      </c>
      <c r="V2643" t="inlineStr">
        <is>
          <t>1995-04-10</t>
        </is>
      </c>
      <c r="W2643" t="inlineStr">
        <is>
          <t>1990-04-17</t>
        </is>
      </c>
      <c r="X2643" t="inlineStr">
        <is>
          <t>1990-04-17</t>
        </is>
      </c>
      <c r="Y2643" t="n">
        <v>535</v>
      </c>
      <c r="Z2643" t="n">
        <v>405</v>
      </c>
      <c r="AA2643" t="n">
        <v>515</v>
      </c>
      <c r="AB2643" t="n">
        <v>4</v>
      </c>
      <c r="AC2643" t="n">
        <v>4</v>
      </c>
      <c r="AD2643" t="n">
        <v>25</v>
      </c>
      <c r="AE2643" t="n">
        <v>28</v>
      </c>
      <c r="AF2643" t="n">
        <v>11</v>
      </c>
      <c r="AG2643" t="n">
        <v>12</v>
      </c>
      <c r="AH2643" t="n">
        <v>4</v>
      </c>
      <c r="AI2643" t="n">
        <v>5</v>
      </c>
      <c r="AJ2643" t="n">
        <v>13</v>
      </c>
      <c r="AK2643" t="n">
        <v>14</v>
      </c>
      <c r="AL2643" t="n">
        <v>3</v>
      </c>
      <c r="AM2643" t="n">
        <v>3</v>
      </c>
      <c r="AN2643" t="n">
        <v>0</v>
      </c>
      <c r="AO2643" t="n">
        <v>0</v>
      </c>
      <c r="AP2643" t="inlineStr">
        <is>
          <t>No</t>
        </is>
      </c>
      <c r="AQ2643" t="inlineStr">
        <is>
          <t>No</t>
        </is>
      </c>
      <c r="AS2643">
        <f>HYPERLINK("https://creighton-primo.hosted.exlibrisgroup.com/primo-explore/search?tab=default_tab&amp;search_scope=EVERYTHING&amp;vid=01CRU&amp;lang=en_US&amp;offset=0&amp;query=any,contains,991001351709702656","Catalog Record")</f>
        <v/>
      </c>
      <c r="AT2643">
        <f>HYPERLINK("http://www.worldcat.org/oclc/18442398","WorldCat Record")</f>
        <v/>
      </c>
      <c r="AU2643" t="inlineStr">
        <is>
          <t>55126344:eng</t>
        </is>
      </c>
      <c r="AV2643" t="inlineStr">
        <is>
          <t>18442398</t>
        </is>
      </c>
      <c r="AW2643" t="inlineStr">
        <is>
          <t>991001351709702656</t>
        </is>
      </c>
      <c r="AX2643" t="inlineStr">
        <is>
          <t>991001351709702656</t>
        </is>
      </c>
      <c r="AY2643" t="inlineStr">
        <is>
          <t>2269628520002656</t>
        </is>
      </c>
      <c r="AZ2643" t="inlineStr">
        <is>
          <t>BOOK</t>
        </is>
      </c>
      <c r="BB2643" t="inlineStr">
        <is>
          <t>9780202303369</t>
        </is>
      </c>
      <c r="BC2643" t="inlineStr">
        <is>
          <t>32285000121151</t>
        </is>
      </c>
      <c r="BD2643" t="inlineStr">
        <is>
          <t>893244061</t>
        </is>
      </c>
    </row>
    <row r="2644">
      <c r="A2644" t="inlineStr">
        <is>
          <t>No</t>
        </is>
      </c>
      <c r="B2644" t="inlineStr">
        <is>
          <t>HQ783 .D28 1977</t>
        </is>
      </c>
      <c r="C2644" t="inlineStr">
        <is>
          <t>0                      HQ 0783000D  28          1977</t>
        </is>
      </c>
      <c r="D2644" t="inlineStr">
        <is>
          <t>The social world of the child / William Damon.</t>
        </is>
      </c>
      <c r="F2644" t="inlineStr">
        <is>
          <t>No</t>
        </is>
      </c>
      <c r="G2644" t="inlineStr">
        <is>
          <t>1</t>
        </is>
      </c>
      <c r="H2644" t="inlineStr">
        <is>
          <t>No</t>
        </is>
      </c>
      <c r="I2644" t="inlineStr">
        <is>
          <t>No</t>
        </is>
      </c>
      <c r="J2644" t="inlineStr">
        <is>
          <t>0</t>
        </is>
      </c>
      <c r="K2644" t="inlineStr">
        <is>
          <t>Damon, William, 1944-</t>
        </is>
      </c>
      <c r="L2644" t="inlineStr">
        <is>
          <t>San Francisco : Jossey-Bass Publishers, c1977, 1979 printing.</t>
        </is>
      </c>
      <c r="M2644" t="inlineStr">
        <is>
          <t>1977</t>
        </is>
      </c>
      <c r="N2644" t="inlineStr">
        <is>
          <t>1st ed.</t>
        </is>
      </c>
      <c r="O2644" t="inlineStr">
        <is>
          <t>eng</t>
        </is>
      </c>
      <c r="P2644" t="inlineStr">
        <is>
          <t>cau</t>
        </is>
      </c>
      <c r="Q2644" t="inlineStr">
        <is>
          <t>The Jossey-Bass behavioral science series</t>
        </is>
      </c>
      <c r="R2644" t="inlineStr">
        <is>
          <t xml:space="preserve">HQ </t>
        </is>
      </c>
      <c r="S2644" t="n">
        <v>3</v>
      </c>
      <c r="T2644" t="n">
        <v>3</v>
      </c>
      <c r="U2644" t="inlineStr">
        <is>
          <t>2000-08-25</t>
        </is>
      </c>
      <c r="V2644" t="inlineStr">
        <is>
          <t>2000-08-25</t>
        </is>
      </c>
      <c r="W2644" t="inlineStr">
        <is>
          <t>1992-11-12</t>
        </is>
      </c>
      <c r="X2644" t="inlineStr">
        <is>
          <t>1992-11-12</t>
        </is>
      </c>
      <c r="Y2644" t="n">
        <v>969</v>
      </c>
      <c r="Z2644" t="n">
        <v>771</v>
      </c>
      <c r="AA2644" t="n">
        <v>775</v>
      </c>
      <c r="AB2644" t="n">
        <v>6</v>
      </c>
      <c r="AC2644" t="n">
        <v>6</v>
      </c>
      <c r="AD2644" t="n">
        <v>30</v>
      </c>
      <c r="AE2644" t="n">
        <v>30</v>
      </c>
      <c r="AF2644" t="n">
        <v>13</v>
      </c>
      <c r="AG2644" t="n">
        <v>13</v>
      </c>
      <c r="AH2644" t="n">
        <v>4</v>
      </c>
      <c r="AI2644" t="n">
        <v>4</v>
      </c>
      <c r="AJ2644" t="n">
        <v>16</v>
      </c>
      <c r="AK2644" t="n">
        <v>16</v>
      </c>
      <c r="AL2644" t="n">
        <v>4</v>
      </c>
      <c r="AM2644" t="n">
        <v>4</v>
      </c>
      <c r="AN2644" t="n">
        <v>0</v>
      </c>
      <c r="AO2644" t="n">
        <v>0</v>
      </c>
      <c r="AP2644" t="inlineStr">
        <is>
          <t>No</t>
        </is>
      </c>
      <c r="AQ2644" t="inlineStr">
        <is>
          <t>Yes</t>
        </is>
      </c>
      <c r="AR2644">
        <f>HYPERLINK("http://catalog.hathitrust.org/Record/000750389","HathiTrust Record")</f>
        <v/>
      </c>
      <c r="AS2644">
        <f>HYPERLINK("https://creighton-primo.hosted.exlibrisgroup.com/primo-explore/search?tab=default_tab&amp;search_scope=EVERYTHING&amp;vid=01CRU&amp;lang=en_US&amp;offset=0&amp;query=any,contains,991005371039702656","Catalog Record")</f>
        <v/>
      </c>
      <c r="AT2644">
        <f>HYPERLINK("http://www.worldcat.org/oclc/3366034","WorldCat Record")</f>
        <v/>
      </c>
      <c r="AU2644" t="inlineStr">
        <is>
          <t>9581289:eng</t>
        </is>
      </c>
      <c r="AV2644" t="inlineStr">
        <is>
          <t>3366034</t>
        </is>
      </c>
      <c r="AW2644" t="inlineStr">
        <is>
          <t>991005371039702656</t>
        </is>
      </c>
      <c r="AX2644" t="inlineStr">
        <is>
          <t>991005371039702656</t>
        </is>
      </c>
      <c r="AY2644" t="inlineStr">
        <is>
          <t>2257536860002656</t>
        </is>
      </c>
      <c r="AZ2644" t="inlineStr">
        <is>
          <t>BOOK</t>
        </is>
      </c>
      <c r="BB2644" t="inlineStr">
        <is>
          <t>9780875893396</t>
        </is>
      </c>
      <c r="BC2644" t="inlineStr">
        <is>
          <t>32285001395853</t>
        </is>
      </c>
      <c r="BD2644" t="inlineStr">
        <is>
          <t>893437682</t>
        </is>
      </c>
    </row>
    <row r="2645">
      <c r="A2645" t="inlineStr">
        <is>
          <t>No</t>
        </is>
      </c>
      <c r="B2645" t="inlineStr">
        <is>
          <t>HQ783 .D45</t>
        </is>
      </c>
      <c r="C2645" t="inlineStr">
        <is>
          <t>0                      HQ 0783000D  45</t>
        </is>
      </c>
      <c r="D2645" t="inlineStr">
        <is>
          <t>Childhood socialization : studies in the development of language, social behavior, and identity / Norman K. Denzin.</t>
        </is>
      </c>
      <c r="F2645" t="inlineStr">
        <is>
          <t>No</t>
        </is>
      </c>
      <c r="G2645" t="inlineStr">
        <is>
          <t>1</t>
        </is>
      </c>
      <c r="H2645" t="inlineStr">
        <is>
          <t>No</t>
        </is>
      </c>
      <c r="I2645" t="inlineStr">
        <is>
          <t>No</t>
        </is>
      </c>
      <c r="J2645" t="inlineStr">
        <is>
          <t>0</t>
        </is>
      </c>
      <c r="K2645" t="inlineStr">
        <is>
          <t>Denzin, Norman K.</t>
        </is>
      </c>
      <c r="L2645" t="inlineStr">
        <is>
          <t>San Francisco : Jossey-Bass, 1977.</t>
        </is>
      </c>
      <c r="M2645" t="inlineStr">
        <is>
          <t>1977</t>
        </is>
      </c>
      <c r="N2645" t="inlineStr">
        <is>
          <t>1st ed.</t>
        </is>
      </c>
      <c r="O2645" t="inlineStr">
        <is>
          <t>eng</t>
        </is>
      </c>
      <c r="P2645" t="inlineStr">
        <is>
          <t>cau</t>
        </is>
      </c>
      <c r="Q2645" t="inlineStr">
        <is>
          <t>The Jossey-Bass social and behavioral science series</t>
        </is>
      </c>
      <c r="R2645" t="inlineStr">
        <is>
          <t xml:space="preserve">HQ </t>
        </is>
      </c>
      <c r="S2645" t="n">
        <v>3</v>
      </c>
      <c r="T2645" t="n">
        <v>3</v>
      </c>
      <c r="U2645" t="inlineStr">
        <is>
          <t>2001-09-08</t>
        </is>
      </c>
      <c r="V2645" t="inlineStr">
        <is>
          <t>2001-09-08</t>
        </is>
      </c>
      <c r="W2645" t="inlineStr">
        <is>
          <t>1992-11-12</t>
        </is>
      </c>
      <c r="X2645" t="inlineStr">
        <is>
          <t>1992-11-12</t>
        </is>
      </c>
      <c r="Y2645" t="n">
        <v>505</v>
      </c>
      <c r="Z2645" t="n">
        <v>399</v>
      </c>
      <c r="AA2645" t="n">
        <v>490</v>
      </c>
      <c r="AB2645" t="n">
        <v>5</v>
      </c>
      <c r="AC2645" t="n">
        <v>5</v>
      </c>
      <c r="AD2645" t="n">
        <v>18</v>
      </c>
      <c r="AE2645" t="n">
        <v>21</v>
      </c>
      <c r="AF2645" t="n">
        <v>8</v>
      </c>
      <c r="AG2645" t="n">
        <v>9</v>
      </c>
      <c r="AH2645" t="n">
        <v>3</v>
      </c>
      <c r="AI2645" t="n">
        <v>5</v>
      </c>
      <c r="AJ2645" t="n">
        <v>9</v>
      </c>
      <c r="AK2645" t="n">
        <v>9</v>
      </c>
      <c r="AL2645" t="n">
        <v>3</v>
      </c>
      <c r="AM2645" t="n">
        <v>3</v>
      </c>
      <c r="AN2645" t="n">
        <v>0</v>
      </c>
      <c r="AO2645" t="n">
        <v>0</v>
      </c>
      <c r="AP2645" t="inlineStr">
        <is>
          <t>No</t>
        </is>
      </c>
      <c r="AQ2645" t="inlineStr">
        <is>
          <t>Yes</t>
        </is>
      </c>
      <c r="AR2645">
        <f>HYPERLINK("http://catalog.hathitrust.org/Record/000090620","HathiTrust Record")</f>
        <v/>
      </c>
      <c r="AS2645">
        <f>HYPERLINK("https://creighton-primo.hosted.exlibrisgroup.com/primo-explore/search?tab=default_tab&amp;search_scope=EVERYTHING&amp;vid=01CRU&amp;lang=en_US&amp;offset=0&amp;query=any,contains,991004467759702656","Catalog Record")</f>
        <v/>
      </c>
      <c r="AT2645">
        <f>HYPERLINK("http://www.worldcat.org/oclc/3580541","WorldCat Record")</f>
        <v/>
      </c>
      <c r="AU2645" t="inlineStr">
        <is>
          <t>4663481932:eng</t>
        </is>
      </c>
      <c r="AV2645" t="inlineStr">
        <is>
          <t>3580541</t>
        </is>
      </c>
      <c r="AW2645" t="inlineStr">
        <is>
          <t>991004467759702656</t>
        </is>
      </c>
      <c r="AX2645" t="inlineStr">
        <is>
          <t>991004467759702656</t>
        </is>
      </c>
      <c r="AY2645" t="inlineStr">
        <is>
          <t>2262176940002656</t>
        </is>
      </c>
      <c r="AZ2645" t="inlineStr">
        <is>
          <t>BOOK</t>
        </is>
      </c>
      <c r="BB2645" t="inlineStr">
        <is>
          <t>9780875893549</t>
        </is>
      </c>
      <c r="BC2645" t="inlineStr">
        <is>
          <t>32285001395861</t>
        </is>
      </c>
      <c r="BD2645" t="inlineStr">
        <is>
          <t>893532426</t>
        </is>
      </c>
    </row>
    <row r="2646">
      <c r="A2646" t="inlineStr">
        <is>
          <t>No</t>
        </is>
      </c>
      <c r="B2646" t="inlineStr">
        <is>
          <t>HQ783 .E425 1996</t>
        </is>
      </c>
      <c r="C2646" t="inlineStr">
        <is>
          <t>0                      HQ 0783000E  425         1996</t>
        </is>
      </c>
      <c r="D2646" t="inlineStr">
        <is>
          <t>Social problem solving : interventions in the schools / Maurice J. Elias, Steven E. Tobias.</t>
        </is>
      </c>
      <c r="F2646" t="inlineStr">
        <is>
          <t>No</t>
        </is>
      </c>
      <c r="G2646" t="inlineStr">
        <is>
          <t>1</t>
        </is>
      </c>
      <c r="H2646" t="inlineStr">
        <is>
          <t>No</t>
        </is>
      </c>
      <c r="I2646" t="inlineStr">
        <is>
          <t>No</t>
        </is>
      </c>
      <c r="J2646" t="inlineStr">
        <is>
          <t>0</t>
        </is>
      </c>
      <c r="K2646" t="inlineStr">
        <is>
          <t>Elias, Maurice J.</t>
        </is>
      </c>
      <c r="L2646" t="inlineStr">
        <is>
          <t>New York : Guilford Press, c1996.</t>
        </is>
      </c>
      <c r="M2646" t="inlineStr">
        <is>
          <t>1996</t>
        </is>
      </c>
      <c r="O2646" t="inlineStr">
        <is>
          <t>eng</t>
        </is>
      </c>
      <c r="P2646" t="inlineStr">
        <is>
          <t>nyu</t>
        </is>
      </c>
      <c r="Q2646" t="inlineStr">
        <is>
          <t>The Guilford school practitioner series</t>
        </is>
      </c>
      <c r="R2646" t="inlineStr">
        <is>
          <t xml:space="preserve">HQ </t>
        </is>
      </c>
      <c r="S2646" t="n">
        <v>4</v>
      </c>
      <c r="T2646" t="n">
        <v>4</v>
      </c>
      <c r="U2646" t="inlineStr">
        <is>
          <t>2009-11-17</t>
        </is>
      </c>
      <c r="V2646" t="inlineStr">
        <is>
          <t>2009-11-17</t>
        </is>
      </c>
      <c r="W2646" t="inlineStr">
        <is>
          <t>1997-03-18</t>
        </is>
      </c>
      <c r="X2646" t="inlineStr">
        <is>
          <t>1997-03-18</t>
        </is>
      </c>
      <c r="Y2646" t="n">
        <v>266</v>
      </c>
      <c r="Z2646" t="n">
        <v>221</v>
      </c>
      <c r="AA2646" t="n">
        <v>221</v>
      </c>
      <c r="AB2646" t="n">
        <v>2</v>
      </c>
      <c r="AC2646" t="n">
        <v>2</v>
      </c>
      <c r="AD2646" t="n">
        <v>12</v>
      </c>
      <c r="AE2646" t="n">
        <v>12</v>
      </c>
      <c r="AF2646" t="n">
        <v>5</v>
      </c>
      <c r="AG2646" t="n">
        <v>5</v>
      </c>
      <c r="AH2646" t="n">
        <v>1</v>
      </c>
      <c r="AI2646" t="n">
        <v>1</v>
      </c>
      <c r="AJ2646" t="n">
        <v>7</v>
      </c>
      <c r="AK2646" t="n">
        <v>7</v>
      </c>
      <c r="AL2646" t="n">
        <v>1</v>
      </c>
      <c r="AM2646" t="n">
        <v>1</v>
      </c>
      <c r="AN2646" t="n">
        <v>0</v>
      </c>
      <c r="AO2646" t="n">
        <v>0</v>
      </c>
      <c r="AP2646" t="inlineStr">
        <is>
          <t>No</t>
        </is>
      </c>
      <c r="AQ2646" t="inlineStr">
        <is>
          <t>No</t>
        </is>
      </c>
      <c r="AS2646">
        <f>HYPERLINK("https://creighton-primo.hosted.exlibrisgroup.com/primo-explore/search?tab=default_tab&amp;search_scope=EVERYTHING&amp;vid=01CRU&amp;lang=en_US&amp;offset=0&amp;query=any,contains,991002598509702656","Catalog Record")</f>
        <v/>
      </c>
      <c r="AT2646">
        <f>HYPERLINK("http://www.worldcat.org/oclc/34046448","WorldCat Record")</f>
        <v/>
      </c>
      <c r="AU2646" t="inlineStr">
        <is>
          <t>837043518:eng</t>
        </is>
      </c>
      <c r="AV2646" t="inlineStr">
        <is>
          <t>34046448</t>
        </is>
      </c>
      <c r="AW2646" t="inlineStr">
        <is>
          <t>991002598509702656</t>
        </is>
      </c>
      <c r="AX2646" t="inlineStr">
        <is>
          <t>991002598509702656</t>
        </is>
      </c>
      <c r="AY2646" t="inlineStr">
        <is>
          <t>2263720080002656</t>
        </is>
      </c>
      <c r="AZ2646" t="inlineStr">
        <is>
          <t>BOOK</t>
        </is>
      </c>
      <c r="BB2646" t="inlineStr">
        <is>
          <t>9781572300729</t>
        </is>
      </c>
      <c r="BC2646" t="inlineStr">
        <is>
          <t>32285002443975</t>
        </is>
      </c>
      <c r="BD2646" t="inlineStr">
        <is>
          <t>893873727</t>
        </is>
      </c>
    </row>
    <row r="2647">
      <c r="A2647" t="inlineStr">
        <is>
          <t>No</t>
        </is>
      </c>
      <c r="B2647" t="inlineStr">
        <is>
          <t>HQ783 .M3</t>
        </is>
      </c>
      <c r="C2647" t="inlineStr">
        <is>
          <t>0                      HQ 0783000M  3</t>
        </is>
      </c>
      <c r="D2647" t="inlineStr">
        <is>
          <t>Guidance of young children / Marian Marion.</t>
        </is>
      </c>
      <c r="F2647" t="inlineStr">
        <is>
          <t>No</t>
        </is>
      </c>
      <c r="G2647" t="inlineStr">
        <is>
          <t>1</t>
        </is>
      </c>
      <c r="H2647" t="inlineStr">
        <is>
          <t>No</t>
        </is>
      </c>
      <c r="I2647" t="inlineStr">
        <is>
          <t>No</t>
        </is>
      </c>
      <c r="J2647" t="inlineStr">
        <is>
          <t>0</t>
        </is>
      </c>
      <c r="K2647" t="inlineStr">
        <is>
          <t>Marion, Marian, 1946-</t>
        </is>
      </c>
      <c r="L2647" t="inlineStr">
        <is>
          <t>St. Louis : Mosby, 1981.</t>
        </is>
      </c>
      <c r="M2647" t="inlineStr">
        <is>
          <t>1981</t>
        </is>
      </c>
      <c r="O2647" t="inlineStr">
        <is>
          <t>eng</t>
        </is>
      </c>
      <c r="P2647" t="inlineStr">
        <is>
          <t>mou</t>
        </is>
      </c>
      <c r="R2647" t="inlineStr">
        <is>
          <t xml:space="preserve">HQ </t>
        </is>
      </c>
      <c r="S2647" t="n">
        <v>3</v>
      </c>
      <c r="T2647" t="n">
        <v>3</v>
      </c>
      <c r="U2647" t="inlineStr">
        <is>
          <t>2003-06-05</t>
        </is>
      </c>
      <c r="V2647" t="inlineStr">
        <is>
          <t>2003-06-05</t>
        </is>
      </c>
      <c r="W2647" t="inlineStr">
        <is>
          <t>1992-11-12</t>
        </is>
      </c>
      <c r="X2647" t="inlineStr">
        <is>
          <t>1992-11-12</t>
        </is>
      </c>
      <c r="Y2647" t="n">
        <v>201</v>
      </c>
      <c r="Z2647" t="n">
        <v>160</v>
      </c>
      <c r="AA2647" t="n">
        <v>637</v>
      </c>
      <c r="AB2647" t="n">
        <v>3</v>
      </c>
      <c r="AC2647" t="n">
        <v>8</v>
      </c>
      <c r="AD2647" t="n">
        <v>7</v>
      </c>
      <c r="AE2647" t="n">
        <v>19</v>
      </c>
      <c r="AF2647" t="n">
        <v>4</v>
      </c>
      <c r="AG2647" t="n">
        <v>7</v>
      </c>
      <c r="AH2647" t="n">
        <v>1</v>
      </c>
      <c r="AI2647" t="n">
        <v>1</v>
      </c>
      <c r="AJ2647" t="n">
        <v>2</v>
      </c>
      <c r="AK2647" t="n">
        <v>7</v>
      </c>
      <c r="AL2647" t="n">
        <v>2</v>
      </c>
      <c r="AM2647" t="n">
        <v>7</v>
      </c>
      <c r="AN2647" t="n">
        <v>0</v>
      </c>
      <c r="AO2647" t="n">
        <v>0</v>
      </c>
      <c r="AP2647" t="inlineStr">
        <is>
          <t>No</t>
        </is>
      </c>
      <c r="AQ2647" t="inlineStr">
        <is>
          <t>Yes</t>
        </is>
      </c>
      <c r="AR2647">
        <f>HYPERLINK("http://catalog.hathitrust.org/Record/006232837","HathiTrust Record")</f>
        <v/>
      </c>
      <c r="AS2647">
        <f>HYPERLINK("https://creighton-primo.hosted.exlibrisgroup.com/primo-explore/search?tab=default_tab&amp;search_scope=EVERYTHING&amp;vid=01CRU&amp;lang=en_US&amp;offset=0&amp;query=any,contains,991005063239702656","Catalog Record")</f>
        <v/>
      </c>
      <c r="AT2647">
        <f>HYPERLINK("http://www.worldcat.org/oclc/6941700","WorldCat Record")</f>
        <v/>
      </c>
      <c r="AU2647" t="inlineStr">
        <is>
          <t>18179:eng</t>
        </is>
      </c>
      <c r="AV2647" t="inlineStr">
        <is>
          <t>6941700</t>
        </is>
      </c>
      <c r="AW2647" t="inlineStr">
        <is>
          <t>991005063239702656</t>
        </is>
      </c>
      <c r="AX2647" t="inlineStr">
        <is>
          <t>991005063239702656</t>
        </is>
      </c>
      <c r="AY2647" t="inlineStr">
        <is>
          <t>2258205200002656</t>
        </is>
      </c>
      <c r="AZ2647" t="inlineStr">
        <is>
          <t>BOOK</t>
        </is>
      </c>
      <c r="BB2647" t="inlineStr">
        <is>
          <t>9780801631085</t>
        </is>
      </c>
      <c r="BC2647" t="inlineStr">
        <is>
          <t>32285001395895</t>
        </is>
      </c>
      <c r="BD2647" t="inlineStr">
        <is>
          <t>893533098</t>
        </is>
      </c>
    </row>
    <row r="2648">
      <c r="A2648" t="inlineStr">
        <is>
          <t>No</t>
        </is>
      </c>
      <c r="B2648" t="inlineStr">
        <is>
          <t>HQ783 .M83 1977</t>
        </is>
      </c>
      <c r="C2648" t="inlineStr">
        <is>
          <t>0                      HQ 0783000M  83          1977</t>
        </is>
      </c>
      <c r="D2648" t="inlineStr">
        <is>
          <t>Roots of caring, sharing, and helping : the development of prosocial behavior in children / Paul Mussen, Nancy Eisenberg-Berg.</t>
        </is>
      </c>
      <c r="F2648" t="inlineStr">
        <is>
          <t>No</t>
        </is>
      </c>
      <c r="G2648" t="inlineStr">
        <is>
          <t>1</t>
        </is>
      </c>
      <c r="H2648" t="inlineStr">
        <is>
          <t>No</t>
        </is>
      </c>
      <c r="I2648" t="inlineStr">
        <is>
          <t>No</t>
        </is>
      </c>
      <c r="J2648" t="inlineStr">
        <is>
          <t>0</t>
        </is>
      </c>
      <c r="K2648" t="inlineStr">
        <is>
          <t>Mussen, Paul Henry.</t>
        </is>
      </c>
      <c r="L2648" t="inlineStr">
        <is>
          <t>San Francisco : W. H. Freeman, c1977.</t>
        </is>
      </c>
      <c r="M2648" t="inlineStr">
        <is>
          <t>1977</t>
        </is>
      </c>
      <c r="O2648" t="inlineStr">
        <is>
          <t>eng</t>
        </is>
      </c>
      <c r="P2648" t="inlineStr">
        <is>
          <t>cau</t>
        </is>
      </c>
      <c r="Q2648" t="inlineStr">
        <is>
          <t>A series of books in psychology</t>
        </is>
      </c>
      <c r="R2648" t="inlineStr">
        <is>
          <t xml:space="preserve">HQ </t>
        </is>
      </c>
      <c r="S2648" t="n">
        <v>4</v>
      </c>
      <c r="T2648" t="n">
        <v>4</v>
      </c>
      <c r="U2648" t="inlineStr">
        <is>
          <t>2000-10-07</t>
        </is>
      </c>
      <c r="V2648" t="inlineStr">
        <is>
          <t>2000-10-07</t>
        </is>
      </c>
      <c r="W2648" t="inlineStr">
        <is>
          <t>1992-11-12</t>
        </is>
      </c>
      <c r="X2648" t="inlineStr">
        <is>
          <t>1992-11-12</t>
        </is>
      </c>
      <c r="Y2648" t="n">
        <v>861</v>
      </c>
      <c r="Z2648" t="n">
        <v>707</v>
      </c>
      <c r="AA2648" t="n">
        <v>711</v>
      </c>
      <c r="AB2648" t="n">
        <v>7</v>
      </c>
      <c r="AC2648" t="n">
        <v>7</v>
      </c>
      <c r="AD2648" t="n">
        <v>31</v>
      </c>
      <c r="AE2648" t="n">
        <v>31</v>
      </c>
      <c r="AF2648" t="n">
        <v>14</v>
      </c>
      <c r="AG2648" t="n">
        <v>14</v>
      </c>
      <c r="AH2648" t="n">
        <v>7</v>
      </c>
      <c r="AI2648" t="n">
        <v>7</v>
      </c>
      <c r="AJ2648" t="n">
        <v>14</v>
      </c>
      <c r="AK2648" t="n">
        <v>14</v>
      </c>
      <c r="AL2648" t="n">
        <v>5</v>
      </c>
      <c r="AM2648" t="n">
        <v>5</v>
      </c>
      <c r="AN2648" t="n">
        <v>0</v>
      </c>
      <c r="AO2648" t="n">
        <v>0</v>
      </c>
      <c r="AP2648" t="inlineStr">
        <is>
          <t>No</t>
        </is>
      </c>
      <c r="AQ2648" t="inlineStr">
        <is>
          <t>No</t>
        </is>
      </c>
      <c r="AS2648">
        <f>HYPERLINK("https://creighton-primo.hosted.exlibrisgroup.com/primo-explore/search?tab=default_tab&amp;search_scope=EVERYTHING&amp;vid=01CRU&amp;lang=en_US&amp;offset=0&amp;query=any,contains,991004350659702656","Catalog Record")</f>
        <v/>
      </c>
      <c r="AT2648">
        <f>HYPERLINK("http://www.worldcat.org/oclc/3119685","WorldCat Record")</f>
        <v/>
      </c>
      <c r="AU2648" t="inlineStr">
        <is>
          <t>375331253:eng</t>
        </is>
      </c>
      <c r="AV2648" t="inlineStr">
        <is>
          <t>3119685</t>
        </is>
      </c>
      <c r="AW2648" t="inlineStr">
        <is>
          <t>991004350659702656</t>
        </is>
      </c>
      <c r="AX2648" t="inlineStr">
        <is>
          <t>991004350659702656</t>
        </is>
      </c>
      <c r="AY2648" t="inlineStr">
        <is>
          <t>2269014480002656</t>
        </is>
      </c>
      <c r="AZ2648" t="inlineStr">
        <is>
          <t>BOOK</t>
        </is>
      </c>
      <c r="BB2648" t="inlineStr">
        <is>
          <t>9780716700456</t>
        </is>
      </c>
      <c r="BC2648" t="inlineStr">
        <is>
          <t>32285001395903</t>
        </is>
      </c>
      <c r="BD2648" t="inlineStr">
        <is>
          <t>893353352</t>
        </is>
      </c>
    </row>
    <row r="2649">
      <c r="A2649" t="inlineStr">
        <is>
          <t>No</t>
        </is>
      </c>
      <c r="B2649" t="inlineStr">
        <is>
          <t>HQ783 .P3 1986</t>
        </is>
      </c>
      <c r="C2649" t="inlineStr">
        <is>
          <t>0                      HQ 0783000P  3           1986</t>
        </is>
      </c>
      <c r="D2649" t="inlineStr">
        <is>
          <t>Parent-child interaction in transition / edited by George Kurian.</t>
        </is>
      </c>
      <c r="F2649" t="inlineStr">
        <is>
          <t>No</t>
        </is>
      </c>
      <c r="G2649" t="inlineStr">
        <is>
          <t>1</t>
        </is>
      </c>
      <c r="H2649" t="inlineStr">
        <is>
          <t>No</t>
        </is>
      </c>
      <c r="I2649" t="inlineStr">
        <is>
          <t>No</t>
        </is>
      </c>
      <c r="J2649" t="inlineStr">
        <is>
          <t>0</t>
        </is>
      </c>
      <c r="L2649" t="inlineStr">
        <is>
          <t>Westport, Conn. : Greenwood Press, 1986.</t>
        </is>
      </c>
      <c r="M2649" t="inlineStr">
        <is>
          <t>1986</t>
        </is>
      </c>
      <c r="O2649" t="inlineStr">
        <is>
          <t>eng</t>
        </is>
      </c>
      <c r="P2649" t="inlineStr">
        <is>
          <t>ctu</t>
        </is>
      </c>
      <c r="Q2649" t="inlineStr">
        <is>
          <t>Contributions in family studies, 0147-1023 ; no. 10</t>
        </is>
      </c>
      <c r="R2649" t="inlineStr">
        <is>
          <t xml:space="preserve">HQ </t>
        </is>
      </c>
      <c r="S2649" t="n">
        <v>5</v>
      </c>
      <c r="T2649" t="n">
        <v>5</v>
      </c>
      <c r="U2649" t="inlineStr">
        <is>
          <t>1996-03-21</t>
        </is>
      </c>
      <c r="V2649" t="inlineStr">
        <is>
          <t>1996-03-21</t>
        </is>
      </c>
      <c r="W2649" t="inlineStr">
        <is>
          <t>1992-11-12</t>
        </is>
      </c>
      <c r="X2649" t="inlineStr">
        <is>
          <t>1992-11-12</t>
        </is>
      </c>
      <c r="Y2649" t="n">
        <v>270</v>
      </c>
      <c r="Z2649" t="n">
        <v>206</v>
      </c>
      <c r="AA2649" t="n">
        <v>224</v>
      </c>
      <c r="AB2649" t="n">
        <v>3</v>
      </c>
      <c r="AC2649" t="n">
        <v>3</v>
      </c>
      <c r="AD2649" t="n">
        <v>10</v>
      </c>
      <c r="AE2649" t="n">
        <v>10</v>
      </c>
      <c r="AF2649" t="n">
        <v>1</v>
      </c>
      <c r="AG2649" t="n">
        <v>1</v>
      </c>
      <c r="AH2649" t="n">
        <v>3</v>
      </c>
      <c r="AI2649" t="n">
        <v>3</v>
      </c>
      <c r="AJ2649" t="n">
        <v>5</v>
      </c>
      <c r="AK2649" t="n">
        <v>5</v>
      </c>
      <c r="AL2649" t="n">
        <v>2</v>
      </c>
      <c r="AM2649" t="n">
        <v>2</v>
      </c>
      <c r="AN2649" t="n">
        <v>0</v>
      </c>
      <c r="AO2649" t="n">
        <v>0</v>
      </c>
      <c r="AP2649" t="inlineStr">
        <is>
          <t>No</t>
        </is>
      </c>
      <c r="AQ2649" t="inlineStr">
        <is>
          <t>Yes</t>
        </is>
      </c>
      <c r="AR2649">
        <f>HYPERLINK("http://catalog.hathitrust.org/Record/000402203","HathiTrust Record")</f>
        <v/>
      </c>
      <c r="AS2649">
        <f>HYPERLINK("https://creighton-primo.hosted.exlibrisgroup.com/primo-explore/search?tab=default_tab&amp;search_scope=EVERYTHING&amp;vid=01CRU&amp;lang=en_US&amp;offset=0&amp;query=any,contains,991000754509702656","Catalog Record")</f>
        <v/>
      </c>
      <c r="AT2649">
        <f>HYPERLINK("http://www.worldcat.org/oclc/12946093","WorldCat Record")</f>
        <v/>
      </c>
      <c r="AU2649" t="inlineStr">
        <is>
          <t>355595568:eng</t>
        </is>
      </c>
      <c r="AV2649" t="inlineStr">
        <is>
          <t>12946093</t>
        </is>
      </c>
      <c r="AW2649" t="inlineStr">
        <is>
          <t>991000754509702656</t>
        </is>
      </c>
      <c r="AX2649" t="inlineStr">
        <is>
          <t>991000754509702656</t>
        </is>
      </c>
      <c r="AY2649" t="inlineStr">
        <is>
          <t>2271388330002656</t>
        </is>
      </c>
      <c r="AZ2649" t="inlineStr">
        <is>
          <t>BOOK</t>
        </is>
      </c>
      <c r="BB2649" t="inlineStr">
        <is>
          <t>9780313251085</t>
        </is>
      </c>
      <c r="BC2649" t="inlineStr">
        <is>
          <t>32285001395911</t>
        </is>
      </c>
      <c r="BD2649" t="inlineStr">
        <is>
          <t>893683729</t>
        </is>
      </c>
    </row>
    <row r="2650">
      <c r="A2650" t="inlineStr">
        <is>
          <t>No</t>
        </is>
      </c>
      <c r="B2650" t="inlineStr">
        <is>
          <t>HQ783 .P43 1982</t>
        </is>
      </c>
      <c r="C2650" t="inlineStr">
        <is>
          <t>0                      HQ 0783000P  43          1982</t>
        </is>
      </c>
      <c r="D2650" t="inlineStr">
        <is>
          <t>Peer relationships and social skills in childhood / edited by Kenneth H. Rubin, Hildy S. Ross.</t>
        </is>
      </c>
      <c r="F2650" t="inlineStr">
        <is>
          <t>No</t>
        </is>
      </c>
      <c r="G2650" t="inlineStr">
        <is>
          <t>1</t>
        </is>
      </c>
      <c r="H2650" t="inlineStr">
        <is>
          <t>No</t>
        </is>
      </c>
      <c r="I2650" t="inlineStr">
        <is>
          <t>No</t>
        </is>
      </c>
      <c r="J2650" t="inlineStr">
        <is>
          <t>0</t>
        </is>
      </c>
      <c r="L2650" t="inlineStr">
        <is>
          <t>New York : Springer-Verlag, c1982.</t>
        </is>
      </c>
      <c r="M2650" t="inlineStr">
        <is>
          <t>1982</t>
        </is>
      </c>
      <c r="O2650" t="inlineStr">
        <is>
          <t>eng</t>
        </is>
      </c>
      <c r="P2650" t="inlineStr">
        <is>
          <t>nyu</t>
        </is>
      </c>
      <c r="R2650" t="inlineStr">
        <is>
          <t xml:space="preserve">HQ </t>
        </is>
      </c>
      <c r="S2650" t="n">
        <v>11</v>
      </c>
      <c r="T2650" t="n">
        <v>11</v>
      </c>
      <c r="U2650" t="inlineStr">
        <is>
          <t>2002-03-04</t>
        </is>
      </c>
      <c r="V2650" t="inlineStr">
        <is>
          <t>2002-03-04</t>
        </is>
      </c>
      <c r="W2650" t="inlineStr">
        <is>
          <t>1992-11-12</t>
        </is>
      </c>
      <c r="X2650" t="inlineStr">
        <is>
          <t>1992-11-12</t>
        </is>
      </c>
      <c r="Y2650" t="n">
        <v>582</v>
      </c>
      <c r="Z2650" t="n">
        <v>429</v>
      </c>
      <c r="AA2650" t="n">
        <v>456</v>
      </c>
      <c r="AB2650" t="n">
        <v>4</v>
      </c>
      <c r="AC2650" t="n">
        <v>4</v>
      </c>
      <c r="AD2650" t="n">
        <v>22</v>
      </c>
      <c r="AE2650" t="n">
        <v>24</v>
      </c>
      <c r="AF2650" t="n">
        <v>6</v>
      </c>
      <c r="AG2650" t="n">
        <v>8</v>
      </c>
      <c r="AH2650" t="n">
        <v>5</v>
      </c>
      <c r="AI2650" t="n">
        <v>5</v>
      </c>
      <c r="AJ2650" t="n">
        <v>11</v>
      </c>
      <c r="AK2650" t="n">
        <v>12</v>
      </c>
      <c r="AL2650" t="n">
        <v>3</v>
      </c>
      <c r="AM2650" t="n">
        <v>3</v>
      </c>
      <c r="AN2650" t="n">
        <v>0</v>
      </c>
      <c r="AO2650" t="n">
        <v>0</v>
      </c>
      <c r="AP2650" t="inlineStr">
        <is>
          <t>No</t>
        </is>
      </c>
      <c r="AQ2650" t="inlineStr">
        <is>
          <t>Yes</t>
        </is>
      </c>
      <c r="AR2650">
        <f>HYPERLINK("http://catalog.hathitrust.org/Record/000768373","HathiTrust Record")</f>
        <v/>
      </c>
      <c r="AS2650">
        <f>HYPERLINK("https://creighton-primo.hosted.exlibrisgroup.com/primo-explore/search?tab=default_tab&amp;search_scope=EVERYTHING&amp;vid=01CRU&amp;lang=en_US&amp;offset=0&amp;query=any,contains,991000043299702656","Catalog Record")</f>
        <v/>
      </c>
      <c r="AT2650">
        <f>HYPERLINK("http://www.worldcat.org/oclc/8667155","WorldCat Record")</f>
        <v/>
      </c>
      <c r="AU2650" t="inlineStr">
        <is>
          <t>350373247:eng</t>
        </is>
      </c>
      <c r="AV2650" t="inlineStr">
        <is>
          <t>8667155</t>
        </is>
      </c>
      <c r="AW2650" t="inlineStr">
        <is>
          <t>991000043299702656</t>
        </is>
      </c>
      <c r="AX2650" t="inlineStr">
        <is>
          <t>991000043299702656</t>
        </is>
      </c>
      <c r="AY2650" t="inlineStr">
        <is>
          <t>2270921970002656</t>
        </is>
      </c>
      <c r="AZ2650" t="inlineStr">
        <is>
          <t>BOOK</t>
        </is>
      </c>
      <c r="BB2650" t="inlineStr">
        <is>
          <t>9780387906997</t>
        </is>
      </c>
      <c r="BC2650" t="inlineStr">
        <is>
          <t>32285001395929</t>
        </is>
      </c>
      <c r="BD2650" t="inlineStr">
        <is>
          <t>893589063</t>
        </is>
      </c>
    </row>
    <row r="2651">
      <c r="A2651" t="inlineStr">
        <is>
          <t>No</t>
        </is>
      </c>
      <c r="B2651" t="inlineStr">
        <is>
          <t>HQ783 .S563 1985</t>
        </is>
      </c>
      <c r="C2651" t="inlineStr">
        <is>
          <t>0                      HQ 0783000S  563         1985</t>
        </is>
      </c>
      <c r="D2651" t="inlineStr">
        <is>
          <t>Social cognition and social development : a sociocultural perspective / edited by E. Tory Higgins, Diane N. Ruble, Willard W. Hartup.</t>
        </is>
      </c>
      <c r="F2651" t="inlineStr">
        <is>
          <t>No</t>
        </is>
      </c>
      <c r="G2651" t="inlineStr">
        <is>
          <t>1</t>
        </is>
      </c>
      <c r="H2651" t="inlineStr">
        <is>
          <t>No</t>
        </is>
      </c>
      <c r="I2651" t="inlineStr">
        <is>
          <t>No</t>
        </is>
      </c>
      <c r="J2651" t="inlineStr">
        <is>
          <t>0</t>
        </is>
      </c>
      <c r="L2651" t="inlineStr">
        <is>
          <t>Cambridge ; New York : Cambridge University Press, 1985.</t>
        </is>
      </c>
      <c r="M2651" t="inlineStr">
        <is>
          <t>1985</t>
        </is>
      </c>
      <c r="N2651" t="inlineStr">
        <is>
          <t>1st paperback ed.</t>
        </is>
      </c>
      <c r="O2651" t="inlineStr">
        <is>
          <t>eng</t>
        </is>
      </c>
      <c r="P2651" t="inlineStr">
        <is>
          <t>enk</t>
        </is>
      </c>
      <c r="Q2651" t="inlineStr">
        <is>
          <t>Cambridge studies in social and emotional development</t>
        </is>
      </c>
      <c r="R2651" t="inlineStr">
        <is>
          <t xml:space="preserve">HQ </t>
        </is>
      </c>
      <c r="S2651" t="n">
        <v>7</v>
      </c>
      <c r="T2651" t="n">
        <v>7</v>
      </c>
      <c r="U2651" t="inlineStr">
        <is>
          <t>2002-07-17</t>
        </is>
      </c>
      <c r="V2651" t="inlineStr">
        <is>
          <t>2002-07-17</t>
        </is>
      </c>
      <c r="W2651" t="inlineStr">
        <is>
          <t>1992-11-12</t>
        </is>
      </c>
      <c r="X2651" t="inlineStr">
        <is>
          <t>1992-11-12</t>
        </is>
      </c>
      <c r="Y2651" t="n">
        <v>36</v>
      </c>
      <c r="Z2651" t="n">
        <v>26</v>
      </c>
      <c r="AA2651" t="n">
        <v>449</v>
      </c>
      <c r="AB2651" t="n">
        <v>1</v>
      </c>
      <c r="AC2651" t="n">
        <v>6</v>
      </c>
      <c r="AD2651" t="n">
        <v>1</v>
      </c>
      <c r="AE2651" t="n">
        <v>24</v>
      </c>
      <c r="AF2651" t="n">
        <v>0</v>
      </c>
      <c r="AG2651" t="n">
        <v>7</v>
      </c>
      <c r="AH2651" t="n">
        <v>0</v>
      </c>
      <c r="AI2651" t="n">
        <v>6</v>
      </c>
      <c r="AJ2651" t="n">
        <v>1</v>
      </c>
      <c r="AK2651" t="n">
        <v>11</v>
      </c>
      <c r="AL2651" t="n">
        <v>0</v>
      </c>
      <c r="AM2651" t="n">
        <v>5</v>
      </c>
      <c r="AN2651" t="n">
        <v>0</v>
      </c>
      <c r="AO2651" t="n">
        <v>0</v>
      </c>
      <c r="AP2651" t="inlineStr">
        <is>
          <t>No</t>
        </is>
      </c>
      <c r="AQ2651" t="inlineStr">
        <is>
          <t>No</t>
        </is>
      </c>
      <c r="AS2651">
        <f>HYPERLINK("https://creighton-primo.hosted.exlibrisgroup.com/primo-explore/search?tab=default_tab&amp;search_scope=EVERYTHING&amp;vid=01CRU&amp;lang=en_US&amp;offset=0&amp;query=any,contains,991000819799702656","Catalog Record")</f>
        <v/>
      </c>
      <c r="AT2651">
        <f>HYPERLINK("http://www.worldcat.org/oclc/13387649","WorldCat Record")</f>
        <v/>
      </c>
      <c r="AU2651" t="inlineStr">
        <is>
          <t>836640713:eng</t>
        </is>
      </c>
      <c r="AV2651" t="inlineStr">
        <is>
          <t>13387649</t>
        </is>
      </c>
      <c r="AW2651" t="inlineStr">
        <is>
          <t>991000819799702656</t>
        </is>
      </c>
      <c r="AX2651" t="inlineStr">
        <is>
          <t>991000819799702656</t>
        </is>
      </c>
      <c r="AY2651" t="inlineStr">
        <is>
          <t>2266564780002656</t>
        </is>
      </c>
      <c r="AZ2651" t="inlineStr">
        <is>
          <t>BOOK</t>
        </is>
      </c>
      <c r="BB2651" t="inlineStr">
        <is>
          <t>9780521313704</t>
        </is>
      </c>
      <c r="BC2651" t="inlineStr">
        <is>
          <t>32285001395937</t>
        </is>
      </c>
      <c r="BD2651" t="inlineStr">
        <is>
          <t>893315262</t>
        </is>
      </c>
    </row>
    <row r="2652">
      <c r="A2652" t="inlineStr">
        <is>
          <t>No</t>
        </is>
      </c>
      <c r="B2652" t="inlineStr">
        <is>
          <t>HQ783 .S568 1982</t>
        </is>
      </c>
      <c r="C2652" t="inlineStr">
        <is>
          <t>0                      HQ 0783000S  568         1982</t>
        </is>
      </c>
      <c r="D2652" t="inlineStr">
        <is>
          <t>Socialization and personality development / [edited by] Edward F. Zigler, Michael E. Lamb, Irvin L. Child.</t>
        </is>
      </c>
      <c r="F2652" t="inlineStr">
        <is>
          <t>No</t>
        </is>
      </c>
      <c r="G2652" t="inlineStr">
        <is>
          <t>1</t>
        </is>
      </c>
      <c r="H2652" t="inlineStr">
        <is>
          <t>No</t>
        </is>
      </c>
      <c r="I2652" t="inlineStr">
        <is>
          <t>No</t>
        </is>
      </c>
      <c r="J2652" t="inlineStr">
        <is>
          <t>0</t>
        </is>
      </c>
      <c r="L2652" t="inlineStr">
        <is>
          <t>New York : Oxford University Press, 1982.</t>
        </is>
      </c>
      <c r="M2652" t="inlineStr">
        <is>
          <t>1982</t>
        </is>
      </c>
      <c r="N2652" t="inlineStr">
        <is>
          <t>2nd ed.</t>
        </is>
      </c>
      <c r="O2652" t="inlineStr">
        <is>
          <t>eng</t>
        </is>
      </c>
      <c r="P2652" t="inlineStr">
        <is>
          <t>nyu</t>
        </is>
      </c>
      <c r="R2652" t="inlineStr">
        <is>
          <t xml:space="preserve">HQ </t>
        </is>
      </c>
      <c r="S2652" t="n">
        <v>2</v>
      </c>
      <c r="T2652" t="n">
        <v>2</v>
      </c>
      <c r="U2652" t="inlineStr">
        <is>
          <t>1996-04-15</t>
        </is>
      </c>
      <c r="V2652" t="inlineStr">
        <is>
          <t>1996-04-15</t>
        </is>
      </c>
      <c r="W2652" t="inlineStr">
        <is>
          <t>1992-11-12</t>
        </is>
      </c>
      <c r="X2652" t="inlineStr">
        <is>
          <t>1992-11-12</t>
        </is>
      </c>
      <c r="Y2652" t="n">
        <v>320</v>
      </c>
      <c r="Z2652" t="n">
        <v>243</v>
      </c>
      <c r="AA2652" t="n">
        <v>431</v>
      </c>
      <c r="AB2652" t="n">
        <v>2</v>
      </c>
      <c r="AC2652" t="n">
        <v>5</v>
      </c>
      <c r="AD2652" t="n">
        <v>8</v>
      </c>
      <c r="AE2652" t="n">
        <v>17</v>
      </c>
      <c r="AF2652" t="n">
        <v>2</v>
      </c>
      <c r="AG2652" t="n">
        <v>4</v>
      </c>
      <c r="AH2652" t="n">
        <v>3</v>
      </c>
      <c r="AI2652" t="n">
        <v>6</v>
      </c>
      <c r="AJ2652" t="n">
        <v>4</v>
      </c>
      <c r="AK2652" t="n">
        <v>8</v>
      </c>
      <c r="AL2652" t="n">
        <v>1</v>
      </c>
      <c r="AM2652" t="n">
        <v>3</v>
      </c>
      <c r="AN2652" t="n">
        <v>0</v>
      </c>
      <c r="AO2652" t="n">
        <v>0</v>
      </c>
      <c r="AP2652" t="inlineStr">
        <is>
          <t>No</t>
        </is>
      </c>
      <c r="AQ2652" t="inlineStr">
        <is>
          <t>Yes</t>
        </is>
      </c>
      <c r="AR2652">
        <f>HYPERLINK("http://catalog.hathitrust.org/Record/000273880","HathiTrust Record")</f>
        <v/>
      </c>
      <c r="AS2652">
        <f>HYPERLINK("https://creighton-primo.hosted.exlibrisgroup.com/primo-explore/search?tab=default_tab&amp;search_scope=EVERYTHING&amp;vid=01CRU&amp;lang=en_US&amp;offset=0&amp;query=any,contains,991005179709702656","Catalog Record")</f>
        <v/>
      </c>
      <c r="AT2652">
        <f>HYPERLINK("http://www.worldcat.org/oclc/7944800","WorldCat Record")</f>
        <v/>
      </c>
      <c r="AU2652" t="inlineStr">
        <is>
          <t>353584287:eng</t>
        </is>
      </c>
      <c r="AV2652" t="inlineStr">
        <is>
          <t>7944800</t>
        </is>
      </c>
      <c r="AW2652" t="inlineStr">
        <is>
          <t>991005179709702656</t>
        </is>
      </c>
      <c r="AX2652" t="inlineStr">
        <is>
          <t>991005179709702656</t>
        </is>
      </c>
      <c r="AY2652" t="inlineStr">
        <is>
          <t>2271739480002656</t>
        </is>
      </c>
      <c r="AZ2652" t="inlineStr">
        <is>
          <t>BOOK</t>
        </is>
      </c>
      <c r="BB2652" t="inlineStr">
        <is>
          <t>9780195030761</t>
        </is>
      </c>
      <c r="BC2652" t="inlineStr">
        <is>
          <t>32285001395945</t>
        </is>
      </c>
      <c r="BD2652" t="inlineStr">
        <is>
          <t>893883458</t>
        </is>
      </c>
    </row>
    <row r="2653">
      <c r="A2653" t="inlineStr">
        <is>
          <t>No</t>
        </is>
      </c>
      <c r="B2653" t="inlineStr">
        <is>
          <t>HQ783 .T34 1983</t>
        </is>
      </c>
      <c r="C2653" t="inlineStr">
        <is>
          <t>0                      HQ 0783000T  34          1983</t>
        </is>
      </c>
      <c r="D2653" t="inlineStr">
        <is>
          <t>Adolescent socialization in cross-cultural perspective : planning for social change / Irving Tallman, Ramona Marotz-Baden, Pablo Pindas.</t>
        </is>
      </c>
      <c r="F2653" t="inlineStr">
        <is>
          <t>No</t>
        </is>
      </c>
      <c r="G2653" t="inlineStr">
        <is>
          <t>1</t>
        </is>
      </c>
      <c r="H2653" t="inlineStr">
        <is>
          <t>No</t>
        </is>
      </c>
      <c r="I2653" t="inlineStr">
        <is>
          <t>No</t>
        </is>
      </c>
      <c r="J2653" t="inlineStr">
        <is>
          <t>0</t>
        </is>
      </c>
      <c r="K2653" t="inlineStr">
        <is>
          <t>Tallman, Irving.</t>
        </is>
      </c>
      <c r="L2653" t="inlineStr">
        <is>
          <t>New York : Academic Press, 1983.</t>
        </is>
      </c>
      <c r="M2653" t="inlineStr">
        <is>
          <t>1983</t>
        </is>
      </c>
      <c r="O2653" t="inlineStr">
        <is>
          <t>eng</t>
        </is>
      </c>
      <c r="P2653" t="inlineStr">
        <is>
          <t>nyu</t>
        </is>
      </c>
      <c r="Q2653" t="inlineStr">
        <is>
          <t>Quantitative studies in social relations</t>
        </is>
      </c>
      <c r="R2653" t="inlineStr">
        <is>
          <t xml:space="preserve">HQ </t>
        </is>
      </c>
      <c r="S2653" t="n">
        <v>3</v>
      </c>
      <c r="T2653" t="n">
        <v>3</v>
      </c>
      <c r="U2653" t="inlineStr">
        <is>
          <t>1993-03-05</t>
        </is>
      </c>
      <c r="V2653" t="inlineStr">
        <is>
          <t>1993-03-05</t>
        </is>
      </c>
      <c r="W2653" t="inlineStr">
        <is>
          <t>1992-11-12</t>
        </is>
      </c>
      <c r="X2653" t="inlineStr">
        <is>
          <t>1992-11-12</t>
        </is>
      </c>
      <c r="Y2653" t="n">
        <v>544</v>
      </c>
      <c r="Z2653" t="n">
        <v>414</v>
      </c>
      <c r="AA2653" t="n">
        <v>448</v>
      </c>
      <c r="AB2653" t="n">
        <v>5</v>
      </c>
      <c r="AC2653" t="n">
        <v>5</v>
      </c>
      <c r="AD2653" t="n">
        <v>21</v>
      </c>
      <c r="AE2653" t="n">
        <v>23</v>
      </c>
      <c r="AF2653" t="n">
        <v>4</v>
      </c>
      <c r="AG2653" t="n">
        <v>6</v>
      </c>
      <c r="AH2653" t="n">
        <v>6</v>
      </c>
      <c r="AI2653" t="n">
        <v>7</v>
      </c>
      <c r="AJ2653" t="n">
        <v>12</v>
      </c>
      <c r="AK2653" t="n">
        <v>12</v>
      </c>
      <c r="AL2653" t="n">
        <v>4</v>
      </c>
      <c r="AM2653" t="n">
        <v>4</v>
      </c>
      <c r="AN2653" t="n">
        <v>0</v>
      </c>
      <c r="AO2653" t="n">
        <v>0</v>
      </c>
      <c r="AP2653" t="inlineStr">
        <is>
          <t>No</t>
        </is>
      </c>
      <c r="AQ2653" t="inlineStr">
        <is>
          <t>Yes</t>
        </is>
      </c>
      <c r="AR2653">
        <f>HYPERLINK("http://catalog.hathitrust.org/Record/000240105","HathiTrust Record")</f>
        <v/>
      </c>
      <c r="AS2653">
        <f>HYPERLINK("https://creighton-primo.hosted.exlibrisgroup.com/primo-explore/search?tab=default_tab&amp;search_scope=EVERYTHING&amp;vid=01CRU&amp;lang=en_US&amp;offset=0&amp;query=any,contains,991000149749702656","Catalog Record")</f>
        <v/>
      </c>
      <c r="AT2653">
        <f>HYPERLINK("http://www.worldcat.org/oclc/9197609","WorldCat Record")</f>
        <v/>
      </c>
      <c r="AU2653" t="inlineStr">
        <is>
          <t>309190710:eng</t>
        </is>
      </c>
      <c r="AV2653" t="inlineStr">
        <is>
          <t>9197609</t>
        </is>
      </c>
      <c r="AW2653" t="inlineStr">
        <is>
          <t>991000149749702656</t>
        </is>
      </c>
      <c r="AX2653" t="inlineStr">
        <is>
          <t>991000149749702656</t>
        </is>
      </c>
      <c r="AY2653" t="inlineStr">
        <is>
          <t>2265740190002656</t>
        </is>
      </c>
      <c r="AZ2653" t="inlineStr">
        <is>
          <t>BOOK</t>
        </is>
      </c>
      <c r="BB2653" t="inlineStr">
        <is>
          <t>9780126831801</t>
        </is>
      </c>
      <c r="BC2653" t="inlineStr">
        <is>
          <t>32285001395952</t>
        </is>
      </c>
      <c r="BD2653" t="inlineStr">
        <is>
          <t>893345432</t>
        </is>
      </c>
    </row>
    <row r="2654">
      <c r="A2654" t="inlineStr">
        <is>
          <t>No</t>
        </is>
      </c>
      <c r="B2654" t="inlineStr">
        <is>
          <t>HQ783 .T43 1986</t>
        </is>
      </c>
      <c r="C2654" t="inlineStr">
        <is>
          <t>0                      HQ 0783000T  43          1986</t>
        </is>
      </c>
      <c r="D2654" t="inlineStr">
        <is>
          <t>Teaching social skills to children : innovative approaches / edited by Gwendolyn Cartledge, Joanne Fellows Milburn.</t>
        </is>
      </c>
      <c r="F2654" t="inlineStr">
        <is>
          <t>No</t>
        </is>
      </c>
      <c r="G2654" t="inlineStr">
        <is>
          <t>1</t>
        </is>
      </c>
      <c r="H2654" t="inlineStr">
        <is>
          <t>No</t>
        </is>
      </c>
      <c r="I2654" t="inlineStr">
        <is>
          <t>No</t>
        </is>
      </c>
      <c r="J2654" t="inlineStr">
        <is>
          <t>0</t>
        </is>
      </c>
      <c r="L2654" t="inlineStr">
        <is>
          <t>New York : Pergamon Press, c1986.</t>
        </is>
      </c>
      <c r="M2654" t="inlineStr">
        <is>
          <t>1986</t>
        </is>
      </c>
      <c r="N2654" t="inlineStr">
        <is>
          <t>2nd ed.</t>
        </is>
      </c>
      <c r="O2654" t="inlineStr">
        <is>
          <t>eng</t>
        </is>
      </c>
      <c r="P2654" t="inlineStr">
        <is>
          <t>nyu</t>
        </is>
      </c>
      <c r="Q2654" t="inlineStr">
        <is>
          <t>Pergamon general psychology series ; 89</t>
        </is>
      </c>
      <c r="R2654" t="inlineStr">
        <is>
          <t xml:space="preserve">HQ </t>
        </is>
      </c>
      <c r="S2654" t="n">
        <v>6</v>
      </c>
      <c r="T2654" t="n">
        <v>6</v>
      </c>
      <c r="U2654" t="inlineStr">
        <is>
          <t>2005-10-25</t>
        </is>
      </c>
      <c r="V2654" t="inlineStr">
        <is>
          <t>2005-10-25</t>
        </is>
      </c>
      <c r="W2654" t="inlineStr">
        <is>
          <t>1992-11-12</t>
        </is>
      </c>
      <c r="X2654" t="inlineStr">
        <is>
          <t>1992-11-12</t>
        </is>
      </c>
      <c r="Y2654" t="n">
        <v>406</v>
      </c>
      <c r="Z2654" t="n">
        <v>297</v>
      </c>
      <c r="AA2654" t="n">
        <v>573</v>
      </c>
      <c r="AB2654" t="n">
        <v>4</v>
      </c>
      <c r="AC2654" t="n">
        <v>12</v>
      </c>
      <c r="AD2654" t="n">
        <v>14</v>
      </c>
      <c r="AE2654" t="n">
        <v>32</v>
      </c>
      <c r="AF2654" t="n">
        <v>6</v>
      </c>
      <c r="AG2654" t="n">
        <v>12</v>
      </c>
      <c r="AH2654" t="n">
        <v>0</v>
      </c>
      <c r="AI2654" t="n">
        <v>2</v>
      </c>
      <c r="AJ2654" t="n">
        <v>6</v>
      </c>
      <c r="AK2654" t="n">
        <v>14</v>
      </c>
      <c r="AL2654" t="n">
        <v>3</v>
      </c>
      <c r="AM2654" t="n">
        <v>10</v>
      </c>
      <c r="AN2654" t="n">
        <v>0</v>
      </c>
      <c r="AO2654" t="n">
        <v>0</v>
      </c>
      <c r="AP2654" t="inlineStr">
        <is>
          <t>No</t>
        </is>
      </c>
      <c r="AQ2654" t="inlineStr">
        <is>
          <t>Yes</t>
        </is>
      </c>
      <c r="AR2654">
        <f>HYPERLINK("http://catalog.hathitrust.org/Record/000669774","HathiTrust Record")</f>
        <v/>
      </c>
      <c r="AS2654">
        <f>HYPERLINK("https://creighton-primo.hosted.exlibrisgroup.com/primo-explore/search?tab=default_tab&amp;search_scope=EVERYTHING&amp;vid=01CRU&amp;lang=en_US&amp;offset=0&amp;query=any,contains,991000746579702656","Catalog Record")</f>
        <v/>
      </c>
      <c r="AT2654">
        <f>HYPERLINK("http://www.worldcat.org/oclc/12858603","WorldCat Record")</f>
        <v/>
      </c>
      <c r="AU2654" t="inlineStr">
        <is>
          <t>867247081:eng</t>
        </is>
      </c>
      <c r="AV2654" t="inlineStr">
        <is>
          <t>12858603</t>
        </is>
      </c>
      <c r="AW2654" t="inlineStr">
        <is>
          <t>991000746579702656</t>
        </is>
      </c>
      <c r="AX2654" t="inlineStr">
        <is>
          <t>991000746579702656</t>
        </is>
      </c>
      <c r="AY2654" t="inlineStr">
        <is>
          <t>2270060740002656</t>
        </is>
      </c>
      <c r="AZ2654" t="inlineStr">
        <is>
          <t>BOOK</t>
        </is>
      </c>
      <c r="BB2654" t="inlineStr">
        <is>
          <t>9780080315911</t>
        </is>
      </c>
      <c r="BC2654" t="inlineStr">
        <is>
          <t>32285001395960</t>
        </is>
      </c>
      <c r="BD2654" t="inlineStr">
        <is>
          <t>893521977</t>
        </is>
      </c>
    </row>
    <row r="2655">
      <c r="A2655" t="inlineStr">
        <is>
          <t>No</t>
        </is>
      </c>
      <c r="B2655" t="inlineStr">
        <is>
          <t>HQ783 .T57 1999</t>
        </is>
      </c>
      <c r="C2655" t="inlineStr">
        <is>
          <t>0                      HQ 0783000T  57          1999</t>
        </is>
      </c>
      <c r="D2655" t="inlineStr">
        <is>
          <t>Human development theories : windows on culture / R. Murray Thomas.</t>
        </is>
      </c>
      <c r="F2655" t="inlineStr">
        <is>
          <t>No</t>
        </is>
      </c>
      <c r="G2655" t="inlineStr">
        <is>
          <t>1</t>
        </is>
      </c>
      <c r="H2655" t="inlineStr">
        <is>
          <t>No</t>
        </is>
      </c>
      <c r="I2655" t="inlineStr">
        <is>
          <t>No</t>
        </is>
      </c>
      <c r="J2655" t="inlineStr">
        <is>
          <t>0</t>
        </is>
      </c>
      <c r="K2655" t="inlineStr">
        <is>
          <t>Thomas, R. Murray (Robert Murray), 1921-</t>
        </is>
      </c>
      <c r="L2655" t="inlineStr">
        <is>
          <t>Thousand Oaks : Sage Publications, c1999.</t>
        </is>
      </c>
      <c r="M2655" t="inlineStr">
        <is>
          <t>1999</t>
        </is>
      </c>
      <c r="O2655" t="inlineStr">
        <is>
          <t>eng</t>
        </is>
      </c>
      <c r="P2655" t="inlineStr">
        <is>
          <t>cau</t>
        </is>
      </c>
      <c r="R2655" t="inlineStr">
        <is>
          <t xml:space="preserve">HQ </t>
        </is>
      </c>
      <c r="S2655" t="n">
        <v>5</v>
      </c>
      <c r="T2655" t="n">
        <v>5</v>
      </c>
      <c r="U2655" t="inlineStr">
        <is>
          <t>2009-03-14</t>
        </is>
      </c>
      <c r="V2655" t="inlineStr">
        <is>
          <t>2009-03-14</t>
        </is>
      </c>
      <c r="W2655" t="inlineStr">
        <is>
          <t>2000-11-15</t>
        </is>
      </c>
      <c r="X2655" t="inlineStr">
        <is>
          <t>2000-11-15</t>
        </is>
      </c>
      <c r="Y2655" t="n">
        <v>492</v>
      </c>
      <c r="Z2655" t="n">
        <v>404</v>
      </c>
      <c r="AA2655" t="n">
        <v>689</v>
      </c>
      <c r="AB2655" t="n">
        <v>5</v>
      </c>
      <c r="AC2655" t="n">
        <v>6</v>
      </c>
      <c r="AD2655" t="n">
        <v>24</v>
      </c>
      <c r="AE2655" t="n">
        <v>28</v>
      </c>
      <c r="AF2655" t="n">
        <v>7</v>
      </c>
      <c r="AG2655" t="n">
        <v>9</v>
      </c>
      <c r="AH2655" t="n">
        <v>6</v>
      </c>
      <c r="AI2655" t="n">
        <v>7</v>
      </c>
      <c r="AJ2655" t="n">
        <v>11</v>
      </c>
      <c r="AK2655" t="n">
        <v>13</v>
      </c>
      <c r="AL2655" t="n">
        <v>4</v>
      </c>
      <c r="AM2655" t="n">
        <v>5</v>
      </c>
      <c r="AN2655" t="n">
        <v>0</v>
      </c>
      <c r="AO2655" t="n">
        <v>0</v>
      </c>
      <c r="AP2655" t="inlineStr">
        <is>
          <t>No</t>
        </is>
      </c>
      <c r="AQ2655" t="inlineStr">
        <is>
          <t>Yes</t>
        </is>
      </c>
      <c r="AR2655">
        <f>HYPERLINK("http://catalog.hathitrust.org/Record/004106629","HathiTrust Record")</f>
        <v/>
      </c>
      <c r="AS2655">
        <f>HYPERLINK("https://creighton-primo.hosted.exlibrisgroup.com/primo-explore/search?tab=default_tab&amp;search_scope=EVERYTHING&amp;vid=01CRU&amp;lang=en_US&amp;offset=0&amp;query=any,contains,991003313049702656","Catalog Record")</f>
        <v/>
      </c>
      <c r="AT2655">
        <f>HYPERLINK("http://www.worldcat.org/oclc/41531491","WorldCat Record")</f>
        <v/>
      </c>
      <c r="AU2655" t="inlineStr">
        <is>
          <t>3372857286:eng</t>
        </is>
      </c>
      <c r="AV2655" t="inlineStr">
        <is>
          <t>41531491</t>
        </is>
      </c>
      <c r="AW2655" t="inlineStr">
        <is>
          <t>991003313049702656</t>
        </is>
      </c>
      <c r="AX2655" t="inlineStr">
        <is>
          <t>991003313049702656</t>
        </is>
      </c>
      <c r="AY2655" t="inlineStr">
        <is>
          <t>2257446770002656</t>
        </is>
      </c>
      <c r="AZ2655" t="inlineStr">
        <is>
          <t>BOOK</t>
        </is>
      </c>
      <c r="BB2655" t="inlineStr">
        <is>
          <t>9780761920151</t>
        </is>
      </c>
      <c r="BC2655" t="inlineStr">
        <is>
          <t>32285004266325</t>
        </is>
      </c>
      <c r="BD2655" t="inlineStr">
        <is>
          <t>893887346</t>
        </is>
      </c>
    </row>
    <row r="2656">
      <c r="A2656" t="inlineStr">
        <is>
          <t>No</t>
        </is>
      </c>
      <c r="B2656" t="inlineStr">
        <is>
          <t>HQ783 .T9 1983</t>
        </is>
      </c>
      <c r="C2656" t="inlineStr">
        <is>
          <t>0                      HQ 0783000T  9           1983</t>
        </is>
      </c>
      <c r="D2656" t="inlineStr">
        <is>
          <t>The development of social knowledge : morality and convention / Elliot Turiel.</t>
        </is>
      </c>
      <c r="F2656" t="inlineStr">
        <is>
          <t>No</t>
        </is>
      </c>
      <c r="G2656" t="inlineStr">
        <is>
          <t>1</t>
        </is>
      </c>
      <c r="H2656" t="inlineStr">
        <is>
          <t>No</t>
        </is>
      </c>
      <c r="I2656" t="inlineStr">
        <is>
          <t>No</t>
        </is>
      </c>
      <c r="J2656" t="inlineStr">
        <is>
          <t>0</t>
        </is>
      </c>
      <c r="K2656" t="inlineStr">
        <is>
          <t>Turiel, Elliot.</t>
        </is>
      </c>
      <c r="L2656" t="inlineStr">
        <is>
          <t>Cambridge [Cambridgeshire] ; New York : Cambridge University Press, 1983.</t>
        </is>
      </c>
      <c r="M2656" t="inlineStr">
        <is>
          <t>1983</t>
        </is>
      </c>
      <c r="O2656" t="inlineStr">
        <is>
          <t>eng</t>
        </is>
      </c>
      <c r="P2656" t="inlineStr">
        <is>
          <t>enk</t>
        </is>
      </c>
      <c r="Q2656" t="inlineStr">
        <is>
          <t>Cambridge studies in social and emotional development</t>
        </is>
      </c>
      <c r="R2656" t="inlineStr">
        <is>
          <t xml:space="preserve">HQ </t>
        </is>
      </c>
      <c r="S2656" t="n">
        <v>3</v>
      </c>
      <c r="T2656" t="n">
        <v>3</v>
      </c>
      <c r="U2656" t="inlineStr">
        <is>
          <t>2005-11-21</t>
        </is>
      </c>
      <c r="V2656" t="inlineStr">
        <is>
          <t>2005-11-21</t>
        </is>
      </c>
      <c r="W2656" t="inlineStr">
        <is>
          <t>1992-08-05</t>
        </is>
      </c>
      <c r="X2656" t="inlineStr">
        <is>
          <t>1992-08-05</t>
        </is>
      </c>
      <c r="Y2656" t="n">
        <v>726</v>
      </c>
      <c r="Z2656" t="n">
        <v>549</v>
      </c>
      <c r="AA2656" t="n">
        <v>549</v>
      </c>
      <c r="AB2656" t="n">
        <v>4</v>
      </c>
      <c r="AC2656" t="n">
        <v>4</v>
      </c>
      <c r="AD2656" t="n">
        <v>26</v>
      </c>
      <c r="AE2656" t="n">
        <v>26</v>
      </c>
      <c r="AF2656" t="n">
        <v>9</v>
      </c>
      <c r="AG2656" t="n">
        <v>9</v>
      </c>
      <c r="AH2656" t="n">
        <v>8</v>
      </c>
      <c r="AI2656" t="n">
        <v>8</v>
      </c>
      <c r="AJ2656" t="n">
        <v>12</v>
      </c>
      <c r="AK2656" t="n">
        <v>12</v>
      </c>
      <c r="AL2656" t="n">
        <v>3</v>
      </c>
      <c r="AM2656" t="n">
        <v>3</v>
      </c>
      <c r="AN2656" t="n">
        <v>1</v>
      </c>
      <c r="AO2656" t="n">
        <v>1</v>
      </c>
      <c r="AP2656" t="inlineStr">
        <is>
          <t>No</t>
        </is>
      </c>
      <c r="AQ2656" t="inlineStr">
        <is>
          <t>No</t>
        </is>
      </c>
      <c r="AS2656">
        <f>HYPERLINK("https://creighton-primo.hosted.exlibrisgroup.com/primo-explore/search?tab=default_tab&amp;search_scope=EVERYTHING&amp;vid=01CRU&amp;lang=en_US&amp;offset=0&amp;query=any,contains,991000066839702656","Catalog Record")</f>
        <v/>
      </c>
      <c r="AT2656">
        <f>HYPERLINK("http://www.worldcat.org/oclc/8764003","WorldCat Record")</f>
        <v/>
      </c>
      <c r="AU2656" t="inlineStr">
        <is>
          <t>42873179:eng</t>
        </is>
      </c>
      <c r="AV2656" t="inlineStr">
        <is>
          <t>8764003</t>
        </is>
      </c>
      <c r="AW2656" t="inlineStr">
        <is>
          <t>991000066839702656</t>
        </is>
      </c>
      <c r="AX2656" t="inlineStr">
        <is>
          <t>991000066839702656</t>
        </is>
      </c>
      <c r="AY2656" t="inlineStr">
        <is>
          <t>2265192390002656</t>
        </is>
      </c>
      <c r="AZ2656" t="inlineStr">
        <is>
          <t>BOOK</t>
        </is>
      </c>
      <c r="BB2656" t="inlineStr">
        <is>
          <t>9780521273053</t>
        </is>
      </c>
      <c r="BC2656" t="inlineStr">
        <is>
          <t>32285001241602</t>
        </is>
      </c>
      <c r="BD2656" t="inlineStr">
        <is>
          <t>893790206</t>
        </is>
      </c>
    </row>
    <row r="2657">
      <c r="A2657" t="inlineStr">
        <is>
          <t>No</t>
        </is>
      </c>
      <c r="B2657" t="inlineStr">
        <is>
          <t>HQ783 .W34</t>
        </is>
      </c>
      <c r="C2657" t="inlineStr">
        <is>
          <t>0                      HQ 0783000W  34</t>
        </is>
      </c>
      <c r="D2657" t="inlineStr">
        <is>
          <t>The dynamics of sex and gender : a sociological perspective / Laurel Richardson Walum.</t>
        </is>
      </c>
      <c r="F2657" t="inlineStr">
        <is>
          <t>No</t>
        </is>
      </c>
      <c r="G2657" t="inlineStr">
        <is>
          <t>1</t>
        </is>
      </c>
      <c r="H2657" t="inlineStr">
        <is>
          <t>No</t>
        </is>
      </c>
      <c r="I2657" t="inlineStr">
        <is>
          <t>No</t>
        </is>
      </c>
      <c r="J2657" t="inlineStr">
        <is>
          <t>0</t>
        </is>
      </c>
      <c r="K2657" t="inlineStr">
        <is>
          <t>Richardson, Laurel.</t>
        </is>
      </c>
      <c r="L2657" t="inlineStr">
        <is>
          <t>Chicago : Rand McNally College Pub. Co., c1977.</t>
        </is>
      </c>
      <c r="M2657" t="inlineStr">
        <is>
          <t>1977</t>
        </is>
      </c>
      <c r="O2657" t="inlineStr">
        <is>
          <t>eng</t>
        </is>
      </c>
      <c r="P2657" t="inlineStr">
        <is>
          <t>ilu</t>
        </is>
      </c>
      <c r="R2657" t="inlineStr">
        <is>
          <t xml:space="preserve">HQ </t>
        </is>
      </c>
      <c r="S2657" t="n">
        <v>5</v>
      </c>
      <c r="T2657" t="n">
        <v>5</v>
      </c>
      <c r="U2657" t="inlineStr">
        <is>
          <t>1996-08-01</t>
        </is>
      </c>
      <c r="V2657" t="inlineStr">
        <is>
          <t>1996-08-01</t>
        </is>
      </c>
      <c r="W2657" t="inlineStr">
        <is>
          <t>1992-03-31</t>
        </is>
      </c>
      <c r="X2657" t="inlineStr">
        <is>
          <t>1992-03-31</t>
        </is>
      </c>
      <c r="Y2657" t="n">
        <v>483</v>
      </c>
      <c r="Z2657" t="n">
        <v>390</v>
      </c>
      <c r="AA2657" t="n">
        <v>548</v>
      </c>
      <c r="AB2657" t="n">
        <v>5</v>
      </c>
      <c r="AC2657" t="n">
        <v>5</v>
      </c>
      <c r="AD2657" t="n">
        <v>18</v>
      </c>
      <c r="AE2657" t="n">
        <v>26</v>
      </c>
      <c r="AF2657" t="n">
        <v>3</v>
      </c>
      <c r="AG2657" t="n">
        <v>8</v>
      </c>
      <c r="AH2657" t="n">
        <v>5</v>
      </c>
      <c r="AI2657" t="n">
        <v>7</v>
      </c>
      <c r="AJ2657" t="n">
        <v>10</v>
      </c>
      <c r="AK2657" t="n">
        <v>14</v>
      </c>
      <c r="AL2657" t="n">
        <v>4</v>
      </c>
      <c r="AM2657" t="n">
        <v>4</v>
      </c>
      <c r="AN2657" t="n">
        <v>0</v>
      </c>
      <c r="AO2657" t="n">
        <v>1</v>
      </c>
      <c r="AP2657" t="inlineStr">
        <is>
          <t>No</t>
        </is>
      </c>
      <c r="AQ2657" t="inlineStr">
        <is>
          <t>Yes</t>
        </is>
      </c>
      <c r="AR2657">
        <f>HYPERLINK("http://catalog.hathitrust.org/Record/000252175","HathiTrust Record")</f>
        <v/>
      </c>
      <c r="AS2657">
        <f>HYPERLINK("https://creighton-primo.hosted.exlibrisgroup.com/primo-explore/search?tab=default_tab&amp;search_scope=EVERYTHING&amp;vid=01CRU&amp;lang=en_US&amp;offset=0&amp;query=any,contains,991004323389702656","Catalog Record")</f>
        <v/>
      </c>
      <c r="AT2657">
        <f>HYPERLINK("http://www.worldcat.org/oclc/3026317","WorldCat Record")</f>
        <v/>
      </c>
      <c r="AU2657" t="inlineStr">
        <is>
          <t>836717581:eng</t>
        </is>
      </c>
      <c r="AV2657" t="inlineStr">
        <is>
          <t>3026317</t>
        </is>
      </c>
      <c r="AW2657" t="inlineStr">
        <is>
          <t>991004323389702656</t>
        </is>
      </c>
      <c r="AX2657" t="inlineStr">
        <is>
          <t>991004323389702656</t>
        </is>
      </c>
      <c r="AY2657" t="inlineStr">
        <is>
          <t>2259527680002656</t>
        </is>
      </c>
      <c r="AZ2657" t="inlineStr">
        <is>
          <t>BOOK</t>
        </is>
      </c>
      <c r="BB2657" t="inlineStr">
        <is>
          <t>9780528680762</t>
        </is>
      </c>
      <c r="BC2657" t="inlineStr">
        <is>
          <t>32285001050136</t>
        </is>
      </c>
      <c r="BD2657" t="inlineStr">
        <is>
          <t>893800856</t>
        </is>
      </c>
    </row>
    <row r="2658">
      <c r="A2658" t="inlineStr">
        <is>
          <t>No</t>
        </is>
      </c>
      <c r="B2658" t="inlineStr">
        <is>
          <t>HQ784.A34 P48</t>
        </is>
      </c>
      <c r="C2658" t="inlineStr">
        <is>
          <t>0                      HQ 0784000A  34                 P  48</t>
        </is>
      </c>
      <c r="D2658" t="inlineStr">
        <is>
          <t>Children's perceptions of elderly persons / by Lillian A. Phenice.</t>
        </is>
      </c>
      <c r="F2658" t="inlineStr">
        <is>
          <t>No</t>
        </is>
      </c>
      <c r="G2658" t="inlineStr">
        <is>
          <t>1</t>
        </is>
      </c>
      <c r="H2658" t="inlineStr">
        <is>
          <t>No</t>
        </is>
      </c>
      <c r="I2658" t="inlineStr">
        <is>
          <t>No</t>
        </is>
      </c>
      <c r="J2658" t="inlineStr">
        <is>
          <t>0</t>
        </is>
      </c>
      <c r="K2658" t="inlineStr">
        <is>
          <t>Phenice, Lillian A.</t>
        </is>
      </c>
      <c r="L2658" t="inlineStr">
        <is>
          <t>Saratoga, Calif. : Century Twenty One Pub., c1981.</t>
        </is>
      </c>
      <c r="M2658" t="inlineStr">
        <is>
          <t>1981</t>
        </is>
      </c>
      <c r="O2658" t="inlineStr">
        <is>
          <t>eng</t>
        </is>
      </c>
      <c r="P2658" t="inlineStr">
        <is>
          <t>cau</t>
        </is>
      </c>
      <c r="R2658" t="inlineStr">
        <is>
          <t xml:space="preserve">HQ </t>
        </is>
      </c>
      <c r="S2658" t="n">
        <v>3</v>
      </c>
      <c r="T2658" t="n">
        <v>3</v>
      </c>
      <c r="U2658" t="inlineStr">
        <is>
          <t>1995-10-03</t>
        </is>
      </c>
      <c r="V2658" t="inlineStr">
        <is>
          <t>1995-10-03</t>
        </is>
      </c>
      <c r="W2658" t="inlineStr">
        <is>
          <t>1991-12-10</t>
        </is>
      </c>
      <c r="X2658" t="inlineStr">
        <is>
          <t>1991-12-10</t>
        </is>
      </c>
      <c r="Y2658" t="n">
        <v>251</v>
      </c>
      <c r="Z2658" t="n">
        <v>222</v>
      </c>
      <c r="AA2658" t="n">
        <v>225</v>
      </c>
      <c r="AB2658" t="n">
        <v>1</v>
      </c>
      <c r="AC2658" t="n">
        <v>1</v>
      </c>
      <c r="AD2658" t="n">
        <v>9</v>
      </c>
      <c r="AE2658" t="n">
        <v>9</v>
      </c>
      <c r="AF2658" t="n">
        <v>4</v>
      </c>
      <c r="AG2658" t="n">
        <v>4</v>
      </c>
      <c r="AH2658" t="n">
        <v>4</v>
      </c>
      <c r="AI2658" t="n">
        <v>4</v>
      </c>
      <c r="AJ2658" t="n">
        <v>5</v>
      </c>
      <c r="AK2658" t="n">
        <v>5</v>
      </c>
      <c r="AL2658" t="n">
        <v>0</v>
      </c>
      <c r="AM2658" t="n">
        <v>0</v>
      </c>
      <c r="AN2658" t="n">
        <v>0</v>
      </c>
      <c r="AO2658" t="n">
        <v>0</v>
      </c>
      <c r="AP2658" t="inlineStr">
        <is>
          <t>No</t>
        </is>
      </c>
      <c r="AQ2658" t="inlineStr">
        <is>
          <t>Yes</t>
        </is>
      </c>
      <c r="AR2658">
        <f>HYPERLINK("http://catalog.hathitrust.org/Record/000265074","HathiTrust Record")</f>
        <v/>
      </c>
      <c r="AS2658">
        <f>HYPERLINK("https://creighton-primo.hosted.exlibrisgroup.com/primo-explore/search?tab=default_tab&amp;search_scope=EVERYTHING&amp;vid=01CRU&amp;lang=en_US&amp;offset=0&amp;query=any,contains,991005107569702656","Catalog Record")</f>
        <v/>
      </c>
      <c r="AT2658">
        <f>HYPERLINK("http://www.worldcat.org/oclc/7358319","WorldCat Record")</f>
        <v/>
      </c>
      <c r="AU2658" t="inlineStr">
        <is>
          <t>512270:eng</t>
        </is>
      </c>
      <c r="AV2658" t="inlineStr">
        <is>
          <t>7358319</t>
        </is>
      </c>
      <c r="AW2658" t="inlineStr">
        <is>
          <t>991005107569702656</t>
        </is>
      </c>
      <c r="AX2658" t="inlineStr">
        <is>
          <t>991005107569702656</t>
        </is>
      </c>
      <c r="AY2658" t="inlineStr">
        <is>
          <t>2256769340002656</t>
        </is>
      </c>
      <c r="AZ2658" t="inlineStr">
        <is>
          <t>BOOK</t>
        </is>
      </c>
      <c r="BB2658" t="inlineStr">
        <is>
          <t>9780865480544</t>
        </is>
      </c>
      <c r="BC2658" t="inlineStr">
        <is>
          <t>32285000886167</t>
        </is>
      </c>
      <c r="BD2658" t="inlineStr">
        <is>
          <t>893260556</t>
        </is>
      </c>
    </row>
    <row r="2659">
      <c r="A2659" t="inlineStr">
        <is>
          <t>No</t>
        </is>
      </c>
      <c r="B2659" t="inlineStr">
        <is>
          <t>HQ784.D4 A5 1972</t>
        </is>
      </c>
      <c r="C2659" t="inlineStr">
        <is>
          <t>0                      HQ 0784000D  4                  A  5           1972</t>
        </is>
      </c>
      <c r="D2659" t="inlineStr">
        <is>
          <t>The discovery of death in childhood and after.</t>
        </is>
      </c>
      <c r="F2659" t="inlineStr">
        <is>
          <t>No</t>
        </is>
      </c>
      <c r="G2659" t="inlineStr">
        <is>
          <t>1</t>
        </is>
      </c>
      <c r="H2659" t="inlineStr">
        <is>
          <t>No</t>
        </is>
      </c>
      <c r="I2659" t="inlineStr">
        <is>
          <t>No</t>
        </is>
      </c>
      <c r="J2659" t="inlineStr">
        <is>
          <t>0</t>
        </is>
      </c>
      <c r="K2659" t="inlineStr">
        <is>
          <t>Anthony, Helen Sylvia, 1898-</t>
        </is>
      </c>
      <c r="L2659" t="inlineStr">
        <is>
          <t>New York : Basic Books, [1972, c1971]</t>
        </is>
      </c>
      <c r="M2659" t="inlineStr">
        <is>
          <t>1972</t>
        </is>
      </c>
      <c r="N2659" t="inlineStr">
        <is>
          <t>[1st American ed.]</t>
        </is>
      </c>
      <c r="O2659" t="inlineStr">
        <is>
          <t>eng</t>
        </is>
      </c>
      <c r="P2659" t="inlineStr">
        <is>
          <t>nyu</t>
        </is>
      </c>
      <c r="R2659" t="inlineStr">
        <is>
          <t xml:space="preserve">HQ </t>
        </is>
      </c>
      <c r="S2659" t="n">
        <v>4</v>
      </c>
      <c r="T2659" t="n">
        <v>4</v>
      </c>
      <c r="U2659" t="inlineStr">
        <is>
          <t>1999-10-25</t>
        </is>
      </c>
      <c r="V2659" t="inlineStr">
        <is>
          <t>1999-10-25</t>
        </is>
      </c>
      <c r="W2659" t="inlineStr">
        <is>
          <t>1991-10-07</t>
        </is>
      </c>
      <c r="X2659" t="inlineStr">
        <is>
          <t>1991-10-07</t>
        </is>
      </c>
      <c r="Y2659" t="n">
        <v>494</v>
      </c>
      <c r="Z2659" t="n">
        <v>477</v>
      </c>
      <c r="AA2659" t="n">
        <v>536</v>
      </c>
      <c r="AB2659" t="n">
        <v>3</v>
      </c>
      <c r="AC2659" t="n">
        <v>3</v>
      </c>
      <c r="AD2659" t="n">
        <v>16</v>
      </c>
      <c r="AE2659" t="n">
        <v>20</v>
      </c>
      <c r="AF2659" t="n">
        <v>5</v>
      </c>
      <c r="AG2659" t="n">
        <v>6</v>
      </c>
      <c r="AH2659" t="n">
        <v>3</v>
      </c>
      <c r="AI2659" t="n">
        <v>4</v>
      </c>
      <c r="AJ2659" t="n">
        <v>9</v>
      </c>
      <c r="AK2659" t="n">
        <v>11</v>
      </c>
      <c r="AL2659" t="n">
        <v>2</v>
      </c>
      <c r="AM2659" t="n">
        <v>2</v>
      </c>
      <c r="AN2659" t="n">
        <v>0</v>
      </c>
      <c r="AO2659" t="n">
        <v>0</v>
      </c>
      <c r="AP2659" t="inlineStr">
        <is>
          <t>No</t>
        </is>
      </c>
      <c r="AQ2659" t="inlineStr">
        <is>
          <t>Yes</t>
        </is>
      </c>
      <c r="AR2659">
        <f>HYPERLINK("http://catalog.hathitrust.org/Record/000005112","HathiTrust Record")</f>
        <v/>
      </c>
      <c r="AS2659">
        <f>HYPERLINK("https://creighton-primo.hosted.exlibrisgroup.com/primo-explore/search?tab=default_tab&amp;search_scope=EVERYTHING&amp;vid=01CRU&amp;lang=en_US&amp;offset=0&amp;query=any,contains,991002465039702656","Catalog Record")</f>
        <v/>
      </c>
      <c r="AT2659">
        <f>HYPERLINK("http://www.worldcat.org/oclc/357350","WorldCat Record")</f>
        <v/>
      </c>
      <c r="AU2659" t="inlineStr">
        <is>
          <t>1387776:eng</t>
        </is>
      </c>
      <c r="AV2659" t="inlineStr">
        <is>
          <t>357350</t>
        </is>
      </c>
      <c r="AW2659" t="inlineStr">
        <is>
          <t>991002465039702656</t>
        </is>
      </c>
      <c r="AX2659" t="inlineStr">
        <is>
          <t>991002465039702656</t>
        </is>
      </c>
      <c r="AY2659" t="inlineStr">
        <is>
          <t>2263056140002656</t>
        </is>
      </c>
      <c r="AZ2659" t="inlineStr">
        <is>
          <t>BOOK</t>
        </is>
      </c>
      <c r="BB2659" t="inlineStr">
        <is>
          <t>9780465016716</t>
        </is>
      </c>
      <c r="BC2659" t="inlineStr">
        <is>
          <t>32285000763713</t>
        </is>
      </c>
      <c r="BD2659" t="inlineStr">
        <is>
          <t>893903909</t>
        </is>
      </c>
    </row>
    <row r="2660">
      <c r="A2660" t="inlineStr">
        <is>
          <t>No</t>
        </is>
      </c>
      <c r="B2660" t="inlineStr">
        <is>
          <t>HQ784.D4 D28</t>
        </is>
      </c>
      <c r="C2660" t="inlineStr">
        <is>
          <t>0                      HQ 0784000D  4                  D  28</t>
        </is>
      </c>
      <c r="D2660" t="inlineStr">
        <is>
          <t>Death in the life of children / edited by Kaoru Yamamoto. --</t>
        </is>
      </c>
      <c r="F2660" t="inlineStr">
        <is>
          <t>No</t>
        </is>
      </c>
      <c r="G2660" t="inlineStr">
        <is>
          <t>1</t>
        </is>
      </c>
      <c r="H2660" t="inlineStr">
        <is>
          <t>No</t>
        </is>
      </c>
      <c r="I2660" t="inlineStr">
        <is>
          <t>No</t>
        </is>
      </c>
      <c r="J2660" t="inlineStr">
        <is>
          <t>0</t>
        </is>
      </c>
      <c r="L2660" t="inlineStr">
        <is>
          <t>[s.l.] : Kappa Delta Pi, c1978.</t>
        </is>
      </c>
      <c r="M2660" t="inlineStr">
        <is>
          <t>1978</t>
        </is>
      </c>
      <c r="O2660" t="inlineStr">
        <is>
          <t>eng</t>
        </is>
      </c>
      <c r="P2660" t="inlineStr">
        <is>
          <t xml:space="preserve">xx </t>
        </is>
      </c>
      <c r="R2660" t="inlineStr">
        <is>
          <t xml:space="preserve">HQ </t>
        </is>
      </c>
      <c r="S2660" t="n">
        <v>4</v>
      </c>
      <c r="T2660" t="n">
        <v>4</v>
      </c>
      <c r="U2660" t="inlineStr">
        <is>
          <t>1999-10-25</t>
        </is>
      </c>
      <c r="V2660" t="inlineStr">
        <is>
          <t>1999-10-25</t>
        </is>
      </c>
      <c r="W2660" t="inlineStr">
        <is>
          <t>1991-10-18</t>
        </is>
      </c>
      <c r="X2660" t="inlineStr">
        <is>
          <t>1991-10-18</t>
        </is>
      </c>
      <c r="Y2660" t="n">
        <v>151</v>
      </c>
      <c r="Z2660" t="n">
        <v>149</v>
      </c>
      <c r="AA2660" t="n">
        <v>150</v>
      </c>
      <c r="AB2660" t="n">
        <v>3</v>
      </c>
      <c r="AC2660" t="n">
        <v>3</v>
      </c>
      <c r="AD2660" t="n">
        <v>4</v>
      </c>
      <c r="AE2660" t="n">
        <v>4</v>
      </c>
      <c r="AF2660" t="n">
        <v>0</v>
      </c>
      <c r="AG2660" t="n">
        <v>0</v>
      </c>
      <c r="AH2660" t="n">
        <v>0</v>
      </c>
      <c r="AI2660" t="n">
        <v>0</v>
      </c>
      <c r="AJ2660" t="n">
        <v>2</v>
      </c>
      <c r="AK2660" t="n">
        <v>2</v>
      </c>
      <c r="AL2660" t="n">
        <v>2</v>
      </c>
      <c r="AM2660" t="n">
        <v>2</v>
      </c>
      <c r="AN2660" t="n">
        <v>0</v>
      </c>
      <c r="AO2660" t="n">
        <v>0</v>
      </c>
      <c r="AP2660" t="inlineStr">
        <is>
          <t>No</t>
        </is>
      </c>
      <c r="AQ2660" t="inlineStr">
        <is>
          <t>No</t>
        </is>
      </c>
      <c r="AS2660">
        <f>HYPERLINK("https://creighton-primo.hosted.exlibrisgroup.com/primo-explore/search?tab=default_tab&amp;search_scope=EVERYTHING&amp;vid=01CRU&amp;lang=en_US&amp;offset=0&amp;query=any,contains,991004613479702656","Catalog Record")</f>
        <v/>
      </c>
      <c r="AT2660">
        <f>HYPERLINK("http://www.worldcat.org/oclc/4232273","WorldCat Record")</f>
        <v/>
      </c>
      <c r="AU2660" t="inlineStr">
        <is>
          <t>14578522:eng</t>
        </is>
      </c>
      <c r="AV2660" t="inlineStr">
        <is>
          <t>4232273</t>
        </is>
      </c>
      <c r="AW2660" t="inlineStr">
        <is>
          <t>991004613479702656</t>
        </is>
      </c>
      <c r="AX2660" t="inlineStr">
        <is>
          <t>991004613479702656</t>
        </is>
      </c>
      <c r="AY2660" t="inlineStr">
        <is>
          <t>2262221880002656</t>
        </is>
      </c>
      <c r="AZ2660" t="inlineStr">
        <is>
          <t>BOOK</t>
        </is>
      </c>
      <c r="BC2660" t="inlineStr">
        <is>
          <t>32285000776871</t>
        </is>
      </c>
      <c r="BD2660" t="inlineStr">
        <is>
          <t>893532595</t>
        </is>
      </c>
    </row>
    <row r="2661">
      <c r="A2661" t="inlineStr">
        <is>
          <t>No</t>
        </is>
      </c>
      <c r="B2661" t="inlineStr">
        <is>
          <t>HQ784.D4 F87 1974</t>
        </is>
      </c>
      <c r="C2661" t="inlineStr">
        <is>
          <t>0                      HQ 0784000D  4                  F  87          1974</t>
        </is>
      </c>
      <c r="D2661" t="inlineStr">
        <is>
          <t>A child's parent dies : studies in childhood bereavement / Erna Furman.</t>
        </is>
      </c>
      <c r="F2661" t="inlineStr">
        <is>
          <t>No</t>
        </is>
      </c>
      <c r="G2661" t="inlineStr">
        <is>
          <t>1</t>
        </is>
      </c>
      <c r="H2661" t="inlineStr">
        <is>
          <t>No</t>
        </is>
      </c>
      <c r="I2661" t="inlineStr">
        <is>
          <t>No</t>
        </is>
      </c>
      <c r="J2661" t="inlineStr">
        <is>
          <t>0</t>
        </is>
      </c>
      <c r="K2661" t="inlineStr">
        <is>
          <t>Furman, Erna.</t>
        </is>
      </c>
      <c r="L2661" t="inlineStr">
        <is>
          <t>New Haven : Yale University Press, 1974.</t>
        </is>
      </c>
      <c r="M2661" t="inlineStr">
        <is>
          <t>1974</t>
        </is>
      </c>
      <c r="O2661" t="inlineStr">
        <is>
          <t>eng</t>
        </is>
      </c>
      <c r="P2661" t="inlineStr">
        <is>
          <t>ctu</t>
        </is>
      </c>
      <c r="R2661" t="inlineStr">
        <is>
          <t xml:space="preserve">HQ </t>
        </is>
      </c>
      <c r="S2661" t="n">
        <v>12</v>
      </c>
      <c r="T2661" t="n">
        <v>12</v>
      </c>
      <c r="U2661" t="inlineStr">
        <is>
          <t>1999-10-25</t>
        </is>
      </c>
      <c r="V2661" t="inlineStr">
        <is>
          <t>1999-10-25</t>
        </is>
      </c>
      <c r="W2661" t="inlineStr">
        <is>
          <t>1992-03-13</t>
        </is>
      </c>
      <c r="X2661" t="inlineStr">
        <is>
          <t>1992-03-13</t>
        </is>
      </c>
      <c r="Y2661" t="n">
        <v>1097</v>
      </c>
      <c r="Z2661" t="n">
        <v>929</v>
      </c>
      <c r="AA2661" t="n">
        <v>947</v>
      </c>
      <c r="AB2661" t="n">
        <v>9</v>
      </c>
      <c r="AC2661" t="n">
        <v>9</v>
      </c>
      <c r="AD2661" t="n">
        <v>35</v>
      </c>
      <c r="AE2661" t="n">
        <v>35</v>
      </c>
      <c r="AF2661" t="n">
        <v>15</v>
      </c>
      <c r="AG2661" t="n">
        <v>15</v>
      </c>
      <c r="AH2661" t="n">
        <v>7</v>
      </c>
      <c r="AI2661" t="n">
        <v>7</v>
      </c>
      <c r="AJ2661" t="n">
        <v>17</v>
      </c>
      <c r="AK2661" t="n">
        <v>17</v>
      </c>
      <c r="AL2661" t="n">
        <v>5</v>
      </c>
      <c r="AM2661" t="n">
        <v>5</v>
      </c>
      <c r="AN2661" t="n">
        <v>1</v>
      </c>
      <c r="AO2661" t="n">
        <v>1</v>
      </c>
      <c r="AP2661" t="inlineStr">
        <is>
          <t>No</t>
        </is>
      </c>
      <c r="AQ2661" t="inlineStr">
        <is>
          <t>No</t>
        </is>
      </c>
      <c r="AS2661">
        <f>HYPERLINK("https://creighton-primo.hosted.exlibrisgroup.com/primo-explore/search?tab=default_tab&amp;search_scope=EVERYTHING&amp;vid=01CRU&amp;lang=en_US&amp;offset=0&amp;query=any,contains,991005264969702656","Catalog Record")</f>
        <v/>
      </c>
      <c r="AT2661">
        <f>HYPERLINK("http://www.worldcat.org/oclc/1102820","WorldCat Record")</f>
        <v/>
      </c>
      <c r="AU2661" t="inlineStr">
        <is>
          <t>375296531:eng</t>
        </is>
      </c>
      <c r="AV2661" t="inlineStr">
        <is>
          <t>1102820</t>
        </is>
      </c>
      <c r="AW2661" t="inlineStr">
        <is>
          <t>991005264969702656</t>
        </is>
      </c>
      <c r="AX2661" t="inlineStr">
        <is>
          <t>991005264969702656</t>
        </is>
      </c>
      <c r="AY2661" t="inlineStr">
        <is>
          <t>2270115700002656</t>
        </is>
      </c>
      <c r="AZ2661" t="inlineStr">
        <is>
          <t>BOOK</t>
        </is>
      </c>
      <c r="BB2661" t="inlineStr">
        <is>
          <t>9780300017199</t>
        </is>
      </c>
      <c r="BC2661" t="inlineStr">
        <is>
          <t>32285000999754</t>
        </is>
      </c>
      <c r="BD2661" t="inlineStr">
        <is>
          <t>893902391</t>
        </is>
      </c>
    </row>
    <row r="2662">
      <c r="A2662" t="inlineStr">
        <is>
          <t>No</t>
        </is>
      </c>
      <c r="B2662" t="inlineStr">
        <is>
          <t>HQ784.D4 J3 1965b</t>
        </is>
      </c>
      <c r="C2662" t="inlineStr">
        <is>
          <t>0                      HQ 0784000D  4                  J  3           1965b</t>
        </is>
      </c>
      <c r="D2662" t="inlineStr">
        <is>
          <t>Telling a child about death, by Edgar N. Jackson.</t>
        </is>
      </c>
      <c r="F2662" t="inlineStr">
        <is>
          <t>No</t>
        </is>
      </c>
      <c r="G2662" t="inlineStr">
        <is>
          <t>1</t>
        </is>
      </c>
      <c r="H2662" t="inlineStr">
        <is>
          <t>No</t>
        </is>
      </c>
      <c r="I2662" t="inlineStr">
        <is>
          <t>No</t>
        </is>
      </c>
      <c r="J2662" t="inlineStr">
        <is>
          <t>0</t>
        </is>
      </c>
      <c r="K2662" t="inlineStr">
        <is>
          <t>Jackson, Edgar N. (Edgar Newman), 1910-1994.</t>
        </is>
      </c>
      <c r="L2662" t="inlineStr">
        <is>
          <t>New York, Hawthorne Books [1965]</t>
        </is>
      </c>
      <c r="M2662" t="inlineStr">
        <is>
          <t>1965</t>
        </is>
      </c>
      <c r="O2662" t="inlineStr">
        <is>
          <t>eng</t>
        </is>
      </c>
      <c r="P2662" t="inlineStr">
        <is>
          <t xml:space="preserve">xx </t>
        </is>
      </c>
      <c r="R2662" t="inlineStr">
        <is>
          <t xml:space="preserve">HQ </t>
        </is>
      </c>
      <c r="S2662" t="n">
        <v>7</v>
      </c>
      <c r="T2662" t="n">
        <v>7</v>
      </c>
      <c r="U2662" t="inlineStr">
        <is>
          <t>1999-10-25</t>
        </is>
      </c>
      <c r="V2662" t="inlineStr">
        <is>
          <t>1999-10-25</t>
        </is>
      </c>
      <c r="W2662" t="inlineStr">
        <is>
          <t>1991-12-10</t>
        </is>
      </c>
      <c r="X2662" t="inlineStr">
        <is>
          <t>1991-12-10</t>
        </is>
      </c>
      <c r="Y2662" t="n">
        <v>245</v>
      </c>
      <c r="Z2662" t="n">
        <v>230</v>
      </c>
      <c r="AA2662" t="n">
        <v>729</v>
      </c>
      <c r="AB2662" t="n">
        <v>4</v>
      </c>
      <c r="AC2662" t="n">
        <v>8</v>
      </c>
      <c r="AD2662" t="n">
        <v>10</v>
      </c>
      <c r="AE2662" t="n">
        <v>20</v>
      </c>
      <c r="AF2662" t="n">
        <v>4</v>
      </c>
      <c r="AG2662" t="n">
        <v>8</v>
      </c>
      <c r="AH2662" t="n">
        <v>3</v>
      </c>
      <c r="AI2662" t="n">
        <v>4</v>
      </c>
      <c r="AJ2662" t="n">
        <v>4</v>
      </c>
      <c r="AK2662" t="n">
        <v>8</v>
      </c>
      <c r="AL2662" t="n">
        <v>1</v>
      </c>
      <c r="AM2662" t="n">
        <v>4</v>
      </c>
      <c r="AN2662" t="n">
        <v>0</v>
      </c>
      <c r="AO2662" t="n">
        <v>0</v>
      </c>
      <c r="AP2662" t="inlineStr">
        <is>
          <t>No</t>
        </is>
      </c>
      <c r="AQ2662" t="inlineStr">
        <is>
          <t>No</t>
        </is>
      </c>
      <c r="AS2662">
        <f>HYPERLINK("https://creighton-primo.hosted.exlibrisgroup.com/primo-explore/search?tab=default_tab&amp;search_scope=EVERYTHING&amp;vid=01CRU&amp;lang=en_US&amp;offset=0&amp;query=any,contains,991001088679702656","Catalog Record")</f>
        <v/>
      </c>
      <c r="AT2662">
        <f>HYPERLINK("http://www.worldcat.org/oclc/2546757","WorldCat Record")</f>
        <v/>
      </c>
      <c r="AU2662" t="inlineStr">
        <is>
          <t>139142772:eng</t>
        </is>
      </c>
      <c r="AV2662" t="inlineStr">
        <is>
          <t>2546757</t>
        </is>
      </c>
      <c r="AW2662" t="inlineStr">
        <is>
          <t>991001088679702656</t>
        </is>
      </c>
      <c r="AX2662" t="inlineStr">
        <is>
          <t>991001088679702656</t>
        </is>
      </c>
      <c r="AY2662" t="inlineStr">
        <is>
          <t>2272723410002656</t>
        </is>
      </c>
      <c r="AZ2662" t="inlineStr">
        <is>
          <t>BOOK</t>
        </is>
      </c>
      <c r="BC2662" t="inlineStr">
        <is>
          <t>32285000839083</t>
        </is>
      </c>
      <c r="BD2662" t="inlineStr">
        <is>
          <t>893596180</t>
        </is>
      </c>
    </row>
    <row r="2663">
      <c r="A2663" t="inlineStr">
        <is>
          <t>No</t>
        </is>
      </c>
      <c r="B2663" t="inlineStr">
        <is>
          <t>HQ784.F7 D86 2004</t>
        </is>
      </c>
      <c r="C2663" t="inlineStr">
        <is>
          <t>0                      HQ 0784000F  7                  D  86          2004</t>
        </is>
      </c>
      <c r="D2663" t="inlineStr">
        <is>
          <t>Children's friendships : the beginnings of intimacy / Judy Dunn ; with a foreword by Jerome S. Bruner.</t>
        </is>
      </c>
      <c r="F2663" t="inlineStr">
        <is>
          <t>No</t>
        </is>
      </c>
      <c r="G2663" t="inlineStr">
        <is>
          <t>1</t>
        </is>
      </c>
      <c r="H2663" t="inlineStr">
        <is>
          <t>No</t>
        </is>
      </c>
      <c r="I2663" t="inlineStr">
        <is>
          <t>No</t>
        </is>
      </c>
      <c r="J2663" t="inlineStr">
        <is>
          <t>0</t>
        </is>
      </c>
      <c r="K2663" t="inlineStr">
        <is>
          <t>Dunn, Judy, 1939-</t>
        </is>
      </c>
      <c r="L2663" t="inlineStr">
        <is>
          <t>Malden, MA : Blackwell, 2004.</t>
        </is>
      </c>
      <c r="M2663" t="inlineStr">
        <is>
          <t>2004</t>
        </is>
      </c>
      <c r="O2663" t="inlineStr">
        <is>
          <t>eng</t>
        </is>
      </c>
      <c r="P2663" t="inlineStr">
        <is>
          <t>mau</t>
        </is>
      </c>
      <c r="Q2663" t="inlineStr">
        <is>
          <t>Understanding children's worlds</t>
        </is>
      </c>
      <c r="R2663" t="inlineStr">
        <is>
          <t xml:space="preserve">HQ </t>
        </is>
      </c>
      <c r="S2663" t="n">
        <v>4</v>
      </c>
      <c r="T2663" t="n">
        <v>4</v>
      </c>
      <c r="U2663" t="inlineStr">
        <is>
          <t>2009-10-27</t>
        </is>
      </c>
      <c r="V2663" t="inlineStr">
        <is>
          <t>2009-10-27</t>
        </is>
      </c>
      <c r="W2663" t="inlineStr">
        <is>
          <t>2005-08-02</t>
        </is>
      </c>
      <c r="X2663" t="inlineStr">
        <is>
          <t>2005-08-02</t>
        </is>
      </c>
      <c r="Y2663" t="n">
        <v>1020</v>
      </c>
      <c r="Z2663" t="n">
        <v>866</v>
      </c>
      <c r="AA2663" t="n">
        <v>869</v>
      </c>
      <c r="AB2663" t="n">
        <v>6</v>
      </c>
      <c r="AC2663" t="n">
        <v>6</v>
      </c>
      <c r="AD2663" t="n">
        <v>38</v>
      </c>
      <c r="AE2663" t="n">
        <v>38</v>
      </c>
      <c r="AF2663" t="n">
        <v>19</v>
      </c>
      <c r="AG2663" t="n">
        <v>19</v>
      </c>
      <c r="AH2663" t="n">
        <v>7</v>
      </c>
      <c r="AI2663" t="n">
        <v>7</v>
      </c>
      <c r="AJ2663" t="n">
        <v>17</v>
      </c>
      <c r="AK2663" t="n">
        <v>17</v>
      </c>
      <c r="AL2663" t="n">
        <v>5</v>
      </c>
      <c r="AM2663" t="n">
        <v>5</v>
      </c>
      <c r="AN2663" t="n">
        <v>0</v>
      </c>
      <c r="AO2663" t="n">
        <v>0</v>
      </c>
      <c r="AP2663" t="inlineStr">
        <is>
          <t>No</t>
        </is>
      </c>
      <c r="AQ2663" t="inlineStr">
        <is>
          <t>No</t>
        </is>
      </c>
      <c r="AS2663">
        <f>HYPERLINK("https://creighton-primo.hosted.exlibrisgroup.com/primo-explore/search?tab=default_tab&amp;search_scope=EVERYTHING&amp;vid=01CRU&amp;lang=en_US&amp;offset=0&amp;query=any,contains,991004599029702656","Catalog Record")</f>
        <v/>
      </c>
      <c r="AT2663">
        <f>HYPERLINK("http://www.worldcat.org/oclc/55037927","WorldCat Record")</f>
        <v/>
      </c>
      <c r="AU2663" t="inlineStr">
        <is>
          <t>796428557:eng</t>
        </is>
      </c>
      <c r="AV2663" t="inlineStr">
        <is>
          <t>55037927</t>
        </is>
      </c>
      <c r="AW2663" t="inlineStr">
        <is>
          <t>991004599029702656</t>
        </is>
      </c>
      <c r="AX2663" t="inlineStr">
        <is>
          <t>991004599029702656</t>
        </is>
      </c>
      <c r="AY2663" t="inlineStr">
        <is>
          <t>2272587950002656</t>
        </is>
      </c>
      <c r="AZ2663" t="inlineStr">
        <is>
          <t>BOOK</t>
        </is>
      </c>
      <c r="BB2663" t="inlineStr">
        <is>
          <t>9781405114479</t>
        </is>
      </c>
      <c r="BC2663" t="inlineStr">
        <is>
          <t>32285005098685</t>
        </is>
      </c>
      <c r="BD2663" t="inlineStr">
        <is>
          <t>893417805</t>
        </is>
      </c>
    </row>
    <row r="2664">
      <c r="A2664" t="inlineStr">
        <is>
          <t>No</t>
        </is>
      </c>
      <c r="B2664" t="inlineStr">
        <is>
          <t>HQ784.I58 F75 2000</t>
        </is>
      </c>
      <c r="C2664" t="inlineStr">
        <is>
          <t>0                      HQ 0784000I  58                 F  75          2000</t>
        </is>
      </c>
      <c r="D2664" t="inlineStr">
        <is>
          <t>Children and the World Wide Web : tool or trap? / Samuel Joshua Friedman.</t>
        </is>
      </c>
      <c r="F2664" t="inlineStr">
        <is>
          <t>No</t>
        </is>
      </c>
      <c r="G2664" t="inlineStr">
        <is>
          <t>1</t>
        </is>
      </c>
      <c r="H2664" t="inlineStr">
        <is>
          <t>No</t>
        </is>
      </c>
      <c r="I2664" t="inlineStr">
        <is>
          <t>No</t>
        </is>
      </c>
      <c r="J2664" t="inlineStr">
        <is>
          <t>0</t>
        </is>
      </c>
      <c r="K2664" t="inlineStr">
        <is>
          <t>Friedman, Samuel Joshua.</t>
        </is>
      </c>
      <c r="L2664" t="inlineStr">
        <is>
          <t>Lanham, Md. : University Press of America, c2000.</t>
        </is>
      </c>
      <c r="M2664" t="inlineStr">
        <is>
          <t>2000</t>
        </is>
      </c>
      <c r="O2664" t="inlineStr">
        <is>
          <t>eng</t>
        </is>
      </c>
      <c r="P2664" t="inlineStr">
        <is>
          <t>mdu</t>
        </is>
      </c>
      <c r="R2664" t="inlineStr">
        <is>
          <t xml:space="preserve">HQ </t>
        </is>
      </c>
      <c r="S2664" t="n">
        <v>3</v>
      </c>
      <c r="T2664" t="n">
        <v>3</v>
      </c>
      <c r="U2664" t="inlineStr">
        <is>
          <t>2002-09-23</t>
        </is>
      </c>
      <c r="V2664" t="inlineStr">
        <is>
          <t>2002-09-23</t>
        </is>
      </c>
      <c r="W2664" t="inlineStr">
        <is>
          <t>2001-05-03</t>
        </is>
      </c>
      <c r="X2664" t="inlineStr">
        <is>
          <t>2001-05-03</t>
        </is>
      </c>
      <c r="Y2664" t="n">
        <v>293</v>
      </c>
      <c r="Z2664" t="n">
        <v>240</v>
      </c>
      <c r="AA2664" t="n">
        <v>240</v>
      </c>
      <c r="AB2664" t="n">
        <v>3</v>
      </c>
      <c r="AC2664" t="n">
        <v>3</v>
      </c>
      <c r="AD2664" t="n">
        <v>14</v>
      </c>
      <c r="AE2664" t="n">
        <v>14</v>
      </c>
      <c r="AF2664" t="n">
        <v>3</v>
      </c>
      <c r="AG2664" t="n">
        <v>3</v>
      </c>
      <c r="AH2664" t="n">
        <v>2</v>
      </c>
      <c r="AI2664" t="n">
        <v>2</v>
      </c>
      <c r="AJ2664" t="n">
        <v>8</v>
      </c>
      <c r="AK2664" t="n">
        <v>8</v>
      </c>
      <c r="AL2664" t="n">
        <v>2</v>
      </c>
      <c r="AM2664" t="n">
        <v>2</v>
      </c>
      <c r="AN2664" t="n">
        <v>1</v>
      </c>
      <c r="AO2664" t="n">
        <v>1</v>
      </c>
      <c r="AP2664" t="inlineStr">
        <is>
          <t>No</t>
        </is>
      </c>
      <c r="AQ2664" t="inlineStr">
        <is>
          <t>No</t>
        </is>
      </c>
      <c r="AS2664">
        <f>HYPERLINK("https://creighton-primo.hosted.exlibrisgroup.com/primo-explore/search?tab=default_tab&amp;search_scope=EVERYTHING&amp;vid=01CRU&amp;lang=en_US&amp;offset=0&amp;query=any,contains,991003492669702656","Catalog Record")</f>
        <v/>
      </c>
      <c r="AT2664">
        <f>HYPERLINK("http://www.worldcat.org/oclc/44727890","WorldCat Record")</f>
        <v/>
      </c>
      <c r="AU2664" t="inlineStr">
        <is>
          <t>477843004:eng</t>
        </is>
      </c>
      <c r="AV2664" t="inlineStr">
        <is>
          <t>44727890</t>
        </is>
      </c>
      <c r="AW2664" t="inlineStr">
        <is>
          <t>991003492669702656</t>
        </is>
      </c>
      <c r="AX2664" t="inlineStr">
        <is>
          <t>991003492669702656</t>
        </is>
      </c>
      <c r="AY2664" t="inlineStr">
        <is>
          <t>2256918830002656</t>
        </is>
      </c>
      <c r="AZ2664" t="inlineStr">
        <is>
          <t>BOOK</t>
        </is>
      </c>
      <c r="BB2664" t="inlineStr">
        <is>
          <t>9780761818243</t>
        </is>
      </c>
      <c r="BC2664" t="inlineStr">
        <is>
          <t>32285004316153</t>
        </is>
      </c>
      <c r="BD2664" t="inlineStr">
        <is>
          <t>893598636</t>
        </is>
      </c>
    </row>
    <row r="2665">
      <c r="A2665" t="inlineStr">
        <is>
          <t>No</t>
        </is>
      </c>
      <c r="B2665" t="inlineStr">
        <is>
          <t>HQ784.M3 G76 1999</t>
        </is>
      </c>
      <c r="C2665" t="inlineStr">
        <is>
          <t>0                      HQ 0784000M  3                  G  76          1999</t>
        </is>
      </c>
      <c r="D2665" t="inlineStr">
        <is>
          <t>Stop teaching our kids to kill : a call to action against TV, movie &amp; video game violence / Dave Grossman and Gloria DeGaetano.</t>
        </is>
      </c>
      <c r="F2665" t="inlineStr">
        <is>
          <t>No</t>
        </is>
      </c>
      <c r="G2665" t="inlineStr">
        <is>
          <t>1</t>
        </is>
      </c>
      <c r="H2665" t="inlineStr">
        <is>
          <t>No</t>
        </is>
      </c>
      <c r="I2665" t="inlineStr">
        <is>
          <t>No</t>
        </is>
      </c>
      <c r="J2665" t="inlineStr">
        <is>
          <t>0</t>
        </is>
      </c>
      <c r="K2665" t="inlineStr">
        <is>
          <t>Grossman, Dave.</t>
        </is>
      </c>
      <c r="L2665" t="inlineStr">
        <is>
          <t>New York : Crown Publishers, c1999.</t>
        </is>
      </c>
      <c r="M2665" t="inlineStr">
        <is>
          <t>1999</t>
        </is>
      </c>
      <c r="N2665" t="inlineStr">
        <is>
          <t>1st ed.</t>
        </is>
      </c>
      <c r="O2665" t="inlineStr">
        <is>
          <t>eng</t>
        </is>
      </c>
      <c r="P2665" t="inlineStr">
        <is>
          <t>nyu</t>
        </is>
      </c>
      <c r="R2665" t="inlineStr">
        <is>
          <t xml:space="preserve">HQ </t>
        </is>
      </c>
      <c r="S2665" t="n">
        <v>24</v>
      </c>
      <c r="T2665" t="n">
        <v>24</v>
      </c>
      <c r="U2665" t="inlineStr">
        <is>
          <t>2010-02-02</t>
        </is>
      </c>
      <c r="V2665" t="inlineStr">
        <is>
          <t>2010-02-02</t>
        </is>
      </c>
      <c r="W2665" t="inlineStr">
        <is>
          <t>1999-12-09</t>
        </is>
      </c>
      <c r="X2665" t="inlineStr">
        <is>
          <t>1999-12-09</t>
        </is>
      </c>
      <c r="Y2665" t="n">
        <v>984</v>
      </c>
      <c r="Z2665" t="n">
        <v>908</v>
      </c>
      <c r="AA2665" t="n">
        <v>1226</v>
      </c>
      <c r="AB2665" t="n">
        <v>12</v>
      </c>
      <c r="AC2665" t="n">
        <v>14</v>
      </c>
      <c r="AD2665" t="n">
        <v>24</v>
      </c>
      <c r="AE2665" t="n">
        <v>24</v>
      </c>
      <c r="AF2665" t="n">
        <v>9</v>
      </c>
      <c r="AG2665" t="n">
        <v>9</v>
      </c>
      <c r="AH2665" t="n">
        <v>3</v>
      </c>
      <c r="AI2665" t="n">
        <v>3</v>
      </c>
      <c r="AJ2665" t="n">
        <v>10</v>
      </c>
      <c r="AK2665" t="n">
        <v>10</v>
      </c>
      <c r="AL2665" t="n">
        <v>8</v>
      </c>
      <c r="AM2665" t="n">
        <v>8</v>
      </c>
      <c r="AN2665" t="n">
        <v>0</v>
      </c>
      <c r="AO2665" t="n">
        <v>0</v>
      </c>
      <c r="AP2665" t="inlineStr">
        <is>
          <t>No</t>
        </is>
      </c>
      <c r="AQ2665" t="inlineStr">
        <is>
          <t>Yes</t>
        </is>
      </c>
      <c r="AR2665">
        <f>HYPERLINK("http://catalog.hathitrust.org/Record/007142230","HathiTrust Record")</f>
        <v/>
      </c>
      <c r="AS2665">
        <f>HYPERLINK("https://creighton-primo.hosted.exlibrisgroup.com/primo-explore/search?tab=default_tab&amp;search_scope=EVERYTHING&amp;vid=01CRU&amp;lang=en_US&amp;offset=0&amp;query=any,contains,991003040439702656","Catalog Record")</f>
        <v/>
      </c>
      <c r="AT2665">
        <f>HYPERLINK("http://www.worldcat.org/oclc/42040982","WorldCat Record")</f>
        <v/>
      </c>
      <c r="AU2665" t="inlineStr">
        <is>
          <t>159880736:eng</t>
        </is>
      </c>
      <c r="AV2665" t="inlineStr">
        <is>
          <t>42040982</t>
        </is>
      </c>
      <c r="AW2665" t="inlineStr">
        <is>
          <t>991003040439702656</t>
        </is>
      </c>
      <c r="AX2665" t="inlineStr">
        <is>
          <t>991003040439702656</t>
        </is>
      </c>
      <c r="AY2665" t="inlineStr">
        <is>
          <t>2260185840002656</t>
        </is>
      </c>
      <c r="AZ2665" t="inlineStr">
        <is>
          <t>BOOK</t>
        </is>
      </c>
      <c r="BB2665" t="inlineStr">
        <is>
          <t>9780609606131</t>
        </is>
      </c>
      <c r="BC2665" t="inlineStr">
        <is>
          <t>32285003630489</t>
        </is>
      </c>
      <c r="BD2665" t="inlineStr">
        <is>
          <t>893323695</t>
        </is>
      </c>
    </row>
    <row r="2666">
      <c r="A2666" t="inlineStr">
        <is>
          <t>No</t>
        </is>
      </c>
      <c r="B2666" t="inlineStr">
        <is>
          <t>HQ784.M3 L48 1996</t>
        </is>
      </c>
      <c r="C2666" t="inlineStr">
        <is>
          <t>0                      HQ 0784000M  3                  L  48          1996</t>
        </is>
      </c>
      <c r="D2666" t="inlineStr">
        <is>
          <t>Viewing violence : how media violence affects your child's and adolescent's development / Madeline Levine.</t>
        </is>
      </c>
      <c r="F2666" t="inlineStr">
        <is>
          <t>No</t>
        </is>
      </c>
      <c r="G2666" t="inlineStr">
        <is>
          <t>1</t>
        </is>
      </c>
      <c r="H2666" t="inlineStr">
        <is>
          <t>No</t>
        </is>
      </c>
      <c r="I2666" t="inlineStr">
        <is>
          <t>No</t>
        </is>
      </c>
      <c r="J2666" t="inlineStr">
        <is>
          <t>0</t>
        </is>
      </c>
      <c r="K2666" t="inlineStr">
        <is>
          <t>Levine, Madeline.</t>
        </is>
      </c>
      <c r="L2666" t="inlineStr">
        <is>
          <t>New York : Doubleday, 1996.</t>
        </is>
      </c>
      <c r="M2666" t="inlineStr">
        <is>
          <t>1996</t>
        </is>
      </c>
      <c r="N2666" t="inlineStr">
        <is>
          <t>1st ed.</t>
        </is>
      </c>
      <c r="O2666" t="inlineStr">
        <is>
          <t>eng</t>
        </is>
      </c>
      <c r="P2666" t="inlineStr">
        <is>
          <t>nyu</t>
        </is>
      </c>
      <c r="R2666" t="inlineStr">
        <is>
          <t xml:space="preserve">HQ </t>
        </is>
      </c>
      <c r="S2666" t="n">
        <v>18</v>
      </c>
      <c r="T2666" t="n">
        <v>18</v>
      </c>
      <c r="U2666" t="inlineStr">
        <is>
          <t>2009-04-15</t>
        </is>
      </c>
      <c r="V2666" t="inlineStr">
        <is>
          <t>2009-04-15</t>
        </is>
      </c>
      <c r="W2666" t="inlineStr">
        <is>
          <t>1996-10-01</t>
        </is>
      </c>
      <c r="X2666" t="inlineStr">
        <is>
          <t>1996-10-01</t>
        </is>
      </c>
      <c r="Y2666" t="n">
        <v>1167</v>
      </c>
      <c r="Z2666" t="n">
        <v>1078</v>
      </c>
      <c r="AA2666" t="n">
        <v>1110</v>
      </c>
      <c r="AB2666" t="n">
        <v>12</v>
      </c>
      <c r="AC2666" t="n">
        <v>12</v>
      </c>
      <c r="AD2666" t="n">
        <v>36</v>
      </c>
      <c r="AE2666" t="n">
        <v>36</v>
      </c>
      <c r="AF2666" t="n">
        <v>12</v>
      </c>
      <c r="AG2666" t="n">
        <v>12</v>
      </c>
      <c r="AH2666" t="n">
        <v>5</v>
      </c>
      <c r="AI2666" t="n">
        <v>5</v>
      </c>
      <c r="AJ2666" t="n">
        <v>13</v>
      </c>
      <c r="AK2666" t="n">
        <v>13</v>
      </c>
      <c r="AL2666" t="n">
        <v>10</v>
      </c>
      <c r="AM2666" t="n">
        <v>10</v>
      </c>
      <c r="AN2666" t="n">
        <v>1</v>
      </c>
      <c r="AO2666" t="n">
        <v>1</v>
      </c>
      <c r="AP2666" t="inlineStr">
        <is>
          <t>No</t>
        </is>
      </c>
      <c r="AQ2666" t="inlineStr">
        <is>
          <t>No</t>
        </is>
      </c>
      <c r="AS2666">
        <f>HYPERLINK("https://creighton-primo.hosted.exlibrisgroup.com/primo-explore/search?tab=default_tab&amp;search_scope=EVERYTHING&amp;vid=01CRU&amp;lang=en_US&amp;offset=0&amp;query=any,contains,991002593019702656","Catalog Record")</f>
        <v/>
      </c>
      <c r="AT2666">
        <f>HYPERLINK("http://www.worldcat.org/oclc/33970138","WorldCat Record")</f>
        <v/>
      </c>
      <c r="AU2666" t="inlineStr">
        <is>
          <t>392047086:eng</t>
        </is>
      </c>
      <c r="AV2666" t="inlineStr">
        <is>
          <t>33970138</t>
        </is>
      </c>
      <c r="AW2666" t="inlineStr">
        <is>
          <t>991002593019702656</t>
        </is>
      </c>
      <c r="AX2666" t="inlineStr">
        <is>
          <t>991002593019702656</t>
        </is>
      </c>
      <c r="AY2666" t="inlineStr">
        <is>
          <t>2263005340002656</t>
        </is>
      </c>
      <c r="AZ2666" t="inlineStr">
        <is>
          <t>BOOK</t>
        </is>
      </c>
      <c r="BB2666" t="inlineStr">
        <is>
          <t>9780385476867</t>
        </is>
      </c>
      <c r="BC2666" t="inlineStr">
        <is>
          <t>32285002321718</t>
        </is>
      </c>
      <c r="BD2666" t="inlineStr">
        <is>
          <t>893335479</t>
        </is>
      </c>
    </row>
    <row r="2667">
      <c r="A2667" t="inlineStr">
        <is>
          <t>No</t>
        </is>
      </c>
      <c r="B2667" t="inlineStr">
        <is>
          <t>HQ784.P5 G7</t>
        </is>
      </c>
      <c r="C2667" t="inlineStr">
        <is>
          <t>0                      HQ 0784000P  5                  G  7</t>
        </is>
      </c>
      <c r="D2667" t="inlineStr">
        <is>
          <t>Children and politics / by Fred I. Greenstein.</t>
        </is>
      </c>
      <c r="F2667" t="inlineStr">
        <is>
          <t>No</t>
        </is>
      </c>
      <c r="G2667" t="inlineStr">
        <is>
          <t>1</t>
        </is>
      </c>
      <c r="H2667" t="inlineStr">
        <is>
          <t>No</t>
        </is>
      </c>
      <c r="I2667" t="inlineStr">
        <is>
          <t>No</t>
        </is>
      </c>
      <c r="J2667" t="inlineStr">
        <is>
          <t>0</t>
        </is>
      </c>
      <c r="K2667" t="inlineStr">
        <is>
          <t>Greenstein, Fred I.</t>
        </is>
      </c>
      <c r="L2667" t="inlineStr">
        <is>
          <t>New Haven : Yale University Press, 1965.</t>
        </is>
      </c>
      <c r="M2667" t="inlineStr">
        <is>
          <t>1965</t>
        </is>
      </c>
      <c r="O2667" t="inlineStr">
        <is>
          <t>eng</t>
        </is>
      </c>
      <c r="P2667" t="inlineStr">
        <is>
          <t>ctu</t>
        </is>
      </c>
      <c r="Q2667" t="inlineStr">
        <is>
          <t>Yale studies in political science ; 13</t>
        </is>
      </c>
      <c r="R2667" t="inlineStr">
        <is>
          <t xml:space="preserve">HQ </t>
        </is>
      </c>
      <c r="S2667" t="n">
        <v>1</v>
      </c>
      <c r="T2667" t="n">
        <v>1</v>
      </c>
      <c r="U2667" t="inlineStr">
        <is>
          <t>1993-01-25</t>
        </is>
      </c>
      <c r="V2667" t="inlineStr">
        <is>
          <t>1993-01-25</t>
        </is>
      </c>
      <c r="W2667" t="inlineStr">
        <is>
          <t>1991-01-22</t>
        </is>
      </c>
      <c r="X2667" t="inlineStr">
        <is>
          <t>1991-01-22</t>
        </is>
      </c>
      <c r="Y2667" t="n">
        <v>652</v>
      </c>
      <c r="Z2667" t="n">
        <v>533</v>
      </c>
      <c r="AA2667" t="n">
        <v>810</v>
      </c>
      <c r="AB2667" t="n">
        <v>6</v>
      </c>
      <c r="AC2667" t="n">
        <v>8</v>
      </c>
      <c r="AD2667" t="n">
        <v>17</v>
      </c>
      <c r="AE2667" t="n">
        <v>33</v>
      </c>
      <c r="AF2667" t="n">
        <v>3</v>
      </c>
      <c r="AG2667" t="n">
        <v>12</v>
      </c>
      <c r="AH2667" t="n">
        <v>3</v>
      </c>
      <c r="AI2667" t="n">
        <v>7</v>
      </c>
      <c r="AJ2667" t="n">
        <v>10</v>
      </c>
      <c r="AK2667" t="n">
        <v>18</v>
      </c>
      <c r="AL2667" t="n">
        <v>5</v>
      </c>
      <c r="AM2667" t="n">
        <v>6</v>
      </c>
      <c r="AN2667" t="n">
        <v>0</v>
      </c>
      <c r="AO2667" t="n">
        <v>0</v>
      </c>
      <c r="AP2667" t="inlineStr">
        <is>
          <t>No</t>
        </is>
      </c>
      <c r="AQ2667" t="inlineStr">
        <is>
          <t>No</t>
        </is>
      </c>
      <c r="AS2667">
        <f>HYPERLINK("https://creighton-primo.hosted.exlibrisgroup.com/primo-explore/search?tab=default_tab&amp;search_scope=EVERYTHING&amp;vid=01CRU&amp;lang=en_US&amp;offset=0&amp;query=any,contains,991002033619702656","Catalog Record")</f>
        <v/>
      </c>
      <c r="AT2667">
        <f>HYPERLINK("http://www.worldcat.org/oclc/260307","WorldCat Record")</f>
        <v/>
      </c>
      <c r="AU2667" t="inlineStr">
        <is>
          <t>434803:eng</t>
        </is>
      </c>
      <c r="AV2667" t="inlineStr">
        <is>
          <t>260307</t>
        </is>
      </c>
      <c r="AW2667" t="inlineStr">
        <is>
          <t>991002033619702656</t>
        </is>
      </c>
      <c r="AX2667" t="inlineStr">
        <is>
          <t>991002033619702656</t>
        </is>
      </c>
      <c r="AY2667" t="inlineStr">
        <is>
          <t>2262563250002656</t>
        </is>
      </c>
      <c r="AZ2667" t="inlineStr">
        <is>
          <t>BOOK</t>
        </is>
      </c>
      <c r="BC2667" t="inlineStr">
        <is>
          <t>32285000430842</t>
        </is>
      </c>
      <c r="BD2667" t="inlineStr">
        <is>
          <t>893785633</t>
        </is>
      </c>
    </row>
    <row r="2668">
      <c r="A2668" t="inlineStr">
        <is>
          <t>No</t>
        </is>
      </c>
      <c r="B2668" t="inlineStr">
        <is>
          <t>HQ784.P5 H4</t>
        </is>
      </c>
      <c r="C2668" t="inlineStr">
        <is>
          <t>0                      HQ 0784000P  5                  H  4</t>
        </is>
      </c>
      <c r="D2668" t="inlineStr">
        <is>
          <t>The development of political attitudes in children / [by] Robert D. Hess and Judith V. Torney.</t>
        </is>
      </c>
      <c r="F2668" t="inlineStr">
        <is>
          <t>No</t>
        </is>
      </c>
      <c r="G2668" t="inlineStr">
        <is>
          <t>1</t>
        </is>
      </c>
      <c r="H2668" t="inlineStr">
        <is>
          <t>No</t>
        </is>
      </c>
      <c r="I2668" t="inlineStr">
        <is>
          <t>No</t>
        </is>
      </c>
      <c r="J2668" t="inlineStr">
        <is>
          <t>0</t>
        </is>
      </c>
      <c r="K2668" t="inlineStr">
        <is>
          <t>Hess, Robert D.</t>
        </is>
      </c>
      <c r="L2668" t="inlineStr">
        <is>
          <t>Chicago : Aldine Pub. Co., [1967]</t>
        </is>
      </c>
      <c r="M2668" t="inlineStr">
        <is>
          <t>1967</t>
        </is>
      </c>
      <c r="O2668" t="inlineStr">
        <is>
          <t>eng</t>
        </is>
      </c>
      <c r="P2668" t="inlineStr">
        <is>
          <t>ilu</t>
        </is>
      </c>
      <c r="R2668" t="inlineStr">
        <is>
          <t xml:space="preserve">HQ </t>
        </is>
      </c>
      <c r="S2668" t="n">
        <v>7</v>
      </c>
      <c r="T2668" t="n">
        <v>7</v>
      </c>
      <c r="U2668" t="inlineStr">
        <is>
          <t>2002-11-12</t>
        </is>
      </c>
      <c r="V2668" t="inlineStr">
        <is>
          <t>2002-11-12</t>
        </is>
      </c>
      <c r="W2668" t="inlineStr">
        <is>
          <t>1991-01-22</t>
        </is>
      </c>
      <c r="X2668" t="inlineStr">
        <is>
          <t>1991-01-22</t>
        </is>
      </c>
      <c r="Y2668" t="n">
        <v>883</v>
      </c>
      <c r="Z2668" t="n">
        <v>742</v>
      </c>
      <c r="AA2668" t="n">
        <v>877</v>
      </c>
      <c r="AB2668" t="n">
        <v>7</v>
      </c>
      <c r="AC2668" t="n">
        <v>8</v>
      </c>
      <c r="AD2668" t="n">
        <v>44</v>
      </c>
      <c r="AE2668" t="n">
        <v>48</v>
      </c>
      <c r="AF2668" t="n">
        <v>18</v>
      </c>
      <c r="AG2668" t="n">
        <v>20</v>
      </c>
      <c r="AH2668" t="n">
        <v>10</v>
      </c>
      <c r="AI2668" t="n">
        <v>10</v>
      </c>
      <c r="AJ2668" t="n">
        <v>23</v>
      </c>
      <c r="AK2668" t="n">
        <v>23</v>
      </c>
      <c r="AL2668" t="n">
        <v>6</v>
      </c>
      <c r="AM2668" t="n">
        <v>7</v>
      </c>
      <c r="AN2668" t="n">
        <v>0</v>
      </c>
      <c r="AO2668" t="n">
        <v>1</v>
      </c>
      <c r="AP2668" t="inlineStr">
        <is>
          <t>No</t>
        </is>
      </c>
      <c r="AQ2668" t="inlineStr">
        <is>
          <t>No</t>
        </is>
      </c>
      <c r="AS2668">
        <f>HYPERLINK("https://creighton-primo.hosted.exlibrisgroup.com/primo-explore/search?tab=default_tab&amp;search_scope=EVERYTHING&amp;vid=01CRU&amp;lang=en_US&amp;offset=0&amp;query=any,contains,991002033869702656","Catalog Record")</f>
        <v/>
      </c>
      <c r="AT2668">
        <f>HYPERLINK("http://www.worldcat.org/oclc/260308","WorldCat Record")</f>
        <v/>
      </c>
      <c r="AU2668" t="inlineStr">
        <is>
          <t>1367653:eng</t>
        </is>
      </c>
      <c r="AV2668" t="inlineStr">
        <is>
          <t>260308</t>
        </is>
      </c>
      <c r="AW2668" t="inlineStr">
        <is>
          <t>991002033869702656</t>
        </is>
      </c>
      <c r="AX2668" t="inlineStr">
        <is>
          <t>991002033869702656</t>
        </is>
      </c>
      <c r="AY2668" t="inlineStr">
        <is>
          <t>2262562700002656</t>
        </is>
      </c>
      <c r="AZ2668" t="inlineStr">
        <is>
          <t>BOOK</t>
        </is>
      </c>
      <c r="BC2668" t="inlineStr">
        <is>
          <t>32285000430834</t>
        </is>
      </c>
      <c r="BD2668" t="inlineStr">
        <is>
          <t>893238559</t>
        </is>
      </c>
    </row>
    <row r="2669">
      <c r="A2669" t="inlineStr">
        <is>
          <t>No</t>
        </is>
      </c>
      <c r="B2669" t="inlineStr">
        <is>
          <t>HQ784.P5 M66 1985</t>
        </is>
      </c>
      <c r="C2669" t="inlineStr">
        <is>
          <t>0                      HQ 0784000P  5                  M  66          1985</t>
        </is>
      </c>
      <c r="D2669" t="inlineStr">
        <is>
          <t>The child's political world : a longitudinal perspective / by Stanley W. Moore, James Lare, Kenneth A. Wagner.</t>
        </is>
      </c>
      <c r="F2669" t="inlineStr">
        <is>
          <t>No</t>
        </is>
      </c>
      <c r="G2669" t="inlineStr">
        <is>
          <t>1</t>
        </is>
      </c>
      <c r="H2669" t="inlineStr">
        <is>
          <t>No</t>
        </is>
      </c>
      <c r="I2669" t="inlineStr">
        <is>
          <t>No</t>
        </is>
      </c>
      <c r="J2669" t="inlineStr">
        <is>
          <t>0</t>
        </is>
      </c>
      <c r="K2669" t="inlineStr">
        <is>
          <t>Moore, Stanley W.</t>
        </is>
      </c>
      <c r="L2669" t="inlineStr">
        <is>
          <t>New York : Praeger, 1985.</t>
        </is>
      </c>
      <c r="M2669" t="inlineStr">
        <is>
          <t>1985</t>
        </is>
      </c>
      <c r="O2669" t="inlineStr">
        <is>
          <t>eng</t>
        </is>
      </c>
      <c r="P2669" t="inlineStr">
        <is>
          <t>nyu</t>
        </is>
      </c>
      <c r="R2669" t="inlineStr">
        <is>
          <t xml:space="preserve">HQ </t>
        </is>
      </c>
      <c r="S2669" t="n">
        <v>2</v>
      </c>
      <c r="T2669" t="n">
        <v>2</v>
      </c>
      <c r="U2669" t="inlineStr">
        <is>
          <t>1998-02-10</t>
        </is>
      </c>
      <c r="V2669" t="inlineStr">
        <is>
          <t>1998-02-10</t>
        </is>
      </c>
      <c r="W2669" t="inlineStr">
        <is>
          <t>1990-12-06</t>
        </is>
      </c>
      <c r="X2669" t="inlineStr">
        <is>
          <t>1990-12-06</t>
        </is>
      </c>
      <c r="Y2669" t="n">
        <v>352</v>
      </c>
      <c r="Z2669" t="n">
        <v>289</v>
      </c>
      <c r="AA2669" t="n">
        <v>295</v>
      </c>
      <c r="AB2669" t="n">
        <v>3</v>
      </c>
      <c r="AC2669" t="n">
        <v>3</v>
      </c>
      <c r="AD2669" t="n">
        <v>14</v>
      </c>
      <c r="AE2669" t="n">
        <v>14</v>
      </c>
      <c r="AF2669" t="n">
        <v>2</v>
      </c>
      <c r="AG2669" t="n">
        <v>2</v>
      </c>
      <c r="AH2669" t="n">
        <v>5</v>
      </c>
      <c r="AI2669" t="n">
        <v>5</v>
      </c>
      <c r="AJ2669" t="n">
        <v>8</v>
      </c>
      <c r="AK2669" t="n">
        <v>8</v>
      </c>
      <c r="AL2669" t="n">
        <v>2</v>
      </c>
      <c r="AM2669" t="n">
        <v>2</v>
      </c>
      <c r="AN2669" t="n">
        <v>0</v>
      </c>
      <c r="AO2669" t="n">
        <v>0</v>
      </c>
      <c r="AP2669" t="inlineStr">
        <is>
          <t>No</t>
        </is>
      </c>
      <c r="AQ2669" t="inlineStr">
        <is>
          <t>Yes</t>
        </is>
      </c>
      <c r="AR2669">
        <f>HYPERLINK("http://catalog.hathitrust.org/Record/000571356","HathiTrust Record")</f>
        <v/>
      </c>
      <c r="AS2669">
        <f>HYPERLINK("https://creighton-primo.hosted.exlibrisgroup.com/primo-explore/search?tab=default_tab&amp;search_scope=EVERYTHING&amp;vid=01CRU&amp;lang=en_US&amp;offset=0&amp;query=any,contains,991000475929702656","Catalog Record")</f>
        <v/>
      </c>
      <c r="AT2669">
        <f>HYPERLINK("http://www.worldcat.org/oclc/11029847","WorldCat Record")</f>
        <v/>
      </c>
      <c r="AU2669" t="inlineStr">
        <is>
          <t>2557894:eng</t>
        </is>
      </c>
      <c r="AV2669" t="inlineStr">
        <is>
          <t>11029847</t>
        </is>
      </c>
      <c r="AW2669" t="inlineStr">
        <is>
          <t>991000475929702656</t>
        </is>
      </c>
      <c r="AX2669" t="inlineStr">
        <is>
          <t>991000475929702656</t>
        </is>
      </c>
      <c r="AY2669" t="inlineStr">
        <is>
          <t>2266398090002656</t>
        </is>
      </c>
      <c r="AZ2669" t="inlineStr">
        <is>
          <t>BOOK</t>
        </is>
      </c>
      <c r="BB2669" t="inlineStr">
        <is>
          <t>9780030015298</t>
        </is>
      </c>
      <c r="BC2669" t="inlineStr">
        <is>
          <t>32285000358951</t>
        </is>
      </c>
      <c r="BD2669" t="inlineStr">
        <is>
          <t>893802798</t>
        </is>
      </c>
    </row>
    <row r="2670">
      <c r="A2670" t="inlineStr">
        <is>
          <t>No</t>
        </is>
      </c>
      <c r="B2670" t="inlineStr">
        <is>
          <t>HQ784.P5 O66</t>
        </is>
      </c>
      <c r="C2670" t="inlineStr">
        <is>
          <t>0                      HQ 0784000P  5                  O  66</t>
        </is>
      </c>
      <c r="D2670" t="inlineStr">
        <is>
          <t>The measurement of children's civic attitudes in different nations [by] A. N. Oppenheim and Judith Torney.</t>
        </is>
      </c>
      <c r="F2670" t="inlineStr">
        <is>
          <t>No</t>
        </is>
      </c>
      <c r="G2670" t="inlineStr">
        <is>
          <t>1</t>
        </is>
      </c>
      <c r="H2670" t="inlineStr">
        <is>
          <t>No</t>
        </is>
      </c>
      <c r="I2670" t="inlineStr">
        <is>
          <t>No</t>
        </is>
      </c>
      <c r="J2670" t="inlineStr">
        <is>
          <t>0</t>
        </is>
      </c>
      <c r="K2670" t="inlineStr">
        <is>
          <t>Oppenheim, A. N. (Abraham Naftali), 1924-</t>
        </is>
      </c>
      <c r="L2670" t="inlineStr">
        <is>
          <t>Stockholm, Almqvist &amp; Wiksell; New York, Wiley [1974]</t>
        </is>
      </c>
      <c r="M2670" t="inlineStr">
        <is>
          <t>1974</t>
        </is>
      </c>
      <c r="O2670" t="inlineStr">
        <is>
          <t>eng</t>
        </is>
      </c>
      <c r="P2670" t="inlineStr">
        <is>
          <t xml:space="preserve">sw </t>
        </is>
      </c>
      <c r="Q2670" t="inlineStr">
        <is>
          <t>IEA monograph studies ; no. 2</t>
        </is>
      </c>
      <c r="R2670" t="inlineStr">
        <is>
          <t xml:space="preserve">HQ </t>
        </is>
      </c>
      <c r="S2670" t="n">
        <v>1</v>
      </c>
      <c r="T2670" t="n">
        <v>1</v>
      </c>
      <c r="U2670" t="inlineStr">
        <is>
          <t>2002-11-12</t>
        </is>
      </c>
      <c r="V2670" t="inlineStr">
        <is>
          <t>2002-11-12</t>
        </is>
      </c>
      <c r="W2670" t="inlineStr">
        <is>
          <t>1997-08-13</t>
        </is>
      </c>
      <c r="X2670" t="inlineStr">
        <is>
          <t>1997-08-13</t>
        </is>
      </c>
      <c r="Y2670" t="n">
        <v>268</v>
      </c>
      <c r="Z2670" t="n">
        <v>178</v>
      </c>
      <c r="AA2670" t="n">
        <v>185</v>
      </c>
      <c r="AB2670" t="n">
        <v>4</v>
      </c>
      <c r="AC2670" t="n">
        <v>4</v>
      </c>
      <c r="AD2670" t="n">
        <v>10</v>
      </c>
      <c r="AE2670" t="n">
        <v>10</v>
      </c>
      <c r="AF2670" t="n">
        <v>3</v>
      </c>
      <c r="AG2670" t="n">
        <v>3</v>
      </c>
      <c r="AH2670" t="n">
        <v>3</v>
      </c>
      <c r="AI2670" t="n">
        <v>3</v>
      </c>
      <c r="AJ2670" t="n">
        <v>4</v>
      </c>
      <c r="AK2670" t="n">
        <v>4</v>
      </c>
      <c r="AL2670" t="n">
        <v>2</v>
      </c>
      <c r="AM2670" t="n">
        <v>2</v>
      </c>
      <c r="AN2670" t="n">
        <v>0</v>
      </c>
      <c r="AO2670" t="n">
        <v>0</v>
      </c>
      <c r="AP2670" t="inlineStr">
        <is>
          <t>Yes</t>
        </is>
      </c>
      <c r="AQ2670" t="inlineStr">
        <is>
          <t>No</t>
        </is>
      </c>
      <c r="AR2670">
        <f>HYPERLINK("http://catalog.hathitrust.org/Record/000978142","HathiTrust Record")</f>
        <v/>
      </c>
      <c r="AS2670">
        <f>HYPERLINK("https://creighton-primo.hosted.exlibrisgroup.com/primo-explore/search?tab=default_tab&amp;search_scope=EVERYTHING&amp;vid=01CRU&amp;lang=en_US&amp;offset=0&amp;query=any,contains,991003434639702656","Catalog Record")</f>
        <v/>
      </c>
      <c r="AT2670">
        <f>HYPERLINK("http://www.worldcat.org/oclc/969624","WorldCat Record")</f>
        <v/>
      </c>
      <c r="AU2670" t="inlineStr">
        <is>
          <t>1926485:eng</t>
        </is>
      </c>
      <c r="AV2670" t="inlineStr">
        <is>
          <t>969624</t>
        </is>
      </c>
      <c r="AW2670" t="inlineStr">
        <is>
          <t>991003434639702656</t>
        </is>
      </c>
      <c r="AX2670" t="inlineStr">
        <is>
          <t>991003434639702656</t>
        </is>
      </c>
      <c r="AY2670" t="inlineStr">
        <is>
          <t>2260725200002656</t>
        </is>
      </c>
      <c r="AZ2670" t="inlineStr">
        <is>
          <t>BOOK</t>
        </is>
      </c>
      <c r="BB2670" t="inlineStr">
        <is>
          <t>9780470654804</t>
        </is>
      </c>
      <c r="BC2670" t="inlineStr">
        <is>
          <t>32285003101861</t>
        </is>
      </c>
      <c r="BD2670" t="inlineStr">
        <is>
          <t>893416372</t>
        </is>
      </c>
    </row>
    <row r="2671">
      <c r="A2671" t="inlineStr">
        <is>
          <t>No</t>
        </is>
      </c>
      <c r="B2671" t="inlineStr">
        <is>
          <t>HQ784.P5 S748 1982</t>
        </is>
      </c>
      <c r="C2671" t="inlineStr">
        <is>
          <t>0                      HQ 0784000P  5                  S  748         1982</t>
        </is>
      </c>
      <c r="D2671" t="inlineStr">
        <is>
          <t>Children talking politics : political learning in childhood / Olive Stevens.</t>
        </is>
      </c>
      <c r="F2671" t="inlineStr">
        <is>
          <t>No</t>
        </is>
      </c>
      <c r="G2671" t="inlineStr">
        <is>
          <t>1</t>
        </is>
      </c>
      <c r="H2671" t="inlineStr">
        <is>
          <t>No</t>
        </is>
      </c>
      <c r="I2671" t="inlineStr">
        <is>
          <t>No</t>
        </is>
      </c>
      <c r="J2671" t="inlineStr">
        <is>
          <t>0</t>
        </is>
      </c>
      <c r="K2671" t="inlineStr">
        <is>
          <t>Stevens, Olive.</t>
        </is>
      </c>
      <c r="L2671" t="inlineStr">
        <is>
          <t>Oxford : Martin Robertson, 1982.</t>
        </is>
      </c>
      <c r="M2671" t="inlineStr">
        <is>
          <t>1982</t>
        </is>
      </c>
      <c r="O2671" t="inlineStr">
        <is>
          <t>eng</t>
        </is>
      </c>
      <c r="P2671" t="inlineStr">
        <is>
          <t>enk</t>
        </is>
      </c>
      <c r="Q2671" t="inlineStr">
        <is>
          <t>Issues and ideas in education series</t>
        </is>
      </c>
      <c r="R2671" t="inlineStr">
        <is>
          <t xml:space="preserve">HQ </t>
        </is>
      </c>
      <c r="S2671" t="n">
        <v>1</v>
      </c>
      <c r="T2671" t="n">
        <v>1</v>
      </c>
      <c r="U2671" t="inlineStr">
        <is>
          <t>2002-11-12</t>
        </is>
      </c>
      <c r="V2671" t="inlineStr">
        <is>
          <t>2002-11-12</t>
        </is>
      </c>
      <c r="W2671" t="inlineStr">
        <is>
          <t>1992-12-11</t>
        </is>
      </c>
      <c r="X2671" t="inlineStr">
        <is>
          <t>1992-12-11</t>
        </is>
      </c>
      <c r="Y2671" t="n">
        <v>170</v>
      </c>
      <c r="Z2671" t="n">
        <v>135</v>
      </c>
      <c r="AA2671" t="n">
        <v>141</v>
      </c>
      <c r="AB2671" t="n">
        <v>2</v>
      </c>
      <c r="AC2671" t="n">
        <v>2</v>
      </c>
      <c r="AD2671" t="n">
        <v>6</v>
      </c>
      <c r="AE2671" t="n">
        <v>6</v>
      </c>
      <c r="AF2671" t="n">
        <v>3</v>
      </c>
      <c r="AG2671" t="n">
        <v>3</v>
      </c>
      <c r="AH2671" t="n">
        <v>1</v>
      </c>
      <c r="AI2671" t="n">
        <v>1</v>
      </c>
      <c r="AJ2671" t="n">
        <v>4</v>
      </c>
      <c r="AK2671" t="n">
        <v>4</v>
      </c>
      <c r="AL2671" t="n">
        <v>1</v>
      </c>
      <c r="AM2671" t="n">
        <v>1</v>
      </c>
      <c r="AN2671" t="n">
        <v>0</v>
      </c>
      <c r="AO2671" t="n">
        <v>0</v>
      </c>
      <c r="AP2671" t="inlineStr">
        <is>
          <t>No</t>
        </is>
      </c>
      <c r="AQ2671" t="inlineStr">
        <is>
          <t>No</t>
        </is>
      </c>
      <c r="AS2671">
        <f>HYPERLINK("https://creighton-primo.hosted.exlibrisgroup.com/primo-explore/search?tab=default_tab&amp;search_scope=EVERYTHING&amp;vid=01CRU&amp;lang=en_US&amp;offset=0&amp;query=any,contains,991000074339702656","Catalog Record")</f>
        <v/>
      </c>
      <c r="AT2671">
        <f>HYPERLINK("http://www.worldcat.org/oclc/8803761","WorldCat Record")</f>
        <v/>
      </c>
      <c r="AU2671" t="inlineStr">
        <is>
          <t>836658233:eng</t>
        </is>
      </c>
      <c r="AV2671" t="inlineStr">
        <is>
          <t>8803761</t>
        </is>
      </c>
      <c r="AW2671" t="inlineStr">
        <is>
          <t>991000074339702656</t>
        </is>
      </c>
      <c r="AX2671" t="inlineStr">
        <is>
          <t>991000074339702656</t>
        </is>
      </c>
      <c r="AY2671" t="inlineStr">
        <is>
          <t>2271350200002656</t>
        </is>
      </c>
      <c r="AZ2671" t="inlineStr">
        <is>
          <t>BOOK</t>
        </is>
      </c>
      <c r="BB2671" t="inlineStr">
        <is>
          <t>9780855204921</t>
        </is>
      </c>
      <c r="BC2671" t="inlineStr">
        <is>
          <t>32285001441558</t>
        </is>
      </c>
      <c r="BD2671" t="inlineStr">
        <is>
          <t>893326985</t>
        </is>
      </c>
    </row>
    <row r="2672">
      <c r="A2672" t="inlineStr">
        <is>
          <t>No</t>
        </is>
      </c>
      <c r="B2672" t="inlineStr">
        <is>
          <t>HQ784.S45 B3</t>
        </is>
      </c>
      <c r="C2672" t="inlineStr">
        <is>
          <t>0                      HQ 0784000S  45                 B  3</t>
        </is>
      </c>
      <c r="D2672" t="inlineStr">
        <is>
          <t>Art, obscenity, and your children; a helpful discussion of morality and the arts for parents and teachers / edited and with an introduction by Clayton C. Barbeau. --</t>
        </is>
      </c>
      <c r="F2672" t="inlineStr">
        <is>
          <t>No</t>
        </is>
      </c>
      <c r="G2672" t="inlineStr">
        <is>
          <t>1</t>
        </is>
      </c>
      <c r="H2672" t="inlineStr">
        <is>
          <t>No</t>
        </is>
      </c>
      <c r="I2672" t="inlineStr">
        <is>
          <t>No</t>
        </is>
      </c>
      <c r="J2672" t="inlineStr">
        <is>
          <t>0</t>
        </is>
      </c>
      <c r="K2672" t="inlineStr">
        <is>
          <t>Barbeau, Clayton C. compiler.</t>
        </is>
      </c>
      <c r="L2672" t="inlineStr">
        <is>
          <t>St. Meinrad, Ind., Abbey Press 1967.</t>
        </is>
      </c>
      <c r="M2672" t="inlineStr">
        <is>
          <t>1967</t>
        </is>
      </c>
      <c r="O2672" t="inlineStr">
        <is>
          <t>eng</t>
        </is>
      </c>
      <c r="P2672" t="inlineStr">
        <is>
          <t>inu</t>
        </is>
      </c>
      <c r="Q2672" t="inlineStr">
        <is>
          <t>Marriage paperback library</t>
        </is>
      </c>
      <c r="R2672" t="inlineStr">
        <is>
          <t xml:space="preserve">HQ </t>
        </is>
      </c>
      <c r="S2672" t="n">
        <v>7</v>
      </c>
      <c r="T2672" t="n">
        <v>7</v>
      </c>
      <c r="U2672" t="inlineStr">
        <is>
          <t>2002-03-13</t>
        </is>
      </c>
      <c r="V2672" t="inlineStr">
        <is>
          <t>2002-03-13</t>
        </is>
      </c>
      <c r="W2672" t="inlineStr">
        <is>
          <t>1991-12-10</t>
        </is>
      </c>
      <c r="X2672" t="inlineStr">
        <is>
          <t>1991-12-10</t>
        </is>
      </c>
      <c r="Y2672" t="n">
        <v>63</v>
      </c>
      <c r="Z2672" t="n">
        <v>58</v>
      </c>
      <c r="AA2672" t="n">
        <v>60</v>
      </c>
      <c r="AB2672" t="n">
        <v>2</v>
      </c>
      <c r="AC2672" t="n">
        <v>2</v>
      </c>
      <c r="AD2672" t="n">
        <v>8</v>
      </c>
      <c r="AE2672" t="n">
        <v>8</v>
      </c>
      <c r="AF2672" t="n">
        <v>0</v>
      </c>
      <c r="AG2672" t="n">
        <v>0</v>
      </c>
      <c r="AH2672" t="n">
        <v>2</v>
      </c>
      <c r="AI2672" t="n">
        <v>2</v>
      </c>
      <c r="AJ2672" t="n">
        <v>4</v>
      </c>
      <c r="AK2672" t="n">
        <v>4</v>
      </c>
      <c r="AL2672" t="n">
        <v>1</v>
      </c>
      <c r="AM2672" t="n">
        <v>1</v>
      </c>
      <c r="AN2672" t="n">
        <v>1</v>
      </c>
      <c r="AO2672" t="n">
        <v>1</v>
      </c>
      <c r="AP2672" t="inlineStr">
        <is>
          <t>No</t>
        </is>
      </c>
      <c r="AQ2672" t="inlineStr">
        <is>
          <t>Yes</t>
        </is>
      </c>
      <c r="AR2672">
        <f>HYPERLINK("http://catalog.hathitrust.org/Record/003565204","HathiTrust Record")</f>
        <v/>
      </c>
      <c r="AS2672">
        <f>HYPERLINK("https://creighton-primo.hosted.exlibrisgroup.com/primo-explore/search?tab=default_tab&amp;search_scope=EVERYTHING&amp;vid=01CRU&amp;lang=en_US&amp;offset=0&amp;query=any,contains,991003564729702656","Catalog Record")</f>
        <v/>
      </c>
      <c r="AT2672">
        <f>HYPERLINK("http://www.worldcat.org/oclc/1137428","WorldCat Record")</f>
        <v/>
      </c>
      <c r="AU2672" t="inlineStr">
        <is>
          <t>197802284:eng</t>
        </is>
      </c>
      <c r="AV2672" t="inlineStr">
        <is>
          <t>1137428</t>
        </is>
      </c>
      <c r="AW2672" t="inlineStr">
        <is>
          <t>991003564729702656</t>
        </is>
      </c>
      <c r="AX2672" t="inlineStr">
        <is>
          <t>991003564729702656</t>
        </is>
      </c>
      <c r="AY2672" t="inlineStr">
        <is>
          <t>2268268380002656</t>
        </is>
      </c>
      <c r="AZ2672" t="inlineStr">
        <is>
          <t>BOOK</t>
        </is>
      </c>
      <c r="BC2672" t="inlineStr">
        <is>
          <t>32285000886175</t>
        </is>
      </c>
      <c r="BD2672" t="inlineStr">
        <is>
          <t>893805920</t>
        </is>
      </c>
    </row>
    <row r="2673">
      <c r="A2673" t="inlineStr">
        <is>
          <t>No</t>
        </is>
      </c>
      <c r="B2673" t="inlineStr">
        <is>
          <t>HQ784.S45 G64 1982</t>
        </is>
      </c>
      <c r="C2673" t="inlineStr">
        <is>
          <t>0                      HQ 0784000S  45                 G  64          1982</t>
        </is>
      </c>
      <c r="D2673" t="inlineStr">
        <is>
          <t>Children's sexual thinking : a comparative study of children aged 5 to 15 years in Australia, North America, Britain, and Sweden / Ronald and Juliette Goldman.</t>
        </is>
      </c>
      <c r="F2673" t="inlineStr">
        <is>
          <t>No</t>
        </is>
      </c>
      <c r="G2673" t="inlineStr">
        <is>
          <t>1</t>
        </is>
      </c>
      <c r="H2673" t="inlineStr">
        <is>
          <t>No</t>
        </is>
      </c>
      <c r="I2673" t="inlineStr">
        <is>
          <t>No</t>
        </is>
      </c>
      <c r="J2673" t="inlineStr">
        <is>
          <t>0</t>
        </is>
      </c>
      <c r="K2673" t="inlineStr">
        <is>
          <t>Goldman, Ronald.</t>
        </is>
      </c>
      <c r="L2673" t="inlineStr">
        <is>
          <t>London ; Boston : Routledge &amp; K. Paul, 1982.</t>
        </is>
      </c>
      <c r="M2673" t="inlineStr">
        <is>
          <t>1982</t>
        </is>
      </c>
      <c r="O2673" t="inlineStr">
        <is>
          <t>eng</t>
        </is>
      </c>
      <c r="P2673" t="inlineStr">
        <is>
          <t>enk</t>
        </is>
      </c>
      <c r="R2673" t="inlineStr">
        <is>
          <t xml:space="preserve">HQ </t>
        </is>
      </c>
      <c r="S2673" t="n">
        <v>3</v>
      </c>
      <c r="T2673" t="n">
        <v>3</v>
      </c>
      <c r="U2673" t="inlineStr">
        <is>
          <t>2004-02-23</t>
        </is>
      </c>
      <c r="V2673" t="inlineStr">
        <is>
          <t>2004-02-23</t>
        </is>
      </c>
      <c r="W2673" t="inlineStr">
        <is>
          <t>1992-11-12</t>
        </is>
      </c>
      <c r="X2673" t="inlineStr">
        <is>
          <t>1992-11-12</t>
        </is>
      </c>
      <c r="Y2673" t="n">
        <v>747</v>
      </c>
      <c r="Z2673" t="n">
        <v>560</v>
      </c>
      <c r="AA2673" t="n">
        <v>562</v>
      </c>
      <c r="AB2673" t="n">
        <v>4</v>
      </c>
      <c r="AC2673" t="n">
        <v>4</v>
      </c>
      <c r="AD2673" t="n">
        <v>24</v>
      </c>
      <c r="AE2673" t="n">
        <v>24</v>
      </c>
      <c r="AF2673" t="n">
        <v>13</v>
      </c>
      <c r="AG2673" t="n">
        <v>13</v>
      </c>
      <c r="AH2673" t="n">
        <v>4</v>
      </c>
      <c r="AI2673" t="n">
        <v>4</v>
      </c>
      <c r="AJ2673" t="n">
        <v>10</v>
      </c>
      <c r="AK2673" t="n">
        <v>10</v>
      </c>
      <c r="AL2673" t="n">
        <v>3</v>
      </c>
      <c r="AM2673" t="n">
        <v>3</v>
      </c>
      <c r="AN2673" t="n">
        <v>0</v>
      </c>
      <c r="AO2673" t="n">
        <v>0</v>
      </c>
      <c r="AP2673" t="inlineStr">
        <is>
          <t>No</t>
        </is>
      </c>
      <c r="AQ2673" t="inlineStr">
        <is>
          <t>Yes</t>
        </is>
      </c>
      <c r="AR2673">
        <f>HYPERLINK("http://catalog.hathitrust.org/Record/000188670","HathiTrust Record")</f>
        <v/>
      </c>
      <c r="AS2673">
        <f>HYPERLINK("https://creighton-primo.hosted.exlibrisgroup.com/primo-explore/search?tab=default_tab&amp;search_scope=EVERYTHING&amp;vid=01CRU&amp;lang=en_US&amp;offset=0&amp;query=any,contains,991005162009702656","Catalog Record")</f>
        <v/>
      </c>
      <c r="AT2673">
        <f>HYPERLINK("http://www.worldcat.org/oclc/7795746","WorldCat Record")</f>
        <v/>
      </c>
      <c r="AU2673" t="inlineStr">
        <is>
          <t>225715222:eng</t>
        </is>
      </c>
      <c r="AV2673" t="inlineStr">
        <is>
          <t>7795746</t>
        </is>
      </c>
      <c r="AW2673" t="inlineStr">
        <is>
          <t>991005162009702656</t>
        </is>
      </c>
      <c r="AX2673" t="inlineStr">
        <is>
          <t>991005162009702656</t>
        </is>
      </c>
      <c r="AY2673" t="inlineStr">
        <is>
          <t>2268025750002656</t>
        </is>
      </c>
      <c r="AZ2673" t="inlineStr">
        <is>
          <t>BOOK</t>
        </is>
      </c>
      <c r="BB2673" t="inlineStr">
        <is>
          <t>9780710008831</t>
        </is>
      </c>
      <c r="BC2673" t="inlineStr">
        <is>
          <t>32285001396000</t>
        </is>
      </c>
      <c r="BD2673" t="inlineStr">
        <is>
          <t>893248462</t>
        </is>
      </c>
    </row>
    <row r="2674">
      <c r="A2674" t="inlineStr">
        <is>
          <t>No</t>
        </is>
      </c>
      <c r="B2674" t="inlineStr">
        <is>
          <t>HQ784.S45 I58 1988</t>
        </is>
      </c>
      <c r="C2674" t="inlineStr">
        <is>
          <t>0                      HQ 0784000S  45                 I  58          1988</t>
        </is>
      </c>
      <c r="D2674" t="inlineStr">
        <is>
          <t>Children's concepts of gender / Margaret Jean Intons-Peterson.</t>
        </is>
      </c>
      <c r="F2674" t="inlineStr">
        <is>
          <t>No</t>
        </is>
      </c>
      <c r="G2674" t="inlineStr">
        <is>
          <t>1</t>
        </is>
      </c>
      <c r="H2674" t="inlineStr">
        <is>
          <t>No</t>
        </is>
      </c>
      <c r="I2674" t="inlineStr">
        <is>
          <t>No</t>
        </is>
      </c>
      <c r="J2674" t="inlineStr">
        <is>
          <t>0</t>
        </is>
      </c>
      <c r="K2674" t="inlineStr">
        <is>
          <t>Intons-Peterson, Margaret Jean.</t>
        </is>
      </c>
      <c r="L2674" t="inlineStr">
        <is>
          <t>Norwood, N.J. : Ablex Pub. Corp., 1988.</t>
        </is>
      </c>
      <c r="M2674" t="inlineStr">
        <is>
          <t>1988</t>
        </is>
      </c>
      <c r="O2674" t="inlineStr">
        <is>
          <t>eng</t>
        </is>
      </c>
      <c r="P2674" t="inlineStr">
        <is>
          <t>nju</t>
        </is>
      </c>
      <c r="R2674" t="inlineStr">
        <is>
          <t xml:space="preserve">HQ </t>
        </is>
      </c>
      <c r="S2674" t="n">
        <v>5</v>
      </c>
      <c r="T2674" t="n">
        <v>5</v>
      </c>
      <c r="U2674" t="inlineStr">
        <is>
          <t>2004-04-04</t>
        </is>
      </c>
      <c r="V2674" t="inlineStr">
        <is>
          <t>2004-04-04</t>
        </is>
      </c>
      <c r="W2674" t="inlineStr">
        <is>
          <t>1989-12-29</t>
        </is>
      </c>
      <c r="X2674" t="inlineStr">
        <is>
          <t>1989-12-29</t>
        </is>
      </c>
      <c r="Y2674" t="n">
        <v>320</v>
      </c>
      <c r="Z2674" t="n">
        <v>231</v>
      </c>
      <c r="AA2674" t="n">
        <v>238</v>
      </c>
      <c r="AB2674" t="n">
        <v>3</v>
      </c>
      <c r="AC2674" t="n">
        <v>3</v>
      </c>
      <c r="AD2674" t="n">
        <v>15</v>
      </c>
      <c r="AE2674" t="n">
        <v>15</v>
      </c>
      <c r="AF2674" t="n">
        <v>3</v>
      </c>
      <c r="AG2674" t="n">
        <v>3</v>
      </c>
      <c r="AH2674" t="n">
        <v>6</v>
      </c>
      <c r="AI2674" t="n">
        <v>6</v>
      </c>
      <c r="AJ2674" t="n">
        <v>8</v>
      </c>
      <c r="AK2674" t="n">
        <v>8</v>
      </c>
      <c r="AL2674" t="n">
        <v>2</v>
      </c>
      <c r="AM2674" t="n">
        <v>2</v>
      </c>
      <c r="AN2674" t="n">
        <v>0</v>
      </c>
      <c r="AO2674" t="n">
        <v>0</v>
      </c>
      <c r="AP2674" t="inlineStr">
        <is>
          <t>No</t>
        </is>
      </c>
      <c r="AQ2674" t="inlineStr">
        <is>
          <t>Yes</t>
        </is>
      </c>
      <c r="AR2674">
        <f>HYPERLINK("http://catalog.hathitrust.org/Record/001099172","HathiTrust Record")</f>
        <v/>
      </c>
      <c r="AS2674">
        <f>HYPERLINK("https://creighton-primo.hosted.exlibrisgroup.com/primo-explore/search?tab=default_tab&amp;search_scope=EVERYTHING&amp;vid=01CRU&amp;lang=en_US&amp;offset=0&amp;query=any,contains,991001241189702656","Catalog Record")</f>
        <v/>
      </c>
      <c r="AT2674">
        <f>HYPERLINK("http://www.worldcat.org/oclc/17619720","WorldCat Record")</f>
        <v/>
      </c>
      <c r="AU2674" t="inlineStr">
        <is>
          <t>15717794:eng</t>
        </is>
      </c>
      <c r="AV2674" t="inlineStr">
        <is>
          <t>17619720</t>
        </is>
      </c>
      <c r="AW2674" t="inlineStr">
        <is>
          <t>991001241189702656</t>
        </is>
      </c>
      <c r="AX2674" t="inlineStr">
        <is>
          <t>991001241189702656</t>
        </is>
      </c>
      <c r="AY2674" t="inlineStr">
        <is>
          <t>2257800600002656</t>
        </is>
      </c>
      <c r="AZ2674" t="inlineStr">
        <is>
          <t>BOOK</t>
        </is>
      </c>
      <c r="BB2674" t="inlineStr">
        <is>
          <t>9780893915155</t>
        </is>
      </c>
      <c r="BC2674" t="inlineStr">
        <is>
          <t>32285000025691</t>
        </is>
      </c>
      <c r="BD2674" t="inlineStr">
        <is>
          <t>893420200</t>
        </is>
      </c>
    </row>
    <row r="2675">
      <c r="A2675" t="inlineStr">
        <is>
          <t>No</t>
        </is>
      </c>
      <c r="B2675" t="inlineStr">
        <is>
          <t>HQ784.S56 G3 1992</t>
        </is>
      </c>
      <c r="C2675" t="inlineStr">
        <is>
          <t>0                      HQ 0784000S  56                 G  3           1992</t>
        </is>
      </c>
      <c r="D2675" t="inlineStr">
        <is>
          <t>Social interaction and the development of language and cognition / Alison F. Garton.</t>
        </is>
      </c>
      <c r="F2675" t="inlineStr">
        <is>
          <t>No</t>
        </is>
      </c>
      <c r="G2675" t="inlineStr">
        <is>
          <t>1</t>
        </is>
      </c>
      <c r="H2675" t="inlineStr">
        <is>
          <t>No</t>
        </is>
      </c>
      <c r="I2675" t="inlineStr">
        <is>
          <t>No</t>
        </is>
      </c>
      <c r="J2675" t="inlineStr">
        <is>
          <t>0</t>
        </is>
      </c>
      <c r="K2675" t="inlineStr">
        <is>
          <t>Garton, Alison, 1950-</t>
        </is>
      </c>
      <c r="L2675" t="inlineStr">
        <is>
          <t>Hove : Lawrence Erlbaum, 1992.</t>
        </is>
      </c>
      <c r="M2675" t="inlineStr">
        <is>
          <t>1992</t>
        </is>
      </c>
      <c r="O2675" t="inlineStr">
        <is>
          <t>eng</t>
        </is>
      </c>
      <c r="P2675" t="inlineStr">
        <is>
          <t>enk</t>
        </is>
      </c>
      <c r="Q2675" t="inlineStr">
        <is>
          <t>Essays in developmental psychology</t>
        </is>
      </c>
      <c r="R2675" t="inlineStr">
        <is>
          <t xml:space="preserve">HQ </t>
        </is>
      </c>
      <c r="S2675" t="n">
        <v>5</v>
      </c>
      <c r="T2675" t="n">
        <v>5</v>
      </c>
      <c r="U2675" t="inlineStr">
        <is>
          <t>2005-11-21</t>
        </is>
      </c>
      <c r="V2675" t="inlineStr">
        <is>
          <t>2005-11-21</t>
        </is>
      </c>
      <c r="W2675" t="inlineStr">
        <is>
          <t>1996-10-30</t>
        </is>
      </c>
      <c r="X2675" t="inlineStr">
        <is>
          <t>1996-10-30</t>
        </is>
      </c>
      <c r="Y2675" t="n">
        <v>340</v>
      </c>
      <c r="Z2675" t="n">
        <v>201</v>
      </c>
      <c r="AA2675" t="n">
        <v>204</v>
      </c>
      <c r="AB2675" t="n">
        <v>3</v>
      </c>
      <c r="AC2675" t="n">
        <v>3</v>
      </c>
      <c r="AD2675" t="n">
        <v>9</v>
      </c>
      <c r="AE2675" t="n">
        <v>9</v>
      </c>
      <c r="AF2675" t="n">
        <v>1</v>
      </c>
      <c r="AG2675" t="n">
        <v>1</v>
      </c>
      <c r="AH2675" t="n">
        <v>6</v>
      </c>
      <c r="AI2675" t="n">
        <v>6</v>
      </c>
      <c r="AJ2675" t="n">
        <v>3</v>
      </c>
      <c r="AK2675" t="n">
        <v>3</v>
      </c>
      <c r="AL2675" t="n">
        <v>2</v>
      </c>
      <c r="AM2675" t="n">
        <v>2</v>
      </c>
      <c r="AN2675" t="n">
        <v>0</v>
      </c>
      <c r="AO2675" t="n">
        <v>0</v>
      </c>
      <c r="AP2675" t="inlineStr">
        <is>
          <t>No</t>
        </is>
      </c>
      <c r="AQ2675" t="inlineStr">
        <is>
          <t>No</t>
        </is>
      </c>
      <c r="AS2675">
        <f>HYPERLINK("https://creighton-primo.hosted.exlibrisgroup.com/primo-explore/search?tab=default_tab&amp;search_scope=EVERYTHING&amp;vid=01CRU&amp;lang=en_US&amp;offset=0&amp;query=any,contains,991002172799702656","Catalog Record")</f>
        <v/>
      </c>
      <c r="AT2675">
        <f>HYPERLINK("http://www.worldcat.org/oclc/27974250","WorldCat Record")</f>
        <v/>
      </c>
      <c r="AU2675" t="inlineStr">
        <is>
          <t>143989115:eng</t>
        </is>
      </c>
      <c r="AV2675" t="inlineStr">
        <is>
          <t>27974250</t>
        </is>
      </c>
      <c r="AW2675" t="inlineStr">
        <is>
          <t>991002172799702656</t>
        </is>
      </c>
      <c r="AX2675" t="inlineStr">
        <is>
          <t>991002172799702656</t>
        </is>
      </c>
      <c r="AY2675" t="inlineStr">
        <is>
          <t>2264254740002656</t>
        </is>
      </c>
      <c r="AZ2675" t="inlineStr">
        <is>
          <t>BOOK</t>
        </is>
      </c>
      <c r="BB2675" t="inlineStr">
        <is>
          <t>9780863772276</t>
        </is>
      </c>
      <c r="BC2675" t="inlineStr">
        <is>
          <t>32285002379260</t>
        </is>
      </c>
      <c r="BD2675" t="inlineStr">
        <is>
          <t>893615780</t>
        </is>
      </c>
    </row>
    <row r="2676">
      <c r="A2676" t="inlineStr">
        <is>
          <t>No</t>
        </is>
      </c>
      <c r="B2676" t="inlineStr">
        <is>
          <t>HQ784.S56 V36 2001</t>
        </is>
      </c>
      <c r="C2676" t="inlineStr">
        <is>
          <t>0                      HQ 0784000S  56                 V  36          2001</t>
        </is>
      </c>
      <c r="D2676" t="inlineStr">
        <is>
          <t>The first R : how children learn race and racism / Debra Van Ausdale and Joe R. Feagin.</t>
        </is>
      </c>
      <c r="F2676" t="inlineStr">
        <is>
          <t>No</t>
        </is>
      </c>
      <c r="G2676" t="inlineStr">
        <is>
          <t>1</t>
        </is>
      </c>
      <c r="H2676" t="inlineStr">
        <is>
          <t>No</t>
        </is>
      </c>
      <c r="I2676" t="inlineStr">
        <is>
          <t>No</t>
        </is>
      </c>
      <c r="J2676" t="inlineStr">
        <is>
          <t>0</t>
        </is>
      </c>
      <c r="K2676" t="inlineStr">
        <is>
          <t>Van Ausdale, Debra, 1954-</t>
        </is>
      </c>
      <c r="L2676" t="inlineStr">
        <is>
          <t>Lanham, Md. : Rowman &amp; Littlefield, c2001.</t>
        </is>
      </c>
      <c r="M2676" t="inlineStr">
        <is>
          <t>2001</t>
        </is>
      </c>
      <c r="O2676" t="inlineStr">
        <is>
          <t>eng</t>
        </is>
      </c>
      <c r="P2676" t="inlineStr">
        <is>
          <t>mdu</t>
        </is>
      </c>
      <c r="R2676" t="inlineStr">
        <is>
          <t xml:space="preserve">HQ </t>
        </is>
      </c>
      <c r="S2676" t="n">
        <v>3</v>
      </c>
      <c r="T2676" t="n">
        <v>3</v>
      </c>
      <c r="U2676" t="inlineStr">
        <is>
          <t>2007-11-12</t>
        </is>
      </c>
      <c r="V2676" t="inlineStr">
        <is>
          <t>2007-11-12</t>
        </is>
      </c>
      <c r="W2676" t="inlineStr">
        <is>
          <t>2001-03-13</t>
        </is>
      </c>
      <c r="X2676" t="inlineStr">
        <is>
          <t>2001-03-13</t>
        </is>
      </c>
      <c r="Y2676" t="n">
        <v>1163</v>
      </c>
      <c r="Z2676" t="n">
        <v>1044</v>
      </c>
      <c r="AA2676" t="n">
        <v>1139</v>
      </c>
      <c r="AB2676" t="n">
        <v>11</v>
      </c>
      <c r="AC2676" t="n">
        <v>11</v>
      </c>
      <c r="AD2676" t="n">
        <v>43</v>
      </c>
      <c r="AE2676" t="n">
        <v>44</v>
      </c>
      <c r="AF2676" t="n">
        <v>18</v>
      </c>
      <c r="AG2676" t="n">
        <v>19</v>
      </c>
      <c r="AH2676" t="n">
        <v>6</v>
      </c>
      <c r="AI2676" t="n">
        <v>7</v>
      </c>
      <c r="AJ2676" t="n">
        <v>20</v>
      </c>
      <c r="AK2676" t="n">
        <v>20</v>
      </c>
      <c r="AL2676" t="n">
        <v>9</v>
      </c>
      <c r="AM2676" t="n">
        <v>9</v>
      </c>
      <c r="AN2676" t="n">
        <v>0</v>
      </c>
      <c r="AO2676" t="n">
        <v>0</v>
      </c>
      <c r="AP2676" t="inlineStr">
        <is>
          <t>No</t>
        </is>
      </c>
      <c r="AQ2676" t="inlineStr">
        <is>
          <t>No</t>
        </is>
      </c>
      <c r="AS2676">
        <f>HYPERLINK("https://creighton-primo.hosted.exlibrisgroup.com/primo-explore/search?tab=default_tab&amp;search_scope=EVERYTHING&amp;vid=01CRU&amp;lang=en_US&amp;offset=0&amp;query=any,contains,991003486139702656","Catalog Record")</f>
        <v/>
      </c>
      <c r="AT2676">
        <f>HYPERLINK("http://www.worldcat.org/oclc/44454599","WorldCat Record")</f>
        <v/>
      </c>
      <c r="AU2676" t="inlineStr">
        <is>
          <t>837538043:eng</t>
        </is>
      </c>
      <c r="AV2676" t="inlineStr">
        <is>
          <t>44454599</t>
        </is>
      </c>
      <c r="AW2676" t="inlineStr">
        <is>
          <t>991003486139702656</t>
        </is>
      </c>
      <c r="AX2676" t="inlineStr">
        <is>
          <t>991003486139702656</t>
        </is>
      </c>
      <c r="AY2676" t="inlineStr">
        <is>
          <t>2269767060002656</t>
        </is>
      </c>
      <c r="AZ2676" t="inlineStr">
        <is>
          <t>BOOK</t>
        </is>
      </c>
      <c r="BB2676" t="inlineStr">
        <is>
          <t>9780847688616</t>
        </is>
      </c>
      <c r="BC2676" t="inlineStr">
        <is>
          <t>32285004299938</t>
        </is>
      </c>
      <c r="BD2676" t="inlineStr">
        <is>
          <t>893499341</t>
        </is>
      </c>
    </row>
    <row r="2677">
      <c r="A2677" t="inlineStr">
        <is>
          <t>No</t>
        </is>
      </c>
      <c r="B2677" t="inlineStr">
        <is>
          <t>HQ784.S7 S5</t>
        </is>
      </c>
      <c r="C2677" t="inlineStr">
        <is>
          <t>0                      HQ 0784000S  7                  S  5</t>
        </is>
      </c>
      <c r="D2677" t="inlineStr">
        <is>
          <t>Stepchild in the family : a view of children in remarriage / by Anne W. Simon.</t>
        </is>
      </c>
      <c r="F2677" t="inlineStr">
        <is>
          <t>No</t>
        </is>
      </c>
      <c r="G2677" t="inlineStr">
        <is>
          <t>1</t>
        </is>
      </c>
      <c r="H2677" t="inlineStr">
        <is>
          <t>No</t>
        </is>
      </c>
      <c r="I2677" t="inlineStr">
        <is>
          <t>No</t>
        </is>
      </c>
      <c r="J2677" t="inlineStr">
        <is>
          <t>0</t>
        </is>
      </c>
      <c r="K2677" t="inlineStr">
        <is>
          <t>Simon, Anne W.</t>
        </is>
      </c>
      <c r="L2677" t="inlineStr">
        <is>
          <t>New York : Odyssey Press, [1964]</t>
        </is>
      </c>
      <c r="M2677" t="inlineStr">
        <is>
          <t>1964</t>
        </is>
      </c>
      <c r="O2677" t="inlineStr">
        <is>
          <t>eng</t>
        </is>
      </c>
      <c r="P2677" t="inlineStr">
        <is>
          <t xml:space="preserve">xx </t>
        </is>
      </c>
      <c r="R2677" t="inlineStr">
        <is>
          <t xml:space="preserve">HQ </t>
        </is>
      </c>
      <c r="S2677" t="n">
        <v>6</v>
      </c>
      <c r="T2677" t="n">
        <v>6</v>
      </c>
      <c r="U2677" t="inlineStr">
        <is>
          <t>1996-02-05</t>
        </is>
      </c>
      <c r="V2677" t="inlineStr">
        <is>
          <t>1996-02-05</t>
        </is>
      </c>
      <c r="W2677" t="inlineStr">
        <is>
          <t>1992-04-14</t>
        </is>
      </c>
      <c r="X2677" t="inlineStr">
        <is>
          <t>1992-04-14</t>
        </is>
      </c>
      <c r="Y2677" t="n">
        <v>328</v>
      </c>
      <c r="Z2677" t="n">
        <v>301</v>
      </c>
      <c r="AA2677" t="n">
        <v>380</v>
      </c>
      <c r="AB2677" t="n">
        <v>4</v>
      </c>
      <c r="AC2677" t="n">
        <v>4</v>
      </c>
      <c r="AD2677" t="n">
        <v>12</v>
      </c>
      <c r="AE2677" t="n">
        <v>13</v>
      </c>
      <c r="AF2677" t="n">
        <v>6</v>
      </c>
      <c r="AG2677" t="n">
        <v>7</v>
      </c>
      <c r="AH2677" t="n">
        <v>1</v>
      </c>
      <c r="AI2677" t="n">
        <v>1</v>
      </c>
      <c r="AJ2677" t="n">
        <v>3</v>
      </c>
      <c r="AK2677" t="n">
        <v>3</v>
      </c>
      <c r="AL2677" t="n">
        <v>3</v>
      </c>
      <c r="AM2677" t="n">
        <v>3</v>
      </c>
      <c r="AN2677" t="n">
        <v>0</v>
      </c>
      <c r="AO2677" t="n">
        <v>0</v>
      </c>
      <c r="AP2677" t="inlineStr">
        <is>
          <t>No</t>
        </is>
      </c>
      <c r="AQ2677" t="inlineStr">
        <is>
          <t>Yes</t>
        </is>
      </c>
      <c r="AR2677">
        <f>HYPERLINK("http://catalog.hathitrust.org/Record/000978147","HathiTrust Record")</f>
        <v/>
      </c>
      <c r="AS2677">
        <f>HYPERLINK("https://creighton-primo.hosted.exlibrisgroup.com/primo-explore/search?tab=default_tab&amp;search_scope=EVERYTHING&amp;vid=01CRU&amp;lang=en_US&amp;offset=0&amp;query=any,contains,991004206169702656","Catalog Record")</f>
        <v/>
      </c>
      <c r="AT2677">
        <f>HYPERLINK("http://www.worldcat.org/oclc/2667119","WorldCat Record")</f>
        <v/>
      </c>
      <c r="AU2677" t="inlineStr">
        <is>
          <t>2195094:eng</t>
        </is>
      </c>
      <c r="AV2677" t="inlineStr">
        <is>
          <t>2667119</t>
        </is>
      </c>
      <c r="AW2677" t="inlineStr">
        <is>
          <t>991004206169702656</t>
        </is>
      </c>
      <c r="AX2677" t="inlineStr">
        <is>
          <t>991004206169702656</t>
        </is>
      </c>
      <c r="AY2677" t="inlineStr">
        <is>
          <t>2256330830002656</t>
        </is>
      </c>
      <c r="AZ2677" t="inlineStr">
        <is>
          <t>BOOK</t>
        </is>
      </c>
      <c r="BC2677" t="inlineStr">
        <is>
          <t>32285001060200</t>
        </is>
      </c>
      <c r="BD2677" t="inlineStr">
        <is>
          <t>893612074</t>
        </is>
      </c>
    </row>
    <row r="2678">
      <c r="A2678" t="inlineStr">
        <is>
          <t>No</t>
        </is>
      </c>
      <c r="B2678" t="inlineStr">
        <is>
          <t>HQ784.T4 B35</t>
        </is>
      </c>
      <c r="C2678" t="inlineStr">
        <is>
          <t>0                      HQ 0784000T  4                  B  35</t>
        </is>
      </c>
      <c r="D2678" t="inlineStr">
        <is>
          <t>Children's television : an analysis of programming and advertising / F. Earle Barcus with Rachel Wolkin.</t>
        </is>
      </c>
      <c r="F2678" t="inlineStr">
        <is>
          <t>No</t>
        </is>
      </c>
      <c r="G2678" t="inlineStr">
        <is>
          <t>1</t>
        </is>
      </c>
      <c r="H2678" t="inlineStr">
        <is>
          <t>No</t>
        </is>
      </c>
      <c r="I2678" t="inlineStr">
        <is>
          <t>No</t>
        </is>
      </c>
      <c r="J2678" t="inlineStr">
        <is>
          <t>0</t>
        </is>
      </c>
      <c r="K2678" t="inlineStr">
        <is>
          <t>Barcus, Francis Earle, 1927-</t>
        </is>
      </c>
      <c r="L2678" t="inlineStr">
        <is>
          <t>New York : Praeger, 1977.</t>
        </is>
      </c>
      <c r="M2678" t="inlineStr">
        <is>
          <t>1977</t>
        </is>
      </c>
      <c r="O2678" t="inlineStr">
        <is>
          <t>eng</t>
        </is>
      </c>
      <c r="P2678" t="inlineStr">
        <is>
          <t>nyu</t>
        </is>
      </c>
      <c r="Q2678" t="inlineStr">
        <is>
          <t>Praeger special studies in U.S. economic, social, and political issues</t>
        </is>
      </c>
      <c r="R2678" t="inlineStr">
        <is>
          <t xml:space="preserve">HQ </t>
        </is>
      </c>
      <c r="S2678" t="n">
        <v>20</v>
      </c>
      <c r="T2678" t="n">
        <v>20</v>
      </c>
      <c r="U2678" t="inlineStr">
        <is>
          <t>2008-06-20</t>
        </is>
      </c>
      <c r="V2678" t="inlineStr">
        <is>
          <t>2008-06-20</t>
        </is>
      </c>
      <c r="W2678" t="inlineStr">
        <is>
          <t>1992-11-11</t>
        </is>
      </c>
      <c r="X2678" t="inlineStr">
        <is>
          <t>1992-11-11</t>
        </is>
      </c>
      <c r="Y2678" t="n">
        <v>615</v>
      </c>
      <c r="Z2678" t="n">
        <v>530</v>
      </c>
      <c r="AA2678" t="n">
        <v>538</v>
      </c>
      <c r="AB2678" t="n">
        <v>4</v>
      </c>
      <c r="AC2678" t="n">
        <v>4</v>
      </c>
      <c r="AD2678" t="n">
        <v>26</v>
      </c>
      <c r="AE2678" t="n">
        <v>26</v>
      </c>
      <c r="AF2678" t="n">
        <v>13</v>
      </c>
      <c r="AG2678" t="n">
        <v>13</v>
      </c>
      <c r="AH2678" t="n">
        <v>3</v>
      </c>
      <c r="AI2678" t="n">
        <v>3</v>
      </c>
      <c r="AJ2678" t="n">
        <v>12</v>
      </c>
      <c r="AK2678" t="n">
        <v>12</v>
      </c>
      <c r="AL2678" t="n">
        <v>2</v>
      </c>
      <c r="AM2678" t="n">
        <v>2</v>
      </c>
      <c r="AN2678" t="n">
        <v>0</v>
      </c>
      <c r="AO2678" t="n">
        <v>0</v>
      </c>
      <c r="AP2678" t="inlineStr">
        <is>
          <t>No</t>
        </is>
      </c>
      <c r="AQ2678" t="inlineStr">
        <is>
          <t>Yes</t>
        </is>
      </c>
      <c r="AR2678">
        <f>HYPERLINK("http://catalog.hathitrust.org/Record/000251515","HathiTrust Record")</f>
        <v/>
      </c>
      <c r="AS2678">
        <f>HYPERLINK("https://creighton-primo.hosted.exlibrisgroup.com/primo-explore/search?tab=default_tab&amp;search_scope=EVERYTHING&amp;vid=01CRU&amp;lang=en_US&amp;offset=0&amp;query=any,contains,991004316699702656","Catalog Record")</f>
        <v/>
      </c>
      <c r="AT2678">
        <f>HYPERLINK("http://www.worldcat.org/oclc/3005719","WorldCat Record")</f>
        <v/>
      </c>
      <c r="AU2678" t="inlineStr">
        <is>
          <t>899566239:eng</t>
        </is>
      </c>
      <c r="AV2678" t="inlineStr">
        <is>
          <t>3005719</t>
        </is>
      </c>
      <c r="AW2678" t="inlineStr">
        <is>
          <t>991004316699702656</t>
        </is>
      </c>
      <c r="AX2678" t="inlineStr">
        <is>
          <t>991004316699702656</t>
        </is>
      </c>
      <c r="AY2678" t="inlineStr">
        <is>
          <t>2255175880002656</t>
        </is>
      </c>
      <c r="AZ2678" t="inlineStr">
        <is>
          <t>BOOK</t>
        </is>
      </c>
      <c r="BB2678" t="inlineStr">
        <is>
          <t>9780275232108</t>
        </is>
      </c>
      <c r="BC2678" t="inlineStr">
        <is>
          <t>32285000108323</t>
        </is>
      </c>
      <c r="BD2678" t="inlineStr">
        <is>
          <t>893894844</t>
        </is>
      </c>
    </row>
    <row r="2679">
      <c r="A2679" t="inlineStr">
        <is>
          <t>No</t>
        </is>
      </c>
      <c r="B2679" t="inlineStr">
        <is>
          <t>HQ784.T4 B356 1983</t>
        </is>
      </c>
      <c r="C2679" t="inlineStr">
        <is>
          <t>0                      HQ 0784000T  4                  B  356         1983</t>
        </is>
      </c>
      <c r="D2679" t="inlineStr">
        <is>
          <t>Images of life on children's television : sex roles, minorities, and families / F. Earle Barcus.</t>
        </is>
      </c>
      <c r="F2679" t="inlineStr">
        <is>
          <t>No</t>
        </is>
      </c>
      <c r="G2679" t="inlineStr">
        <is>
          <t>1</t>
        </is>
      </c>
      <c r="H2679" t="inlineStr">
        <is>
          <t>No</t>
        </is>
      </c>
      <c r="I2679" t="inlineStr">
        <is>
          <t>No</t>
        </is>
      </c>
      <c r="J2679" t="inlineStr">
        <is>
          <t>0</t>
        </is>
      </c>
      <c r="K2679" t="inlineStr">
        <is>
          <t>Barcus, Francis Earle, 1927-</t>
        </is>
      </c>
      <c r="L2679" t="inlineStr">
        <is>
          <t>New York, NY, USA : Praeger, 1983.</t>
        </is>
      </c>
      <c r="M2679" t="inlineStr">
        <is>
          <t>1983</t>
        </is>
      </c>
      <c r="O2679" t="inlineStr">
        <is>
          <t>eng</t>
        </is>
      </c>
      <c r="P2679" t="inlineStr">
        <is>
          <t>nyu</t>
        </is>
      </c>
      <c r="R2679" t="inlineStr">
        <is>
          <t xml:space="preserve">HQ </t>
        </is>
      </c>
      <c r="S2679" t="n">
        <v>27</v>
      </c>
      <c r="T2679" t="n">
        <v>27</v>
      </c>
      <c r="U2679" t="inlineStr">
        <is>
          <t>2008-06-20</t>
        </is>
      </c>
      <c r="V2679" t="inlineStr">
        <is>
          <t>2008-06-20</t>
        </is>
      </c>
      <c r="W2679" t="inlineStr">
        <is>
          <t>1990-03-22</t>
        </is>
      </c>
      <c r="X2679" t="inlineStr">
        <is>
          <t>1990-03-22</t>
        </is>
      </c>
      <c r="Y2679" t="n">
        <v>650</v>
      </c>
      <c r="Z2679" t="n">
        <v>555</v>
      </c>
      <c r="AA2679" t="n">
        <v>560</v>
      </c>
      <c r="AB2679" t="n">
        <v>5</v>
      </c>
      <c r="AC2679" t="n">
        <v>5</v>
      </c>
      <c r="AD2679" t="n">
        <v>30</v>
      </c>
      <c r="AE2679" t="n">
        <v>30</v>
      </c>
      <c r="AF2679" t="n">
        <v>11</v>
      </c>
      <c r="AG2679" t="n">
        <v>11</v>
      </c>
      <c r="AH2679" t="n">
        <v>5</v>
      </c>
      <c r="AI2679" t="n">
        <v>5</v>
      </c>
      <c r="AJ2679" t="n">
        <v>18</v>
      </c>
      <c r="AK2679" t="n">
        <v>18</v>
      </c>
      <c r="AL2679" t="n">
        <v>4</v>
      </c>
      <c r="AM2679" t="n">
        <v>4</v>
      </c>
      <c r="AN2679" t="n">
        <v>0</v>
      </c>
      <c r="AO2679" t="n">
        <v>0</v>
      </c>
      <c r="AP2679" t="inlineStr">
        <is>
          <t>No</t>
        </is>
      </c>
      <c r="AQ2679" t="inlineStr">
        <is>
          <t>No</t>
        </is>
      </c>
      <c r="AS2679">
        <f>HYPERLINK("https://creighton-primo.hosted.exlibrisgroup.com/primo-explore/search?tab=default_tab&amp;search_scope=EVERYTHING&amp;vid=01CRU&amp;lang=en_US&amp;offset=0&amp;query=any,contains,991000179549702656","Catalog Record")</f>
        <v/>
      </c>
      <c r="AT2679">
        <f>HYPERLINK("http://www.worldcat.org/oclc/9371105","WorldCat Record")</f>
        <v/>
      </c>
      <c r="AU2679" t="inlineStr">
        <is>
          <t>147291471:eng</t>
        </is>
      </c>
      <c r="AV2679" t="inlineStr">
        <is>
          <t>9371105</t>
        </is>
      </c>
      <c r="AW2679" t="inlineStr">
        <is>
          <t>991000179549702656</t>
        </is>
      </c>
      <c r="AX2679" t="inlineStr">
        <is>
          <t>991000179549702656</t>
        </is>
      </c>
      <c r="AY2679" t="inlineStr">
        <is>
          <t>2266986400002656</t>
        </is>
      </c>
      <c r="AZ2679" t="inlineStr">
        <is>
          <t>BOOK</t>
        </is>
      </c>
      <c r="BB2679" t="inlineStr">
        <is>
          <t>9780030638831</t>
        </is>
      </c>
      <c r="BC2679" t="inlineStr">
        <is>
          <t>32285000095082</t>
        </is>
      </c>
      <c r="BD2679" t="inlineStr">
        <is>
          <t>893601551</t>
        </is>
      </c>
    </row>
    <row r="2680">
      <c r="A2680" t="inlineStr">
        <is>
          <t>No</t>
        </is>
      </c>
      <c r="B2680" t="inlineStr">
        <is>
          <t>HQ784.T4 B44</t>
        </is>
      </c>
      <c r="C2680" t="inlineStr">
        <is>
          <t>0                      HQ 0784000T  4                  B  44</t>
        </is>
      </c>
      <c r="D2680" t="inlineStr">
        <is>
          <t>Television and children : recall of television advertising and programs by children / David Bednall, Marie Hannaford.</t>
        </is>
      </c>
      <c r="F2680" t="inlineStr">
        <is>
          <t>No</t>
        </is>
      </c>
      <c r="G2680" t="inlineStr">
        <is>
          <t>1</t>
        </is>
      </c>
      <c r="H2680" t="inlineStr">
        <is>
          <t>No</t>
        </is>
      </c>
      <c r="I2680" t="inlineStr">
        <is>
          <t>No</t>
        </is>
      </c>
      <c r="J2680" t="inlineStr">
        <is>
          <t>0</t>
        </is>
      </c>
      <c r="K2680" t="inlineStr">
        <is>
          <t>Bednall, David.</t>
        </is>
      </c>
      <c r="L2680" t="inlineStr">
        <is>
          <t>Melbourne : Australian Broadcasting Tribunal, 1980.</t>
        </is>
      </c>
      <c r="M2680" t="inlineStr">
        <is>
          <t>1980</t>
        </is>
      </c>
      <c r="O2680" t="inlineStr">
        <is>
          <t>eng</t>
        </is>
      </c>
      <c r="P2680" t="inlineStr">
        <is>
          <t xml:space="preserve">at </t>
        </is>
      </c>
      <c r="R2680" t="inlineStr">
        <is>
          <t xml:space="preserve">HQ </t>
        </is>
      </c>
      <c r="S2680" t="n">
        <v>11</v>
      </c>
      <c r="T2680" t="n">
        <v>11</v>
      </c>
      <c r="U2680" t="inlineStr">
        <is>
          <t>1995-12-08</t>
        </is>
      </c>
      <c r="V2680" t="inlineStr">
        <is>
          <t>1995-12-08</t>
        </is>
      </c>
      <c r="W2680" t="inlineStr">
        <is>
          <t>1990-04-06</t>
        </is>
      </c>
      <c r="X2680" t="inlineStr">
        <is>
          <t>1990-04-06</t>
        </is>
      </c>
      <c r="Y2680" t="n">
        <v>24</v>
      </c>
      <c r="Z2680" t="n">
        <v>5</v>
      </c>
      <c r="AA2680" t="n">
        <v>7</v>
      </c>
      <c r="AB2680" t="n">
        <v>1</v>
      </c>
      <c r="AC2680" t="n">
        <v>1</v>
      </c>
      <c r="AD2680" t="n">
        <v>0</v>
      </c>
      <c r="AE2680" t="n">
        <v>0</v>
      </c>
      <c r="AF2680" t="n">
        <v>0</v>
      </c>
      <c r="AG2680" t="n">
        <v>0</v>
      </c>
      <c r="AH2680" t="n">
        <v>0</v>
      </c>
      <c r="AI2680" t="n">
        <v>0</v>
      </c>
      <c r="AJ2680" t="n">
        <v>0</v>
      </c>
      <c r="AK2680" t="n">
        <v>0</v>
      </c>
      <c r="AL2680" t="n">
        <v>0</v>
      </c>
      <c r="AM2680" t="n">
        <v>0</v>
      </c>
      <c r="AN2680" t="n">
        <v>0</v>
      </c>
      <c r="AO2680" t="n">
        <v>0</v>
      </c>
      <c r="AP2680" t="inlineStr">
        <is>
          <t>No</t>
        </is>
      </c>
      <c r="AQ2680" t="inlineStr">
        <is>
          <t>Yes</t>
        </is>
      </c>
      <c r="AR2680">
        <f>HYPERLINK("http://catalog.hathitrust.org/Record/102157968","HathiTrust Record")</f>
        <v/>
      </c>
      <c r="AS2680">
        <f>HYPERLINK("https://creighton-primo.hosted.exlibrisgroup.com/primo-explore/search?tab=default_tab&amp;search_scope=EVERYTHING&amp;vid=01CRU&amp;lang=en_US&amp;offset=0&amp;query=any,contains,991005045459702656","Catalog Record")</f>
        <v/>
      </c>
      <c r="AT2680">
        <f>HYPERLINK("http://www.worldcat.org/oclc/6825002","WorldCat Record")</f>
        <v/>
      </c>
      <c r="AU2680" t="inlineStr">
        <is>
          <t>222261346:eng</t>
        </is>
      </c>
      <c r="AV2680" t="inlineStr">
        <is>
          <t>6825002</t>
        </is>
      </c>
      <c r="AW2680" t="inlineStr">
        <is>
          <t>991005045459702656</t>
        </is>
      </c>
      <c r="AX2680" t="inlineStr">
        <is>
          <t>991005045459702656</t>
        </is>
      </c>
      <c r="AY2680" t="inlineStr">
        <is>
          <t>2266308120002656</t>
        </is>
      </c>
      <c r="AZ2680" t="inlineStr">
        <is>
          <t>BOOK</t>
        </is>
      </c>
      <c r="BC2680" t="inlineStr">
        <is>
          <t>32285000111731</t>
        </is>
      </c>
      <c r="BD2680" t="inlineStr">
        <is>
          <t>893619358</t>
        </is>
      </c>
    </row>
    <row r="2681">
      <c r="A2681" t="inlineStr">
        <is>
          <t>No</t>
        </is>
      </c>
      <c r="B2681" t="inlineStr">
        <is>
          <t>HQ784.T4 B83 1993</t>
        </is>
      </c>
      <c r="C2681" t="inlineStr">
        <is>
          <t>0                      HQ 0784000T  4                  B  83          1993</t>
        </is>
      </c>
      <c r="D2681" t="inlineStr">
        <is>
          <t>Children talking television : the making of television literacy / by David Buckingham.</t>
        </is>
      </c>
      <c r="F2681" t="inlineStr">
        <is>
          <t>No</t>
        </is>
      </c>
      <c r="G2681" t="inlineStr">
        <is>
          <t>1</t>
        </is>
      </c>
      <c r="H2681" t="inlineStr">
        <is>
          <t>No</t>
        </is>
      </c>
      <c r="I2681" t="inlineStr">
        <is>
          <t>No</t>
        </is>
      </c>
      <c r="J2681" t="inlineStr">
        <is>
          <t>0</t>
        </is>
      </c>
      <c r="K2681" t="inlineStr">
        <is>
          <t>Buckingham, David, 1954-</t>
        </is>
      </c>
      <c r="L2681" t="inlineStr">
        <is>
          <t>London ; Washington, D.C. : Falmer Press, 1993.</t>
        </is>
      </c>
      <c r="M2681" t="inlineStr">
        <is>
          <t>1993</t>
        </is>
      </c>
      <c r="O2681" t="inlineStr">
        <is>
          <t>eng</t>
        </is>
      </c>
      <c r="P2681" t="inlineStr">
        <is>
          <t>pau</t>
        </is>
      </c>
      <c r="Q2681" t="inlineStr">
        <is>
          <t>Critical perspectives on literary [i.e. literacy] and education</t>
        </is>
      </c>
      <c r="R2681" t="inlineStr">
        <is>
          <t xml:space="preserve">HQ </t>
        </is>
      </c>
      <c r="S2681" t="n">
        <v>13</v>
      </c>
      <c r="T2681" t="n">
        <v>13</v>
      </c>
      <c r="U2681" t="inlineStr">
        <is>
          <t>2006-04-12</t>
        </is>
      </c>
      <c r="V2681" t="inlineStr">
        <is>
          <t>2006-04-12</t>
        </is>
      </c>
      <c r="W2681" t="inlineStr">
        <is>
          <t>1994-07-05</t>
        </is>
      </c>
      <c r="X2681" t="inlineStr">
        <is>
          <t>1994-07-05</t>
        </is>
      </c>
      <c r="Y2681" t="n">
        <v>656</v>
      </c>
      <c r="Z2681" t="n">
        <v>452</v>
      </c>
      <c r="AA2681" t="n">
        <v>479</v>
      </c>
      <c r="AB2681" t="n">
        <v>4</v>
      </c>
      <c r="AC2681" t="n">
        <v>4</v>
      </c>
      <c r="AD2681" t="n">
        <v>20</v>
      </c>
      <c r="AE2681" t="n">
        <v>20</v>
      </c>
      <c r="AF2681" t="n">
        <v>8</v>
      </c>
      <c r="AG2681" t="n">
        <v>8</v>
      </c>
      <c r="AH2681" t="n">
        <v>4</v>
      </c>
      <c r="AI2681" t="n">
        <v>4</v>
      </c>
      <c r="AJ2681" t="n">
        <v>10</v>
      </c>
      <c r="AK2681" t="n">
        <v>10</v>
      </c>
      <c r="AL2681" t="n">
        <v>3</v>
      </c>
      <c r="AM2681" t="n">
        <v>3</v>
      </c>
      <c r="AN2681" t="n">
        <v>0</v>
      </c>
      <c r="AO2681" t="n">
        <v>0</v>
      </c>
      <c r="AP2681" t="inlineStr">
        <is>
          <t>No</t>
        </is>
      </c>
      <c r="AQ2681" t="inlineStr">
        <is>
          <t>No</t>
        </is>
      </c>
      <c r="AS2681">
        <f>HYPERLINK("https://creighton-primo.hosted.exlibrisgroup.com/primo-explore/search?tab=default_tab&amp;search_scope=EVERYTHING&amp;vid=01CRU&amp;lang=en_US&amp;offset=0&amp;query=any,contains,991002118409702656","Catalog Record")</f>
        <v/>
      </c>
      <c r="AT2681">
        <f>HYPERLINK("http://www.worldcat.org/oclc/27147078","WorldCat Record")</f>
        <v/>
      </c>
      <c r="AU2681" t="inlineStr">
        <is>
          <t>349444:eng</t>
        </is>
      </c>
      <c r="AV2681" t="inlineStr">
        <is>
          <t>27147078</t>
        </is>
      </c>
      <c r="AW2681" t="inlineStr">
        <is>
          <t>991002118409702656</t>
        </is>
      </c>
      <c r="AX2681" t="inlineStr">
        <is>
          <t>991002118409702656</t>
        </is>
      </c>
      <c r="AY2681" t="inlineStr">
        <is>
          <t>2256066970002656</t>
        </is>
      </c>
      <c r="AZ2681" t="inlineStr">
        <is>
          <t>BOOK</t>
        </is>
      </c>
      <c r="BB2681" t="inlineStr">
        <is>
          <t>9780750701099</t>
        </is>
      </c>
      <c r="BC2681" t="inlineStr">
        <is>
          <t>32285001930428</t>
        </is>
      </c>
      <c r="BD2681" t="inlineStr">
        <is>
          <t>893609487</t>
        </is>
      </c>
    </row>
    <row r="2682">
      <c r="A2682" t="inlineStr">
        <is>
          <t>No</t>
        </is>
      </c>
      <c r="B2682" t="inlineStr">
        <is>
          <t>HQ784.T4 B868 1995</t>
        </is>
      </c>
      <c r="C2682" t="inlineStr">
        <is>
          <t>0                      HQ 0784000T  4                  B  868         1995</t>
        </is>
      </c>
      <c r="D2682" t="inlineStr">
        <is>
          <t>Jugendschutz und Fernsehen in Europa : grenzenlose Fernsehgewalt? / Christian Büttner, Joachim von Gottberg.</t>
        </is>
      </c>
      <c r="F2682" t="inlineStr">
        <is>
          <t>No</t>
        </is>
      </c>
      <c r="G2682" t="inlineStr">
        <is>
          <t>1</t>
        </is>
      </c>
      <c r="H2682" t="inlineStr">
        <is>
          <t>No</t>
        </is>
      </c>
      <c r="I2682" t="inlineStr">
        <is>
          <t>No</t>
        </is>
      </c>
      <c r="J2682" t="inlineStr">
        <is>
          <t>0</t>
        </is>
      </c>
      <c r="K2682" t="inlineStr">
        <is>
          <t>Büttner, Christian.</t>
        </is>
      </c>
      <c r="L2682" t="inlineStr">
        <is>
          <t>Frankfurt am Main : Hessische Stiftung Friedens- und Konfliktforschung, [1995]</t>
        </is>
      </c>
      <c r="M2682" t="inlineStr">
        <is>
          <t>1995</t>
        </is>
      </c>
      <c r="O2682" t="inlineStr">
        <is>
          <t>ger</t>
        </is>
      </c>
      <c r="P2682" t="inlineStr">
        <is>
          <t xml:space="preserve">gw </t>
        </is>
      </c>
      <c r="Q2682" t="inlineStr">
        <is>
          <t>HSFK-Report ; 7/1995</t>
        </is>
      </c>
      <c r="R2682" t="inlineStr">
        <is>
          <t xml:space="preserve">HQ </t>
        </is>
      </c>
      <c r="S2682" t="n">
        <v>2</v>
      </c>
      <c r="T2682" t="n">
        <v>2</v>
      </c>
      <c r="U2682" t="inlineStr">
        <is>
          <t>2003-05-20</t>
        </is>
      </c>
      <c r="V2682" t="inlineStr">
        <is>
          <t>2003-05-20</t>
        </is>
      </c>
      <c r="W2682" t="inlineStr">
        <is>
          <t>2003-05-20</t>
        </is>
      </c>
      <c r="X2682" t="inlineStr">
        <is>
          <t>2003-05-20</t>
        </is>
      </c>
      <c r="Y2682" t="n">
        <v>14</v>
      </c>
      <c r="Z2682" t="n">
        <v>3</v>
      </c>
      <c r="AA2682" t="n">
        <v>3</v>
      </c>
      <c r="AB2682" t="n">
        <v>1</v>
      </c>
      <c r="AC2682" t="n">
        <v>1</v>
      </c>
      <c r="AD2682" t="n">
        <v>0</v>
      </c>
      <c r="AE2682" t="n">
        <v>0</v>
      </c>
      <c r="AF2682" t="n">
        <v>0</v>
      </c>
      <c r="AG2682" t="n">
        <v>0</v>
      </c>
      <c r="AH2682" t="n">
        <v>0</v>
      </c>
      <c r="AI2682" t="n">
        <v>0</v>
      </c>
      <c r="AJ2682" t="n">
        <v>0</v>
      </c>
      <c r="AK2682" t="n">
        <v>0</v>
      </c>
      <c r="AL2682" t="n">
        <v>0</v>
      </c>
      <c r="AM2682" t="n">
        <v>0</v>
      </c>
      <c r="AN2682" t="n">
        <v>0</v>
      </c>
      <c r="AO2682" t="n">
        <v>0</v>
      </c>
      <c r="AP2682" t="inlineStr">
        <is>
          <t>No</t>
        </is>
      </c>
      <c r="AQ2682" t="inlineStr">
        <is>
          <t>No</t>
        </is>
      </c>
      <c r="AS2682">
        <f>HYPERLINK("https://creighton-primo.hosted.exlibrisgroup.com/primo-explore/search?tab=default_tab&amp;search_scope=EVERYTHING&amp;vid=01CRU&amp;lang=en_US&amp;offset=0&amp;query=any,contains,991004032359702656","Catalog Record")</f>
        <v/>
      </c>
      <c r="AT2682">
        <f>HYPERLINK("http://www.worldcat.org/oclc/37594936","WorldCat Record")</f>
        <v/>
      </c>
      <c r="AU2682" t="inlineStr">
        <is>
          <t>1105148486:ger</t>
        </is>
      </c>
      <c r="AV2682" t="inlineStr">
        <is>
          <t>37594936</t>
        </is>
      </c>
      <c r="AW2682" t="inlineStr">
        <is>
          <t>991004032359702656</t>
        </is>
      </c>
      <c r="AX2682" t="inlineStr">
        <is>
          <t>991004032359702656</t>
        </is>
      </c>
      <c r="AY2682" t="inlineStr">
        <is>
          <t>2264231410002656</t>
        </is>
      </c>
      <c r="AZ2682" t="inlineStr">
        <is>
          <t>BOOK</t>
        </is>
      </c>
      <c r="BB2682" t="inlineStr">
        <is>
          <t>9783928965590</t>
        </is>
      </c>
      <c r="BC2682" t="inlineStr">
        <is>
          <t>32285004747431</t>
        </is>
      </c>
      <c r="BD2682" t="inlineStr">
        <is>
          <t>893318720</t>
        </is>
      </c>
    </row>
    <row r="2683">
      <c r="A2683" t="inlineStr">
        <is>
          <t>No</t>
        </is>
      </c>
      <c r="B2683" t="inlineStr">
        <is>
          <t>HQ784.T4 C46 1976b</t>
        </is>
      </c>
      <c r="C2683" t="inlineStr">
        <is>
          <t>0                      HQ 0784000T  4                  C  46          1976b</t>
        </is>
      </c>
      <c r="D2683" t="inlineStr">
        <is>
          <t>Children and television / edited by Ray Brown.</t>
        </is>
      </c>
      <c r="F2683" t="inlineStr">
        <is>
          <t>No</t>
        </is>
      </c>
      <c r="G2683" t="inlineStr">
        <is>
          <t>1</t>
        </is>
      </c>
      <c r="H2683" t="inlineStr">
        <is>
          <t>No</t>
        </is>
      </c>
      <c r="I2683" t="inlineStr">
        <is>
          <t>No</t>
        </is>
      </c>
      <c r="J2683" t="inlineStr">
        <is>
          <t>0</t>
        </is>
      </c>
      <c r="L2683" t="inlineStr">
        <is>
          <t>Beverly Hills : Sage Publications, 1976.</t>
        </is>
      </c>
      <c r="M2683" t="inlineStr">
        <is>
          <t>1976</t>
        </is>
      </c>
      <c r="N2683" t="inlineStr">
        <is>
          <t>1st American ed.</t>
        </is>
      </c>
      <c r="O2683" t="inlineStr">
        <is>
          <t>eng</t>
        </is>
      </c>
      <c r="P2683" t="inlineStr">
        <is>
          <t>cau</t>
        </is>
      </c>
      <c r="R2683" t="inlineStr">
        <is>
          <t xml:space="preserve">HQ </t>
        </is>
      </c>
      <c r="S2683" t="n">
        <v>28</v>
      </c>
      <c r="T2683" t="n">
        <v>28</v>
      </c>
      <c r="U2683" t="inlineStr">
        <is>
          <t>2008-06-20</t>
        </is>
      </c>
      <c r="V2683" t="inlineStr">
        <is>
          <t>2008-06-20</t>
        </is>
      </c>
      <c r="W2683" t="inlineStr">
        <is>
          <t>1991-12-06</t>
        </is>
      </c>
      <c r="X2683" t="inlineStr">
        <is>
          <t>1991-12-06</t>
        </is>
      </c>
      <c r="Y2683" t="n">
        <v>635</v>
      </c>
      <c r="Z2683" t="n">
        <v>576</v>
      </c>
      <c r="AA2683" t="n">
        <v>602</v>
      </c>
      <c r="AB2683" t="n">
        <v>7</v>
      </c>
      <c r="AC2683" t="n">
        <v>7</v>
      </c>
      <c r="AD2683" t="n">
        <v>32</v>
      </c>
      <c r="AE2683" t="n">
        <v>32</v>
      </c>
      <c r="AF2683" t="n">
        <v>15</v>
      </c>
      <c r="AG2683" t="n">
        <v>15</v>
      </c>
      <c r="AH2683" t="n">
        <v>4</v>
      </c>
      <c r="AI2683" t="n">
        <v>4</v>
      </c>
      <c r="AJ2683" t="n">
        <v>13</v>
      </c>
      <c r="AK2683" t="n">
        <v>13</v>
      </c>
      <c r="AL2683" t="n">
        <v>5</v>
      </c>
      <c r="AM2683" t="n">
        <v>5</v>
      </c>
      <c r="AN2683" t="n">
        <v>1</v>
      </c>
      <c r="AO2683" t="n">
        <v>1</v>
      </c>
      <c r="AP2683" t="inlineStr">
        <is>
          <t>No</t>
        </is>
      </c>
      <c r="AQ2683" t="inlineStr">
        <is>
          <t>Yes</t>
        </is>
      </c>
      <c r="AR2683">
        <f>HYPERLINK("http://catalog.hathitrust.org/Record/000106250","HathiTrust Record")</f>
        <v/>
      </c>
      <c r="AS2683">
        <f>HYPERLINK("https://creighton-primo.hosted.exlibrisgroup.com/primo-explore/search?tab=default_tab&amp;search_scope=EVERYTHING&amp;vid=01CRU&amp;lang=en_US&amp;offset=0&amp;query=any,contains,991004237379702656","Catalog Record")</f>
        <v/>
      </c>
      <c r="AT2683">
        <f>HYPERLINK("http://www.worldcat.org/oclc/2774098","WorldCat Record")</f>
        <v/>
      </c>
      <c r="AU2683" t="inlineStr">
        <is>
          <t>146889346:eng</t>
        </is>
      </c>
      <c r="AV2683" t="inlineStr">
        <is>
          <t>2774098</t>
        </is>
      </c>
      <c r="AW2683" t="inlineStr">
        <is>
          <t>991004237379702656</t>
        </is>
      </c>
      <c r="AX2683" t="inlineStr">
        <is>
          <t>991004237379702656</t>
        </is>
      </c>
      <c r="AY2683" t="inlineStr">
        <is>
          <t>2272672690002656</t>
        </is>
      </c>
      <c r="AZ2683" t="inlineStr">
        <is>
          <t>BOOK</t>
        </is>
      </c>
      <c r="BB2683" t="inlineStr">
        <is>
          <t>9780803908215</t>
        </is>
      </c>
      <c r="BC2683" t="inlineStr">
        <is>
          <t>32285000838317</t>
        </is>
      </c>
      <c r="BD2683" t="inlineStr">
        <is>
          <t>893417382</t>
        </is>
      </c>
    </row>
    <row r="2684">
      <c r="A2684" t="inlineStr">
        <is>
          <t>No</t>
        </is>
      </c>
      <c r="B2684" t="inlineStr">
        <is>
          <t>HQ784.T4 C49</t>
        </is>
      </c>
      <c r="C2684" t="inlineStr">
        <is>
          <t>0                      HQ 0784000T  4                  C  49</t>
        </is>
      </c>
      <c r="D2684" t="inlineStr">
        <is>
          <t>Children and the faces of television : teaching, violence, selling / edited by Edward L. Palmer, Aimee Dorr.</t>
        </is>
      </c>
      <c r="F2684" t="inlineStr">
        <is>
          <t>No</t>
        </is>
      </c>
      <c r="G2684" t="inlineStr">
        <is>
          <t>1</t>
        </is>
      </c>
      <c r="H2684" t="inlineStr">
        <is>
          <t>No</t>
        </is>
      </c>
      <c r="I2684" t="inlineStr">
        <is>
          <t>No</t>
        </is>
      </c>
      <c r="J2684" t="inlineStr">
        <is>
          <t>0</t>
        </is>
      </c>
      <c r="L2684" t="inlineStr">
        <is>
          <t>London ; San Francisco : Academic Press, 1980.</t>
        </is>
      </c>
      <c r="M2684" t="inlineStr">
        <is>
          <t>1980</t>
        </is>
      </c>
      <c r="O2684" t="inlineStr">
        <is>
          <t>eng</t>
        </is>
      </c>
      <c r="P2684" t="inlineStr">
        <is>
          <t>cau</t>
        </is>
      </c>
      <c r="R2684" t="inlineStr">
        <is>
          <t xml:space="preserve">HQ </t>
        </is>
      </c>
      <c r="S2684" t="n">
        <v>53</v>
      </c>
      <c r="T2684" t="n">
        <v>53</v>
      </c>
      <c r="U2684" t="inlineStr">
        <is>
          <t>2008-06-20</t>
        </is>
      </c>
      <c r="V2684" t="inlineStr">
        <is>
          <t>2008-06-20</t>
        </is>
      </c>
      <c r="W2684" t="inlineStr">
        <is>
          <t>1990-04-30</t>
        </is>
      </c>
      <c r="X2684" t="inlineStr">
        <is>
          <t>1990-04-30</t>
        </is>
      </c>
      <c r="Y2684" t="n">
        <v>866</v>
      </c>
      <c r="Z2684" t="n">
        <v>687</v>
      </c>
      <c r="AA2684" t="n">
        <v>693</v>
      </c>
      <c r="AB2684" t="n">
        <v>4</v>
      </c>
      <c r="AC2684" t="n">
        <v>4</v>
      </c>
      <c r="AD2684" t="n">
        <v>25</v>
      </c>
      <c r="AE2684" t="n">
        <v>25</v>
      </c>
      <c r="AF2684" t="n">
        <v>11</v>
      </c>
      <c r="AG2684" t="n">
        <v>11</v>
      </c>
      <c r="AH2684" t="n">
        <v>6</v>
      </c>
      <c r="AI2684" t="n">
        <v>6</v>
      </c>
      <c r="AJ2684" t="n">
        <v>13</v>
      </c>
      <c r="AK2684" t="n">
        <v>13</v>
      </c>
      <c r="AL2684" t="n">
        <v>2</v>
      </c>
      <c r="AM2684" t="n">
        <v>2</v>
      </c>
      <c r="AN2684" t="n">
        <v>0</v>
      </c>
      <c r="AO2684" t="n">
        <v>0</v>
      </c>
      <c r="AP2684" t="inlineStr">
        <is>
          <t>No</t>
        </is>
      </c>
      <c r="AQ2684" t="inlineStr">
        <is>
          <t>No</t>
        </is>
      </c>
      <c r="AS2684">
        <f>HYPERLINK("https://creighton-primo.hosted.exlibrisgroup.com/primo-explore/search?tab=default_tab&amp;search_scope=EVERYTHING&amp;vid=01CRU&amp;lang=en_US&amp;offset=0&amp;query=any,contains,991005044029702656","Catalog Record")</f>
        <v/>
      </c>
      <c r="AT2684">
        <f>HYPERLINK("http://www.worldcat.org/oclc/6814816","WorldCat Record")</f>
        <v/>
      </c>
      <c r="AU2684" t="inlineStr">
        <is>
          <t>365790904:eng</t>
        </is>
      </c>
      <c r="AV2684" t="inlineStr">
        <is>
          <t>6814816</t>
        </is>
      </c>
      <c r="AW2684" t="inlineStr">
        <is>
          <t>991005044029702656</t>
        </is>
      </c>
      <c r="AX2684" t="inlineStr">
        <is>
          <t>991005044029702656</t>
        </is>
      </c>
      <c r="AY2684" t="inlineStr">
        <is>
          <t>2267937340002656</t>
        </is>
      </c>
      <c r="AZ2684" t="inlineStr">
        <is>
          <t>BOOK</t>
        </is>
      </c>
      <c r="BB2684" t="inlineStr">
        <is>
          <t>9780125444804</t>
        </is>
      </c>
      <c r="BC2684" t="inlineStr">
        <is>
          <t>32285000127851</t>
        </is>
      </c>
      <c r="BD2684" t="inlineStr">
        <is>
          <t>893353660</t>
        </is>
      </c>
    </row>
    <row r="2685">
      <c r="A2685" t="inlineStr">
        <is>
          <t>No</t>
        </is>
      </c>
      <c r="B2685" t="inlineStr">
        <is>
          <t>HQ784.T4 C54 1983</t>
        </is>
      </c>
      <c r="C2685" t="inlineStr">
        <is>
          <t>0                      HQ 0784000T  4                  C  54          1983</t>
        </is>
      </c>
      <c r="D2685" t="inlineStr">
        <is>
          <t>Children's understanding of television : research on attention and comprehension / edited by Jennings Bryant, Daniel R. Anderson.</t>
        </is>
      </c>
      <c r="F2685" t="inlineStr">
        <is>
          <t>No</t>
        </is>
      </c>
      <c r="G2685" t="inlineStr">
        <is>
          <t>1</t>
        </is>
      </c>
      <c r="H2685" t="inlineStr">
        <is>
          <t>No</t>
        </is>
      </c>
      <c r="I2685" t="inlineStr">
        <is>
          <t>No</t>
        </is>
      </c>
      <c r="J2685" t="inlineStr">
        <is>
          <t>0</t>
        </is>
      </c>
      <c r="L2685" t="inlineStr">
        <is>
          <t>New York : Academic Press, 1983.</t>
        </is>
      </c>
      <c r="M2685" t="inlineStr">
        <is>
          <t>1983</t>
        </is>
      </c>
      <c r="O2685" t="inlineStr">
        <is>
          <t>eng</t>
        </is>
      </c>
      <c r="P2685" t="inlineStr">
        <is>
          <t>nyu</t>
        </is>
      </c>
      <c r="R2685" t="inlineStr">
        <is>
          <t xml:space="preserve">HQ </t>
        </is>
      </c>
      <c r="S2685" t="n">
        <v>37</v>
      </c>
      <c r="T2685" t="n">
        <v>37</v>
      </c>
      <c r="U2685" t="inlineStr">
        <is>
          <t>2008-06-20</t>
        </is>
      </c>
      <c r="V2685" t="inlineStr">
        <is>
          <t>2008-06-20</t>
        </is>
      </c>
      <c r="W2685" t="inlineStr">
        <is>
          <t>1990-04-30</t>
        </is>
      </c>
      <c r="X2685" t="inlineStr">
        <is>
          <t>1990-04-30</t>
        </is>
      </c>
      <c r="Y2685" t="n">
        <v>759</v>
      </c>
      <c r="Z2685" t="n">
        <v>568</v>
      </c>
      <c r="AA2685" t="n">
        <v>570</v>
      </c>
      <c r="AB2685" t="n">
        <v>7</v>
      </c>
      <c r="AC2685" t="n">
        <v>7</v>
      </c>
      <c r="AD2685" t="n">
        <v>32</v>
      </c>
      <c r="AE2685" t="n">
        <v>32</v>
      </c>
      <c r="AF2685" t="n">
        <v>13</v>
      </c>
      <c r="AG2685" t="n">
        <v>13</v>
      </c>
      <c r="AH2685" t="n">
        <v>8</v>
      </c>
      <c r="AI2685" t="n">
        <v>8</v>
      </c>
      <c r="AJ2685" t="n">
        <v>15</v>
      </c>
      <c r="AK2685" t="n">
        <v>15</v>
      </c>
      <c r="AL2685" t="n">
        <v>6</v>
      </c>
      <c r="AM2685" t="n">
        <v>6</v>
      </c>
      <c r="AN2685" t="n">
        <v>0</v>
      </c>
      <c r="AO2685" t="n">
        <v>0</v>
      </c>
      <c r="AP2685" t="inlineStr">
        <is>
          <t>No</t>
        </is>
      </c>
      <c r="AQ2685" t="inlineStr">
        <is>
          <t>No</t>
        </is>
      </c>
      <c r="AS2685">
        <f>HYPERLINK("https://creighton-primo.hosted.exlibrisgroup.com/primo-explore/search?tab=default_tab&amp;search_scope=EVERYTHING&amp;vid=01CRU&amp;lang=en_US&amp;offset=0&amp;query=any,contains,991000060849702656","Catalog Record")</f>
        <v/>
      </c>
      <c r="AT2685">
        <f>HYPERLINK("http://www.worldcat.org/oclc/8729220","WorldCat Record")</f>
        <v/>
      </c>
      <c r="AU2685" t="inlineStr">
        <is>
          <t>836701047:eng</t>
        </is>
      </c>
      <c r="AV2685" t="inlineStr">
        <is>
          <t>8729220</t>
        </is>
      </c>
      <c r="AW2685" t="inlineStr">
        <is>
          <t>991000060849702656</t>
        </is>
      </c>
      <c r="AX2685" t="inlineStr">
        <is>
          <t>991000060849702656</t>
        </is>
      </c>
      <c r="AY2685" t="inlineStr">
        <is>
          <t>2269613020002656</t>
        </is>
      </c>
      <c r="AZ2685" t="inlineStr">
        <is>
          <t>BOOK</t>
        </is>
      </c>
      <c r="BB2685" t="inlineStr">
        <is>
          <t>9780121381608</t>
        </is>
      </c>
      <c r="BC2685" t="inlineStr">
        <is>
          <t>32285000127869</t>
        </is>
      </c>
      <c r="BD2685" t="inlineStr">
        <is>
          <t>893413040</t>
        </is>
      </c>
    </row>
    <row r="2686">
      <c r="A2686" t="inlineStr">
        <is>
          <t>No</t>
        </is>
      </c>
      <c r="B2686" t="inlineStr">
        <is>
          <t>HQ784.T4 C55 1995</t>
        </is>
      </c>
      <c r="C2686" t="inlineStr">
        <is>
          <t>0                      HQ 0784000T  4                  C  55          1995</t>
        </is>
      </c>
      <c r="D2686" t="inlineStr">
        <is>
          <t>Television and children : program evaluation, comprehension, and impact / Brian R. Clifford, Bar[r]ie Gunter, Jill McAleer.</t>
        </is>
      </c>
      <c r="F2686" t="inlineStr">
        <is>
          <t>No</t>
        </is>
      </c>
      <c r="G2686" t="inlineStr">
        <is>
          <t>1</t>
        </is>
      </c>
      <c r="H2686" t="inlineStr">
        <is>
          <t>No</t>
        </is>
      </c>
      <c r="I2686" t="inlineStr">
        <is>
          <t>No</t>
        </is>
      </c>
      <c r="J2686" t="inlineStr">
        <is>
          <t>0</t>
        </is>
      </c>
      <c r="K2686" t="inlineStr">
        <is>
          <t>Clifford, Brian R.</t>
        </is>
      </c>
      <c r="L2686" t="inlineStr">
        <is>
          <t>Hillsdale, N.J. : L. Erlbaum Associates, 1995.</t>
        </is>
      </c>
      <c r="M2686" t="inlineStr">
        <is>
          <t>1995</t>
        </is>
      </c>
      <c r="O2686" t="inlineStr">
        <is>
          <t>eng</t>
        </is>
      </c>
      <c r="P2686" t="inlineStr">
        <is>
          <t>nju</t>
        </is>
      </c>
      <c r="Q2686" t="inlineStr">
        <is>
          <t>LEA's communication series</t>
        </is>
      </c>
      <c r="R2686" t="inlineStr">
        <is>
          <t xml:space="preserve">HQ </t>
        </is>
      </c>
      <c r="S2686" t="n">
        <v>21</v>
      </c>
      <c r="T2686" t="n">
        <v>21</v>
      </c>
      <c r="U2686" t="inlineStr">
        <is>
          <t>2010-09-30</t>
        </is>
      </c>
      <c r="V2686" t="inlineStr">
        <is>
          <t>2010-09-30</t>
        </is>
      </c>
      <c r="W2686" t="inlineStr">
        <is>
          <t>1996-03-15</t>
        </is>
      </c>
      <c r="X2686" t="inlineStr">
        <is>
          <t>1996-03-15</t>
        </is>
      </c>
      <c r="Y2686" t="n">
        <v>728</v>
      </c>
      <c r="Z2686" t="n">
        <v>594</v>
      </c>
      <c r="AA2686" t="n">
        <v>601</v>
      </c>
      <c r="AB2686" t="n">
        <v>5</v>
      </c>
      <c r="AC2686" t="n">
        <v>5</v>
      </c>
      <c r="AD2686" t="n">
        <v>34</v>
      </c>
      <c r="AE2686" t="n">
        <v>34</v>
      </c>
      <c r="AF2686" t="n">
        <v>15</v>
      </c>
      <c r="AG2686" t="n">
        <v>15</v>
      </c>
      <c r="AH2686" t="n">
        <v>6</v>
      </c>
      <c r="AI2686" t="n">
        <v>6</v>
      </c>
      <c r="AJ2686" t="n">
        <v>17</v>
      </c>
      <c r="AK2686" t="n">
        <v>17</v>
      </c>
      <c r="AL2686" t="n">
        <v>4</v>
      </c>
      <c r="AM2686" t="n">
        <v>4</v>
      </c>
      <c r="AN2686" t="n">
        <v>0</v>
      </c>
      <c r="AO2686" t="n">
        <v>0</v>
      </c>
      <c r="AP2686" t="inlineStr">
        <is>
          <t>No</t>
        </is>
      </c>
      <c r="AQ2686" t="inlineStr">
        <is>
          <t>Yes</t>
        </is>
      </c>
      <c r="AR2686">
        <f>HYPERLINK("http://catalog.hathitrust.org/Record/002982127","HathiTrust Record")</f>
        <v/>
      </c>
      <c r="AS2686">
        <f>HYPERLINK("https://creighton-primo.hosted.exlibrisgroup.com/primo-explore/search?tab=default_tab&amp;search_scope=EVERYTHING&amp;vid=01CRU&amp;lang=en_US&amp;offset=0&amp;query=any,contains,991002408579702656","Catalog Record")</f>
        <v/>
      </c>
      <c r="AT2686">
        <f>HYPERLINK("http://www.worldcat.org/oclc/31331679","WorldCat Record")</f>
        <v/>
      </c>
      <c r="AU2686" t="inlineStr">
        <is>
          <t>346098499:eng</t>
        </is>
      </c>
      <c r="AV2686" t="inlineStr">
        <is>
          <t>31331679</t>
        </is>
      </c>
      <c r="AW2686" t="inlineStr">
        <is>
          <t>991002408579702656</t>
        </is>
      </c>
      <c r="AX2686" t="inlineStr">
        <is>
          <t>991002408579702656</t>
        </is>
      </c>
      <c r="AY2686" t="inlineStr">
        <is>
          <t>2256392030002656</t>
        </is>
      </c>
      <c r="AZ2686" t="inlineStr">
        <is>
          <t>BOOK</t>
        </is>
      </c>
      <c r="BB2686" t="inlineStr">
        <is>
          <t>9780805816822</t>
        </is>
      </c>
      <c r="BC2686" t="inlineStr">
        <is>
          <t>32285002142908</t>
        </is>
      </c>
      <c r="BD2686" t="inlineStr">
        <is>
          <t>893427566</t>
        </is>
      </c>
    </row>
    <row r="2687">
      <c r="A2687" t="inlineStr">
        <is>
          <t>No</t>
        </is>
      </c>
      <c r="B2687" t="inlineStr">
        <is>
          <t>HQ784.T4 C69 1991</t>
        </is>
      </c>
      <c r="C2687" t="inlineStr">
        <is>
          <t>0                      HQ 0784000T  4                  C  69          1991</t>
        </is>
      </c>
      <c r="D2687" t="inlineStr">
        <is>
          <t>Television and the American child / George Comstock with HaeJung Paik.</t>
        </is>
      </c>
      <c r="F2687" t="inlineStr">
        <is>
          <t>No</t>
        </is>
      </c>
      <c r="G2687" t="inlineStr">
        <is>
          <t>1</t>
        </is>
      </c>
      <c r="H2687" t="inlineStr">
        <is>
          <t>No</t>
        </is>
      </c>
      <c r="I2687" t="inlineStr">
        <is>
          <t>No</t>
        </is>
      </c>
      <c r="J2687" t="inlineStr">
        <is>
          <t>0</t>
        </is>
      </c>
      <c r="K2687" t="inlineStr">
        <is>
          <t>Comstock, George (George A.)</t>
        </is>
      </c>
      <c r="L2687" t="inlineStr">
        <is>
          <t>San Diego : Academic Press, c1991.</t>
        </is>
      </c>
      <c r="M2687" t="inlineStr">
        <is>
          <t>1991</t>
        </is>
      </c>
      <c r="O2687" t="inlineStr">
        <is>
          <t>eng</t>
        </is>
      </c>
      <c r="P2687" t="inlineStr">
        <is>
          <t>cau</t>
        </is>
      </c>
      <c r="R2687" t="inlineStr">
        <is>
          <t xml:space="preserve">HQ </t>
        </is>
      </c>
      <c r="S2687" t="n">
        <v>54</v>
      </c>
      <c r="T2687" t="n">
        <v>54</v>
      </c>
      <c r="U2687" t="inlineStr">
        <is>
          <t>2008-06-19</t>
        </is>
      </c>
      <c r="V2687" t="inlineStr">
        <is>
          <t>2008-06-19</t>
        </is>
      </c>
      <c r="W2687" t="inlineStr">
        <is>
          <t>1992-09-01</t>
        </is>
      </c>
      <c r="X2687" t="inlineStr">
        <is>
          <t>1992-09-01</t>
        </is>
      </c>
      <c r="Y2687" t="n">
        <v>911</v>
      </c>
      <c r="Z2687" t="n">
        <v>772</v>
      </c>
      <c r="AA2687" t="n">
        <v>774</v>
      </c>
      <c r="AB2687" t="n">
        <v>6</v>
      </c>
      <c r="AC2687" t="n">
        <v>6</v>
      </c>
      <c r="AD2687" t="n">
        <v>35</v>
      </c>
      <c r="AE2687" t="n">
        <v>35</v>
      </c>
      <c r="AF2687" t="n">
        <v>17</v>
      </c>
      <c r="AG2687" t="n">
        <v>17</v>
      </c>
      <c r="AH2687" t="n">
        <v>7</v>
      </c>
      <c r="AI2687" t="n">
        <v>7</v>
      </c>
      <c r="AJ2687" t="n">
        <v>15</v>
      </c>
      <c r="AK2687" t="n">
        <v>15</v>
      </c>
      <c r="AL2687" t="n">
        <v>5</v>
      </c>
      <c r="AM2687" t="n">
        <v>5</v>
      </c>
      <c r="AN2687" t="n">
        <v>0</v>
      </c>
      <c r="AO2687" t="n">
        <v>0</v>
      </c>
      <c r="AP2687" t="inlineStr">
        <is>
          <t>No</t>
        </is>
      </c>
      <c r="AQ2687" t="inlineStr">
        <is>
          <t>Yes</t>
        </is>
      </c>
      <c r="AR2687">
        <f>HYPERLINK("http://catalog.hathitrust.org/Record/002500982","HathiTrust Record")</f>
        <v/>
      </c>
      <c r="AS2687">
        <f>HYPERLINK("https://creighton-primo.hosted.exlibrisgroup.com/primo-explore/search?tab=default_tab&amp;search_scope=EVERYTHING&amp;vid=01CRU&amp;lang=en_US&amp;offset=0&amp;query=any,contains,991001831069702656","Catalog Record")</f>
        <v/>
      </c>
      <c r="AT2687">
        <f>HYPERLINK("http://www.worldcat.org/oclc/23014526","WorldCat Record")</f>
        <v/>
      </c>
      <c r="AU2687" t="inlineStr">
        <is>
          <t>24208211:eng</t>
        </is>
      </c>
      <c r="AV2687" t="inlineStr">
        <is>
          <t>23014526</t>
        </is>
      </c>
      <c r="AW2687" t="inlineStr">
        <is>
          <t>991001831069702656</t>
        </is>
      </c>
      <c r="AX2687" t="inlineStr">
        <is>
          <t>991001831069702656</t>
        </is>
      </c>
      <c r="AY2687" t="inlineStr">
        <is>
          <t>2266128120002656</t>
        </is>
      </c>
      <c r="AZ2687" t="inlineStr">
        <is>
          <t>BOOK</t>
        </is>
      </c>
      <c r="BB2687" t="inlineStr">
        <is>
          <t>9780121835750</t>
        </is>
      </c>
      <c r="BC2687" t="inlineStr">
        <is>
          <t>32285001285377</t>
        </is>
      </c>
      <c r="BD2687" t="inlineStr">
        <is>
          <t>893879223</t>
        </is>
      </c>
    </row>
    <row r="2688">
      <c r="A2688" t="inlineStr">
        <is>
          <t>No</t>
        </is>
      </c>
      <c r="B2688" t="inlineStr">
        <is>
          <t>HQ784.T4 C84 1984</t>
        </is>
      </c>
      <c r="C2688" t="inlineStr">
        <is>
          <t>0                      HQ 0784000T  4                  C  84          1984</t>
        </is>
      </c>
      <c r="D2688" t="inlineStr">
        <is>
          <t>Children and television / Cedric Cullingford.</t>
        </is>
      </c>
      <c r="F2688" t="inlineStr">
        <is>
          <t>No</t>
        </is>
      </c>
      <c r="G2688" t="inlineStr">
        <is>
          <t>1</t>
        </is>
      </c>
      <c r="H2688" t="inlineStr">
        <is>
          <t>No</t>
        </is>
      </c>
      <c r="I2688" t="inlineStr">
        <is>
          <t>No</t>
        </is>
      </c>
      <c r="J2688" t="inlineStr">
        <is>
          <t>0</t>
        </is>
      </c>
      <c r="K2688" t="inlineStr">
        <is>
          <t>Cullingford, Cedric.</t>
        </is>
      </c>
      <c r="L2688" t="inlineStr">
        <is>
          <t>New York : St. Martin's Press, 1984.</t>
        </is>
      </c>
      <c r="M2688" t="inlineStr">
        <is>
          <t>1984</t>
        </is>
      </c>
      <c r="O2688" t="inlineStr">
        <is>
          <t>eng</t>
        </is>
      </c>
      <c r="P2688" t="inlineStr">
        <is>
          <t>nyu</t>
        </is>
      </c>
      <c r="R2688" t="inlineStr">
        <is>
          <t xml:space="preserve">HQ </t>
        </is>
      </c>
      <c r="S2688" t="n">
        <v>40</v>
      </c>
      <c r="T2688" t="n">
        <v>40</v>
      </c>
      <c r="U2688" t="inlineStr">
        <is>
          <t>2008-04-21</t>
        </is>
      </c>
      <c r="V2688" t="inlineStr">
        <is>
          <t>2008-04-21</t>
        </is>
      </c>
      <c r="W2688" t="inlineStr">
        <is>
          <t>1990-04-30</t>
        </is>
      </c>
      <c r="X2688" t="inlineStr">
        <is>
          <t>1990-04-30</t>
        </is>
      </c>
      <c r="Y2688" t="n">
        <v>515</v>
      </c>
      <c r="Z2688" t="n">
        <v>463</v>
      </c>
      <c r="AA2688" t="n">
        <v>524</v>
      </c>
      <c r="AB2688" t="n">
        <v>8</v>
      </c>
      <c r="AC2688" t="n">
        <v>9</v>
      </c>
      <c r="AD2688" t="n">
        <v>28</v>
      </c>
      <c r="AE2688" t="n">
        <v>29</v>
      </c>
      <c r="AF2688" t="n">
        <v>10</v>
      </c>
      <c r="AG2688" t="n">
        <v>10</v>
      </c>
      <c r="AH2688" t="n">
        <v>7</v>
      </c>
      <c r="AI2688" t="n">
        <v>7</v>
      </c>
      <c r="AJ2688" t="n">
        <v>13</v>
      </c>
      <c r="AK2688" t="n">
        <v>13</v>
      </c>
      <c r="AL2688" t="n">
        <v>6</v>
      </c>
      <c r="AM2688" t="n">
        <v>7</v>
      </c>
      <c r="AN2688" t="n">
        <v>1</v>
      </c>
      <c r="AO2688" t="n">
        <v>1</v>
      </c>
      <c r="AP2688" t="inlineStr">
        <is>
          <t>No</t>
        </is>
      </c>
      <c r="AQ2688" t="inlineStr">
        <is>
          <t>No</t>
        </is>
      </c>
      <c r="AS2688">
        <f>HYPERLINK("https://creighton-primo.hosted.exlibrisgroup.com/primo-explore/search?tab=default_tab&amp;search_scope=EVERYTHING&amp;vid=01CRU&amp;lang=en_US&amp;offset=0&amp;query=any,contains,991000288939702656","Catalog Record")</f>
        <v/>
      </c>
      <c r="AT2688">
        <f>HYPERLINK("http://www.worldcat.org/oclc/9946438","WorldCat Record")</f>
        <v/>
      </c>
      <c r="AU2688" t="inlineStr">
        <is>
          <t>4001994:eng</t>
        </is>
      </c>
      <c r="AV2688" t="inlineStr">
        <is>
          <t>9946438</t>
        </is>
      </c>
      <c r="AW2688" t="inlineStr">
        <is>
          <t>991000288939702656</t>
        </is>
      </c>
      <c r="AX2688" t="inlineStr">
        <is>
          <t>991000288939702656</t>
        </is>
      </c>
      <c r="AY2688" t="inlineStr">
        <is>
          <t>2261821140002656</t>
        </is>
      </c>
      <c r="AZ2688" t="inlineStr">
        <is>
          <t>BOOK</t>
        </is>
      </c>
      <c r="BB2688" t="inlineStr">
        <is>
          <t>9780312132354</t>
        </is>
      </c>
      <c r="BC2688" t="inlineStr">
        <is>
          <t>32285000127877</t>
        </is>
      </c>
      <c r="BD2688" t="inlineStr">
        <is>
          <t>893231007</t>
        </is>
      </c>
    </row>
    <row r="2689">
      <c r="A2689" t="inlineStr">
        <is>
          <t>No</t>
        </is>
      </c>
      <c r="B2689" t="inlineStr">
        <is>
          <t>HQ784.T4 D38 1989</t>
        </is>
      </c>
      <c r="C2689" t="inlineStr">
        <is>
          <t>0                      HQ 0784000T  4                  D  38          1989</t>
        </is>
      </c>
      <c r="D2689" t="inlineStr">
        <is>
          <t>Television is good for your kids / Máire Messenger Davies.</t>
        </is>
      </c>
      <c r="F2689" t="inlineStr">
        <is>
          <t>No</t>
        </is>
      </c>
      <c r="G2689" t="inlineStr">
        <is>
          <t>1</t>
        </is>
      </c>
      <c r="H2689" t="inlineStr">
        <is>
          <t>No</t>
        </is>
      </c>
      <c r="I2689" t="inlineStr">
        <is>
          <t>No</t>
        </is>
      </c>
      <c r="J2689" t="inlineStr">
        <is>
          <t>0</t>
        </is>
      </c>
      <c r="K2689" t="inlineStr">
        <is>
          <t>Davies, Máire Messenger.</t>
        </is>
      </c>
      <c r="L2689" t="inlineStr">
        <is>
          <t>London : Shipman, 1989.</t>
        </is>
      </c>
      <c r="M2689" t="inlineStr">
        <is>
          <t>1989</t>
        </is>
      </c>
      <c r="O2689" t="inlineStr">
        <is>
          <t>eng</t>
        </is>
      </c>
      <c r="P2689" t="inlineStr">
        <is>
          <t>enk</t>
        </is>
      </c>
      <c r="R2689" t="inlineStr">
        <is>
          <t xml:space="preserve">HQ </t>
        </is>
      </c>
      <c r="S2689" t="n">
        <v>39</v>
      </c>
      <c r="T2689" t="n">
        <v>39</v>
      </c>
      <c r="U2689" t="inlineStr">
        <is>
          <t>1998-11-19</t>
        </is>
      </c>
      <c r="V2689" t="inlineStr">
        <is>
          <t>1998-11-19</t>
        </is>
      </c>
      <c r="W2689" t="inlineStr">
        <is>
          <t>1990-11-14</t>
        </is>
      </c>
      <c r="X2689" t="inlineStr">
        <is>
          <t>1990-11-14</t>
        </is>
      </c>
      <c r="Y2689" t="n">
        <v>158</v>
      </c>
      <c r="Z2689" t="n">
        <v>40</v>
      </c>
      <c r="AA2689" t="n">
        <v>43</v>
      </c>
      <c r="AB2689" t="n">
        <v>1</v>
      </c>
      <c r="AC2689" t="n">
        <v>1</v>
      </c>
      <c r="AD2689" t="n">
        <v>3</v>
      </c>
      <c r="AE2689" t="n">
        <v>3</v>
      </c>
      <c r="AF2689" t="n">
        <v>1</v>
      </c>
      <c r="AG2689" t="n">
        <v>1</v>
      </c>
      <c r="AH2689" t="n">
        <v>0</v>
      </c>
      <c r="AI2689" t="n">
        <v>0</v>
      </c>
      <c r="AJ2689" t="n">
        <v>3</v>
      </c>
      <c r="AK2689" t="n">
        <v>3</v>
      </c>
      <c r="AL2689" t="n">
        <v>0</v>
      </c>
      <c r="AM2689" t="n">
        <v>0</v>
      </c>
      <c r="AN2689" t="n">
        <v>0</v>
      </c>
      <c r="AO2689" t="n">
        <v>0</v>
      </c>
      <c r="AP2689" t="inlineStr">
        <is>
          <t>No</t>
        </is>
      </c>
      <c r="AQ2689" t="inlineStr">
        <is>
          <t>No</t>
        </is>
      </c>
      <c r="AS2689">
        <f>HYPERLINK("https://creighton-primo.hosted.exlibrisgroup.com/primo-explore/search?tab=default_tab&amp;search_scope=EVERYTHING&amp;vid=01CRU&amp;lang=en_US&amp;offset=0&amp;query=any,contains,991001442449702656","Catalog Record")</f>
        <v/>
      </c>
      <c r="AT2689">
        <f>HYPERLINK("http://www.worldcat.org/oclc/19264186","WorldCat Record")</f>
        <v/>
      </c>
      <c r="AU2689" t="inlineStr">
        <is>
          <t>21340954:eng</t>
        </is>
      </c>
      <c r="AV2689" t="inlineStr">
        <is>
          <t>19264186</t>
        </is>
      </c>
      <c r="AW2689" t="inlineStr">
        <is>
          <t>991001442449702656</t>
        </is>
      </c>
      <c r="AX2689" t="inlineStr">
        <is>
          <t>991001442449702656</t>
        </is>
      </c>
      <c r="AY2689" t="inlineStr">
        <is>
          <t>2263034020002656</t>
        </is>
      </c>
      <c r="AZ2689" t="inlineStr">
        <is>
          <t>BOOK</t>
        </is>
      </c>
      <c r="BB2689" t="inlineStr">
        <is>
          <t>9780948096150</t>
        </is>
      </c>
      <c r="BC2689" t="inlineStr">
        <is>
          <t>32285000355551</t>
        </is>
      </c>
      <c r="BD2689" t="inlineStr">
        <is>
          <t>893590368</t>
        </is>
      </c>
    </row>
    <row r="2690">
      <c r="A2690" t="inlineStr">
        <is>
          <t>No</t>
        </is>
      </c>
      <c r="B2690" t="inlineStr">
        <is>
          <t>HQ784.T4 D67 1986</t>
        </is>
      </c>
      <c r="C2690" t="inlineStr">
        <is>
          <t>0                      HQ 0784000T  4                  D  67          1986</t>
        </is>
      </c>
      <c r="D2690" t="inlineStr">
        <is>
          <t>Television and children : a special medium for a special audience / Aimée Dorr.</t>
        </is>
      </c>
      <c r="F2690" t="inlineStr">
        <is>
          <t>No</t>
        </is>
      </c>
      <c r="G2690" t="inlineStr">
        <is>
          <t>1</t>
        </is>
      </c>
      <c r="H2690" t="inlineStr">
        <is>
          <t>No</t>
        </is>
      </c>
      <c r="I2690" t="inlineStr">
        <is>
          <t>No</t>
        </is>
      </c>
      <c r="J2690" t="inlineStr">
        <is>
          <t>0</t>
        </is>
      </c>
      <c r="K2690" t="inlineStr">
        <is>
          <t>Dorr, Aimée.</t>
        </is>
      </c>
      <c r="L2690" t="inlineStr">
        <is>
          <t>Beverly Hills, Calif. : Sage Publications, c1986.</t>
        </is>
      </c>
      <c r="M2690" t="inlineStr">
        <is>
          <t>1986</t>
        </is>
      </c>
      <c r="O2690" t="inlineStr">
        <is>
          <t>eng</t>
        </is>
      </c>
      <c r="P2690" t="inlineStr">
        <is>
          <t>cau</t>
        </is>
      </c>
      <c r="Q2690" t="inlineStr">
        <is>
          <t>The Sage commtext series ; v. 14</t>
        </is>
      </c>
      <c r="R2690" t="inlineStr">
        <is>
          <t xml:space="preserve">HQ </t>
        </is>
      </c>
      <c r="S2690" t="n">
        <v>36</v>
      </c>
      <c r="T2690" t="n">
        <v>36</v>
      </c>
      <c r="U2690" t="inlineStr">
        <is>
          <t>2005-04-26</t>
        </is>
      </c>
      <c r="V2690" t="inlineStr">
        <is>
          <t>2005-04-26</t>
        </is>
      </c>
      <c r="W2690" t="inlineStr">
        <is>
          <t>1992-06-16</t>
        </is>
      </c>
      <c r="X2690" t="inlineStr">
        <is>
          <t>1992-06-16</t>
        </is>
      </c>
      <c r="Y2690" t="n">
        <v>527</v>
      </c>
      <c r="Z2690" t="n">
        <v>374</v>
      </c>
      <c r="AA2690" t="n">
        <v>384</v>
      </c>
      <c r="AB2690" t="n">
        <v>5</v>
      </c>
      <c r="AC2690" t="n">
        <v>5</v>
      </c>
      <c r="AD2690" t="n">
        <v>19</v>
      </c>
      <c r="AE2690" t="n">
        <v>20</v>
      </c>
      <c r="AF2690" t="n">
        <v>8</v>
      </c>
      <c r="AG2690" t="n">
        <v>8</v>
      </c>
      <c r="AH2690" t="n">
        <v>3</v>
      </c>
      <c r="AI2690" t="n">
        <v>3</v>
      </c>
      <c r="AJ2690" t="n">
        <v>10</v>
      </c>
      <c r="AK2690" t="n">
        <v>11</v>
      </c>
      <c r="AL2690" t="n">
        <v>3</v>
      </c>
      <c r="AM2690" t="n">
        <v>3</v>
      </c>
      <c r="AN2690" t="n">
        <v>0</v>
      </c>
      <c r="AO2690" t="n">
        <v>0</v>
      </c>
      <c r="AP2690" t="inlineStr">
        <is>
          <t>No</t>
        </is>
      </c>
      <c r="AQ2690" t="inlineStr">
        <is>
          <t>No</t>
        </is>
      </c>
      <c r="AS2690">
        <f>HYPERLINK("https://creighton-primo.hosted.exlibrisgroup.com/primo-explore/search?tab=default_tab&amp;search_scope=EVERYTHING&amp;vid=01CRU&amp;lang=en_US&amp;offset=0&amp;query=any,contains,991000706309702656","Catalog Record")</f>
        <v/>
      </c>
      <c r="AT2690">
        <f>HYPERLINK("http://www.worldcat.org/oclc/12557378","WorldCat Record")</f>
        <v/>
      </c>
      <c r="AU2690" t="inlineStr">
        <is>
          <t>836668264:eng</t>
        </is>
      </c>
      <c r="AV2690" t="inlineStr">
        <is>
          <t>12557378</t>
        </is>
      </c>
      <c r="AW2690" t="inlineStr">
        <is>
          <t>991000706309702656</t>
        </is>
      </c>
      <c r="AX2690" t="inlineStr">
        <is>
          <t>991000706309702656</t>
        </is>
      </c>
      <c r="AY2690" t="inlineStr">
        <is>
          <t>2255450880002656</t>
        </is>
      </c>
      <c r="AZ2690" t="inlineStr">
        <is>
          <t>BOOK</t>
        </is>
      </c>
      <c r="BB2690" t="inlineStr">
        <is>
          <t>9780803925656</t>
        </is>
      </c>
      <c r="BC2690" t="inlineStr">
        <is>
          <t>32285001131779</t>
        </is>
      </c>
      <c r="BD2690" t="inlineStr">
        <is>
          <t>893339810</t>
        </is>
      </c>
    </row>
    <row r="2691">
      <c r="A2691" t="inlineStr">
        <is>
          <t>No</t>
        </is>
      </c>
      <c r="B2691" t="inlineStr">
        <is>
          <t>HQ784.T4 D88 1985</t>
        </is>
      </c>
      <c r="C2691" t="inlineStr">
        <is>
          <t>0                      HQ 0784000T  4                  D  88          1985</t>
        </is>
      </c>
      <c r="D2691" t="inlineStr">
        <is>
          <t>Television, sex roles, and children : a developmental social psychological account / Kevin Durkin.</t>
        </is>
      </c>
      <c r="F2691" t="inlineStr">
        <is>
          <t>No</t>
        </is>
      </c>
      <c r="G2691" t="inlineStr">
        <is>
          <t>1</t>
        </is>
      </c>
      <c r="H2691" t="inlineStr">
        <is>
          <t>No</t>
        </is>
      </c>
      <c r="I2691" t="inlineStr">
        <is>
          <t>No</t>
        </is>
      </c>
      <c r="J2691" t="inlineStr">
        <is>
          <t>0</t>
        </is>
      </c>
      <c r="K2691" t="inlineStr">
        <is>
          <t>Durkin, Kevin.</t>
        </is>
      </c>
      <c r="L2691" t="inlineStr">
        <is>
          <t>Milton Keynes ; Philadelphia : Open University Press, 1985.</t>
        </is>
      </c>
      <c r="M2691" t="inlineStr">
        <is>
          <t>1985</t>
        </is>
      </c>
      <c r="O2691" t="inlineStr">
        <is>
          <t>eng</t>
        </is>
      </c>
      <c r="P2691" t="inlineStr">
        <is>
          <t>enk</t>
        </is>
      </c>
      <c r="R2691" t="inlineStr">
        <is>
          <t xml:space="preserve">HQ </t>
        </is>
      </c>
      <c r="S2691" t="n">
        <v>27</v>
      </c>
      <c r="T2691" t="n">
        <v>27</v>
      </c>
      <c r="U2691" t="inlineStr">
        <is>
          <t>2004-04-26</t>
        </is>
      </c>
      <c r="V2691" t="inlineStr">
        <is>
          <t>2004-04-26</t>
        </is>
      </c>
      <c r="W2691" t="inlineStr">
        <is>
          <t>1990-04-30</t>
        </is>
      </c>
      <c r="X2691" t="inlineStr">
        <is>
          <t>1990-04-30</t>
        </is>
      </c>
      <c r="Y2691" t="n">
        <v>363</v>
      </c>
      <c r="Z2691" t="n">
        <v>220</v>
      </c>
      <c r="AA2691" t="n">
        <v>228</v>
      </c>
      <c r="AB2691" t="n">
        <v>3</v>
      </c>
      <c r="AC2691" t="n">
        <v>3</v>
      </c>
      <c r="AD2691" t="n">
        <v>12</v>
      </c>
      <c r="AE2691" t="n">
        <v>12</v>
      </c>
      <c r="AF2691" t="n">
        <v>5</v>
      </c>
      <c r="AG2691" t="n">
        <v>5</v>
      </c>
      <c r="AH2691" t="n">
        <v>3</v>
      </c>
      <c r="AI2691" t="n">
        <v>3</v>
      </c>
      <c r="AJ2691" t="n">
        <v>7</v>
      </c>
      <c r="AK2691" t="n">
        <v>7</v>
      </c>
      <c r="AL2691" t="n">
        <v>2</v>
      </c>
      <c r="AM2691" t="n">
        <v>2</v>
      </c>
      <c r="AN2691" t="n">
        <v>0</v>
      </c>
      <c r="AO2691" t="n">
        <v>0</v>
      </c>
      <c r="AP2691" t="inlineStr">
        <is>
          <t>No</t>
        </is>
      </c>
      <c r="AQ2691" t="inlineStr">
        <is>
          <t>Yes</t>
        </is>
      </c>
      <c r="AR2691">
        <f>HYPERLINK("http://catalog.hathitrust.org/Record/000381221","HathiTrust Record")</f>
        <v/>
      </c>
      <c r="AS2691">
        <f>HYPERLINK("https://creighton-primo.hosted.exlibrisgroup.com/primo-explore/search?tab=default_tab&amp;search_scope=EVERYTHING&amp;vid=01CRU&amp;lang=en_US&amp;offset=0&amp;query=any,contains,991000655359702656","Catalog Record")</f>
        <v/>
      </c>
      <c r="AT2691">
        <f>HYPERLINK("http://www.worldcat.org/oclc/12214461","WorldCat Record")</f>
        <v/>
      </c>
      <c r="AU2691" t="inlineStr">
        <is>
          <t>836718532:eng</t>
        </is>
      </c>
      <c r="AV2691" t="inlineStr">
        <is>
          <t>12214461</t>
        </is>
      </c>
      <c r="AW2691" t="inlineStr">
        <is>
          <t>991000655359702656</t>
        </is>
      </c>
      <c r="AX2691" t="inlineStr">
        <is>
          <t>991000655359702656</t>
        </is>
      </c>
      <c r="AY2691" t="inlineStr">
        <is>
          <t>2266897570002656</t>
        </is>
      </c>
      <c r="AZ2691" t="inlineStr">
        <is>
          <t>BOOK</t>
        </is>
      </c>
      <c r="BB2691" t="inlineStr">
        <is>
          <t>9780335150687</t>
        </is>
      </c>
      <c r="BC2691" t="inlineStr">
        <is>
          <t>32285000127885</t>
        </is>
      </c>
      <c r="BD2691" t="inlineStr">
        <is>
          <t>893871869</t>
        </is>
      </c>
    </row>
    <row r="2692">
      <c r="A2692" t="inlineStr">
        <is>
          <t>No</t>
        </is>
      </c>
      <c r="B2692" t="inlineStr">
        <is>
          <t>HQ784.T4 E33</t>
        </is>
      </c>
      <c r="C2692" t="inlineStr">
        <is>
          <t>0                      HQ 0784000T  4                  E  33</t>
        </is>
      </c>
      <c r="D2692" t="inlineStr">
        <is>
          <t>The unknown audience : a study of children's responses to television programs / Patricia Edgar, Ursula Callus.</t>
        </is>
      </c>
      <c r="F2692" t="inlineStr">
        <is>
          <t>No</t>
        </is>
      </c>
      <c r="G2692" t="inlineStr">
        <is>
          <t>1</t>
        </is>
      </c>
      <c r="H2692" t="inlineStr">
        <is>
          <t>No</t>
        </is>
      </c>
      <c r="I2692" t="inlineStr">
        <is>
          <t>No</t>
        </is>
      </c>
      <c r="J2692" t="inlineStr">
        <is>
          <t>0</t>
        </is>
      </c>
      <c r="K2692" t="inlineStr">
        <is>
          <t>Edgar, Patricia.</t>
        </is>
      </c>
      <c r="L2692" t="inlineStr">
        <is>
          <t>Bundoora, Vic. : Centre for the Study of Educational Communication and Media, School of Education, La Trobe University, 1979.</t>
        </is>
      </c>
      <c r="M2692" t="inlineStr">
        <is>
          <t>1979</t>
        </is>
      </c>
      <c r="O2692" t="inlineStr">
        <is>
          <t>eng</t>
        </is>
      </c>
      <c r="P2692" t="inlineStr">
        <is>
          <t xml:space="preserve">at </t>
        </is>
      </c>
      <c r="R2692" t="inlineStr">
        <is>
          <t xml:space="preserve">HQ </t>
        </is>
      </c>
      <c r="S2692" t="n">
        <v>10</v>
      </c>
      <c r="T2692" t="n">
        <v>10</v>
      </c>
      <c r="U2692" t="inlineStr">
        <is>
          <t>1996-03-21</t>
        </is>
      </c>
      <c r="V2692" t="inlineStr">
        <is>
          <t>1996-03-21</t>
        </is>
      </c>
      <c r="W2692" t="inlineStr">
        <is>
          <t>1991-12-04</t>
        </is>
      </c>
      <c r="X2692" t="inlineStr">
        <is>
          <t>1991-12-04</t>
        </is>
      </c>
      <c r="Y2692" t="n">
        <v>51</v>
      </c>
      <c r="Z2692" t="n">
        <v>15</v>
      </c>
      <c r="AA2692" t="n">
        <v>15</v>
      </c>
      <c r="AB2692" t="n">
        <v>1</v>
      </c>
      <c r="AC2692" t="n">
        <v>1</v>
      </c>
      <c r="AD2692" t="n">
        <v>0</v>
      </c>
      <c r="AE2692" t="n">
        <v>0</v>
      </c>
      <c r="AF2692" t="n">
        <v>0</v>
      </c>
      <c r="AG2692" t="n">
        <v>0</v>
      </c>
      <c r="AH2692" t="n">
        <v>0</v>
      </c>
      <c r="AI2692" t="n">
        <v>0</v>
      </c>
      <c r="AJ2692" t="n">
        <v>0</v>
      </c>
      <c r="AK2692" t="n">
        <v>0</v>
      </c>
      <c r="AL2692" t="n">
        <v>0</v>
      </c>
      <c r="AM2692" t="n">
        <v>0</v>
      </c>
      <c r="AN2692" t="n">
        <v>0</v>
      </c>
      <c r="AO2692" t="n">
        <v>0</v>
      </c>
      <c r="AP2692" t="inlineStr">
        <is>
          <t>No</t>
        </is>
      </c>
      <c r="AQ2692" t="inlineStr">
        <is>
          <t>No</t>
        </is>
      </c>
      <c r="AS2692">
        <f>HYPERLINK("https://creighton-primo.hosted.exlibrisgroup.com/primo-explore/search?tab=default_tab&amp;search_scope=EVERYTHING&amp;vid=01CRU&amp;lang=en_US&amp;offset=0&amp;query=any,contains,991005013149702656","Catalog Record")</f>
        <v/>
      </c>
      <c r="AT2692">
        <f>HYPERLINK("http://www.worldcat.org/oclc/6605988","WorldCat Record")</f>
        <v/>
      </c>
      <c r="AU2692" t="inlineStr">
        <is>
          <t>22758107:eng</t>
        </is>
      </c>
      <c r="AV2692" t="inlineStr">
        <is>
          <t>6605988</t>
        </is>
      </c>
      <c r="AW2692" t="inlineStr">
        <is>
          <t>991005013149702656</t>
        </is>
      </c>
      <c r="AX2692" t="inlineStr">
        <is>
          <t>991005013149702656</t>
        </is>
      </c>
      <c r="AY2692" t="inlineStr">
        <is>
          <t>2271581210002656</t>
        </is>
      </c>
      <c r="AZ2692" t="inlineStr">
        <is>
          <t>BOOK</t>
        </is>
      </c>
      <c r="BB2692" t="inlineStr">
        <is>
          <t>9780858162105</t>
        </is>
      </c>
      <c r="BC2692" t="inlineStr">
        <is>
          <t>32285000847490</t>
        </is>
      </c>
      <c r="BD2692" t="inlineStr">
        <is>
          <t>893501196</t>
        </is>
      </c>
    </row>
    <row r="2693">
      <c r="A2693" t="inlineStr">
        <is>
          <t>No</t>
        </is>
      </c>
      <c r="B2693" t="inlineStr">
        <is>
          <t>HQ784.T4 G3</t>
        </is>
      </c>
      <c r="C2693" t="inlineStr">
        <is>
          <t>0                      HQ 0784000T  4                  G  3</t>
        </is>
      </c>
      <c r="D2693" t="inlineStr">
        <is>
          <t>For the young viewer : television programming for children, at the local level / edited by Ralph Garry, F. B. Rainsberry [and] Charles Winick.</t>
        </is>
      </c>
      <c r="F2693" t="inlineStr">
        <is>
          <t>No</t>
        </is>
      </c>
      <c r="G2693" t="inlineStr">
        <is>
          <t>1</t>
        </is>
      </c>
      <c r="H2693" t="inlineStr">
        <is>
          <t>No</t>
        </is>
      </c>
      <c r="I2693" t="inlineStr">
        <is>
          <t>No</t>
        </is>
      </c>
      <c r="J2693" t="inlineStr">
        <is>
          <t>0</t>
        </is>
      </c>
      <c r="K2693" t="inlineStr">
        <is>
          <t>Garry, Ralph, editor.</t>
        </is>
      </c>
      <c r="L2693" t="inlineStr">
        <is>
          <t>New York : McGraw-Hill, [1962]</t>
        </is>
      </c>
      <c r="M2693" t="inlineStr">
        <is>
          <t>1962</t>
        </is>
      </c>
      <c r="O2693" t="inlineStr">
        <is>
          <t>eng</t>
        </is>
      </c>
      <c r="P2693" t="inlineStr">
        <is>
          <t xml:space="preserve">xx </t>
        </is>
      </c>
      <c r="R2693" t="inlineStr">
        <is>
          <t xml:space="preserve">HQ </t>
        </is>
      </c>
      <c r="S2693" t="n">
        <v>11</v>
      </c>
      <c r="T2693" t="n">
        <v>11</v>
      </c>
      <c r="U2693" t="inlineStr">
        <is>
          <t>2000-04-16</t>
        </is>
      </c>
      <c r="V2693" t="inlineStr">
        <is>
          <t>2000-04-16</t>
        </is>
      </c>
      <c r="W2693" t="inlineStr">
        <is>
          <t>1991-12-17</t>
        </is>
      </c>
      <c r="X2693" t="inlineStr">
        <is>
          <t>1991-12-17</t>
        </is>
      </c>
      <c r="Y2693" t="n">
        <v>430</v>
      </c>
      <c r="Z2693" t="n">
        <v>394</v>
      </c>
      <c r="AA2693" t="n">
        <v>398</v>
      </c>
      <c r="AB2693" t="n">
        <v>4</v>
      </c>
      <c r="AC2693" t="n">
        <v>4</v>
      </c>
      <c r="AD2693" t="n">
        <v>16</v>
      </c>
      <c r="AE2693" t="n">
        <v>16</v>
      </c>
      <c r="AF2693" t="n">
        <v>10</v>
      </c>
      <c r="AG2693" t="n">
        <v>10</v>
      </c>
      <c r="AH2693" t="n">
        <v>3</v>
      </c>
      <c r="AI2693" t="n">
        <v>3</v>
      </c>
      <c r="AJ2693" t="n">
        <v>5</v>
      </c>
      <c r="AK2693" t="n">
        <v>5</v>
      </c>
      <c r="AL2693" t="n">
        <v>2</v>
      </c>
      <c r="AM2693" t="n">
        <v>2</v>
      </c>
      <c r="AN2693" t="n">
        <v>0</v>
      </c>
      <c r="AO2693" t="n">
        <v>0</v>
      </c>
      <c r="AP2693" t="inlineStr">
        <is>
          <t>Yes</t>
        </is>
      </c>
      <c r="AQ2693" t="inlineStr">
        <is>
          <t>No</t>
        </is>
      </c>
      <c r="AR2693">
        <f>HYPERLINK("http://catalog.hathitrust.org/Record/001110146","HathiTrust Record")</f>
        <v/>
      </c>
      <c r="AS2693">
        <f>HYPERLINK("https://creighton-primo.hosted.exlibrisgroup.com/primo-explore/search?tab=default_tab&amp;search_scope=EVERYTHING&amp;vid=01CRU&amp;lang=en_US&amp;offset=0&amp;query=any,contains,991002677389702656","Catalog Record")</f>
        <v/>
      </c>
      <c r="AT2693">
        <f>HYPERLINK("http://www.worldcat.org/oclc/397351","WorldCat Record")</f>
        <v/>
      </c>
      <c r="AU2693" t="inlineStr">
        <is>
          <t>865035477:eng</t>
        </is>
      </c>
      <c r="AV2693" t="inlineStr">
        <is>
          <t>397351</t>
        </is>
      </c>
      <c r="AW2693" t="inlineStr">
        <is>
          <t>991002677389702656</t>
        </is>
      </c>
      <c r="AX2693" t="inlineStr">
        <is>
          <t>991002677389702656</t>
        </is>
      </c>
      <c r="AY2693" t="inlineStr">
        <is>
          <t>2261615700002656</t>
        </is>
      </c>
      <c r="AZ2693" t="inlineStr">
        <is>
          <t>BOOK</t>
        </is>
      </c>
      <c r="BC2693" t="inlineStr">
        <is>
          <t>32285000879683</t>
        </is>
      </c>
      <c r="BD2693" t="inlineStr">
        <is>
          <t>893323224</t>
        </is>
      </c>
    </row>
    <row r="2694">
      <c r="A2694" t="inlineStr">
        <is>
          <t>No</t>
        </is>
      </c>
      <c r="B2694" t="inlineStr">
        <is>
          <t>HQ784.T4 G86 1997</t>
        </is>
      </c>
      <c r="C2694" t="inlineStr">
        <is>
          <t>0                      HQ 0784000T  4                  G  86          1997</t>
        </is>
      </c>
      <c r="D2694" t="inlineStr">
        <is>
          <t>Children and television / Barrie Gunter and Jill McAleer.</t>
        </is>
      </c>
      <c r="F2694" t="inlineStr">
        <is>
          <t>No</t>
        </is>
      </c>
      <c r="G2694" t="inlineStr">
        <is>
          <t>1</t>
        </is>
      </c>
      <c r="H2694" t="inlineStr">
        <is>
          <t>No</t>
        </is>
      </c>
      <c r="I2694" t="inlineStr">
        <is>
          <t>No</t>
        </is>
      </c>
      <c r="J2694" t="inlineStr">
        <is>
          <t>0</t>
        </is>
      </c>
      <c r="K2694" t="inlineStr">
        <is>
          <t>Gunter, Barrie.</t>
        </is>
      </c>
      <c r="L2694" t="inlineStr">
        <is>
          <t>London ; New York : Routledge, 1997.</t>
        </is>
      </c>
      <c r="M2694" t="inlineStr">
        <is>
          <t>1997</t>
        </is>
      </c>
      <c r="N2694" t="inlineStr">
        <is>
          <t>2nd ed.</t>
        </is>
      </c>
      <c r="O2694" t="inlineStr">
        <is>
          <t>eng</t>
        </is>
      </c>
      <c r="P2694" t="inlineStr">
        <is>
          <t>enk</t>
        </is>
      </c>
      <c r="R2694" t="inlineStr">
        <is>
          <t xml:space="preserve">HQ </t>
        </is>
      </c>
      <c r="S2694" t="n">
        <v>7</v>
      </c>
      <c r="T2694" t="n">
        <v>7</v>
      </c>
      <c r="U2694" t="inlineStr">
        <is>
          <t>2008-06-19</t>
        </is>
      </c>
      <c r="V2694" t="inlineStr">
        <is>
          <t>2008-06-19</t>
        </is>
      </c>
      <c r="W2694" t="inlineStr">
        <is>
          <t>2002-04-25</t>
        </is>
      </c>
      <c r="X2694" t="inlineStr">
        <is>
          <t>2002-04-25</t>
        </is>
      </c>
      <c r="Y2694" t="n">
        <v>521</v>
      </c>
      <c r="Z2694" t="n">
        <v>301</v>
      </c>
      <c r="AA2694" t="n">
        <v>471</v>
      </c>
      <c r="AB2694" t="n">
        <v>2</v>
      </c>
      <c r="AC2694" t="n">
        <v>2</v>
      </c>
      <c r="AD2694" t="n">
        <v>18</v>
      </c>
      <c r="AE2694" t="n">
        <v>21</v>
      </c>
      <c r="AF2694" t="n">
        <v>7</v>
      </c>
      <c r="AG2694" t="n">
        <v>9</v>
      </c>
      <c r="AH2694" t="n">
        <v>4</v>
      </c>
      <c r="AI2694" t="n">
        <v>4</v>
      </c>
      <c r="AJ2694" t="n">
        <v>12</v>
      </c>
      <c r="AK2694" t="n">
        <v>13</v>
      </c>
      <c r="AL2694" t="n">
        <v>1</v>
      </c>
      <c r="AM2694" t="n">
        <v>1</v>
      </c>
      <c r="AN2694" t="n">
        <v>0</v>
      </c>
      <c r="AO2694" t="n">
        <v>0</v>
      </c>
      <c r="AP2694" t="inlineStr">
        <is>
          <t>No</t>
        </is>
      </c>
      <c r="AQ2694" t="inlineStr">
        <is>
          <t>No</t>
        </is>
      </c>
      <c r="AS2694">
        <f>HYPERLINK("https://creighton-primo.hosted.exlibrisgroup.com/primo-explore/search?tab=default_tab&amp;search_scope=EVERYTHING&amp;vid=01CRU&amp;lang=en_US&amp;offset=0&amp;query=any,contains,991003786389702656","Catalog Record")</f>
        <v/>
      </c>
      <c r="AT2694">
        <f>HYPERLINK("http://www.worldcat.org/oclc/36438045","WorldCat Record")</f>
        <v/>
      </c>
      <c r="AU2694" t="inlineStr">
        <is>
          <t>3856314834:eng</t>
        </is>
      </c>
      <c r="AV2694" t="inlineStr">
        <is>
          <t>36438045</t>
        </is>
      </c>
      <c r="AW2694" t="inlineStr">
        <is>
          <t>991003786389702656</t>
        </is>
      </c>
      <c r="AX2694" t="inlineStr">
        <is>
          <t>991003786389702656</t>
        </is>
      </c>
      <c r="AY2694" t="inlineStr">
        <is>
          <t>2269926890002656</t>
        </is>
      </c>
      <c r="AZ2694" t="inlineStr">
        <is>
          <t>BOOK</t>
        </is>
      </c>
      <c r="BB2694" t="inlineStr">
        <is>
          <t>9780415144513</t>
        </is>
      </c>
      <c r="BC2694" t="inlineStr">
        <is>
          <t>32285004482658</t>
        </is>
      </c>
      <c r="BD2694" t="inlineStr">
        <is>
          <t>893627774</t>
        </is>
      </c>
    </row>
    <row r="2695">
      <c r="A2695" t="inlineStr">
        <is>
          <t>No</t>
        </is>
      </c>
      <c r="B2695" t="inlineStr">
        <is>
          <t>HQ784.T4 H33</t>
        </is>
      </c>
      <c r="C2695" t="inlineStr">
        <is>
          <t>0                      HQ 0784000T  4                  H  33</t>
        </is>
      </c>
      <c r="D2695" t="inlineStr">
        <is>
          <t>Studies in violence and television / by Melvin S. Heller and Samuel Polsky.</t>
        </is>
      </c>
      <c r="F2695" t="inlineStr">
        <is>
          <t>No</t>
        </is>
      </c>
      <c r="G2695" t="inlineStr">
        <is>
          <t>1</t>
        </is>
      </c>
      <c r="H2695" t="inlineStr">
        <is>
          <t>No</t>
        </is>
      </c>
      <c r="I2695" t="inlineStr">
        <is>
          <t>No</t>
        </is>
      </c>
      <c r="J2695" t="inlineStr">
        <is>
          <t>0</t>
        </is>
      </c>
      <c r="K2695" t="inlineStr">
        <is>
          <t>Heller, Melvin S.</t>
        </is>
      </c>
      <c r="L2695" t="inlineStr">
        <is>
          <t>New York : American Broadcasting Co., 1976.</t>
        </is>
      </c>
      <c r="M2695" t="inlineStr">
        <is>
          <t>1976</t>
        </is>
      </c>
      <c r="O2695" t="inlineStr">
        <is>
          <t>eng</t>
        </is>
      </c>
      <c r="P2695" t="inlineStr">
        <is>
          <t>nyu</t>
        </is>
      </c>
      <c r="R2695" t="inlineStr">
        <is>
          <t xml:space="preserve">HQ </t>
        </is>
      </c>
      <c r="S2695" t="n">
        <v>46</v>
      </c>
      <c r="T2695" t="n">
        <v>46</v>
      </c>
      <c r="U2695" t="inlineStr">
        <is>
          <t>2008-06-20</t>
        </is>
      </c>
      <c r="V2695" t="inlineStr">
        <is>
          <t>2008-06-20</t>
        </is>
      </c>
      <c r="W2695" t="inlineStr">
        <is>
          <t>1992-03-18</t>
        </is>
      </c>
      <c r="X2695" t="inlineStr">
        <is>
          <t>1992-03-18</t>
        </is>
      </c>
      <c r="Y2695" t="n">
        <v>87</v>
      </c>
      <c r="Z2695" t="n">
        <v>67</v>
      </c>
      <c r="AA2695" t="n">
        <v>71</v>
      </c>
      <c r="AB2695" t="n">
        <v>3</v>
      </c>
      <c r="AC2695" t="n">
        <v>3</v>
      </c>
      <c r="AD2695" t="n">
        <v>2</v>
      </c>
      <c r="AE2695" t="n">
        <v>2</v>
      </c>
      <c r="AF2695" t="n">
        <v>0</v>
      </c>
      <c r="AG2695" t="n">
        <v>0</v>
      </c>
      <c r="AH2695" t="n">
        <v>0</v>
      </c>
      <c r="AI2695" t="n">
        <v>0</v>
      </c>
      <c r="AJ2695" t="n">
        <v>1</v>
      </c>
      <c r="AK2695" t="n">
        <v>1</v>
      </c>
      <c r="AL2695" t="n">
        <v>1</v>
      </c>
      <c r="AM2695" t="n">
        <v>1</v>
      </c>
      <c r="AN2695" t="n">
        <v>0</v>
      </c>
      <c r="AO2695" t="n">
        <v>0</v>
      </c>
      <c r="AP2695" t="inlineStr">
        <is>
          <t>No</t>
        </is>
      </c>
      <c r="AQ2695" t="inlineStr">
        <is>
          <t>No</t>
        </is>
      </c>
      <c r="AS2695">
        <f>HYPERLINK("https://creighton-primo.hosted.exlibrisgroup.com/primo-explore/search?tab=default_tab&amp;search_scope=EVERYTHING&amp;vid=01CRU&amp;lang=en_US&amp;offset=0&amp;query=any,contains,991004088389702656","Catalog Record")</f>
        <v/>
      </c>
      <c r="AT2695">
        <f>HYPERLINK("http://www.worldcat.org/oclc/2337867","WorldCat Record")</f>
        <v/>
      </c>
      <c r="AU2695" t="inlineStr">
        <is>
          <t>4913423:eng</t>
        </is>
      </c>
      <c r="AV2695" t="inlineStr">
        <is>
          <t>2337867</t>
        </is>
      </c>
      <c r="AW2695" t="inlineStr">
        <is>
          <t>991004088389702656</t>
        </is>
      </c>
      <c r="AX2695" t="inlineStr">
        <is>
          <t>991004088389702656</t>
        </is>
      </c>
      <c r="AY2695" t="inlineStr">
        <is>
          <t>2260350560002656</t>
        </is>
      </c>
      <c r="AZ2695" t="inlineStr">
        <is>
          <t>BOOK</t>
        </is>
      </c>
      <c r="BC2695" t="inlineStr">
        <is>
          <t>32285000529437</t>
        </is>
      </c>
      <c r="BD2695" t="inlineStr">
        <is>
          <t>893500104</t>
        </is>
      </c>
    </row>
    <row r="2696">
      <c r="A2696" t="inlineStr">
        <is>
          <t>No</t>
        </is>
      </c>
      <c r="B2696" t="inlineStr">
        <is>
          <t>HQ784.T4 L37</t>
        </is>
      </c>
      <c r="C2696" t="inlineStr">
        <is>
          <t>0                      HQ 0784000T  4                  L  37</t>
        </is>
      </c>
      <c r="D2696" t="inlineStr">
        <is>
          <t>Who's bringing them up? : television and child development / Martin Large.</t>
        </is>
      </c>
      <c r="F2696" t="inlineStr">
        <is>
          <t>No</t>
        </is>
      </c>
      <c r="G2696" t="inlineStr">
        <is>
          <t>1</t>
        </is>
      </c>
      <c r="H2696" t="inlineStr">
        <is>
          <t>No</t>
        </is>
      </c>
      <c r="I2696" t="inlineStr">
        <is>
          <t>No</t>
        </is>
      </c>
      <c r="J2696" t="inlineStr">
        <is>
          <t>0</t>
        </is>
      </c>
      <c r="K2696" t="inlineStr">
        <is>
          <t>Large, Martin.</t>
        </is>
      </c>
      <c r="L2696" t="inlineStr">
        <is>
          <t>[England] : M. Large for the TV Action Group, 1980.</t>
        </is>
      </c>
      <c r="M2696" t="inlineStr">
        <is>
          <t>1980</t>
        </is>
      </c>
      <c r="N2696" t="inlineStr">
        <is>
          <t>1st ed.</t>
        </is>
      </c>
      <c r="O2696" t="inlineStr">
        <is>
          <t>eng</t>
        </is>
      </c>
      <c r="P2696" t="inlineStr">
        <is>
          <t>enk</t>
        </is>
      </c>
      <c r="R2696" t="inlineStr">
        <is>
          <t xml:space="preserve">HQ </t>
        </is>
      </c>
      <c r="S2696" t="n">
        <v>20</v>
      </c>
      <c r="T2696" t="n">
        <v>20</v>
      </c>
      <c r="U2696" t="inlineStr">
        <is>
          <t>2008-06-20</t>
        </is>
      </c>
      <c r="V2696" t="inlineStr">
        <is>
          <t>2008-06-20</t>
        </is>
      </c>
      <c r="W2696" t="inlineStr">
        <is>
          <t>1992-03-30</t>
        </is>
      </c>
      <c r="X2696" t="inlineStr">
        <is>
          <t>1992-03-30</t>
        </is>
      </c>
      <c r="Y2696" t="n">
        <v>94</v>
      </c>
      <c r="Z2696" t="n">
        <v>26</v>
      </c>
      <c r="AA2696" t="n">
        <v>41</v>
      </c>
      <c r="AB2696" t="n">
        <v>2</v>
      </c>
      <c r="AC2696" t="n">
        <v>2</v>
      </c>
      <c r="AD2696" t="n">
        <v>2</v>
      </c>
      <c r="AE2696" t="n">
        <v>2</v>
      </c>
      <c r="AF2696" t="n">
        <v>0</v>
      </c>
      <c r="AG2696" t="n">
        <v>0</v>
      </c>
      <c r="AH2696" t="n">
        <v>0</v>
      </c>
      <c r="AI2696" t="n">
        <v>0</v>
      </c>
      <c r="AJ2696" t="n">
        <v>1</v>
      </c>
      <c r="AK2696" t="n">
        <v>1</v>
      </c>
      <c r="AL2696" t="n">
        <v>1</v>
      </c>
      <c r="AM2696" t="n">
        <v>1</v>
      </c>
      <c r="AN2696" t="n">
        <v>0</v>
      </c>
      <c r="AO2696" t="n">
        <v>0</v>
      </c>
      <c r="AP2696" t="inlineStr">
        <is>
          <t>No</t>
        </is>
      </c>
      <c r="AQ2696" t="inlineStr">
        <is>
          <t>Yes</t>
        </is>
      </c>
      <c r="AR2696">
        <f>HYPERLINK("http://catalog.hathitrust.org/Record/002199512","HathiTrust Record")</f>
        <v/>
      </c>
      <c r="AS2696">
        <f>HYPERLINK("https://creighton-primo.hosted.exlibrisgroup.com/primo-explore/search?tab=default_tab&amp;search_scope=EVERYTHING&amp;vid=01CRU&amp;lang=en_US&amp;offset=0&amp;query=any,contains,991005170669702656","Catalog Record")</f>
        <v/>
      </c>
      <c r="AT2696">
        <f>HYPERLINK("http://www.worldcat.org/oclc/10482940","WorldCat Record")</f>
        <v/>
      </c>
      <c r="AU2696" t="inlineStr">
        <is>
          <t>287400293:eng</t>
        </is>
      </c>
      <c r="AV2696" t="inlineStr">
        <is>
          <t>10482940</t>
        </is>
      </c>
      <c r="AW2696" t="inlineStr">
        <is>
          <t>991005170669702656</t>
        </is>
      </c>
      <c r="AX2696" t="inlineStr">
        <is>
          <t>991005170669702656</t>
        </is>
      </c>
      <c r="AY2696" t="inlineStr">
        <is>
          <t>2266892630002656</t>
        </is>
      </c>
      <c r="AZ2696" t="inlineStr">
        <is>
          <t>BOOK</t>
        </is>
      </c>
      <c r="BB2696" t="inlineStr">
        <is>
          <t>9780950706207</t>
        </is>
      </c>
      <c r="BC2696" t="inlineStr">
        <is>
          <t>32285001029676</t>
        </is>
      </c>
      <c r="BD2696" t="inlineStr">
        <is>
          <t>893783141</t>
        </is>
      </c>
    </row>
    <row r="2697">
      <c r="A2697" t="inlineStr">
        <is>
          <t>No</t>
        </is>
      </c>
      <c r="B2697" t="inlineStr">
        <is>
          <t>HQ784.T4 L48 1982</t>
        </is>
      </c>
      <c r="C2697" t="inlineStr">
        <is>
          <t>0                      HQ 0784000T  4                  L  48          1982</t>
        </is>
      </c>
      <c r="D2697" t="inlineStr">
        <is>
          <t>The early window : effects of television on children and youth.</t>
        </is>
      </c>
      <c r="F2697" t="inlineStr">
        <is>
          <t>No</t>
        </is>
      </c>
      <c r="G2697" t="inlineStr">
        <is>
          <t>1</t>
        </is>
      </c>
      <c r="H2697" t="inlineStr">
        <is>
          <t>No</t>
        </is>
      </c>
      <c r="I2697" t="inlineStr">
        <is>
          <t>No</t>
        </is>
      </c>
      <c r="J2697" t="inlineStr">
        <is>
          <t>0</t>
        </is>
      </c>
      <c r="K2697" t="inlineStr">
        <is>
          <t>Liebert, Robert M., 1942-</t>
        </is>
      </c>
      <c r="L2697" t="inlineStr">
        <is>
          <t>New York : Pergamon Press, [1982]</t>
        </is>
      </c>
      <c r="M2697" t="inlineStr">
        <is>
          <t>1982</t>
        </is>
      </c>
      <c r="N2697" t="inlineStr">
        <is>
          <t>2nd ed. / Robert M. Liebert, Joyce N. Sprafkin, and Emily S. Davidson.</t>
        </is>
      </c>
      <c r="O2697" t="inlineStr">
        <is>
          <t>eng</t>
        </is>
      </c>
      <c r="P2697" t="inlineStr">
        <is>
          <t>nyu</t>
        </is>
      </c>
      <c r="Q2697" t="inlineStr">
        <is>
          <t>Pergamon general psychology series ; 34</t>
        </is>
      </c>
      <c r="R2697" t="inlineStr">
        <is>
          <t xml:space="preserve">HQ </t>
        </is>
      </c>
      <c r="S2697" t="n">
        <v>11</v>
      </c>
      <c r="T2697" t="n">
        <v>11</v>
      </c>
      <c r="U2697" t="inlineStr">
        <is>
          <t>2002-02-24</t>
        </is>
      </c>
      <c r="V2697" t="inlineStr">
        <is>
          <t>2002-02-24</t>
        </is>
      </c>
      <c r="W2697" t="inlineStr">
        <is>
          <t>1991-12-05</t>
        </is>
      </c>
      <c r="X2697" t="inlineStr">
        <is>
          <t>1991-12-05</t>
        </is>
      </c>
      <c r="Y2697" t="n">
        <v>733</v>
      </c>
      <c r="Z2697" t="n">
        <v>581</v>
      </c>
      <c r="AA2697" t="n">
        <v>1481</v>
      </c>
      <c r="AB2697" t="n">
        <v>7</v>
      </c>
      <c r="AC2697" t="n">
        <v>13</v>
      </c>
      <c r="AD2697" t="n">
        <v>29</v>
      </c>
      <c r="AE2697" t="n">
        <v>54</v>
      </c>
      <c r="AF2697" t="n">
        <v>11</v>
      </c>
      <c r="AG2697" t="n">
        <v>23</v>
      </c>
      <c r="AH2697" t="n">
        <v>3</v>
      </c>
      <c r="AI2697" t="n">
        <v>9</v>
      </c>
      <c r="AJ2697" t="n">
        <v>15</v>
      </c>
      <c r="AK2697" t="n">
        <v>23</v>
      </c>
      <c r="AL2697" t="n">
        <v>5</v>
      </c>
      <c r="AM2697" t="n">
        <v>9</v>
      </c>
      <c r="AN2697" t="n">
        <v>0</v>
      </c>
      <c r="AO2697" t="n">
        <v>1</v>
      </c>
      <c r="AP2697" t="inlineStr">
        <is>
          <t>No</t>
        </is>
      </c>
      <c r="AQ2697" t="inlineStr">
        <is>
          <t>Yes</t>
        </is>
      </c>
      <c r="AR2697">
        <f>HYPERLINK("http://catalog.hathitrust.org/Record/000269863","HathiTrust Record")</f>
        <v/>
      </c>
      <c r="AS2697">
        <f>HYPERLINK("https://creighton-primo.hosted.exlibrisgroup.com/primo-explore/search?tab=default_tab&amp;search_scope=EVERYTHING&amp;vid=01CRU&amp;lang=en_US&amp;offset=0&amp;query=any,contains,991000035489702656","Catalog Record")</f>
        <v/>
      </c>
      <c r="AT2697">
        <f>HYPERLINK("http://www.worldcat.org/oclc/8344825","WorldCat Record")</f>
        <v/>
      </c>
      <c r="AU2697" t="inlineStr">
        <is>
          <t>1581338:eng</t>
        </is>
      </c>
      <c r="AV2697" t="inlineStr">
        <is>
          <t>8344825</t>
        </is>
      </c>
      <c r="AW2697" t="inlineStr">
        <is>
          <t>991000035489702656</t>
        </is>
      </c>
      <c r="AX2697" t="inlineStr">
        <is>
          <t>991000035489702656</t>
        </is>
      </c>
      <c r="AY2697" t="inlineStr">
        <is>
          <t>2260614560002656</t>
        </is>
      </c>
      <c r="AZ2697" t="inlineStr">
        <is>
          <t>BOOK</t>
        </is>
      </c>
      <c r="BB2697" t="inlineStr">
        <is>
          <t>9780080275475</t>
        </is>
      </c>
      <c r="BC2697" t="inlineStr">
        <is>
          <t>32285000848191</t>
        </is>
      </c>
      <c r="BD2697" t="inlineStr">
        <is>
          <t>893514942</t>
        </is>
      </c>
    </row>
    <row r="2698">
      <c r="A2698" t="inlineStr">
        <is>
          <t>No</t>
        </is>
      </c>
      <c r="B2698" t="inlineStr">
        <is>
          <t>HQ784.T4 L85 1990</t>
        </is>
      </c>
      <c r="C2698" t="inlineStr">
        <is>
          <t>0                      HQ 0784000T  4                  L  85          1990</t>
        </is>
      </c>
      <c r="D2698" t="inlineStr">
        <is>
          <t>Constructing the child viewer : a history of the American discourse on television and children, 1950-1980 / Carmen Luke.</t>
        </is>
      </c>
      <c r="F2698" t="inlineStr">
        <is>
          <t>No</t>
        </is>
      </c>
      <c r="G2698" t="inlineStr">
        <is>
          <t>1</t>
        </is>
      </c>
      <c r="H2698" t="inlineStr">
        <is>
          <t>No</t>
        </is>
      </c>
      <c r="I2698" t="inlineStr">
        <is>
          <t>No</t>
        </is>
      </c>
      <c r="J2698" t="inlineStr">
        <is>
          <t>0</t>
        </is>
      </c>
      <c r="K2698" t="inlineStr">
        <is>
          <t>Luke, Carmen.</t>
        </is>
      </c>
      <c r="L2698" t="inlineStr">
        <is>
          <t>New York : Praeger, 1990.</t>
        </is>
      </c>
      <c r="M2698" t="inlineStr">
        <is>
          <t>1990</t>
        </is>
      </c>
      <c r="O2698" t="inlineStr">
        <is>
          <t>eng</t>
        </is>
      </c>
      <c r="P2698" t="inlineStr">
        <is>
          <t>nyu</t>
        </is>
      </c>
      <c r="R2698" t="inlineStr">
        <is>
          <t xml:space="preserve">HQ </t>
        </is>
      </c>
      <c r="S2698" t="n">
        <v>21</v>
      </c>
      <c r="T2698" t="n">
        <v>21</v>
      </c>
      <c r="U2698" t="inlineStr">
        <is>
          <t>2008-06-20</t>
        </is>
      </c>
      <c r="V2698" t="inlineStr">
        <is>
          <t>2008-06-20</t>
        </is>
      </c>
      <c r="W2698" t="inlineStr">
        <is>
          <t>1991-12-02</t>
        </is>
      </c>
      <c r="X2698" t="inlineStr">
        <is>
          <t>1991-12-02</t>
        </is>
      </c>
      <c r="Y2698" t="n">
        <v>402</v>
      </c>
      <c r="Z2698" t="n">
        <v>314</v>
      </c>
      <c r="AA2698" t="n">
        <v>670</v>
      </c>
      <c r="AB2698" t="n">
        <v>4</v>
      </c>
      <c r="AC2698" t="n">
        <v>6</v>
      </c>
      <c r="AD2698" t="n">
        <v>21</v>
      </c>
      <c r="AE2698" t="n">
        <v>26</v>
      </c>
      <c r="AF2698" t="n">
        <v>9</v>
      </c>
      <c r="AG2698" t="n">
        <v>11</v>
      </c>
      <c r="AH2698" t="n">
        <v>6</v>
      </c>
      <c r="AI2698" t="n">
        <v>6</v>
      </c>
      <c r="AJ2698" t="n">
        <v>11</v>
      </c>
      <c r="AK2698" t="n">
        <v>13</v>
      </c>
      <c r="AL2698" t="n">
        <v>3</v>
      </c>
      <c r="AM2698" t="n">
        <v>5</v>
      </c>
      <c r="AN2698" t="n">
        <v>0</v>
      </c>
      <c r="AO2698" t="n">
        <v>0</v>
      </c>
      <c r="AP2698" t="inlineStr">
        <is>
          <t>No</t>
        </is>
      </c>
      <c r="AQ2698" t="inlineStr">
        <is>
          <t>Yes</t>
        </is>
      </c>
      <c r="AR2698">
        <f>HYPERLINK("http://catalog.hathitrust.org/Record/002422429","HathiTrust Record")</f>
        <v/>
      </c>
      <c r="AS2698">
        <f>HYPERLINK("https://creighton-primo.hosted.exlibrisgroup.com/primo-explore/search?tab=default_tab&amp;search_scope=EVERYTHING&amp;vid=01CRU&amp;lang=en_US&amp;offset=0&amp;query=any,contains,991001702639702656","Catalog Record")</f>
        <v/>
      </c>
      <c r="AT2698">
        <f>HYPERLINK("http://www.worldcat.org/oclc/21525251","WorldCat Record")</f>
        <v/>
      </c>
      <c r="AU2698" t="inlineStr">
        <is>
          <t>797245335:eng</t>
        </is>
      </c>
      <c r="AV2698" t="inlineStr">
        <is>
          <t>21525251</t>
        </is>
      </c>
      <c r="AW2698" t="inlineStr">
        <is>
          <t>991001702639702656</t>
        </is>
      </c>
      <c r="AX2698" t="inlineStr">
        <is>
          <t>991001702639702656</t>
        </is>
      </c>
      <c r="AY2698" t="inlineStr">
        <is>
          <t>2255863350002656</t>
        </is>
      </c>
      <c r="AZ2698" t="inlineStr">
        <is>
          <t>BOOK</t>
        </is>
      </c>
      <c r="BB2698" t="inlineStr">
        <is>
          <t>9780275935160</t>
        </is>
      </c>
      <c r="BC2698" t="inlineStr">
        <is>
          <t>32285000818434</t>
        </is>
      </c>
      <c r="BD2698" t="inlineStr">
        <is>
          <t>893244321</t>
        </is>
      </c>
    </row>
    <row r="2699">
      <c r="A2699" t="inlineStr">
        <is>
          <t>No</t>
        </is>
      </c>
      <c r="B2699" t="inlineStr">
        <is>
          <t>HQ784.T4 M32 1982</t>
        </is>
      </c>
      <c r="C2699" t="inlineStr">
        <is>
          <t>0                      HQ 0784000T  4                  M  32          1982</t>
        </is>
      </c>
      <c r="D2699" t="inlineStr">
        <is>
          <t>The future of children's television : results of the Markle Foundation/Boys Town Conference / edited by John P. Murray and Gavriel Salomon ; foreword by Lloyd N. Morrisett.</t>
        </is>
      </c>
      <c r="F2699" t="inlineStr">
        <is>
          <t>No</t>
        </is>
      </c>
      <c r="G2699" t="inlineStr">
        <is>
          <t>1</t>
        </is>
      </c>
      <c r="H2699" t="inlineStr">
        <is>
          <t>No</t>
        </is>
      </c>
      <c r="I2699" t="inlineStr">
        <is>
          <t>No</t>
        </is>
      </c>
      <c r="J2699" t="inlineStr">
        <is>
          <t>0</t>
        </is>
      </c>
      <c r="K2699" t="inlineStr">
        <is>
          <t>Markle Foundation/Boys Town Conference (1982 : Boys Town Center)</t>
        </is>
      </c>
      <c r="L2699" t="inlineStr">
        <is>
          <t>Boys Town, Neb. : Published by Boys Town in cooperation with the John and Mary R. Markle Foundation, c1984.</t>
        </is>
      </c>
      <c r="M2699" t="inlineStr">
        <is>
          <t>1984</t>
        </is>
      </c>
      <c r="O2699" t="inlineStr">
        <is>
          <t>eng</t>
        </is>
      </c>
      <c r="P2699" t="inlineStr">
        <is>
          <t>nbu</t>
        </is>
      </c>
      <c r="R2699" t="inlineStr">
        <is>
          <t xml:space="preserve">HQ </t>
        </is>
      </c>
      <c r="S2699" t="n">
        <v>21</v>
      </c>
      <c r="T2699" t="n">
        <v>21</v>
      </c>
      <c r="U2699" t="inlineStr">
        <is>
          <t>2001-03-28</t>
        </is>
      </c>
      <c r="V2699" t="inlineStr">
        <is>
          <t>2001-03-28</t>
        </is>
      </c>
      <c r="W2699" t="inlineStr">
        <is>
          <t>1993-05-28</t>
        </is>
      </c>
      <c r="X2699" t="inlineStr">
        <is>
          <t>1993-05-28</t>
        </is>
      </c>
      <c r="Y2699" t="n">
        <v>142</v>
      </c>
      <c r="Z2699" t="n">
        <v>114</v>
      </c>
      <c r="AA2699" t="n">
        <v>115</v>
      </c>
      <c r="AB2699" t="n">
        <v>2</v>
      </c>
      <c r="AC2699" t="n">
        <v>2</v>
      </c>
      <c r="AD2699" t="n">
        <v>2</v>
      </c>
      <c r="AE2699" t="n">
        <v>2</v>
      </c>
      <c r="AF2699" t="n">
        <v>0</v>
      </c>
      <c r="AG2699" t="n">
        <v>0</v>
      </c>
      <c r="AH2699" t="n">
        <v>1</v>
      </c>
      <c r="AI2699" t="n">
        <v>1</v>
      </c>
      <c r="AJ2699" t="n">
        <v>2</v>
      </c>
      <c r="AK2699" t="n">
        <v>2</v>
      </c>
      <c r="AL2699" t="n">
        <v>0</v>
      </c>
      <c r="AM2699" t="n">
        <v>0</v>
      </c>
      <c r="AN2699" t="n">
        <v>0</v>
      </c>
      <c r="AO2699" t="n">
        <v>0</v>
      </c>
      <c r="AP2699" t="inlineStr">
        <is>
          <t>No</t>
        </is>
      </c>
      <c r="AQ2699" t="inlineStr">
        <is>
          <t>Yes</t>
        </is>
      </c>
      <c r="AR2699">
        <f>HYPERLINK("http://catalog.hathitrust.org/Record/007105575","HathiTrust Record")</f>
        <v/>
      </c>
      <c r="AS2699">
        <f>HYPERLINK("https://creighton-primo.hosted.exlibrisgroup.com/primo-explore/search?tab=default_tab&amp;search_scope=EVERYTHING&amp;vid=01CRU&amp;lang=en_US&amp;offset=0&amp;query=any,contains,991000437309702656","Catalog Record")</f>
        <v/>
      </c>
      <c r="AT2699">
        <f>HYPERLINK("http://www.worldcat.org/oclc/10799607","WorldCat Record")</f>
        <v/>
      </c>
      <c r="AU2699" t="inlineStr">
        <is>
          <t>3824551:eng</t>
        </is>
      </c>
      <c r="AV2699" t="inlineStr">
        <is>
          <t>10799607</t>
        </is>
      </c>
      <c r="AW2699" t="inlineStr">
        <is>
          <t>991000437309702656</t>
        </is>
      </c>
      <c r="AX2699" t="inlineStr">
        <is>
          <t>991000437309702656</t>
        </is>
      </c>
      <c r="AY2699" t="inlineStr">
        <is>
          <t>2269738520002656</t>
        </is>
      </c>
      <c r="AZ2699" t="inlineStr">
        <is>
          <t>BOOK</t>
        </is>
      </c>
      <c r="BB2699" t="inlineStr">
        <is>
          <t>9780938510055</t>
        </is>
      </c>
      <c r="BC2699" t="inlineStr">
        <is>
          <t>32285001668846</t>
        </is>
      </c>
      <c r="BD2699" t="inlineStr">
        <is>
          <t>893237312</t>
        </is>
      </c>
    </row>
    <row r="2700">
      <c r="A2700" t="inlineStr">
        <is>
          <t>No</t>
        </is>
      </c>
      <c r="B2700" t="inlineStr">
        <is>
          <t>HQ784.T4 M4 1973</t>
        </is>
      </c>
      <c r="C2700" t="inlineStr">
        <is>
          <t>0                      HQ 0784000T  4                  M  4           1973</t>
        </is>
      </c>
      <c r="D2700" t="inlineStr">
        <is>
          <t>Children's television : the economics of exploitation / [by] William Melody.</t>
        </is>
      </c>
      <c r="F2700" t="inlineStr">
        <is>
          <t>No</t>
        </is>
      </c>
      <c r="G2700" t="inlineStr">
        <is>
          <t>1</t>
        </is>
      </c>
      <c r="H2700" t="inlineStr">
        <is>
          <t>No</t>
        </is>
      </c>
      <c r="I2700" t="inlineStr">
        <is>
          <t>No</t>
        </is>
      </c>
      <c r="J2700" t="inlineStr">
        <is>
          <t>0</t>
        </is>
      </c>
      <c r="K2700" t="inlineStr">
        <is>
          <t>Melody, William H.</t>
        </is>
      </c>
      <c r="L2700" t="inlineStr">
        <is>
          <t>New Haven : Yale University Press, 1973.</t>
        </is>
      </c>
      <c r="M2700" t="inlineStr">
        <is>
          <t>1973</t>
        </is>
      </c>
      <c r="O2700" t="inlineStr">
        <is>
          <t>eng</t>
        </is>
      </c>
      <c r="P2700" t="inlineStr">
        <is>
          <t>ctu</t>
        </is>
      </c>
      <c r="Q2700" t="inlineStr">
        <is>
          <t>A Yale fastback ; 12</t>
        </is>
      </c>
      <c r="R2700" t="inlineStr">
        <is>
          <t xml:space="preserve">HQ </t>
        </is>
      </c>
      <c r="S2700" t="n">
        <v>15</v>
      </c>
      <c r="T2700" t="n">
        <v>15</v>
      </c>
      <c r="U2700" t="inlineStr">
        <is>
          <t>2008-06-20</t>
        </is>
      </c>
      <c r="V2700" t="inlineStr">
        <is>
          <t>2008-06-20</t>
        </is>
      </c>
      <c r="W2700" t="inlineStr">
        <is>
          <t>1991-12-11</t>
        </is>
      </c>
      <c r="X2700" t="inlineStr">
        <is>
          <t>1991-12-11</t>
        </is>
      </c>
      <c r="Y2700" t="n">
        <v>706</v>
      </c>
      <c r="Z2700" t="n">
        <v>572</v>
      </c>
      <c r="AA2700" t="n">
        <v>576</v>
      </c>
      <c r="AB2700" t="n">
        <v>6</v>
      </c>
      <c r="AC2700" t="n">
        <v>6</v>
      </c>
      <c r="AD2700" t="n">
        <v>21</v>
      </c>
      <c r="AE2700" t="n">
        <v>21</v>
      </c>
      <c r="AF2700" t="n">
        <v>9</v>
      </c>
      <c r="AG2700" t="n">
        <v>9</v>
      </c>
      <c r="AH2700" t="n">
        <v>5</v>
      </c>
      <c r="AI2700" t="n">
        <v>5</v>
      </c>
      <c r="AJ2700" t="n">
        <v>9</v>
      </c>
      <c r="AK2700" t="n">
        <v>9</v>
      </c>
      <c r="AL2700" t="n">
        <v>4</v>
      </c>
      <c r="AM2700" t="n">
        <v>4</v>
      </c>
      <c r="AN2700" t="n">
        <v>0</v>
      </c>
      <c r="AO2700" t="n">
        <v>0</v>
      </c>
      <c r="AP2700" t="inlineStr">
        <is>
          <t>No</t>
        </is>
      </c>
      <c r="AQ2700" t="inlineStr">
        <is>
          <t>No</t>
        </is>
      </c>
      <c r="AS2700">
        <f>HYPERLINK("https://creighton-primo.hosted.exlibrisgroup.com/primo-explore/search?tab=default_tab&amp;search_scope=EVERYTHING&amp;vid=01CRU&amp;lang=en_US&amp;offset=0&amp;query=any,contains,991003221199702656","Catalog Record")</f>
        <v/>
      </c>
      <c r="AT2700">
        <f>HYPERLINK("http://www.worldcat.org/oclc/746127","WorldCat Record")</f>
        <v/>
      </c>
      <c r="AU2700" t="inlineStr">
        <is>
          <t>906924350:eng</t>
        </is>
      </c>
      <c r="AV2700" t="inlineStr">
        <is>
          <t>746127</t>
        </is>
      </c>
      <c r="AW2700" t="inlineStr">
        <is>
          <t>991003221199702656</t>
        </is>
      </c>
      <c r="AX2700" t="inlineStr">
        <is>
          <t>991003221199702656</t>
        </is>
      </c>
      <c r="AY2700" t="inlineStr">
        <is>
          <t>2255585110002656</t>
        </is>
      </c>
      <c r="AZ2700" t="inlineStr">
        <is>
          <t>BOOK</t>
        </is>
      </c>
      <c r="BB2700" t="inlineStr">
        <is>
          <t>9780300016543</t>
        </is>
      </c>
      <c r="BC2700" t="inlineStr">
        <is>
          <t>32285000875830</t>
        </is>
      </c>
      <c r="BD2700" t="inlineStr">
        <is>
          <t>893617114</t>
        </is>
      </c>
    </row>
    <row r="2701">
      <c r="A2701" t="inlineStr">
        <is>
          <t>No</t>
        </is>
      </c>
      <c r="B2701" t="inlineStr">
        <is>
          <t>HQ784.T4 M58 1980</t>
        </is>
      </c>
      <c r="C2701" t="inlineStr">
        <is>
          <t>0                      HQ 0784000T  4                  M  58          1980</t>
        </is>
      </c>
      <c r="D2701" t="inlineStr">
        <is>
          <t>Growing up on television : the TV effect : a report to parents / Kate Moody ; introd. by Norman Cousins.</t>
        </is>
      </c>
      <c r="F2701" t="inlineStr">
        <is>
          <t>No</t>
        </is>
      </c>
      <c r="G2701" t="inlineStr">
        <is>
          <t>1</t>
        </is>
      </c>
      <c r="H2701" t="inlineStr">
        <is>
          <t>No</t>
        </is>
      </c>
      <c r="I2701" t="inlineStr">
        <is>
          <t>No</t>
        </is>
      </c>
      <c r="J2701" t="inlineStr">
        <is>
          <t>0</t>
        </is>
      </c>
      <c r="K2701" t="inlineStr">
        <is>
          <t>Moody, Kate.</t>
        </is>
      </c>
      <c r="L2701" t="inlineStr">
        <is>
          <t>New York, N.Y. : Times Books, c1980.</t>
        </is>
      </c>
      <c r="M2701" t="inlineStr">
        <is>
          <t>1980</t>
        </is>
      </c>
      <c r="O2701" t="inlineStr">
        <is>
          <t>eng</t>
        </is>
      </c>
      <c r="P2701" t="inlineStr">
        <is>
          <t>nyu</t>
        </is>
      </c>
      <c r="R2701" t="inlineStr">
        <is>
          <t xml:space="preserve">HQ </t>
        </is>
      </c>
      <c r="S2701" t="n">
        <v>34</v>
      </c>
      <c r="T2701" t="n">
        <v>34</v>
      </c>
      <c r="U2701" t="inlineStr">
        <is>
          <t>2008-06-20</t>
        </is>
      </c>
      <c r="V2701" t="inlineStr">
        <is>
          <t>2008-06-20</t>
        </is>
      </c>
      <c r="W2701" t="inlineStr">
        <is>
          <t>1990-03-29</t>
        </is>
      </c>
      <c r="X2701" t="inlineStr">
        <is>
          <t>1990-03-29</t>
        </is>
      </c>
      <c r="Y2701" t="n">
        <v>850</v>
      </c>
      <c r="Z2701" t="n">
        <v>775</v>
      </c>
      <c r="AA2701" t="n">
        <v>838</v>
      </c>
      <c r="AB2701" t="n">
        <v>5</v>
      </c>
      <c r="AC2701" t="n">
        <v>6</v>
      </c>
      <c r="AD2701" t="n">
        <v>18</v>
      </c>
      <c r="AE2701" t="n">
        <v>22</v>
      </c>
      <c r="AF2701" t="n">
        <v>9</v>
      </c>
      <c r="AG2701" t="n">
        <v>10</v>
      </c>
      <c r="AH2701" t="n">
        <v>3</v>
      </c>
      <c r="AI2701" t="n">
        <v>4</v>
      </c>
      <c r="AJ2701" t="n">
        <v>7</v>
      </c>
      <c r="AK2701" t="n">
        <v>10</v>
      </c>
      <c r="AL2701" t="n">
        <v>2</v>
      </c>
      <c r="AM2701" t="n">
        <v>3</v>
      </c>
      <c r="AN2701" t="n">
        <v>0</v>
      </c>
      <c r="AO2701" t="n">
        <v>0</v>
      </c>
      <c r="AP2701" t="inlineStr">
        <is>
          <t>No</t>
        </is>
      </c>
      <c r="AQ2701" t="inlineStr">
        <is>
          <t>No</t>
        </is>
      </c>
      <c r="AS2701">
        <f>HYPERLINK("https://creighton-primo.hosted.exlibrisgroup.com/primo-explore/search?tab=default_tab&amp;search_scope=EVERYTHING&amp;vid=01CRU&amp;lang=en_US&amp;offset=0&amp;query=any,contains,991004942759702656","Catalog Record")</f>
        <v/>
      </c>
      <c r="AT2701">
        <f>HYPERLINK("http://www.worldcat.org/oclc/6195284","WorldCat Record")</f>
        <v/>
      </c>
      <c r="AU2701" t="inlineStr">
        <is>
          <t>40254981:eng</t>
        </is>
      </c>
      <c r="AV2701" t="inlineStr">
        <is>
          <t>6195284</t>
        </is>
      </c>
      <c r="AW2701" t="inlineStr">
        <is>
          <t>991004942759702656</t>
        </is>
      </c>
      <c r="AX2701" t="inlineStr">
        <is>
          <t>991004942759702656</t>
        </is>
      </c>
      <c r="AY2701" t="inlineStr">
        <is>
          <t>2265686520002656</t>
        </is>
      </c>
      <c r="AZ2701" t="inlineStr">
        <is>
          <t>BOOK</t>
        </is>
      </c>
      <c r="BB2701" t="inlineStr">
        <is>
          <t>9780812909029</t>
        </is>
      </c>
      <c r="BC2701" t="inlineStr">
        <is>
          <t>32285005063549</t>
        </is>
      </c>
      <c r="BD2701" t="inlineStr">
        <is>
          <t>893895658</t>
        </is>
      </c>
    </row>
    <row r="2702">
      <c r="A2702" t="inlineStr">
        <is>
          <t>No</t>
        </is>
      </c>
      <c r="B2702" t="inlineStr">
        <is>
          <t>HQ784.T4 N277</t>
        </is>
      </c>
      <c r="C2702" t="inlineStr">
        <is>
          <t>0                      HQ 0784000T  4                  N  277</t>
        </is>
      </c>
      <c r="D2702" t="inlineStr">
        <is>
          <t>Education for the television age : the proceedings of a national conference on the subject of children and television / Milton E. Ploghoft [and] James A. Anderson, conference directors and editors.</t>
        </is>
      </c>
      <c r="F2702" t="inlineStr">
        <is>
          <t>No</t>
        </is>
      </c>
      <c r="G2702" t="inlineStr">
        <is>
          <t>1</t>
        </is>
      </c>
      <c r="H2702" t="inlineStr">
        <is>
          <t>No</t>
        </is>
      </c>
      <c r="I2702" t="inlineStr">
        <is>
          <t>No</t>
        </is>
      </c>
      <c r="J2702" t="inlineStr">
        <is>
          <t>0</t>
        </is>
      </c>
      <c r="K2702" t="inlineStr">
        <is>
          <t>National Conference on the Subject of Children and Television (1979 : Philadelphia, Pa.)</t>
        </is>
      </c>
      <c r="L2702" t="inlineStr">
        <is>
          <t>Athens, Ohio : Cooperative Center for Social Science Education, College of Education, Ohio University, 1981.</t>
        </is>
      </c>
      <c r="M2702" t="inlineStr">
        <is>
          <t>1981</t>
        </is>
      </c>
      <c r="O2702" t="inlineStr">
        <is>
          <t>eng</t>
        </is>
      </c>
      <c r="P2702" t="inlineStr">
        <is>
          <t xml:space="preserve">xx </t>
        </is>
      </c>
      <c r="R2702" t="inlineStr">
        <is>
          <t xml:space="preserve">HQ </t>
        </is>
      </c>
      <c r="S2702" t="n">
        <v>9</v>
      </c>
      <c r="T2702" t="n">
        <v>9</v>
      </c>
      <c r="U2702" t="inlineStr">
        <is>
          <t>2008-06-20</t>
        </is>
      </c>
      <c r="V2702" t="inlineStr">
        <is>
          <t>2008-06-20</t>
        </is>
      </c>
      <c r="W2702" t="inlineStr">
        <is>
          <t>1991-12-13</t>
        </is>
      </c>
      <c r="X2702" t="inlineStr">
        <is>
          <t>1991-12-13</t>
        </is>
      </c>
      <c r="Y2702" t="n">
        <v>320</v>
      </c>
      <c r="Z2702" t="n">
        <v>316</v>
      </c>
      <c r="AA2702" t="n">
        <v>389</v>
      </c>
      <c r="AB2702" t="n">
        <v>8</v>
      </c>
      <c r="AC2702" t="n">
        <v>8</v>
      </c>
      <c r="AD2702" t="n">
        <v>24</v>
      </c>
      <c r="AE2702" t="n">
        <v>26</v>
      </c>
      <c r="AF2702" t="n">
        <v>11</v>
      </c>
      <c r="AG2702" t="n">
        <v>11</v>
      </c>
      <c r="AH2702" t="n">
        <v>4</v>
      </c>
      <c r="AI2702" t="n">
        <v>5</v>
      </c>
      <c r="AJ2702" t="n">
        <v>9</v>
      </c>
      <c r="AK2702" t="n">
        <v>11</v>
      </c>
      <c r="AL2702" t="n">
        <v>7</v>
      </c>
      <c r="AM2702" t="n">
        <v>7</v>
      </c>
      <c r="AN2702" t="n">
        <v>0</v>
      </c>
      <c r="AO2702" t="n">
        <v>0</v>
      </c>
      <c r="AP2702" t="inlineStr">
        <is>
          <t>No</t>
        </is>
      </c>
      <c r="AQ2702" t="inlineStr">
        <is>
          <t>Yes</t>
        </is>
      </c>
      <c r="AR2702">
        <f>HYPERLINK("http://catalog.hathitrust.org/Record/007116522","HathiTrust Record")</f>
        <v/>
      </c>
      <c r="AS2702">
        <f>HYPERLINK("https://creighton-primo.hosted.exlibrisgroup.com/primo-explore/search?tab=default_tab&amp;search_scope=EVERYTHING&amp;vid=01CRU&amp;lang=en_US&amp;offset=0&amp;query=any,contains,991005121499702656","Catalog Record")</f>
        <v/>
      </c>
      <c r="AT2702">
        <f>HYPERLINK("http://www.worldcat.org/oclc/7893300","WorldCat Record")</f>
        <v/>
      </c>
      <c r="AU2702" t="inlineStr">
        <is>
          <t>861794433:eng</t>
        </is>
      </c>
      <c r="AV2702" t="inlineStr">
        <is>
          <t>7893300</t>
        </is>
      </c>
      <c r="AW2702" t="inlineStr">
        <is>
          <t>991005121499702656</t>
        </is>
      </c>
      <c r="AX2702" t="inlineStr">
        <is>
          <t>991005121499702656</t>
        </is>
      </c>
      <c r="AY2702" t="inlineStr">
        <is>
          <t>2257329040002656</t>
        </is>
      </c>
      <c r="AZ2702" t="inlineStr">
        <is>
          <t>BOOK</t>
        </is>
      </c>
      <c r="BC2702" t="inlineStr">
        <is>
          <t>32285000895598</t>
        </is>
      </c>
      <c r="BD2702" t="inlineStr">
        <is>
          <t>893501354</t>
        </is>
      </c>
    </row>
    <row r="2703">
      <c r="A2703" t="inlineStr">
        <is>
          <t>No</t>
        </is>
      </c>
      <c r="B2703" t="inlineStr">
        <is>
          <t>HQ784.T4 N42 1991</t>
        </is>
      </c>
      <c r="C2703" t="inlineStr">
        <is>
          <t>0                      HQ 0784000T  4                  N  42          1991</t>
        </is>
      </c>
      <c r="D2703" t="inlineStr">
        <is>
          <t>Literacy in the television age : the myth of the TV effect / Susan B. Neuman.</t>
        </is>
      </c>
      <c r="F2703" t="inlineStr">
        <is>
          <t>No</t>
        </is>
      </c>
      <c r="G2703" t="inlineStr">
        <is>
          <t>1</t>
        </is>
      </c>
      <c r="H2703" t="inlineStr">
        <is>
          <t>No</t>
        </is>
      </c>
      <c r="I2703" t="inlineStr">
        <is>
          <t>No</t>
        </is>
      </c>
      <c r="J2703" t="inlineStr">
        <is>
          <t>0</t>
        </is>
      </c>
      <c r="K2703" t="inlineStr">
        <is>
          <t>Neuman, Susan B.</t>
        </is>
      </c>
      <c r="L2703" t="inlineStr">
        <is>
          <t>Norwood, N.J. : Ablex, c1991.</t>
        </is>
      </c>
      <c r="M2703" t="inlineStr">
        <is>
          <t>1991</t>
        </is>
      </c>
      <c r="O2703" t="inlineStr">
        <is>
          <t>eng</t>
        </is>
      </c>
      <c r="P2703" t="inlineStr">
        <is>
          <t>nju</t>
        </is>
      </c>
      <c r="Q2703" t="inlineStr">
        <is>
          <t>Communication and information science</t>
        </is>
      </c>
      <c r="R2703" t="inlineStr">
        <is>
          <t xml:space="preserve">HQ </t>
        </is>
      </c>
      <c r="S2703" t="n">
        <v>23</v>
      </c>
      <c r="T2703" t="n">
        <v>23</v>
      </c>
      <c r="U2703" t="inlineStr">
        <is>
          <t>2005-03-20</t>
        </is>
      </c>
      <c r="V2703" t="inlineStr">
        <is>
          <t>2005-03-20</t>
        </is>
      </c>
      <c r="W2703" t="inlineStr">
        <is>
          <t>1992-09-05</t>
        </is>
      </c>
      <c r="X2703" t="inlineStr">
        <is>
          <t>1992-09-05</t>
        </is>
      </c>
      <c r="Y2703" t="n">
        <v>513</v>
      </c>
      <c r="Z2703" t="n">
        <v>425</v>
      </c>
      <c r="AA2703" t="n">
        <v>562</v>
      </c>
      <c r="AB2703" t="n">
        <v>4</v>
      </c>
      <c r="AC2703" t="n">
        <v>4</v>
      </c>
      <c r="AD2703" t="n">
        <v>22</v>
      </c>
      <c r="AE2703" t="n">
        <v>36</v>
      </c>
      <c r="AF2703" t="n">
        <v>11</v>
      </c>
      <c r="AG2703" t="n">
        <v>19</v>
      </c>
      <c r="AH2703" t="n">
        <v>4</v>
      </c>
      <c r="AI2703" t="n">
        <v>8</v>
      </c>
      <c r="AJ2703" t="n">
        <v>10</v>
      </c>
      <c r="AK2703" t="n">
        <v>17</v>
      </c>
      <c r="AL2703" t="n">
        <v>2</v>
      </c>
      <c r="AM2703" t="n">
        <v>2</v>
      </c>
      <c r="AN2703" t="n">
        <v>0</v>
      </c>
      <c r="AO2703" t="n">
        <v>0</v>
      </c>
      <c r="AP2703" t="inlineStr">
        <is>
          <t>No</t>
        </is>
      </c>
      <c r="AQ2703" t="inlineStr">
        <is>
          <t>Yes</t>
        </is>
      </c>
      <c r="AR2703">
        <f>HYPERLINK("http://catalog.hathitrust.org/Record/002503207","HathiTrust Record")</f>
        <v/>
      </c>
      <c r="AS2703">
        <f>HYPERLINK("https://creighton-primo.hosted.exlibrisgroup.com/primo-explore/search?tab=default_tab&amp;search_scope=EVERYTHING&amp;vid=01CRU&amp;lang=en_US&amp;offset=0&amp;query=any,contains,991001824909702656","Catalog Record")</f>
        <v/>
      </c>
      <c r="AT2703">
        <f>HYPERLINK("http://www.worldcat.org/oclc/22911627","WorldCat Record")</f>
        <v/>
      </c>
      <c r="AU2703" t="inlineStr">
        <is>
          <t>917117034:eng</t>
        </is>
      </c>
      <c r="AV2703" t="inlineStr">
        <is>
          <t>22911627</t>
        </is>
      </c>
      <c r="AW2703" t="inlineStr">
        <is>
          <t>991001824909702656</t>
        </is>
      </c>
      <c r="AX2703" t="inlineStr">
        <is>
          <t>991001824909702656</t>
        </is>
      </c>
      <c r="AY2703" t="inlineStr">
        <is>
          <t>2268748380002656</t>
        </is>
      </c>
      <c r="AZ2703" t="inlineStr">
        <is>
          <t>BOOK</t>
        </is>
      </c>
      <c r="BB2703" t="inlineStr">
        <is>
          <t>9780893914851</t>
        </is>
      </c>
      <c r="BC2703" t="inlineStr">
        <is>
          <t>32285001286367</t>
        </is>
      </c>
      <c r="BD2703" t="inlineStr">
        <is>
          <t>893803938</t>
        </is>
      </c>
    </row>
    <row r="2704">
      <c r="A2704" t="inlineStr">
        <is>
          <t>No</t>
        </is>
      </c>
      <c r="B2704" t="inlineStr">
        <is>
          <t>HQ784.T4 P35 1986</t>
        </is>
      </c>
      <c r="C2704" t="inlineStr">
        <is>
          <t>0                      HQ 0784000T  4                  P  35          1986</t>
        </is>
      </c>
      <c r="D2704" t="inlineStr">
        <is>
          <t>The lively audience : a study of children around the TV set / Patricia Palmer.</t>
        </is>
      </c>
      <c r="F2704" t="inlineStr">
        <is>
          <t>No</t>
        </is>
      </c>
      <c r="G2704" t="inlineStr">
        <is>
          <t>1</t>
        </is>
      </c>
      <c r="H2704" t="inlineStr">
        <is>
          <t>No</t>
        </is>
      </c>
      <c r="I2704" t="inlineStr">
        <is>
          <t>No</t>
        </is>
      </c>
      <c r="J2704" t="inlineStr">
        <is>
          <t>0</t>
        </is>
      </c>
      <c r="K2704" t="inlineStr">
        <is>
          <t>Palmer, Patricia.</t>
        </is>
      </c>
      <c r="L2704" t="inlineStr">
        <is>
          <t>Sydney ; Boston : Allen &amp; Unwin, 1986.</t>
        </is>
      </c>
      <c r="M2704" t="inlineStr">
        <is>
          <t>1986</t>
        </is>
      </c>
      <c r="O2704" t="inlineStr">
        <is>
          <t>eng</t>
        </is>
      </c>
      <c r="P2704" t="inlineStr">
        <is>
          <t xml:space="preserve">at </t>
        </is>
      </c>
      <c r="R2704" t="inlineStr">
        <is>
          <t xml:space="preserve">HQ </t>
        </is>
      </c>
      <c r="S2704" t="n">
        <v>26</v>
      </c>
      <c r="T2704" t="n">
        <v>26</v>
      </c>
      <c r="U2704" t="inlineStr">
        <is>
          <t>2005-03-21</t>
        </is>
      </c>
      <c r="V2704" t="inlineStr">
        <is>
          <t>2005-03-21</t>
        </is>
      </c>
      <c r="W2704" t="inlineStr">
        <is>
          <t>1991-12-13</t>
        </is>
      </c>
      <c r="X2704" t="inlineStr">
        <is>
          <t>1991-12-13</t>
        </is>
      </c>
      <c r="Y2704" t="n">
        <v>281</v>
      </c>
      <c r="Z2704" t="n">
        <v>181</v>
      </c>
      <c r="AA2704" t="n">
        <v>186</v>
      </c>
      <c r="AB2704" t="n">
        <v>2</v>
      </c>
      <c r="AC2704" t="n">
        <v>2</v>
      </c>
      <c r="AD2704" t="n">
        <v>9</v>
      </c>
      <c r="AE2704" t="n">
        <v>9</v>
      </c>
      <c r="AF2704" t="n">
        <v>3</v>
      </c>
      <c r="AG2704" t="n">
        <v>3</v>
      </c>
      <c r="AH2704" t="n">
        <v>2</v>
      </c>
      <c r="AI2704" t="n">
        <v>2</v>
      </c>
      <c r="AJ2704" t="n">
        <v>7</v>
      </c>
      <c r="AK2704" t="n">
        <v>7</v>
      </c>
      <c r="AL2704" t="n">
        <v>1</v>
      </c>
      <c r="AM2704" t="n">
        <v>1</v>
      </c>
      <c r="AN2704" t="n">
        <v>0</v>
      </c>
      <c r="AO2704" t="n">
        <v>0</v>
      </c>
      <c r="AP2704" t="inlineStr">
        <is>
          <t>No</t>
        </is>
      </c>
      <c r="AQ2704" t="inlineStr">
        <is>
          <t>No</t>
        </is>
      </c>
      <c r="AS2704">
        <f>HYPERLINK("https://creighton-primo.hosted.exlibrisgroup.com/primo-explore/search?tab=default_tab&amp;search_scope=EVERYTHING&amp;vid=01CRU&amp;lang=en_US&amp;offset=0&amp;query=any,contains,991000996589702656","Catalog Record")</f>
        <v/>
      </c>
      <c r="AT2704">
        <f>HYPERLINK("http://www.worldcat.org/oclc/15162197","WorldCat Record")</f>
        <v/>
      </c>
      <c r="AU2704" t="inlineStr">
        <is>
          <t>8479053:eng</t>
        </is>
      </c>
      <c r="AV2704" t="inlineStr">
        <is>
          <t>15162197</t>
        </is>
      </c>
      <c r="AW2704" t="inlineStr">
        <is>
          <t>991000996589702656</t>
        </is>
      </c>
      <c r="AX2704" t="inlineStr">
        <is>
          <t>991000996589702656</t>
        </is>
      </c>
      <c r="AY2704" t="inlineStr">
        <is>
          <t>2264069230002656</t>
        </is>
      </c>
      <c r="AZ2704" t="inlineStr">
        <is>
          <t>BOOK</t>
        </is>
      </c>
      <c r="BB2704" t="inlineStr">
        <is>
          <t>9780868619545</t>
        </is>
      </c>
      <c r="BC2704" t="inlineStr">
        <is>
          <t>32285000895606</t>
        </is>
      </c>
      <c r="BD2704" t="inlineStr">
        <is>
          <t>893243779</t>
        </is>
      </c>
    </row>
    <row r="2705">
      <c r="A2705" t="inlineStr">
        <is>
          <t>No</t>
        </is>
      </c>
      <c r="B2705" t="inlineStr">
        <is>
          <t>HQ784.T4 P53 1982</t>
        </is>
      </c>
      <c r="C2705" t="inlineStr">
        <is>
          <t>0                      HQ 0784000T  4                  P  53          1982</t>
        </is>
      </c>
      <c r="D2705" t="inlineStr">
        <is>
          <t>Teaching critical television viewing skills : an integrated approach / by Milton E. Ploghoft and James A. Anderson.</t>
        </is>
      </c>
      <c r="F2705" t="inlineStr">
        <is>
          <t>No</t>
        </is>
      </c>
      <c r="G2705" t="inlineStr">
        <is>
          <t>1</t>
        </is>
      </c>
      <c r="H2705" t="inlineStr">
        <is>
          <t>No</t>
        </is>
      </c>
      <c r="I2705" t="inlineStr">
        <is>
          <t>No</t>
        </is>
      </c>
      <c r="J2705" t="inlineStr">
        <is>
          <t>0</t>
        </is>
      </c>
      <c r="K2705" t="inlineStr">
        <is>
          <t>Ploghoft, Milton E.</t>
        </is>
      </c>
      <c r="L2705" t="inlineStr">
        <is>
          <t>Springfield, Ill. : C.C. Thomas, c1982.</t>
        </is>
      </c>
      <c r="M2705" t="inlineStr">
        <is>
          <t>1982</t>
        </is>
      </c>
      <c r="O2705" t="inlineStr">
        <is>
          <t>eng</t>
        </is>
      </c>
      <c r="P2705" t="inlineStr">
        <is>
          <t>ilu</t>
        </is>
      </c>
      <c r="R2705" t="inlineStr">
        <is>
          <t xml:space="preserve">HQ </t>
        </is>
      </c>
      <c r="S2705" t="n">
        <v>10</v>
      </c>
      <c r="T2705" t="n">
        <v>10</v>
      </c>
      <c r="U2705" t="inlineStr">
        <is>
          <t>1998-08-27</t>
        </is>
      </c>
      <c r="V2705" t="inlineStr">
        <is>
          <t>1998-08-27</t>
        </is>
      </c>
      <c r="W2705" t="inlineStr">
        <is>
          <t>1991-12-11</t>
        </is>
      </c>
      <c r="X2705" t="inlineStr">
        <is>
          <t>1991-12-11</t>
        </is>
      </c>
      <c r="Y2705" t="n">
        <v>254</v>
      </c>
      <c r="Z2705" t="n">
        <v>214</v>
      </c>
      <c r="AA2705" t="n">
        <v>220</v>
      </c>
      <c r="AB2705" t="n">
        <v>4</v>
      </c>
      <c r="AC2705" t="n">
        <v>4</v>
      </c>
      <c r="AD2705" t="n">
        <v>6</v>
      </c>
      <c r="AE2705" t="n">
        <v>6</v>
      </c>
      <c r="AF2705" t="n">
        <v>1</v>
      </c>
      <c r="AG2705" t="n">
        <v>1</v>
      </c>
      <c r="AH2705" t="n">
        <v>0</v>
      </c>
      <c r="AI2705" t="n">
        <v>0</v>
      </c>
      <c r="AJ2705" t="n">
        <v>2</v>
      </c>
      <c r="AK2705" t="n">
        <v>2</v>
      </c>
      <c r="AL2705" t="n">
        <v>3</v>
      </c>
      <c r="AM2705" t="n">
        <v>3</v>
      </c>
      <c r="AN2705" t="n">
        <v>0</v>
      </c>
      <c r="AO2705" t="n">
        <v>0</v>
      </c>
      <c r="AP2705" t="inlineStr">
        <is>
          <t>No</t>
        </is>
      </c>
      <c r="AQ2705" t="inlineStr">
        <is>
          <t>Yes</t>
        </is>
      </c>
      <c r="AR2705">
        <f>HYPERLINK("http://catalog.hathitrust.org/Record/007118471","HathiTrust Record")</f>
        <v/>
      </c>
      <c r="AS2705">
        <f>HYPERLINK("https://creighton-primo.hosted.exlibrisgroup.com/primo-explore/search?tab=default_tab&amp;search_scope=EVERYTHING&amp;vid=01CRU&amp;lang=en_US&amp;offset=0&amp;query=any,contains,991005178339702656","Catalog Record")</f>
        <v/>
      </c>
      <c r="AT2705">
        <f>HYPERLINK("http://www.worldcat.org/oclc/7925787","WorldCat Record")</f>
        <v/>
      </c>
      <c r="AU2705" t="inlineStr">
        <is>
          <t>309236127:eng</t>
        </is>
      </c>
      <c r="AV2705" t="inlineStr">
        <is>
          <t>7925787</t>
        </is>
      </c>
      <c r="AW2705" t="inlineStr">
        <is>
          <t>991005178339702656</t>
        </is>
      </c>
      <c r="AX2705" t="inlineStr">
        <is>
          <t>991005178339702656</t>
        </is>
      </c>
      <c r="AY2705" t="inlineStr">
        <is>
          <t>2270152500002656</t>
        </is>
      </c>
      <c r="AZ2705" t="inlineStr">
        <is>
          <t>BOOK</t>
        </is>
      </c>
      <c r="BB2705" t="inlineStr">
        <is>
          <t>9780398046163</t>
        </is>
      </c>
      <c r="BC2705" t="inlineStr">
        <is>
          <t>32285000900687</t>
        </is>
      </c>
      <c r="BD2705" t="inlineStr">
        <is>
          <t>893514178</t>
        </is>
      </c>
    </row>
    <row r="2706">
      <c r="A2706" t="inlineStr">
        <is>
          <t>No</t>
        </is>
      </c>
      <c r="B2706" t="inlineStr">
        <is>
          <t>HQ784.T4 P68 1981</t>
        </is>
      </c>
      <c r="C2706" t="inlineStr">
        <is>
          <t>0                      HQ 0784000T  4                  P  68          1981</t>
        </is>
      </c>
      <c r="D2706" t="inlineStr">
        <is>
          <t>The positive use of commercial television with children / Rosemary Lee Potter.</t>
        </is>
      </c>
      <c r="F2706" t="inlineStr">
        <is>
          <t>No</t>
        </is>
      </c>
      <c r="G2706" t="inlineStr">
        <is>
          <t>1</t>
        </is>
      </c>
      <c r="H2706" t="inlineStr">
        <is>
          <t>No</t>
        </is>
      </c>
      <c r="I2706" t="inlineStr">
        <is>
          <t>No</t>
        </is>
      </c>
      <c r="J2706" t="inlineStr">
        <is>
          <t>0</t>
        </is>
      </c>
      <c r="K2706" t="inlineStr">
        <is>
          <t>Potter, Rosemary Lee.</t>
        </is>
      </c>
      <c r="L2706" t="inlineStr">
        <is>
          <t>[Washington, D.C.] : National Education Association of the United States, c1981.</t>
        </is>
      </c>
      <c r="M2706" t="inlineStr">
        <is>
          <t>1981</t>
        </is>
      </c>
      <c r="O2706" t="inlineStr">
        <is>
          <t>eng</t>
        </is>
      </c>
      <c r="P2706" t="inlineStr">
        <is>
          <t>dcu</t>
        </is>
      </c>
      <c r="Q2706" t="inlineStr">
        <is>
          <t>Analysis and action series</t>
        </is>
      </c>
      <c r="R2706" t="inlineStr">
        <is>
          <t xml:space="preserve">HQ </t>
        </is>
      </c>
      <c r="S2706" t="n">
        <v>19</v>
      </c>
      <c r="T2706" t="n">
        <v>19</v>
      </c>
      <c r="U2706" t="inlineStr">
        <is>
          <t>2004-02-25</t>
        </is>
      </c>
      <c r="V2706" t="inlineStr">
        <is>
          <t>2004-02-25</t>
        </is>
      </c>
      <c r="W2706" t="inlineStr">
        <is>
          <t>1992-03-17</t>
        </is>
      </c>
      <c r="X2706" t="inlineStr">
        <is>
          <t>1992-03-17</t>
        </is>
      </c>
      <c r="Y2706" t="n">
        <v>293</v>
      </c>
      <c r="Z2706" t="n">
        <v>283</v>
      </c>
      <c r="AA2706" t="n">
        <v>288</v>
      </c>
      <c r="AB2706" t="n">
        <v>6</v>
      </c>
      <c r="AC2706" t="n">
        <v>6</v>
      </c>
      <c r="AD2706" t="n">
        <v>15</v>
      </c>
      <c r="AE2706" t="n">
        <v>16</v>
      </c>
      <c r="AF2706" t="n">
        <v>8</v>
      </c>
      <c r="AG2706" t="n">
        <v>8</v>
      </c>
      <c r="AH2706" t="n">
        <v>2</v>
      </c>
      <c r="AI2706" t="n">
        <v>2</v>
      </c>
      <c r="AJ2706" t="n">
        <v>6</v>
      </c>
      <c r="AK2706" t="n">
        <v>7</v>
      </c>
      <c r="AL2706" t="n">
        <v>4</v>
      </c>
      <c r="AM2706" t="n">
        <v>4</v>
      </c>
      <c r="AN2706" t="n">
        <v>0</v>
      </c>
      <c r="AO2706" t="n">
        <v>0</v>
      </c>
      <c r="AP2706" t="inlineStr">
        <is>
          <t>No</t>
        </is>
      </c>
      <c r="AQ2706" t="inlineStr">
        <is>
          <t>No</t>
        </is>
      </c>
      <c r="AS2706">
        <f>HYPERLINK("https://creighton-primo.hosted.exlibrisgroup.com/primo-explore/search?tab=default_tab&amp;search_scope=EVERYTHING&amp;vid=01CRU&amp;lang=en_US&amp;offset=0&amp;query=any,contains,991005136489702656","Catalog Record")</f>
        <v/>
      </c>
      <c r="AT2706">
        <f>HYPERLINK("http://www.worldcat.org/oclc/7577570","WorldCat Record")</f>
        <v/>
      </c>
      <c r="AU2706" t="inlineStr">
        <is>
          <t>4818064:eng</t>
        </is>
      </c>
      <c r="AV2706" t="inlineStr">
        <is>
          <t>7577570</t>
        </is>
      </c>
      <c r="AW2706" t="inlineStr">
        <is>
          <t>991005136489702656</t>
        </is>
      </c>
      <c r="AX2706" t="inlineStr">
        <is>
          <t>991005136489702656</t>
        </is>
      </c>
      <c r="AY2706" t="inlineStr">
        <is>
          <t>2265521390002656</t>
        </is>
      </c>
      <c r="AZ2706" t="inlineStr">
        <is>
          <t>BOOK</t>
        </is>
      </c>
      <c r="BB2706" t="inlineStr">
        <is>
          <t>9780810616868</t>
        </is>
      </c>
      <c r="BC2706" t="inlineStr">
        <is>
          <t>32285000949957</t>
        </is>
      </c>
      <c r="BD2706" t="inlineStr">
        <is>
          <t>893701074</t>
        </is>
      </c>
    </row>
    <row r="2707">
      <c r="A2707" t="inlineStr">
        <is>
          <t>No</t>
        </is>
      </c>
      <c r="B2707" t="inlineStr">
        <is>
          <t>HQ784.T4 R9 1983</t>
        </is>
      </c>
      <c r="C2707" t="inlineStr">
        <is>
          <t>0                      HQ 0784000T  4                  R  9           1983</t>
        </is>
      </c>
      <c r="D2707" t="inlineStr">
        <is>
          <t>Rx television : enhancing the preventive impact of TV / edited by Joyce Sprafkin, Carolyn Swift, and Robert Hess.</t>
        </is>
      </c>
      <c r="F2707" t="inlineStr">
        <is>
          <t>No</t>
        </is>
      </c>
      <c r="G2707" t="inlineStr">
        <is>
          <t>1</t>
        </is>
      </c>
      <c r="H2707" t="inlineStr">
        <is>
          <t>No</t>
        </is>
      </c>
      <c r="I2707" t="inlineStr">
        <is>
          <t>No</t>
        </is>
      </c>
      <c r="J2707" t="inlineStr">
        <is>
          <t>0</t>
        </is>
      </c>
      <c r="L2707" t="inlineStr">
        <is>
          <t>New York : Haworth Press, c1983.</t>
        </is>
      </c>
      <c r="M2707" t="inlineStr">
        <is>
          <t>1983</t>
        </is>
      </c>
      <c r="O2707" t="inlineStr">
        <is>
          <t>eng</t>
        </is>
      </c>
      <c r="P2707" t="inlineStr">
        <is>
          <t>nyu</t>
        </is>
      </c>
      <c r="R2707" t="inlineStr">
        <is>
          <t xml:space="preserve">HQ </t>
        </is>
      </c>
      <c r="S2707" t="n">
        <v>19</v>
      </c>
      <c r="T2707" t="n">
        <v>19</v>
      </c>
      <c r="U2707" t="inlineStr">
        <is>
          <t>1998-12-02</t>
        </is>
      </c>
      <c r="V2707" t="inlineStr">
        <is>
          <t>1998-12-02</t>
        </is>
      </c>
      <c r="W2707" t="inlineStr">
        <is>
          <t>1991-12-06</t>
        </is>
      </c>
      <c r="X2707" t="inlineStr">
        <is>
          <t>1991-12-06</t>
        </is>
      </c>
      <c r="Y2707" t="n">
        <v>174</v>
      </c>
      <c r="Z2707" t="n">
        <v>151</v>
      </c>
      <c r="AA2707" t="n">
        <v>151</v>
      </c>
      <c r="AB2707" t="n">
        <v>1</v>
      </c>
      <c r="AC2707" t="n">
        <v>1</v>
      </c>
      <c r="AD2707" t="n">
        <v>7</v>
      </c>
      <c r="AE2707" t="n">
        <v>7</v>
      </c>
      <c r="AF2707" t="n">
        <v>3</v>
      </c>
      <c r="AG2707" t="n">
        <v>3</v>
      </c>
      <c r="AH2707" t="n">
        <v>1</v>
      </c>
      <c r="AI2707" t="n">
        <v>1</v>
      </c>
      <c r="AJ2707" t="n">
        <v>4</v>
      </c>
      <c r="AK2707" t="n">
        <v>4</v>
      </c>
      <c r="AL2707" t="n">
        <v>0</v>
      </c>
      <c r="AM2707" t="n">
        <v>0</v>
      </c>
      <c r="AN2707" t="n">
        <v>0</v>
      </c>
      <c r="AO2707" t="n">
        <v>0</v>
      </c>
      <c r="AP2707" t="inlineStr">
        <is>
          <t>No</t>
        </is>
      </c>
      <c r="AQ2707" t="inlineStr">
        <is>
          <t>No</t>
        </is>
      </c>
      <c r="AS2707">
        <f>HYPERLINK("https://creighton-primo.hosted.exlibrisgroup.com/primo-explore/search?tab=default_tab&amp;search_scope=EVERYTHING&amp;vid=01CRU&amp;lang=en_US&amp;offset=0&amp;query=any,contains,991000083619702656","Catalog Record")</f>
        <v/>
      </c>
      <c r="AT2707">
        <f>HYPERLINK("http://www.worldcat.org/oclc/8846453","WorldCat Record")</f>
        <v/>
      </c>
      <c r="AU2707" t="inlineStr">
        <is>
          <t>896986185:eng</t>
        </is>
      </c>
      <c r="AV2707" t="inlineStr">
        <is>
          <t>8846453</t>
        </is>
      </c>
      <c r="AW2707" t="inlineStr">
        <is>
          <t>991000083619702656</t>
        </is>
      </c>
      <c r="AX2707" t="inlineStr">
        <is>
          <t>991000083619702656</t>
        </is>
      </c>
      <c r="AY2707" t="inlineStr">
        <is>
          <t>2256008780002656</t>
        </is>
      </c>
      <c r="AZ2707" t="inlineStr">
        <is>
          <t>BOOK</t>
        </is>
      </c>
      <c r="BB2707" t="inlineStr">
        <is>
          <t>9780866561686</t>
        </is>
      </c>
      <c r="BC2707" t="inlineStr">
        <is>
          <t>32285000838333</t>
        </is>
      </c>
      <c r="BD2707" t="inlineStr">
        <is>
          <t>893808600</t>
        </is>
      </c>
    </row>
    <row r="2708">
      <c r="A2708" t="inlineStr">
        <is>
          <t>No</t>
        </is>
      </c>
      <c r="B2708" t="inlineStr">
        <is>
          <t>HQ784.T4 S54</t>
        </is>
      </c>
      <c r="C2708" t="inlineStr">
        <is>
          <t>0                      HQ 0784000T  4                  S  54</t>
        </is>
      </c>
      <c r="D2708" t="inlineStr">
        <is>
          <t>Teaching television : how to use TV to your child's advantage / Dorothy G. Singer, Jerome Singer, Diana M. Zuckerman.</t>
        </is>
      </c>
      <c r="F2708" t="inlineStr">
        <is>
          <t>No</t>
        </is>
      </c>
      <c r="G2708" t="inlineStr">
        <is>
          <t>1</t>
        </is>
      </c>
      <c r="H2708" t="inlineStr">
        <is>
          <t>No</t>
        </is>
      </c>
      <c r="I2708" t="inlineStr">
        <is>
          <t>No</t>
        </is>
      </c>
      <c r="J2708" t="inlineStr">
        <is>
          <t>0</t>
        </is>
      </c>
      <c r="K2708" t="inlineStr">
        <is>
          <t>Singer, Dorothy G.</t>
        </is>
      </c>
      <c r="L2708" t="inlineStr">
        <is>
          <t>New York : Dial Press, c1981.</t>
        </is>
      </c>
      <c r="M2708" t="inlineStr">
        <is>
          <t>1981</t>
        </is>
      </c>
      <c r="O2708" t="inlineStr">
        <is>
          <t>eng</t>
        </is>
      </c>
      <c r="P2708" t="inlineStr">
        <is>
          <t>nyu</t>
        </is>
      </c>
      <c r="R2708" t="inlineStr">
        <is>
          <t xml:space="preserve">HQ </t>
        </is>
      </c>
      <c r="S2708" t="n">
        <v>19</v>
      </c>
      <c r="T2708" t="n">
        <v>19</v>
      </c>
      <c r="U2708" t="inlineStr">
        <is>
          <t>2008-06-20</t>
        </is>
      </c>
      <c r="V2708" t="inlineStr">
        <is>
          <t>2008-06-20</t>
        </is>
      </c>
      <c r="W2708" t="inlineStr">
        <is>
          <t>1991-12-09</t>
        </is>
      </c>
      <c r="X2708" t="inlineStr">
        <is>
          <t>1991-12-09</t>
        </is>
      </c>
      <c r="Y2708" t="n">
        <v>455</v>
      </c>
      <c r="Z2708" t="n">
        <v>413</v>
      </c>
      <c r="AA2708" t="n">
        <v>418</v>
      </c>
      <c r="AB2708" t="n">
        <v>5</v>
      </c>
      <c r="AC2708" t="n">
        <v>5</v>
      </c>
      <c r="AD2708" t="n">
        <v>12</v>
      </c>
      <c r="AE2708" t="n">
        <v>12</v>
      </c>
      <c r="AF2708" t="n">
        <v>4</v>
      </c>
      <c r="AG2708" t="n">
        <v>4</v>
      </c>
      <c r="AH2708" t="n">
        <v>1</v>
      </c>
      <c r="AI2708" t="n">
        <v>1</v>
      </c>
      <c r="AJ2708" t="n">
        <v>8</v>
      </c>
      <c r="AK2708" t="n">
        <v>8</v>
      </c>
      <c r="AL2708" t="n">
        <v>3</v>
      </c>
      <c r="AM2708" t="n">
        <v>3</v>
      </c>
      <c r="AN2708" t="n">
        <v>0</v>
      </c>
      <c r="AO2708" t="n">
        <v>0</v>
      </c>
      <c r="AP2708" t="inlineStr">
        <is>
          <t>No</t>
        </is>
      </c>
      <c r="AQ2708" t="inlineStr">
        <is>
          <t>No</t>
        </is>
      </c>
      <c r="AS2708">
        <f>HYPERLINK("https://creighton-primo.hosted.exlibrisgroup.com/primo-explore/search?tab=default_tab&amp;search_scope=EVERYTHING&amp;vid=01CRU&amp;lang=en_US&amp;offset=0&amp;query=any,contains,991005019759702656","Catalog Record")</f>
        <v/>
      </c>
      <c r="AT2708">
        <f>HYPERLINK("http://www.worldcat.org/oclc/6648534","WorldCat Record")</f>
        <v/>
      </c>
      <c r="AU2708" t="inlineStr">
        <is>
          <t>427169298:eng</t>
        </is>
      </c>
      <c r="AV2708" t="inlineStr">
        <is>
          <t>6648534</t>
        </is>
      </c>
      <c r="AW2708" t="inlineStr">
        <is>
          <t>991005019759702656</t>
        </is>
      </c>
      <c r="AX2708" t="inlineStr">
        <is>
          <t>991005019759702656</t>
        </is>
      </c>
      <c r="AY2708" t="inlineStr">
        <is>
          <t>2268297090002656</t>
        </is>
      </c>
      <c r="AZ2708" t="inlineStr">
        <is>
          <t>BOOK</t>
        </is>
      </c>
      <c r="BB2708" t="inlineStr">
        <is>
          <t>9780803785151</t>
        </is>
      </c>
      <c r="BC2708" t="inlineStr">
        <is>
          <t>32285000838788</t>
        </is>
      </c>
      <c r="BD2708" t="inlineStr">
        <is>
          <t>893526776</t>
        </is>
      </c>
    </row>
    <row r="2709">
      <c r="A2709" t="inlineStr">
        <is>
          <t>No</t>
        </is>
      </c>
      <c r="B2709" t="inlineStr">
        <is>
          <t>HQ784.T4 S56</t>
        </is>
      </c>
      <c r="C2709" t="inlineStr">
        <is>
          <t>0                      HQ 0784000T  4                  S  56</t>
        </is>
      </c>
      <c r="D2709" t="inlineStr">
        <is>
          <t>Television, imagination, and aggression : a study of preschoolers / Jerome L. Singer, Dorothy G. Singer.</t>
        </is>
      </c>
      <c r="F2709" t="inlineStr">
        <is>
          <t>No</t>
        </is>
      </c>
      <c r="G2709" t="inlineStr">
        <is>
          <t>1</t>
        </is>
      </c>
      <c r="H2709" t="inlineStr">
        <is>
          <t>No</t>
        </is>
      </c>
      <c r="I2709" t="inlineStr">
        <is>
          <t>No</t>
        </is>
      </c>
      <c r="J2709" t="inlineStr">
        <is>
          <t>0</t>
        </is>
      </c>
      <c r="K2709" t="inlineStr">
        <is>
          <t>Singer, Jerome L.</t>
        </is>
      </c>
      <c r="L2709" t="inlineStr">
        <is>
          <t>Hillsdale, N.J. : L. Erlbaum Associates, 1981.</t>
        </is>
      </c>
      <c r="M2709" t="inlineStr">
        <is>
          <t>1981</t>
        </is>
      </c>
      <c r="O2709" t="inlineStr">
        <is>
          <t>eng</t>
        </is>
      </c>
      <c r="P2709" t="inlineStr">
        <is>
          <t>nju</t>
        </is>
      </c>
      <c r="R2709" t="inlineStr">
        <is>
          <t xml:space="preserve">HQ </t>
        </is>
      </c>
      <c r="S2709" t="n">
        <v>52</v>
      </c>
      <c r="T2709" t="n">
        <v>52</v>
      </c>
      <c r="U2709" t="inlineStr">
        <is>
          <t>2009-11-16</t>
        </is>
      </c>
      <c r="V2709" t="inlineStr">
        <is>
          <t>2009-11-16</t>
        </is>
      </c>
      <c r="W2709" t="inlineStr">
        <is>
          <t>1991-11-21</t>
        </is>
      </c>
      <c r="X2709" t="inlineStr">
        <is>
          <t>1991-11-21</t>
        </is>
      </c>
      <c r="Y2709" t="n">
        <v>979</v>
      </c>
      <c r="Z2709" t="n">
        <v>849</v>
      </c>
      <c r="AA2709" t="n">
        <v>878</v>
      </c>
      <c r="AB2709" t="n">
        <v>6</v>
      </c>
      <c r="AC2709" t="n">
        <v>6</v>
      </c>
      <c r="AD2709" t="n">
        <v>37</v>
      </c>
      <c r="AE2709" t="n">
        <v>37</v>
      </c>
      <c r="AF2709" t="n">
        <v>18</v>
      </c>
      <c r="AG2709" t="n">
        <v>18</v>
      </c>
      <c r="AH2709" t="n">
        <v>7</v>
      </c>
      <c r="AI2709" t="n">
        <v>7</v>
      </c>
      <c r="AJ2709" t="n">
        <v>15</v>
      </c>
      <c r="AK2709" t="n">
        <v>15</v>
      </c>
      <c r="AL2709" t="n">
        <v>4</v>
      </c>
      <c r="AM2709" t="n">
        <v>4</v>
      </c>
      <c r="AN2709" t="n">
        <v>0</v>
      </c>
      <c r="AO2709" t="n">
        <v>0</v>
      </c>
      <c r="AP2709" t="inlineStr">
        <is>
          <t>No</t>
        </is>
      </c>
      <c r="AQ2709" t="inlineStr">
        <is>
          <t>No</t>
        </is>
      </c>
      <c r="AS2709">
        <f>HYPERLINK("https://creighton-primo.hosted.exlibrisgroup.com/primo-explore/search?tab=default_tab&amp;search_scope=EVERYTHING&amp;vid=01CRU&amp;lang=en_US&amp;offset=0&amp;query=any,contains,991004992439702656","Catalog Record")</f>
        <v/>
      </c>
      <c r="AT2709">
        <f>HYPERLINK("http://www.worldcat.org/oclc/6487718","WorldCat Record")</f>
        <v/>
      </c>
      <c r="AU2709" t="inlineStr">
        <is>
          <t>806516956:eng</t>
        </is>
      </c>
      <c r="AV2709" t="inlineStr">
        <is>
          <t>6487718</t>
        </is>
      </c>
      <c r="AW2709" t="inlineStr">
        <is>
          <t>991004992439702656</t>
        </is>
      </c>
      <c r="AX2709" t="inlineStr">
        <is>
          <t>991004992439702656</t>
        </is>
      </c>
      <c r="AY2709" t="inlineStr">
        <is>
          <t>2256286740002656</t>
        </is>
      </c>
      <c r="AZ2709" t="inlineStr">
        <is>
          <t>BOOK</t>
        </is>
      </c>
      <c r="BB2709" t="inlineStr">
        <is>
          <t>9780898590609</t>
        </is>
      </c>
      <c r="BC2709" t="inlineStr">
        <is>
          <t>32285000843705</t>
        </is>
      </c>
      <c r="BD2709" t="inlineStr">
        <is>
          <t>893883188</t>
        </is>
      </c>
    </row>
    <row r="2710">
      <c r="A2710" t="inlineStr">
        <is>
          <t>No</t>
        </is>
      </c>
      <c r="B2710" t="inlineStr">
        <is>
          <t>HQ784.T4 T446 1986</t>
        </is>
      </c>
      <c r="C2710" t="inlineStr">
        <is>
          <t>0                      HQ 0784000T  4                  T  446         1986</t>
        </is>
      </c>
      <c r="D2710" t="inlineStr">
        <is>
          <t>Television and the aggressive child : a cross-national comparison / edited by L. Rowell Huesmann, Leonard D. Eron.</t>
        </is>
      </c>
      <c r="F2710" t="inlineStr">
        <is>
          <t>No</t>
        </is>
      </c>
      <c r="G2710" t="inlineStr">
        <is>
          <t>1</t>
        </is>
      </c>
      <c r="H2710" t="inlineStr">
        <is>
          <t>No</t>
        </is>
      </c>
      <c r="I2710" t="inlineStr">
        <is>
          <t>No</t>
        </is>
      </c>
      <c r="J2710" t="inlineStr">
        <is>
          <t>0</t>
        </is>
      </c>
      <c r="L2710" t="inlineStr">
        <is>
          <t>Hillsdale, N.J. : L. Erlbaum Associates, 1986.</t>
        </is>
      </c>
      <c r="M2710" t="inlineStr">
        <is>
          <t>1986</t>
        </is>
      </c>
      <c r="O2710" t="inlineStr">
        <is>
          <t>eng</t>
        </is>
      </c>
      <c r="P2710" t="inlineStr">
        <is>
          <t>nju</t>
        </is>
      </c>
      <c r="R2710" t="inlineStr">
        <is>
          <t xml:space="preserve">HQ </t>
        </is>
      </c>
      <c r="S2710" t="n">
        <v>55</v>
      </c>
      <c r="T2710" t="n">
        <v>55</v>
      </c>
      <c r="U2710" t="inlineStr">
        <is>
          <t>2004-02-13</t>
        </is>
      </c>
      <c r="V2710" t="inlineStr">
        <is>
          <t>2004-02-13</t>
        </is>
      </c>
      <c r="W2710" t="inlineStr">
        <is>
          <t>1991-12-09</t>
        </is>
      </c>
      <c r="X2710" t="inlineStr">
        <is>
          <t>1991-12-09</t>
        </is>
      </c>
      <c r="Y2710" t="n">
        <v>806</v>
      </c>
      <c r="Z2710" t="n">
        <v>688</v>
      </c>
      <c r="AA2710" t="n">
        <v>956</v>
      </c>
      <c r="AB2710" t="n">
        <v>8</v>
      </c>
      <c r="AC2710" t="n">
        <v>10</v>
      </c>
      <c r="AD2710" t="n">
        <v>31</v>
      </c>
      <c r="AE2710" t="n">
        <v>44</v>
      </c>
      <c r="AF2710" t="n">
        <v>13</v>
      </c>
      <c r="AG2710" t="n">
        <v>17</v>
      </c>
      <c r="AH2710" t="n">
        <v>4</v>
      </c>
      <c r="AI2710" t="n">
        <v>8</v>
      </c>
      <c r="AJ2710" t="n">
        <v>14</v>
      </c>
      <c r="AK2710" t="n">
        <v>17</v>
      </c>
      <c r="AL2710" t="n">
        <v>7</v>
      </c>
      <c r="AM2710" t="n">
        <v>9</v>
      </c>
      <c r="AN2710" t="n">
        <v>0</v>
      </c>
      <c r="AO2710" t="n">
        <v>1</v>
      </c>
      <c r="AP2710" t="inlineStr">
        <is>
          <t>No</t>
        </is>
      </c>
      <c r="AQ2710" t="inlineStr">
        <is>
          <t>No</t>
        </is>
      </c>
      <c r="AS2710">
        <f>HYPERLINK("https://creighton-primo.hosted.exlibrisgroup.com/primo-explore/search?tab=default_tab&amp;search_scope=EVERYTHING&amp;vid=01CRU&amp;lang=en_US&amp;offset=0&amp;query=any,contains,991000718979702656","Catalog Record")</f>
        <v/>
      </c>
      <c r="AT2710">
        <f>HYPERLINK("http://www.worldcat.org/oclc/12664016","WorldCat Record")</f>
        <v/>
      </c>
      <c r="AU2710" t="inlineStr">
        <is>
          <t>889379704:eng</t>
        </is>
      </c>
      <c r="AV2710" t="inlineStr">
        <is>
          <t>12664016</t>
        </is>
      </c>
      <c r="AW2710" t="inlineStr">
        <is>
          <t>991000718979702656</t>
        </is>
      </c>
      <c r="AX2710" t="inlineStr">
        <is>
          <t>991000718979702656</t>
        </is>
      </c>
      <c r="AY2710" t="inlineStr">
        <is>
          <t>2265003630002656</t>
        </is>
      </c>
      <c r="AZ2710" t="inlineStr">
        <is>
          <t>BOOK</t>
        </is>
      </c>
      <c r="BB2710" t="inlineStr">
        <is>
          <t>9780898597547</t>
        </is>
      </c>
      <c r="BC2710" t="inlineStr">
        <is>
          <t>32285000839596</t>
        </is>
      </c>
      <c r="BD2710" t="inlineStr">
        <is>
          <t>893702371</t>
        </is>
      </c>
    </row>
    <row r="2711">
      <c r="A2711" t="inlineStr">
        <is>
          <t>No</t>
        </is>
      </c>
      <c r="B2711" t="inlineStr">
        <is>
          <t>HQ784.T4 T4463 1990</t>
        </is>
      </c>
      <c r="C2711" t="inlineStr">
        <is>
          <t>0                      HQ 0784000T  4                  T  4463        1990</t>
        </is>
      </c>
      <c r="D2711" t="inlineStr">
        <is>
          <t>Television and the American family / edited by Jennings Bryant.</t>
        </is>
      </c>
      <c r="F2711" t="inlineStr">
        <is>
          <t>No</t>
        </is>
      </c>
      <c r="G2711" t="inlineStr">
        <is>
          <t>1</t>
        </is>
      </c>
      <c r="H2711" t="inlineStr">
        <is>
          <t>No</t>
        </is>
      </c>
      <c r="I2711" t="inlineStr">
        <is>
          <t>No</t>
        </is>
      </c>
      <c r="J2711" t="inlineStr">
        <is>
          <t>0</t>
        </is>
      </c>
      <c r="L2711" t="inlineStr">
        <is>
          <t>Hillsdale, N.J. : L. Erlbaum Associates, 1990.</t>
        </is>
      </c>
      <c r="M2711" t="inlineStr">
        <is>
          <t>1990</t>
        </is>
      </c>
      <c r="O2711" t="inlineStr">
        <is>
          <t>eng</t>
        </is>
      </c>
      <c r="P2711" t="inlineStr">
        <is>
          <t>nju</t>
        </is>
      </c>
      <c r="Q2711" t="inlineStr">
        <is>
          <t>Communication</t>
        </is>
      </c>
      <c r="R2711" t="inlineStr">
        <is>
          <t xml:space="preserve">HQ </t>
        </is>
      </c>
      <c r="S2711" t="n">
        <v>33</v>
      </c>
      <c r="T2711" t="n">
        <v>33</v>
      </c>
      <c r="U2711" t="inlineStr">
        <is>
          <t>2008-06-20</t>
        </is>
      </c>
      <c r="V2711" t="inlineStr">
        <is>
          <t>2008-06-20</t>
        </is>
      </c>
      <c r="W2711" t="inlineStr">
        <is>
          <t>1990-11-19</t>
        </is>
      </c>
      <c r="X2711" t="inlineStr">
        <is>
          <t>1990-11-19</t>
        </is>
      </c>
      <c r="Y2711" t="n">
        <v>632</v>
      </c>
      <c r="Z2711" t="n">
        <v>558</v>
      </c>
      <c r="AA2711" t="n">
        <v>1332</v>
      </c>
      <c r="AB2711" t="n">
        <v>4</v>
      </c>
      <c r="AC2711" t="n">
        <v>6</v>
      </c>
      <c r="AD2711" t="n">
        <v>28</v>
      </c>
      <c r="AE2711" t="n">
        <v>44</v>
      </c>
      <c r="AF2711" t="n">
        <v>14</v>
      </c>
      <c r="AG2711" t="n">
        <v>21</v>
      </c>
      <c r="AH2711" t="n">
        <v>7</v>
      </c>
      <c r="AI2711" t="n">
        <v>9</v>
      </c>
      <c r="AJ2711" t="n">
        <v>13</v>
      </c>
      <c r="AK2711" t="n">
        <v>20</v>
      </c>
      <c r="AL2711" t="n">
        <v>3</v>
      </c>
      <c r="AM2711" t="n">
        <v>5</v>
      </c>
      <c r="AN2711" t="n">
        <v>0</v>
      </c>
      <c r="AO2711" t="n">
        <v>0</v>
      </c>
      <c r="AP2711" t="inlineStr">
        <is>
          <t>No</t>
        </is>
      </c>
      <c r="AQ2711" t="inlineStr">
        <is>
          <t>Yes</t>
        </is>
      </c>
      <c r="AR2711">
        <f>HYPERLINK("http://catalog.hathitrust.org/Record/002235030","HathiTrust Record")</f>
        <v/>
      </c>
      <c r="AS2711">
        <f>HYPERLINK("https://creighton-primo.hosted.exlibrisgroup.com/primo-explore/search?tab=default_tab&amp;search_scope=EVERYTHING&amp;vid=01CRU&amp;lang=en_US&amp;offset=0&amp;query=any,contains,991001618219702656","Catalog Record")</f>
        <v/>
      </c>
      <c r="AT2711">
        <f>HYPERLINK("http://www.worldcat.org/oclc/20799933","WorldCat Record")</f>
        <v/>
      </c>
      <c r="AU2711" t="inlineStr">
        <is>
          <t>766792255:eng</t>
        </is>
      </c>
      <c r="AV2711" t="inlineStr">
        <is>
          <t>20799933</t>
        </is>
      </c>
      <c r="AW2711" t="inlineStr">
        <is>
          <t>991001618219702656</t>
        </is>
      </c>
      <c r="AX2711" t="inlineStr">
        <is>
          <t>991001618219702656</t>
        </is>
      </c>
      <c r="AY2711" t="inlineStr">
        <is>
          <t>2263675720002656</t>
        </is>
      </c>
      <c r="AZ2711" t="inlineStr">
        <is>
          <t>BOOK</t>
        </is>
      </c>
      <c r="BB2711" t="inlineStr">
        <is>
          <t>9780805801163</t>
        </is>
      </c>
      <c r="BC2711" t="inlineStr">
        <is>
          <t>32285000355791</t>
        </is>
      </c>
      <c r="BD2711" t="inlineStr">
        <is>
          <t>893408236</t>
        </is>
      </c>
    </row>
    <row r="2712">
      <c r="A2712" t="inlineStr">
        <is>
          <t>No</t>
        </is>
      </c>
      <c r="B2712" t="inlineStr">
        <is>
          <t>HQ784.T4 T447 1982</t>
        </is>
      </c>
      <c r="C2712" t="inlineStr">
        <is>
          <t>0                      HQ 0784000T  4                  T  447         1982</t>
        </is>
      </c>
      <c r="D2712" t="inlineStr">
        <is>
          <t>Television and the socialization of the minority child / edited by Gordon L. Berry, Claudia Mitchell-Kernan.</t>
        </is>
      </c>
      <c r="F2712" t="inlineStr">
        <is>
          <t>No</t>
        </is>
      </c>
      <c r="G2712" t="inlineStr">
        <is>
          <t>1</t>
        </is>
      </c>
      <c r="H2712" t="inlineStr">
        <is>
          <t>No</t>
        </is>
      </c>
      <c r="I2712" t="inlineStr">
        <is>
          <t>No</t>
        </is>
      </c>
      <c r="J2712" t="inlineStr">
        <is>
          <t>0</t>
        </is>
      </c>
      <c r="L2712" t="inlineStr">
        <is>
          <t>New York : Academic Press, 1982.</t>
        </is>
      </c>
      <c r="M2712" t="inlineStr">
        <is>
          <t>1982</t>
        </is>
      </c>
      <c r="O2712" t="inlineStr">
        <is>
          <t>eng</t>
        </is>
      </c>
      <c r="P2712" t="inlineStr">
        <is>
          <t>nyu</t>
        </is>
      </c>
      <c r="R2712" t="inlineStr">
        <is>
          <t xml:space="preserve">HQ </t>
        </is>
      </c>
      <c r="S2712" t="n">
        <v>16</v>
      </c>
      <c r="T2712" t="n">
        <v>16</v>
      </c>
      <c r="U2712" t="inlineStr">
        <is>
          <t>1999-04-13</t>
        </is>
      </c>
      <c r="V2712" t="inlineStr">
        <is>
          <t>1999-04-13</t>
        </is>
      </c>
      <c r="W2712" t="inlineStr">
        <is>
          <t>1990-03-22</t>
        </is>
      </c>
      <c r="X2712" t="inlineStr">
        <is>
          <t>1990-03-22</t>
        </is>
      </c>
      <c r="Y2712" t="n">
        <v>674</v>
      </c>
      <c r="Z2712" t="n">
        <v>545</v>
      </c>
      <c r="AA2712" t="n">
        <v>554</v>
      </c>
      <c r="AB2712" t="n">
        <v>5</v>
      </c>
      <c r="AC2712" t="n">
        <v>5</v>
      </c>
      <c r="AD2712" t="n">
        <v>30</v>
      </c>
      <c r="AE2712" t="n">
        <v>30</v>
      </c>
      <c r="AF2712" t="n">
        <v>12</v>
      </c>
      <c r="AG2712" t="n">
        <v>12</v>
      </c>
      <c r="AH2712" t="n">
        <v>6</v>
      </c>
      <c r="AI2712" t="n">
        <v>6</v>
      </c>
      <c r="AJ2712" t="n">
        <v>17</v>
      </c>
      <c r="AK2712" t="n">
        <v>17</v>
      </c>
      <c r="AL2712" t="n">
        <v>4</v>
      </c>
      <c r="AM2712" t="n">
        <v>4</v>
      </c>
      <c r="AN2712" t="n">
        <v>0</v>
      </c>
      <c r="AO2712" t="n">
        <v>0</v>
      </c>
      <c r="AP2712" t="inlineStr">
        <is>
          <t>No</t>
        </is>
      </c>
      <c r="AQ2712" t="inlineStr">
        <is>
          <t>Yes</t>
        </is>
      </c>
      <c r="AR2712">
        <f>HYPERLINK("http://catalog.hathitrust.org/Record/000762386","HathiTrust Record")</f>
        <v/>
      </c>
      <c r="AS2712">
        <f>HYPERLINK("https://creighton-primo.hosted.exlibrisgroup.com/primo-explore/search?tab=default_tab&amp;search_scope=EVERYTHING&amp;vid=01CRU&amp;lang=en_US&amp;offset=0&amp;query=any,contains,991005204839702656","Catalog Record")</f>
        <v/>
      </c>
      <c r="AT2712">
        <f>HYPERLINK("http://www.worldcat.org/oclc/8112618","WorldCat Record")</f>
        <v/>
      </c>
      <c r="AU2712" t="inlineStr">
        <is>
          <t>55706601:eng</t>
        </is>
      </c>
      <c r="AV2712" t="inlineStr">
        <is>
          <t>8112618</t>
        </is>
      </c>
      <c r="AW2712" t="inlineStr">
        <is>
          <t>991005204839702656</t>
        </is>
      </c>
      <c r="AX2712" t="inlineStr">
        <is>
          <t>991005204839702656</t>
        </is>
      </c>
      <c r="AY2712" t="inlineStr">
        <is>
          <t>2256442810002656</t>
        </is>
      </c>
      <c r="AZ2712" t="inlineStr">
        <is>
          <t>BOOK</t>
        </is>
      </c>
      <c r="BB2712" t="inlineStr">
        <is>
          <t>9780120932207</t>
        </is>
      </c>
      <c r="BC2712" t="inlineStr">
        <is>
          <t>32285000095090</t>
        </is>
      </c>
      <c r="BD2712" t="inlineStr">
        <is>
          <t>893889851</t>
        </is>
      </c>
    </row>
    <row r="2713">
      <c r="A2713" t="inlineStr">
        <is>
          <t>No</t>
        </is>
      </c>
      <c r="B2713" t="inlineStr">
        <is>
          <t>HQ784.T4 T45 1983</t>
        </is>
      </c>
      <c r="C2713" t="inlineStr">
        <is>
          <t>0                      HQ 0784000T  4                  T  45          1983</t>
        </is>
      </c>
      <c r="D2713" t="inlineStr">
        <is>
          <t>Television and the family / edited by Godfrey J. Ellis.</t>
        </is>
      </c>
      <c r="F2713" t="inlineStr">
        <is>
          <t>No</t>
        </is>
      </c>
      <c r="G2713" t="inlineStr">
        <is>
          <t>1</t>
        </is>
      </c>
      <c r="H2713" t="inlineStr">
        <is>
          <t>No</t>
        </is>
      </c>
      <c r="I2713" t="inlineStr">
        <is>
          <t>No</t>
        </is>
      </c>
      <c r="J2713" t="inlineStr">
        <is>
          <t>0</t>
        </is>
      </c>
      <c r="L2713" t="inlineStr">
        <is>
          <t>Beverly Hills, Calif. : Sage Publications, 1983.</t>
        </is>
      </c>
      <c r="M2713" t="inlineStr">
        <is>
          <t>1983</t>
        </is>
      </c>
      <c r="O2713" t="inlineStr">
        <is>
          <t>eng</t>
        </is>
      </c>
      <c r="P2713" t="inlineStr">
        <is>
          <t>cau</t>
        </is>
      </c>
      <c r="Q2713" t="inlineStr">
        <is>
          <t>Journal of family issues, 0192-513X ; v. 4, no. 2</t>
        </is>
      </c>
      <c r="R2713" t="inlineStr">
        <is>
          <t xml:space="preserve">HQ </t>
        </is>
      </c>
      <c r="S2713" t="n">
        <v>15</v>
      </c>
      <c r="T2713" t="n">
        <v>15</v>
      </c>
      <c r="U2713" t="inlineStr">
        <is>
          <t>2008-04-21</t>
        </is>
      </c>
      <c r="V2713" t="inlineStr">
        <is>
          <t>2008-04-21</t>
        </is>
      </c>
      <c r="W2713" t="inlineStr">
        <is>
          <t>1992-11-12</t>
        </is>
      </c>
      <c r="X2713" t="inlineStr">
        <is>
          <t>1992-11-12</t>
        </is>
      </c>
      <c r="Y2713" t="n">
        <v>16</v>
      </c>
      <c r="Z2713" t="n">
        <v>13</v>
      </c>
      <c r="AA2713" t="n">
        <v>13</v>
      </c>
      <c r="AB2713" t="n">
        <v>1</v>
      </c>
      <c r="AC2713" t="n">
        <v>1</v>
      </c>
      <c r="AD2713" t="n">
        <v>1</v>
      </c>
      <c r="AE2713" t="n">
        <v>1</v>
      </c>
      <c r="AF2713" t="n">
        <v>0</v>
      </c>
      <c r="AG2713" t="n">
        <v>0</v>
      </c>
      <c r="AH2713" t="n">
        <v>0</v>
      </c>
      <c r="AI2713" t="n">
        <v>0</v>
      </c>
      <c r="AJ2713" t="n">
        <v>1</v>
      </c>
      <c r="AK2713" t="n">
        <v>1</v>
      </c>
      <c r="AL2713" t="n">
        <v>0</v>
      </c>
      <c r="AM2713" t="n">
        <v>0</v>
      </c>
      <c r="AN2713" t="n">
        <v>0</v>
      </c>
      <c r="AO2713" t="n">
        <v>0</v>
      </c>
      <c r="AP2713" t="inlineStr">
        <is>
          <t>No</t>
        </is>
      </c>
      <c r="AQ2713" t="inlineStr">
        <is>
          <t>No</t>
        </is>
      </c>
      <c r="AS2713">
        <f>HYPERLINK("https://creighton-primo.hosted.exlibrisgroup.com/primo-explore/search?tab=default_tab&amp;search_scope=EVERYTHING&amp;vid=01CRU&amp;lang=en_US&amp;offset=0&amp;query=any,contains,991000256679702656","Catalog Record")</f>
        <v/>
      </c>
      <c r="AT2713">
        <f>HYPERLINK("http://www.worldcat.org/oclc/9781534","WorldCat Record")</f>
        <v/>
      </c>
      <c r="AU2713" t="inlineStr">
        <is>
          <t>54586405:eng</t>
        </is>
      </c>
      <c r="AV2713" t="inlineStr">
        <is>
          <t>9781534</t>
        </is>
      </c>
      <c r="AW2713" t="inlineStr">
        <is>
          <t>991000256679702656</t>
        </is>
      </c>
      <c r="AX2713" t="inlineStr">
        <is>
          <t>991000256679702656</t>
        </is>
      </c>
      <c r="AY2713" t="inlineStr">
        <is>
          <t>2268259340002656</t>
        </is>
      </c>
      <c r="AZ2713" t="inlineStr">
        <is>
          <t>BOOK</t>
        </is>
      </c>
      <c r="BC2713" t="inlineStr">
        <is>
          <t>32285001396018</t>
        </is>
      </c>
      <c r="BD2713" t="inlineStr">
        <is>
          <t>893689586</t>
        </is>
      </c>
    </row>
    <row r="2714">
      <c r="A2714" t="inlineStr">
        <is>
          <t>No</t>
        </is>
      </c>
      <c r="B2714" t="inlineStr">
        <is>
          <t>HQ784.T4 T83 1988</t>
        </is>
      </c>
      <c r="C2714" t="inlineStr">
        <is>
          <t>0                      HQ 0784000T  4                  T  83          1988</t>
        </is>
      </c>
      <c r="D2714" t="inlineStr">
        <is>
          <t>TV interactive toys, the new high tech threat to children : fight back without a gun--arm your child with knowledge / Pamela Tuchscherer ; foreword by Lendon H. Smith ; illustrated by Christine Baehr Chambers.</t>
        </is>
      </c>
      <c r="F2714" t="inlineStr">
        <is>
          <t>No</t>
        </is>
      </c>
      <c r="G2714" t="inlineStr">
        <is>
          <t>1</t>
        </is>
      </c>
      <c r="H2714" t="inlineStr">
        <is>
          <t>No</t>
        </is>
      </c>
      <c r="I2714" t="inlineStr">
        <is>
          <t>No</t>
        </is>
      </c>
      <c r="J2714" t="inlineStr">
        <is>
          <t>0</t>
        </is>
      </c>
      <c r="K2714" t="inlineStr">
        <is>
          <t>Tuchscherer, Pamela.</t>
        </is>
      </c>
      <c r="L2714" t="inlineStr">
        <is>
          <t>Bend, Or. : Pinnaroo Publishing ; Mt. Rainier, MD : Distributed by Gryphon House, 1988.</t>
        </is>
      </c>
      <c r="M2714" t="inlineStr">
        <is>
          <t>1988</t>
        </is>
      </c>
      <c r="N2714" t="inlineStr">
        <is>
          <t>1st ed.</t>
        </is>
      </c>
      <c r="O2714" t="inlineStr">
        <is>
          <t>eng</t>
        </is>
      </c>
      <c r="P2714" t="inlineStr">
        <is>
          <t>oru</t>
        </is>
      </c>
      <c r="R2714" t="inlineStr">
        <is>
          <t xml:space="preserve">HQ </t>
        </is>
      </c>
      <c r="S2714" t="n">
        <v>24</v>
      </c>
      <c r="T2714" t="n">
        <v>24</v>
      </c>
      <c r="U2714" t="inlineStr">
        <is>
          <t>2004-03-25</t>
        </is>
      </c>
      <c r="V2714" t="inlineStr">
        <is>
          <t>2004-03-25</t>
        </is>
      </c>
      <c r="W2714" t="inlineStr">
        <is>
          <t>1991-12-09</t>
        </is>
      </c>
      <c r="X2714" t="inlineStr">
        <is>
          <t>1991-12-09</t>
        </is>
      </c>
      <c r="Y2714" t="n">
        <v>398</v>
      </c>
      <c r="Z2714" t="n">
        <v>371</v>
      </c>
      <c r="AA2714" t="n">
        <v>375</v>
      </c>
      <c r="AB2714" t="n">
        <v>4</v>
      </c>
      <c r="AC2714" t="n">
        <v>4</v>
      </c>
      <c r="AD2714" t="n">
        <v>6</v>
      </c>
      <c r="AE2714" t="n">
        <v>6</v>
      </c>
      <c r="AF2714" t="n">
        <v>1</v>
      </c>
      <c r="AG2714" t="n">
        <v>1</v>
      </c>
      <c r="AH2714" t="n">
        <v>1</v>
      </c>
      <c r="AI2714" t="n">
        <v>1</v>
      </c>
      <c r="AJ2714" t="n">
        <v>3</v>
      </c>
      <c r="AK2714" t="n">
        <v>3</v>
      </c>
      <c r="AL2714" t="n">
        <v>2</v>
      </c>
      <c r="AM2714" t="n">
        <v>2</v>
      </c>
      <c r="AN2714" t="n">
        <v>0</v>
      </c>
      <c r="AO2714" t="n">
        <v>0</v>
      </c>
      <c r="AP2714" t="inlineStr">
        <is>
          <t>No</t>
        </is>
      </c>
      <c r="AQ2714" t="inlineStr">
        <is>
          <t>No</t>
        </is>
      </c>
      <c r="AS2714">
        <f>HYPERLINK("https://creighton-primo.hosted.exlibrisgroup.com/primo-explore/search?tab=default_tab&amp;search_scope=EVERYTHING&amp;vid=01CRU&amp;lang=en_US&amp;offset=0&amp;query=any,contains,991001195469702656","Catalog Record")</f>
        <v/>
      </c>
      <c r="AT2714">
        <f>HYPERLINK("http://www.worldcat.org/oclc/18520723","WorldCat Record")</f>
        <v/>
      </c>
      <c r="AU2714" t="inlineStr">
        <is>
          <t>431321208:eng</t>
        </is>
      </c>
      <c r="AV2714" t="inlineStr">
        <is>
          <t>18520723</t>
        </is>
      </c>
      <c r="AW2714" t="inlineStr">
        <is>
          <t>991001195469702656</t>
        </is>
      </c>
      <c r="AX2714" t="inlineStr">
        <is>
          <t>991001195469702656</t>
        </is>
      </c>
      <c r="AY2714" t="inlineStr">
        <is>
          <t>2263453750002656</t>
        </is>
      </c>
      <c r="AZ2714" t="inlineStr">
        <is>
          <t>BOOK</t>
        </is>
      </c>
      <c r="BB2714" t="inlineStr">
        <is>
          <t>9780939705023</t>
        </is>
      </c>
      <c r="BC2714" t="inlineStr">
        <is>
          <t>32285000885342</t>
        </is>
      </c>
      <c r="BD2714" t="inlineStr">
        <is>
          <t>893596276</t>
        </is>
      </c>
    </row>
    <row r="2715">
      <c r="A2715" t="inlineStr">
        <is>
          <t>No</t>
        </is>
      </c>
      <c r="B2715" t="inlineStr">
        <is>
          <t>HQ784.T4 V53 1981</t>
        </is>
      </c>
      <c r="C2715" t="inlineStr">
        <is>
          <t>0                      HQ 0784000T  4                  V  53          1981</t>
        </is>
      </c>
      <c r="D2715" t="inlineStr">
        <is>
          <t>Viewing children through television / Hope Kelly, Howard Gardner, editors.</t>
        </is>
      </c>
      <c r="F2715" t="inlineStr">
        <is>
          <t>No</t>
        </is>
      </c>
      <c r="G2715" t="inlineStr">
        <is>
          <t>1</t>
        </is>
      </c>
      <c r="H2715" t="inlineStr">
        <is>
          <t>No</t>
        </is>
      </c>
      <c r="I2715" t="inlineStr">
        <is>
          <t>No</t>
        </is>
      </c>
      <c r="J2715" t="inlineStr">
        <is>
          <t>0</t>
        </is>
      </c>
      <c r="L2715" t="inlineStr">
        <is>
          <t>San Francisco : Jossey-Bass, 1981.</t>
        </is>
      </c>
      <c r="M2715" t="inlineStr">
        <is>
          <t>1981</t>
        </is>
      </c>
      <c r="O2715" t="inlineStr">
        <is>
          <t>eng</t>
        </is>
      </c>
      <c r="P2715" t="inlineStr">
        <is>
          <t>cau</t>
        </is>
      </c>
      <c r="Q2715" t="inlineStr">
        <is>
          <t>Jossey-Bass social and behavioral science series</t>
        </is>
      </c>
      <c r="R2715" t="inlineStr">
        <is>
          <t xml:space="preserve">HQ </t>
        </is>
      </c>
      <c r="S2715" t="n">
        <v>11</v>
      </c>
      <c r="T2715" t="n">
        <v>11</v>
      </c>
      <c r="U2715" t="inlineStr">
        <is>
          <t>2008-06-20</t>
        </is>
      </c>
      <c r="V2715" t="inlineStr">
        <is>
          <t>2008-06-20</t>
        </is>
      </c>
      <c r="W2715" t="inlineStr">
        <is>
          <t>1991-12-06</t>
        </is>
      </c>
      <c r="X2715" t="inlineStr">
        <is>
          <t>1991-12-06</t>
        </is>
      </c>
      <c r="Y2715" t="n">
        <v>308</v>
      </c>
      <c r="Z2715" t="n">
        <v>247</v>
      </c>
      <c r="AA2715" t="n">
        <v>257</v>
      </c>
      <c r="AB2715" t="n">
        <v>2</v>
      </c>
      <c r="AC2715" t="n">
        <v>2</v>
      </c>
      <c r="AD2715" t="n">
        <v>14</v>
      </c>
      <c r="AE2715" t="n">
        <v>14</v>
      </c>
      <c r="AF2715" t="n">
        <v>6</v>
      </c>
      <c r="AG2715" t="n">
        <v>6</v>
      </c>
      <c r="AH2715" t="n">
        <v>3</v>
      </c>
      <c r="AI2715" t="n">
        <v>3</v>
      </c>
      <c r="AJ2715" t="n">
        <v>9</v>
      </c>
      <c r="AK2715" t="n">
        <v>9</v>
      </c>
      <c r="AL2715" t="n">
        <v>1</v>
      </c>
      <c r="AM2715" t="n">
        <v>1</v>
      </c>
      <c r="AN2715" t="n">
        <v>0</v>
      </c>
      <c r="AO2715" t="n">
        <v>0</v>
      </c>
      <c r="AP2715" t="inlineStr">
        <is>
          <t>No</t>
        </is>
      </c>
      <c r="AQ2715" t="inlineStr">
        <is>
          <t>Yes</t>
        </is>
      </c>
      <c r="AR2715">
        <f>HYPERLINK("http://catalog.hathitrust.org/Record/000227431","HathiTrust Record")</f>
        <v/>
      </c>
      <c r="AS2715">
        <f>HYPERLINK("https://creighton-primo.hosted.exlibrisgroup.com/primo-explore/search?tab=default_tab&amp;search_scope=EVERYTHING&amp;vid=01CRU&amp;lang=en_US&amp;offset=0&amp;query=any,contains,991005189589702656","Catalog Record")</f>
        <v/>
      </c>
      <c r="AT2715">
        <f>HYPERLINK("http://www.worldcat.org/oclc/7996901","WorldCat Record")</f>
        <v/>
      </c>
      <c r="AU2715" t="inlineStr">
        <is>
          <t>355911090:eng</t>
        </is>
      </c>
      <c r="AV2715" t="inlineStr">
        <is>
          <t>7996901</t>
        </is>
      </c>
      <c r="AW2715" t="inlineStr">
        <is>
          <t>991005189589702656</t>
        </is>
      </c>
      <c r="AX2715" t="inlineStr">
        <is>
          <t>991005189589702656</t>
        </is>
      </c>
      <c r="AY2715" t="inlineStr">
        <is>
          <t>2258971970002656</t>
        </is>
      </c>
      <c r="AZ2715" t="inlineStr">
        <is>
          <t>BOOK</t>
        </is>
      </c>
      <c r="BC2715" t="inlineStr">
        <is>
          <t>32285000828730</t>
        </is>
      </c>
      <c r="BD2715" t="inlineStr">
        <is>
          <t>893326332</t>
        </is>
      </c>
    </row>
    <row r="2716">
      <c r="A2716" t="inlineStr">
        <is>
          <t>No</t>
        </is>
      </c>
      <c r="B2716" t="inlineStr">
        <is>
          <t>HQ784.T4 V663 1986</t>
        </is>
      </c>
      <c r="C2716" t="inlineStr">
        <is>
          <t>0                      HQ 0784000T  4                  V  663         1986</t>
        </is>
      </c>
      <c r="D2716" t="inlineStr">
        <is>
          <t>Television violence : a child's-eye view / T.H.A. van der Voort.</t>
        </is>
      </c>
      <c r="F2716" t="inlineStr">
        <is>
          <t>No</t>
        </is>
      </c>
      <c r="G2716" t="inlineStr">
        <is>
          <t>1</t>
        </is>
      </c>
      <c r="H2716" t="inlineStr">
        <is>
          <t>No</t>
        </is>
      </c>
      <c r="I2716" t="inlineStr">
        <is>
          <t>No</t>
        </is>
      </c>
      <c r="J2716" t="inlineStr">
        <is>
          <t>0</t>
        </is>
      </c>
      <c r="K2716" t="inlineStr">
        <is>
          <t>Voort, T. H. A. van der.</t>
        </is>
      </c>
      <c r="L2716" t="inlineStr">
        <is>
          <t>Amsterdam ; New York : North-Holland ; New York, N.Y., U.S.A. : Sole distributors for the U.S.A. and Canada, Elsevier Science Pub. Co., 1986.</t>
        </is>
      </c>
      <c r="M2716" t="inlineStr">
        <is>
          <t>1986</t>
        </is>
      </c>
      <c r="O2716" t="inlineStr">
        <is>
          <t>eng</t>
        </is>
      </c>
      <c r="P2716" t="inlineStr">
        <is>
          <t xml:space="preserve">ne </t>
        </is>
      </c>
      <c r="Q2716" t="inlineStr">
        <is>
          <t>Advances in psychology ; 32</t>
        </is>
      </c>
      <c r="R2716" t="inlineStr">
        <is>
          <t xml:space="preserve">HQ </t>
        </is>
      </c>
      <c r="S2716" t="n">
        <v>55</v>
      </c>
      <c r="T2716" t="n">
        <v>55</v>
      </c>
      <c r="U2716" t="inlineStr">
        <is>
          <t>2007-04-01</t>
        </is>
      </c>
      <c r="V2716" t="inlineStr">
        <is>
          <t>2007-04-01</t>
        </is>
      </c>
      <c r="W2716" t="inlineStr">
        <is>
          <t>1991-12-09</t>
        </is>
      </c>
      <c r="X2716" t="inlineStr">
        <is>
          <t>1991-12-09</t>
        </is>
      </c>
      <c r="Y2716" t="n">
        <v>265</v>
      </c>
      <c r="Z2716" t="n">
        <v>183</v>
      </c>
      <c r="AA2716" t="n">
        <v>226</v>
      </c>
      <c r="AB2716" t="n">
        <v>2</v>
      </c>
      <c r="AC2716" t="n">
        <v>3</v>
      </c>
      <c r="AD2716" t="n">
        <v>7</v>
      </c>
      <c r="AE2716" t="n">
        <v>10</v>
      </c>
      <c r="AF2716" t="n">
        <v>0</v>
      </c>
      <c r="AG2716" t="n">
        <v>1</v>
      </c>
      <c r="AH2716" t="n">
        <v>3</v>
      </c>
      <c r="AI2716" t="n">
        <v>4</v>
      </c>
      <c r="AJ2716" t="n">
        <v>5</v>
      </c>
      <c r="AK2716" t="n">
        <v>5</v>
      </c>
      <c r="AL2716" t="n">
        <v>1</v>
      </c>
      <c r="AM2716" t="n">
        <v>2</v>
      </c>
      <c r="AN2716" t="n">
        <v>0</v>
      </c>
      <c r="AO2716" t="n">
        <v>0</v>
      </c>
      <c r="AP2716" t="inlineStr">
        <is>
          <t>No</t>
        </is>
      </c>
      <c r="AQ2716" t="inlineStr">
        <is>
          <t>No</t>
        </is>
      </c>
      <c r="AS2716">
        <f>HYPERLINK("https://creighton-primo.hosted.exlibrisgroup.com/primo-explore/search?tab=default_tab&amp;search_scope=EVERYTHING&amp;vid=01CRU&amp;lang=en_US&amp;offset=0&amp;query=any,contains,991000785909702656","Catalog Record")</f>
        <v/>
      </c>
      <c r="AT2716">
        <f>HYPERLINK("http://www.worldcat.org/oclc/13124634","WorldCat Record")</f>
        <v/>
      </c>
      <c r="AU2716" t="inlineStr">
        <is>
          <t>799952187:eng</t>
        </is>
      </c>
      <c r="AV2716" t="inlineStr">
        <is>
          <t>13124634</t>
        </is>
      </c>
      <c r="AW2716" t="inlineStr">
        <is>
          <t>991000785909702656</t>
        </is>
      </c>
      <c r="AX2716" t="inlineStr">
        <is>
          <t>991000785909702656</t>
        </is>
      </c>
      <c r="AY2716" t="inlineStr">
        <is>
          <t>2257354930002656</t>
        </is>
      </c>
      <c r="AZ2716" t="inlineStr">
        <is>
          <t>BOOK</t>
        </is>
      </c>
      <c r="BB2716" t="inlineStr">
        <is>
          <t>9780444879783</t>
        </is>
      </c>
      <c r="BC2716" t="inlineStr">
        <is>
          <t>32285000839588</t>
        </is>
      </c>
      <c r="BD2716" t="inlineStr">
        <is>
          <t>893778239</t>
        </is>
      </c>
    </row>
    <row r="2717">
      <c r="A2717" t="inlineStr">
        <is>
          <t>No</t>
        </is>
      </c>
      <c r="B2717" t="inlineStr">
        <is>
          <t>HQ784.T4 W488</t>
        </is>
      </c>
      <c r="C2717" t="inlineStr">
        <is>
          <t>0                      HQ 0784000T  4                  W  488</t>
        </is>
      </c>
      <c r="D2717" t="inlineStr">
        <is>
          <t>Children, television, and sex-role stereotyping / Frederick Williams, Robert La Rose, Frederica Frost.</t>
        </is>
      </c>
      <c r="F2717" t="inlineStr">
        <is>
          <t>No</t>
        </is>
      </c>
      <c r="G2717" t="inlineStr">
        <is>
          <t>1</t>
        </is>
      </c>
      <c r="H2717" t="inlineStr">
        <is>
          <t>No</t>
        </is>
      </c>
      <c r="I2717" t="inlineStr">
        <is>
          <t>No</t>
        </is>
      </c>
      <c r="J2717" t="inlineStr">
        <is>
          <t>0</t>
        </is>
      </c>
      <c r="K2717" t="inlineStr">
        <is>
          <t>Williams, Frederick, 1933-</t>
        </is>
      </c>
      <c r="L2717" t="inlineStr">
        <is>
          <t>New York, N.Y. : Praeger, 1981.</t>
        </is>
      </c>
      <c r="M2717" t="inlineStr">
        <is>
          <t>1981</t>
        </is>
      </c>
      <c r="O2717" t="inlineStr">
        <is>
          <t>eng</t>
        </is>
      </c>
      <c r="P2717" t="inlineStr">
        <is>
          <t>nyu</t>
        </is>
      </c>
      <c r="R2717" t="inlineStr">
        <is>
          <t xml:space="preserve">HQ </t>
        </is>
      </c>
      <c r="S2717" t="n">
        <v>25</v>
      </c>
      <c r="T2717" t="n">
        <v>25</v>
      </c>
      <c r="U2717" t="inlineStr">
        <is>
          <t>2000-03-19</t>
        </is>
      </c>
      <c r="V2717" t="inlineStr">
        <is>
          <t>2000-03-19</t>
        </is>
      </c>
      <c r="W2717" t="inlineStr">
        <is>
          <t>1992-03-17</t>
        </is>
      </c>
      <c r="X2717" t="inlineStr">
        <is>
          <t>1992-03-17</t>
        </is>
      </c>
      <c r="Y2717" t="n">
        <v>651</v>
      </c>
      <c r="Z2717" t="n">
        <v>553</v>
      </c>
      <c r="AA2717" t="n">
        <v>560</v>
      </c>
      <c r="AB2717" t="n">
        <v>7</v>
      </c>
      <c r="AC2717" t="n">
        <v>7</v>
      </c>
      <c r="AD2717" t="n">
        <v>25</v>
      </c>
      <c r="AE2717" t="n">
        <v>25</v>
      </c>
      <c r="AF2717" t="n">
        <v>11</v>
      </c>
      <c r="AG2717" t="n">
        <v>11</v>
      </c>
      <c r="AH2717" t="n">
        <v>3</v>
      </c>
      <c r="AI2717" t="n">
        <v>3</v>
      </c>
      <c r="AJ2717" t="n">
        <v>13</v>
      </c>
      <c r="AK2717" t="n">
        <v>13</v>
      </c>
      <c r="AL2717" t="n">
        <v>5</v>
      </c>
      <c r="AM2717" t="n">
        <v>5</v>
      </c>
      <c r="AN2717" t="n">
        <v>0</v>
      </c>
      <c r="AO2717" t="n">
        <v>0</v>
      </c>
      <c r="AP2717" t="inlineStr">
        <is>
          <t>No</t>
        </is>
      </c>
      <c r="AQ2717" t="inlineStr">
        <is>
          <t>Yes</t>
        </is>
      </c>
      <c r="AR2717">
        <f>HYPERLINK("http://catalog.hathitrust.org/Record/000169774","HathiTrust Record")</f>
        <v/>
      </c>
      <c r="AS2717">
        <f>HYPERLINK("https://creighton-primo.hosted.exlibrisgroup.com/primo-explore/search?tab=default_tab&amp;search_scope=EVERYTHING&amp;vid=01CRU&amp;lang=en_US&amp;offset=0&amp;query=any,contains,991005080809702656","Catalog Record")</f>
        <v/>
      </c>
      <c r="AT2717">
        <f>HYPERLINK("http://www.worldcat.org/oclc/7171750","WorldCat Record")</f>
        <v/>
      </c>
      <c r="AU2717" t="inlineStr">
        <is>
          <t>432059:eng</t>
        </is>
      </c>
      <c r="AV2717" t="inlineStr">
        <is>
          <t>7171750</t>
        </is>
      </c>
      <c r="AW2717" t="inlineStr">
        <is>
          <t>991005080809702656</t>
        </is>
      </c>
      <c r="AX2717" t="inlineStr">
        <is>
          <t>991005080809702656</t>
        </is>
      </c>
      <c r="AY2717" t="inlineStr">
        <is>
          <t>2255202750002656</t>
        </is>
      </c>
      <c r="AZ2717" t="inlineStr">
        <is>
          <t>BOOK</t>
        </is>
      </c>
      <c r="BB2717" t="inlineStr">
        <is>
          <t>9780030583032</t>
        </is>
      </c>
      <c r="BC2717" t="inlineStr">
        <is>
          <t>32285000949940</t>
        </is>
      </c>
      <c r="BD2717" t="inlineStr">
        <is>
          <t>893895823</t>
        </is>
      </c>
    </row>
    <row r="2718">
      <c r="A2718" t="inlineStr">
        <is>
          <t>No</t>
        </is>
      </c>
      <c r="B2718" t="inlineStr">
        <is>
          <t>HQ784.T4 W494 1985b</t>
        </is>
      </c>
      <c r="C2718" t="inlineStr">
        <is>
          <t>0                      HQ 0784000T  4                  W  494         1985b</t>
        </is>
      </c>
      <c r="D2718" t="inlineStr">
        <is>
          <t>The plug-in drug / Marie Winn.</t>
        </is>
      </c>
      <c r="F2718" t="inlineStr">
        <is>
          <t>No</t>
        </is>
      </c>
      <c r="G2718" t="inlineStr">
        <is>
          <t>1</t>
        </is>
      </c>
      <c r="H2718" t="inlineStr">
        <is>
          <t>No</t>
        </is>
      </c>
      <c r="I2718" t="inlineStr">
        <is>
          <t>No</t>
        </is>
      </c>
      <c r="J2718" t="inlineStr">
        <is>
          <t>0</t>
        </is>
      </c>
      <c r="K2718" t="inlineStr">
        <is>
          <t>Winn, Marie.</t>
        </is>
      </c>
      <c r="L2718" t="inlineStr">
        <is>
          <t>New York, N.Y. : Penguin Books, 1985.</t>
        </is>
      </c>
      <c r="M2718" t="inlineStr">
        <is>
          <t>1985</t>
        </is>
      </c>
      <c r="N2718" t="inlineStr">
        <is>
          <t>Rev. ed.</t>
        </is>
      </c>
      <c r="O2718" t="inlineStr">
        <is>
          <t>eng</t>
        </is>
      </c>
      <c r="P2718" t="inlineStr">
        <is>
          <t>nyu</t>
        </is>
      </c>
      <c r="R2718" t="inlineStr">
        <is>
          <t xml:space="preserve">HQ </t>
        </is>
      </c>
      <c r="S2718" t="n">
        <v>37</v>
      </c>
      <c r="T2718" t="n">
        <v>37</v>
      </c>
      <c r="U2718" t="inlineStr">
        <is>
          <t>2004-03-25</t>
        </is>
      </c>
      <c r="V2718" t="inlineStr">
        <is>
          <t>2004-03-25</t>
        </is>
      </c>
      <c r="W2718" t="inlineStr">
        <is>
          <t>1991-12-09</t>
        </is>
      </c>
      <c r="X2718" t="inlineStr">
        <is>
          <t>1991-12-09</t>
        </is>
      </c>
      <c r="Y2718" t="n">
        <v>727</v>
      </c>
      <c r="Z2718" t="n">
        <v>622</v>
      </c>
      <c r="AA2718" t="n">
        <v>1833</v>
      </c>
      <c r="AB2718" t="n">
        <v>3</v>
      </c>
      <c r="AC2718" t="n">
        <v>15</v>
      </c>
      <c r="AD2718" t="n">
        <v>12</v>
      </c>
      <c r="AE2718" t="n">
        <v>36</v>
      </c>
      <c r="AF2718" t="n">
        <v>5</v>
      </c>
      <c r="AG2718" t="n">
        <v>13</v>
      </c>
      <c r="AH2718" t="n">
        <v>1</v>
      </c>
      <c r="AI2718" t="n">
        <v>8</v>
      </c>
      <c r="AJ2718" t="n">
        <v>6</v>
      </c>
      <c r="AK2718" t="n">
        <v>16</v>
      </c>
      <c r="AL2718" t="n">
        <v>1</v>
      </c>
      <c r="AM2718" t="n">
        <v>7</v>
      </c>
      <c r="AN2718" t="n">
        <v>0</v>
      </c>
      <c r="AO2718" t="n">
        <v>0</v>
      </c>
      <c r="AP2718" t="inlineStr">
        <is>
          <t>No</t>
        </is>
      </c>
      <c r="AQ2718" t="inlineStr">
        <is>
          <t>Yes</t>
        </is>
      </c>
      <c r="AR2718">
        <f>HYPERLINK("http://catalog.hathitrust.org/Record/000431086","HathiTrust Record")</f>
        <v/>
      </c>
      <c r="AS2718">
        <f>HYPERLINK("https://creighton-primo.hosted.exlibrisgroup.com/primo-explore/search?tab=default_tab&amp;search_scope=EVERYTHING&amp;vid=01CRU&amp;lang=en_US&amp;offset=0&amp;query=any,contains,991000484019702656","Catalog Record")</f>
        <v/>
      </c>
      <c r="AT2718">
        <f>HYPERLINK("http://www.worldcat.org/oclc/11067832","WorldCat Record")</f>
        <v/>
      </c>
      <c r="AU2718" t="inlineStr">
        <is>
          <t>3830081:eng</t>
        </is>
      </c>
      <c r="AV2718" t="inlineStr">
        <is>
          <t>11067832</t>
        </is>
      </c>
      <c r="AW2718" t="inlineStr">
        <is>
          <t>991000484019702656</t>
        </is>
      </c>
      <c r="AX2718" t="inlineStr">
        <is>
          <t>991000484019702656</t>
        </is>
      </c>
      <c r="AY2718" t="inlineStr">
        <is>
          <t>2261056310002656</t>
        </is>
      </c>
      <c r="AZ2718" t="inlineStr">
        <is>
          <t>BOOK</t>
        </is>
      </c>
      <c r="BB2718" t="inlineStr">
        <is>
          <t>9780140076981</t>
        </is>
      </c>
      <c r="BC2718" t="inlineStr">
        <is>
          <t>32285000872969</t>
        </is>
      </c>
      <c r="BD2718" t="inlineStr">
        <is>
          <t>893784246</t>
        </is>
      </c>
    </row>
    <row r="2719">
      <c r="A2719" t="inlineStr">
        <is>
          <t>No</t>
        </is>
      </c>
      <c r="B2719" t="inlineStr">
        <is>
          <t>HQ784.T4 W65 1975</t>
        </is>
      </c>
      <c r="C2719" t="inlineStr">
        <is>
          <t>0                      HQ 0784000T  4                  W  65          1975</t>
        </is>
      </c>
      <c r="D2719" t="inlineStr">
        <is>
          <t>Channeling children : sex stereotyping in prime-time TV : an analysis / by Women on Words and Images, Phyllis AlRoy ... [et al.] ; written by Betty Miles.</t>
        </is>
      </c>
      <c r="F2719" t="inlineStr">
        <is>
          <t>No</t>
        </is>
      </c>
      <c r="G2719" t="inlineStr">
        <is>
          <t>1</t>
        </is>
      </c>
      <c r="H2719" t="inlineStr">
        <is>
          <t>No</t>
        </is>
      </c>
      <c r="I2719" t="inlineStr">
        <is>
          <t>No</t>
        </is>
      </c>
      <c r="J2719" t="inlineStr">
        <is>
          <t>0</t>
        </is>
      </c>
      <c r="K2719" t="inlineStr">
        <is>
          <t>Women on Words &amp; Images (Society)</t>
        </is>
      </c>
      <c r="L2719" t="inlineStr">
        <is>
          <t>Princeton, N.J. : Women on Words and Images, 1975.</t>
        </is>
      </c>
      <c r="M2719" t="inlineStr">
        <is>
          <t>1975</t>
        </is>
      </c>
      <c r="O2719" t="inlineStr">
        <is>
          <t>eng</t>
        </is>
      </c>
      <c r="P2719" t="inlineStr">
        <is>
          <t>nju</t>
        </is>
      </c>
      <c r="R2719" t="inlineStr">
        <is>
          <t xml:space="preserve">HQ </t>
        </is>
      </c>
      <c r="S2719" t="n">
        <v>7</v>
      </c>
      <c r="T2719" t="n">
        <v>7</v>
      </c>
      <c r="U2719" t="inlineStr">
        <is>
          <t>1997-03-20</t>
        </is>
      </c>
      <c r="V2719" t="inlineStr">
        <is>
          <t>1997-03-20</t>
        </is>
      </c>
      <c r="W2719" t="inlineStr">
        <is>
          <t>1995-02-28</t>
        </is>
      </c>
      <c r="X2719" t="inlineStr">
        <is>
          <t>1995-02-28</t>
        </is>
      </c>
      <c r="Y2719" t="n">
        <v>282</v>
      </c>
      <c r="Z2719" t="n">
        <v>245</v>
      </c>
      <c r="AA2719" t="n">
        <v>246</v>
      </c>
      <c r="AB2719" t="n">
        <v>3</v>
      </c>
      <c r="AC2719" t="n">
        <v>3</v>
      </c>
      <c r="AD2719" t="n">
        <v>8</v>
      </c>
      <c r="AE2719" t="n">
        <v>8</v>
      </c>
      <c r="AF2719" t="n">
        <v>1</v>
      </c>
      <c r="AG2719" t="n">
        <v>1</v>
      </c>
      <c r="AH2719" t="n">
        <v>3</v>
      </c>
      <c r="AI2719" t="n">
        <v>3</v>
      </c>
      <c r="AJ2719" t="n">
        <v>3</v>
      </c>
      <c r="AK2719" t="n">
        <v>3</v>
      </c>
      <c r="AL2719" t="n">
        <v>2</v>
      </c>
      <c r="AM2719" t="n">
        <v>2</v>
      </c>
      <c r="AN2719" t="n">
        <v>0</v>
      </c>
      <c r="AO2719" t="n">
        <v>0</v>
      </c>
      <c r="AP2719" t="inlineStr">
        <is>
          <t>No</t>
        </is>
      </c>
      <c r="AQ2719" t="inlineStr">
        <is>
          <t>No</t>
        </is>
      </c>
      <c r="AS2719">
        <f>HYPERLINK("https://creighton-primo.hosted.exlibrisgroup.com/primo-explore/search?tab=default_tab&amp;search_scope=EVERYTHING&amp;vid=01CRU&amp;lang=en_US&amp;offset=0&amp;query=any,contains,991003746349702656","Catalog Record")</f>
        <v/>
      </c>
      <c r="AT2719">
        <f>HYPERLINK("http://www.worldcat.org/oclc/1418639","WorldCat Record")</f>
        <v/>
      </c>
      <c r="AU2719" t="inlineStr">
        <is>
          <t>1124024091:eng</t>
        </is>
      </c>
      <c r="AV2719" t="inlineStr">
        <is>
          <t>1418639</t>
        </is>
      </c>
      <c r="AW2719" t="inlineStr">
        <is>
          <t>991003746349702656</t>
        </is>
      </c>
      <c r="AX2719" t="inlineStr">
        <is>
          <t>991003746349702656</t>
        </is>
      </c>
      <c r="AY2719" t="inlineStr">
        <is>
          <t>2261237060002656</t>
        </is>
      </c>
      <c r="AZ2719" t="inlineStr">
        <is>
          <t>BOOK</t>
        </is>
      </c>
      <c r="BB2719" t="inlineStr">
        <is>
          <t>9780960072422</t>
        </is>
      </c>
      <c r="BC2719" t="inlineStr">
        <is>
          <t>32285001779734</t>
        </is>
      </c>
      <c r="BD2719" t="inlineStr">
        <is>
          <t>893894071</t>
        </is>
      </c>
    </row>
    <row r="2720">
      <c r="A2720" t="inlineStr">
        <is>
          <t>No</t>
        </is>
      </c>
      <c r="B2720" t="inlineStr">
        <is>
          <t>HQ784.T68 S88 1986</t>
        </is>
      </c>
      <c r="C2720" t="inlineStr">
        <is>
          <t>0                      HQ 0784000T  68                 S  88          1986</t>
        </is>
      </c>
      <c r="D2720" t="inlineStr">
        <is>
          <t>Toys as culture / Brian Sutton-Smith.</t>
        </is>
      </c>
      <c r="F2720" t="inlineStr">
        <is>
          <t>No</t>
        </is>
      </c>
      <c r="G2720" t="inlineStr">
        <is>
          <t>1</t>
        </is>
      </c>
      <c r="H2720" t="inlineStr">
        <is>
          <t>No</t>
        </is>
      </c>
      <c r="I2720" t="inlineStr">
        <is>
          <t>No</t>
        </is>
      </c>
      <c r="J2720" t="inlineStr">
        <is>
          <t>0</t>
        </is>
      </c>
      <c r="K2720" t="inlineStr">
        <is>
          <t>Sutton-Smith, Brian.</t>
        </is>
      </c>
      <c r="L2720" t="inlineStr">
        <is>
          <t>New York, N.Y. : Gardner Press, c1986.</t>
        </is>
      </c>
      <c r="M2720" t="inlineStr">
        <is>
          <t>1986</t>
        </is>
      </c>
      <c r="O2720" t="inlineStr">
        <is>
          <t>eng</t>
        </is>
      </c>
      <c r="P2720" t="inlineStr">
        <is>
          <t>nyu</t>
        </is>
      </c>
      <c r="R2720" t="inlineStr">
        <is>
          <t xml:space="preserve">HQ </t>
        </is>
      </c>
      <c r="S2720" t="n">
        <v>10</v>
      </c>
      <c r="T2720" t="n">
        <v>10</v>
      </c>
      <c r="U2720" t="inlineStr">
        <is>
          <t>2004-10-28</t>
        </is>
      </c>
      <c r="V2720" t="inlineStr">
        <is>
          <t>2004-10-28</t>
        </is>
      </c>
      <c r="W2720" t="inlineStr">
        <is>
          <t>1993-02-11</t>
        </is>
      </c>
      <c r="X2720" t="inlineStr">
        <is>
          <t>1993-02-11</t>
        </is>
      </c>
      <c r="Y2720" t="n">
        <v>360</v>
      </c>
      <c r="Z2720" t="n">
        <v>268</v>
      </c>
      <c r="AA2720" t="n">
        <v>272</v>
      </c>
      <c r="AB2720" t="n">
        <v>2</v>
      </c>
      <c r="AC2720" t="n">
        <v>2</v>
      </c>
      <c r="AD2720" t="n">
        <v>9</v>
      </c>
      <c r="AE2720" t="n">
        <v>9</v>
      </c>
      <c r="AF2720" t="n">
        <v>2</v>
      </c>
      <c r="AG2720" t="n">
        <v>2</v>
      </c>
      <c r="AH2720" t="n">
        <v>1</v>
      </c>
      <c r="AI2720" t="n">
        <v>1</v>
      </c>
      <c r="AJ2720" t="n">
        <v>5</v>
      </c>
      <c r="AK2720" t="n">
        <v>5</v>
      </c>
      <c r="AL2720" t="n">
        <v>1</v>
      </c>
      <c r="AM2720" t="n">
        <v>1</v>
      </c>
      <c r="AN2720" t="n">
        <v>0</v>
      </c>
      <c r="AO2720" t="n">
        <v>0</v>
      </c>
      <c r="AP2720" t="inlineStr">
        <is>
          <t>No</t>
        </is>
      </c>
      <c r="AQ2720" t="inlineStr">
        <is>
          <t>Yes</t>
        </is>
      </c>
      <c r="AR2720">
        <f>HYPERLINK("http://catalog.hathitrust.org/Record/006944183","HathiTrust Record")</f>
        <v/>
      </c>
      <c r="AS2720">
        <f>HYPERLINK("https://creighton-primo.hosted.exlibrisgroup.com/primo-explore/search?tab=default_tab&amp;search_scope=EVERYTHING&amp;vid=01CRU&amp;lang=en_US&amp;offset=0&amp;query=any,contains,991000705249702656","Catalog Record")</f>
        <v/>
      </c>
      <c r="AT2720">
        <f>HYPERLINK("http://www.worldcat.org/oclc/12556695","WorldCat Record")</f>
        <v/>
      </c>
      <c r="AU2720" t="inlineStr">
        <is>
          <t>4923494:eng</t>
        </is>
      </c>
      <c r="AV2720" t="inlineStr">
        <is>
          <t>12556695</t>
        </is>
      </c>
      <c r="AW2720" t="inlineStr">
        <is>
          <t>991000705249702656</t>
        </is>
      </c>
      <c r="AX2720" t="inlineStr">
        <is>
          <t>991000705249702656</t>
        </is>
      </c>
      <c r="AY2720" t="inlineStr">
        <is>
          <t>2254844360002656</t>
        </is>
      </c>
      <c r="AZ2720" t="inlineStr">
        <is>
          <t>BOOK</t>
        </is>
      </c>
      <c r="BB2720" t="inlineStr">
        <is>
          <t>9780898761054</t>
        </is>
      </c>
      <c r="BC2720" t="inlineStr">
        <is>
          <t>32285001500486</t>
        </is>
      </c>
      <c r="BD2720" t="inlineStr">
        <is>
          <t>893502741</t>
        </is>
      </c>
    </row>
    <row r="2721">
      <c r="A2721" t="inlineStr">
        <is>
          <t>No</t>
        </is>
      </c>
      <c r="B2721" t="inlineStr">
        <is>
          <t>HQ784.T9 A23</t>
        </is>
      </c>
      <c r="C2721" t="inlineStr">
        <is>
          <t>0                      HQ 0784000T  9                  A  23</t>
        </is>
      </c>
      <c r="D2721" t="inlineStr">
        <is>
          <t>Twins on twins / byKathryn McLaughlin Abbe and Frances McLaughlin Gill.</t>
        </is>
      </c>
      <c r="F2721" t="inlineStr">
        <is>
          <t>No</t>
        </is>
      </c>
      <c r="G2721" t="inlineStr">
        <is>
          <t>1</t>
        </is>
      </c>
      <c r="H2721" t="inlineStr">
        <is>
          <t>No</t>
        </is>
      </c>
      <c r="I2721" t="inlineStr">
        <is>
          <t>No</t>
        </is>
      </c>
      <c r="J2721" t="inlineStr">
        <is>
          <t>0</t>
        </is>
      </c>
      <c r="K2721" t="inlineStr">
        <is>
          <t>Abbe, Kathryn McLaughlin.</t>
        </is>
      </c>
      <c r="L2721" t="inlineStr">
        <is>
          <t>New York : C. N. Potter : distributed by Crown, c1980.</t>
        </is>
      </c>
      <c r="M2721" t="inlineStr">
        <is>
          <t>1980</t>
        </is>
      </c>
      <c r="O2721" t="inlineStr">
        <is>
          <t>eng</t>
        </is>
      </c>
      <c r="P2721" t="inlineStr">
        <is>
          <t>nyu</t>
        </is>
      </c>
      <c r="R2721" t="inlineStr">
        <is>
          <t xml:space="preserve">HQ </t>
        </is>
      </c>
      <c r="S2721" t="n">
        <v>15</v>
      </c>
      <c r="T2721" t="n">
        <v>15</v>
      </c>
      <c r="U2721" t="inlineStr">
        <is>
          <t>1997-10-13</t>
        </is>
      </c>
      <c r="V2721" t="inlineStr">
        <is>
          <t>1997-10-13</t>
        </is>
      </c>
      <c r="W2721" t="inlineStr">
        <is>
          <t>1992-01-15</t>
        </is>
      </c>
      <c r="X2721" t="inlineStr">
        <is>
          <t>1992-01-15</t>
        </is>
      </c>
      <c r="Y2721" t="n">
        <v>436</v>
      </c>
      <c r="Z2721" t="n">
        <v>406</v>
      </c>
      <c r="AA2721" t="n">
        <v>439</v>
      </c>
      <c r="AB2721" t="n">
        <v>6</v>
      </c>
      <c r="AC2721" t="n">
        <v>6</v>
      </c>
      <c r="AD2721" t="n">
        <v>3</v>
      </c>
      <c r="AE2721" t="n">
        <v>5</v>
      </c>
      <c r="AF2721" t="n">
        <v>0</v>
      </c>
      <c r="AG2721" t="n">
        <v>1</v>
      </c>
      <c r="AH2721" t="n">
        <v>0</v>
      </c>
      <c r="AI2721" t="n">
        <v>1</v>
      </c>
      <c r="AJ2721" t="n">
        <v>2</v>
      </c>
      <c r="AK2721" t="n">
        <v>2</v>
      </c>
      <c r="AL2721" t="n">
        <v>1</v>
      </c>
      <c r="AM2721" t="n">
        <v>1</v>
      </c>
      <c r="AN2721" t="n">
        <v>0</v>
      </c>
      <c r="AO2721" t="n">
        <v>0</v>
      </c>
      <c r="AP2721" t="inlineStr">
        <is>
          <t>No</t>
        </is>
      </c>
      <c r="AQ2721" t="inlineStr">
        <is>
          <t>Yes</t>
        </is>
      </c>
      <c r="AR2721">
        <f>HYPERLINK("http://catalog.hathitrust.org/Record/007116340","HathiTrust Record")</f>
        <v/>
      </c>
      <c r="AS2721">
        <f>HYPERLINK("https://creighton-primo.hosted.exlibrisgroup.com/primo-explore/search?tab=default_tab&amp;search_scope=EVERYTHING&amp;vid=01CRU&amp;lang=en_US&amp;offset=0&amp;query=any,contains,991004965849702656","Catalog Record")</f>
        <v/>
      </c>
      <c r="AT2721">
        <f>HYPERLINK("http://www.worldcat.org/oclc/6331568","WorldCat Record")</f>
        <v/>
      </c>
      <c r="AU2721" t="inlineStr">
        <is>
          <t>499928:eng</t>
        </is>
      </c>
      <c r="AV2721" t="inlineStr">
        <is>
          <t>6331568</t>
        </is>
      </c>
      <c r="AW2721" t="inlineStr">
        <is>
          <t>991004965849702656</t>
        </is>
      </c>
      <c r="AX2721" t="inlineStr">
        <is>
          <t>991004965849702656</t>
        </is>
      </c>
      <c r="AY2721" t="inlineStr">
        <is>
          <t>2272393700002656</t>
        </is>
      </c>
      <c r="AZ2721" t="inlineStr">
        <is>
          <t>BOOK</t>
        </is>
      </c>
      <c r="BB2721" t="inlineStr">
        <is>
          <t>9780517541494</t>
        </is>
      </c>
      <c r="BC2721" t="inlineStr">
        <is>
          <t>32285000897677</t>
        </is>
      </c>
      <c r="BD2721" t="inlineStr">
        <is>
          <t>893254274</t>
        </is>
      </c>
    </row>
    <row r="2722">
      <c r="A2722" t="inlineStr">
        <is>
          <t>No</t>
        </is>
      </c>
      <c r="B2722" t="inlineStr">
        <is>
          <t>HQ784.V55 B37 2000</t>
        </is>
      </c>
      <c r="C2722" t="inlineStr">
        <is>
          <t>0                      HQ 0784000V  55                 B  37          2000</t>
        </is>
      </c>
      <c r="D2722" t="inlineStr">
        <is>
          <t>Culture, conflict, and children : transmission of violence to children / Samir Sanad Basta.</t>
        </is>
      </c>
      <c r="F2722" t="inlineStr">
        <is>
          <t>No</t>
        </is>
      </c>
      <c r="G2722" t="inlineStr">
        <is>
          <t>1</t>
        </is>
      </c>
      <c r="H2722" t="inlineStr">
        <is>
          <t>No</t>
        </is>
      </c>
      <c r="I2722" t="inlineStr">
        <is>
          <t>No</t>
        </is>
      </c>
      <c r="J2722" t="inlineStr">
        <is>
          <t>0</t>
        </is>
      </c>
      <c r="K2722" t="inlineStr">
        <is>
          <t>Basta, Samir Sanad, 1943-</t>
        </is>
      </c>
      <c r="L2722" t="inlineStr">
        <is>
          <t>Lanham : University Press of America, c2000.</t>
        </is>
      </c>
      <c r="M2722" t="inlineStr">
        <is>
          <t>2000</t>
        </is>
      </c>
      <c r="O2722" t="inlineStr">
        <is>
          <t>eng</t>
        </is>
      </c>
      <c r="P2722" t="inlineStr">
        <is>
          <t>mdu</t>
        </is>
      </c>
      <c r="R2722" t="inlineStr">
        <is>
          <t xml:space="preserve">HQ </t>
        </is>
      </c>
      <c r="S2722" t="n">
        <v>4</v>
      </c>
      <c r="T2722" t="n">
        <v>4</v>
      </c>
      <c r="U2722" t="inlineStr">
        <is>
          <t>2010-06-17</t>
        </is>
      </c>
      <c r="V2722" t="inlineStr">
        <is>
          <t>2010-06-17</t>
        </is>
      </c>
      <c r="W2722" t="inlineStr">
        <is>
          <t>2001-01-03</t>
        </is>
      </c>
      <c r="X2722" t="inlineStr">
        <is>
          <t>2001-01-03</t>
        </is>
      </c>
      <c r="Y2722" t="n">
        <v>293</v>
      </c>
      <c r="Z2722" t="n">
        <v>253</v>
      </c>
      <c r="AA2722" t="n">
        <v>260</v>
      </c>
      <c r="AB2722" t="n">
        <v>4</v>
      </c>
      <c r="AC2722" t="n">
        <v>4</v>
      </c>
      <c r="AD2722" t="n">
        <v>15</v>
      </c>
      <c r="AE2722" t="n">
        <v>15</v>
      </c>
      <c r="AF2722" t="n">
        <v>2</v>
      </c>
      <c r="AG2722" t="n">
        <v>2</v>
      </c>
      <c r="AH2722" t="n">
        <v>4</v>
      </c>
      <c r="AI2722" t="n">
        <v>4</v>
      </c>
      <c r="AJ2722" t="n">
        <v>8</v>
      </c>
      <c r="AK2722" t="n">
        <v>8</v>
      </c>
      <c r="AL2722" t="n">
        <v>3</v>
      </c>
      <c r="AM2722" t="n">
        <v>3</v>
      </c>
      <c r="AN2722" t="n">
        <v>0</v>
      </c>
      <c r="AO2722" t="n">
        <v>0</v>
      </c>
      <c r="AP2722" t="inlineStr">
        <is>
          <t>No</t>
        </is>
      </c>
      <c r="AQ2722" t="inlineStr">
        <is>
          <t>Yes</t>
        </is>
      </c>
      <c r="AR2722">
        <f>HYPERLINK("http://catalog.hathitrust.org/Record/004118193","HathiTrust Record")</f>
        <v/>
      </c>
      <c r="AS2722">
        <f>HYPERLINK("https://creighton-primo.hosted.exlibrisgroup.com/primo-explore/search?tab=default_tab&amp;search_scope=EVERYTHING&amp;vid=01CRU&amp;lang=en_US&amp;offset=0&amp;query=any,contains,991003315559702656","Catalog Record")</f>
        <v/>
      </c>
      <c r="AT2722">
        <f>HYPERLINK("http://www.worldcat.org/oclc/43992722","WorldCat Record")</f>
        <v/>
      </c>
      <c r="AU2722" t="inlineStr">
        <is>
          <t>49138:eng</t>
        </is>
      </c>
      <c r="AV2722" t="inlineStr">
        <is>
          <t>43992722</t>
        </is>
      </c>
      <c r="AW2722" t="inlineStr">
        <is>
          <t>991003315559702656</t>
        </is>
      </c>
      <c r="AX2722" t="inlineStr">
        <is>
          <t>991003315559702656</t>
        </is>
      </c>
      <c r="AY2722" t="inlineStr">
        <is>
          <t>2270306990002656</t>
        </is>
      </c>
      <c r="AZ2722" t="inlineStr">
        <is>
          <t>BOOK</t>
        </is>
      </c>
      <c r="BB2722" t="inlineStr">
        <is>
          <t>9780761817413</t>
        </is>
      </c>
      <c r="BC2722" t="inlineStr">
        <is>
          <t>32285004279294</t>
        </is>
      </c>
      <c r="BD2722" t="inlineStr">
        <is>
          <t>893893603</t>
        </is>
      </c>
    </row>
    <row r="2723">
      <c r="A2723" t="inlineStr">
        <is>
          <t>No</t>
        </is>
      </c>
      <c r="B2723" t="inlineStr">
        <is>
          <t>HQ784.V55 C445 1998</t>
        </is>
      </c>
      <c r="C2723" t="inlineStr">
        <is>
          <t>0                      HQ 0784000V  55                 C  445         1998</t>
        </is>
      </c>
      <c r="D2723" t="inlineStr">
        <is>
          <t>Children exposed to marital violence : theory, research, and applied issues / edited by George W. Holden, Robert Geffner, Ernest N. Jouriles.</t>
        </is>
      </c>
      <c r="F2723" t="inlineStr">
        <is>
          <t>No</t>
        </is>
      </c>
      <c r="G2723" t="inlineStr">
        <is>
          <t>1</t>
        </is>
      </c>
      <c r="H2723" t="inlineStr">
        <is>
          <t>Yes</t>
        </is>
      </c>
      <c r="I2723" t="inlineStr">
        <is>
          <t>No</t>
        </is>
      </c>
      <c r="J2723" t="inlineStr">
        <is>
          <t>0</t>
        </is>
      </c>
      <c r="L2723" t="inlineStr">
        <is>
          <t>Washington, DC : American Psychological Association, c1998.</t>
        </is>
      </c>
      <c r="M2723" t="inlineStr">
        <is>
          <t>1998</t>
        </is>
      </c>
      <c r="N2723" t="inlineStr">
        <is>
          <t>1st ed.</t>
        </is>
      </c>
      <c r="O2723" t="inlineStr">
        <is>
          <t>eng</t>
        </is>
      </c>
      <c r="P2723" t="inlineStr">
        <is>
          <t>dcu</t>
        </is>
      </c>
      <c r="Q2723" t="inlineStr">
        <is>
          <t>APA science volumes</t>
        </is>
      </c>
      <c r="R2723" t="inlineStr">
        <is>
          <t xml:space="preserve">HQ </t>
        </is>
      </c>
      <c r="S2723" t="n">
        <v>15</v>
      </c>
      <c r="T2723" t="n">
        <v>20</v>
      </c>
      <c r="U2723" t="inlineStr">
        <is>
          <t>2009-10-27</t>
        </is>
      </c>
      <c r="V2723" t="inlineStr">
        <is>
          <t>2009-10-27</t>
        </is>
      </c>
      <c r="W2723" t="inlineStr">
        <is>
          <t>1998-07-22</t>
        </is>
      </c>
      <c r="X2723" t="inlineStr">
        <is>
          <t>1999-01-05</t>
        </is>
      </c>
      <c r="Y2723" t="n">
        <v>803</v>
      </c>
      <c r="Z2723" t="n">
        <v>680</v>
      </c>
      <c r="AA2723" t="n">
        <v>740</v>
      </c>
      <c r="AB2723" t="n">
        <v>6</v>
      </c>
      <c r="AC2723" t="n">
        <v>7</v>
      </c>
      <c r="AD2723" t="n">
        <v>34</v>
      </c>
      <c r="AE2723" t="n">
        <v>37</v>
      </c>
      <c r="AF2723" t="n">
        <v>12</v>
      </c>
      <c r="AG2723" t="n">
        <v>14</v>
      </c>
      <c r="AH2723" t="n">
        <v>7</v>
      </c>
      <c r="AI2723" t="n">
        <v>7</v>
      </c>
      <c r="AJ2723" t="n">
        <v>16</v>
      </c>
      <c r="AK2723" t="n">
        <v>16</v>
      </c>
      <c r="AL2723" t="n">
        <v>4</v>
      </c>
      <c r="AM2723" t="n">
        <v>5</v>
      </c>
      <c r="AN2723" t="n">
        <v>4</v>
      </c>
      <c r="AO2723" t="n">
        <v>4</v>
      </c>
      <c r="AP2723" t="inlineStr">
        <is>
          <t>No</t>
        </is>
      </c>
      <c r="AQ2723" t="inlineStr">
        <is>
          <t>No</t>
        </is>
      </c>
      <c r="AS2723">
        <f>HYPERLINK("https://creighton-primo.hosted.exlibrisgroup.com/primo-explore/search?tab=default_tab&amp;search_scope=EVERYTHING&amp;vid=01CRU&amp;lang=en_US&amp;offset=0&amp;query=any,contains,991001682179702656","Catalog Record")</f>
        <v/>
      </c>
      <c r="AT2723">
        <f>HYPERLINK("http://www.worldcat.org/oclc/37870735","WorldCat Record")</f>
        <v/>
      </c>
      <c r="AU2723" t="inlineStr">
        <is>
          <t>837018171:eng</t>
        </is>
      </c>
      <c r="AV2723" t="inlineStr">
        <is>
          <t>37870735</t>
        </is>
      </c>
      <c r="AW2723" t="inlineStr">
        <is>
          <t>991001682179702656</t>
        </is>
      </c>
      <c r="AX2723" t="inlineStr">
        <is>
          <t>991001682179702656</t>
        </is>
      </c>
      <c r="AY2723" t="inlineStr">
        <is>
          <t>2270653700002656</t>
        </is>
      </c>
      <c r="AZ2723" t="inlineStr">
        <is>
          <t>BOOK</t>
        </is>
      </c>
      <c r="BB2723" t="inlineStr">
        <is>
          <t>9781557984722</t>
        </is>
      </c>
      <c r="BC2723" t="inlineStr">
        <is>
          <t>32285003445052</t>
        </is>
      </c>
      <c r="BD2723" t="inlineStr">
        <is>
          <t>893522744</t>
        </is>
      </c>
    </row>
    <row r="2724">
      <c r="A2724" t="inlineStr">
        <is>
          <t>No</t>
        </is>
      </c>
      <c r="B2724" t="inlineStr">
        <is>
          <t>HQ784.V55 C448 1997</t>
        </is>
      </c>
      <c r="C2724" t="inlineStr">
        <is>
          <t>0                      HQ 0784000V  55                 C  448         1997</t>
        </is>
      </c>
      <c r="D2724" t="inlineStr">
        <is>
          <t>Children in a violent society / edited by Joy D. Osofsky ; foreword by Peter Scharf.</t>
        </is>
      </c>
      <c r="F2724" t="inlineStr">
        <is>
          <t>No</t>
        </is>
      </c>
      <c r="G2724" t="inlineStr">
        <is>
          <t>1</t>
        </is>
      </c>
      <c r="H2724" t="inlineStr">
        <is>
          <t>No</t>
        </is>
      </c>
      <c r="I2724" t="inlineStr">
        <is>
          <t>No</t>
        </is>
      </c>
      <c r="J2724" t="inlineStr">
        <is>
          <t>0</t>
        </is>
      </c>
      <c r="L2724" t="inlineStr">
        <is>
          <t>New York : Guilford Press, c1997.</t>
        </is>
      </c>
      <c r="M2724" t="inlineStr">
        <is>
          <t>1997</t>
        </is>
      </c>
      <c r="O2724" t="inlineStr">
        <is>
          <t>eng</t>
        </is>
      </c>
      <c r="P2724" t="inlineStr">
        <is>
          <t>nyu</t>
        </is>
      </c>
      <c r="R2724" t="inlineStr">
        <is>
          <t xml:space="preserve">HQ </t>
        </is>
      </c>
      <c r="S2724" t="n">
        <v>21</v>
      </c>
      <c r="T2724" t="n">
        <v>21</v>
      </c>
      <c r="U2724" t="inlineStr">
        <is>
          <t>2005-07-18</t>
        </is>
      </c>
      <c r="V2724" t="inlineStr">
        <is>
          <t>2005-07-18</t>
        </is>
      </c>
      <c r="W2724" t="inlineStr">
        <is>
          <t>1998-07-21</t>
        </is>
      </c>
      <c r="X2724" t="inlineStr">
        <is>
          <t>1998-07-21</t>
        </is>
      </c>
      <c r="Y2724" t="n">
        <v>825</v>
      </c>
      <c r="Z2724" t="n">
        <v>707</v>
      </c>
      <c r="AA2724" t="n">
        <v>711</v>
      </c>
      <c r="AB2724" t="n">
        <v>3</v>
      </c>
      <c r="AC2724" t="n">
        <v>3</v>
      </c>
      <c r="AD2724" t="n">
        <v>25</v>
      </c>
      <c r="AE2724" t="n">
        <v>25</v>
      </c>
      <c r="AF2724" t="n">
        <v>10</v>
      </c>
      <c r="AG2724" t="n">
        <v>10</v>
      </c>
      <c r="AH2724" t="n">
        <v>8</v>
      </c>
      <c r="AI2724" t="n">
        <v>8</v>
      </c>
      <c r="AJ2724" t="n">
        <v>13</v>
      </c>
      <c r="AK2724" t="n">
        <v>13</v>
      </c>
      <c r="AL2724" t="n">
        <v>2</v>
      </c>
      <c r="AM2724" t="n">
        <v>2</v>
      </c>
      <c r="AN2724" t="n">
        <v>0</v>
      </c>
      <c r="AO2724" t="n">
        <v>0</v>
      </c>
      <c r="AP2724" t="inlineStr">
        <is>
          <t>No</t>
        </is>
      </c>
      <c r="AQ2724" t="inlineStr">
        <is>
          <t>No</t>
        </is>
      </c>
      <c r="AS2724">
        <f>HYPERLINK("https://creighton-primo.hosted.exlibrisgroup.com/primo-explore/search?tab=default_tab&amp;search_scope=EVERYTHING&amp;vid=01CRU&amp;lang=en_US&amp;offset=0&amp;query=any,contains,991002774639702656","Catalog Record")</f>
        <v/>
      </c>
      <c r="AT2724">
        <f>HYPERLINK("http://www.worldcat.org/oclc/36438764","WorldCat Record")</f>
        <v/>
      </c>
      <c r="AU2724" t="inlineStr">
        <is>
          <t>683995:eng</t>
        </is>
      </c>
      <c r="AV2724" t="inlineStr">
        <is>
          <t>36438764</t>
        </is>
      </c>
      <c r="AW2724" t="inlineStr">
        <is>
          <t>991002774639702656</t>
        </is>
      </c>
      <c r="AX2724" t="inlineStr">
        <is>
          <t>991002774639702656</t>
        </is>
      </c>
      <c r="AY2724" t="inlineStr">
        <is>
          <t>2272004530002656</t>
        </is>
      </c>
      <c r="AZ2724" t="inlineStr">
        <is>
          <t>BOOK</t>
        </is>
      </c>
      <c r="BB2724" t="inlineStr">
        <is>
          <t>9781572301832</t>
        </is>
      </c>
      <c r="BC2724" t="inlineStr">
        <is>
          <t>32285003434015</t>
        </is>
      </c>
      <c r="BD2724" t="inlineStr">
        <is>
          <t>893892988</t>
        </is>
      </c>
    </row>
    <row r="2725">
      <c r="A2725" t="inlineStr">
        <is>
          <t>No</t>
        </is>
      </c>
      <c r="B2725" t="inlineStr">
        <is>
          <t>HQ784.V55 C45 1992</t>
        </is>
      </c>
      <c r="C2725" t="inlineStr">
        <is>
          <t>0                      HQ 0784000V  55                 C  45          1992</t>
        </is>
      </c>
      <c r="D2725" t="inlineStr">
        <is>
          <t>Children in danger : coping with the consequences of community violence / James Garbarino ... [et al.].</t>
        </is>
      </c>
      <c r="F2725" t="inlineStr">
        <is>
          <t>No</t>
        </is>
      </c>
      <c r="G2725" t="inlineStr">
        <is>
          <t>1</t>
        </is>
      </c>
      <c r="H2725" t="inlineStr">
        <is>
          <t>No</t>
        </is>
      </c>
      <c r="I2725" t="inlineStr">
        <is>
          <t>No</t>
        </is>
      </c>
      <c r="J2725" t="inlineStr">
        <is>
          <t>0</t>
        </is>
      </c>
      <c r="L2725" t="inlineStr">
        <is>
          <t>San Francisco : Jossey-Bass, 1992.</t>
        </is>
      </c>
      <c r="M2725" t="inlineStr">
        <is>
          <t>1992</t>
        </is>
      </c>
      <c r="O2725" t="inlineStr">
        <is>
          <t>eng</t>
        </is>
      </c>
      <c r="P2725" t="inlineStr">
        <is>
          <t>cau</t>
        </is>
      </c>
      <c r="Q2725" t="inlineStr">
        <is>
          <t>A joint publication in the Jossey-Bass social and behavioral science series and the Jossey-Bass education series</t>
        </is>
      </c>
      <c r="R2725" t="inlineStr">
        <is>
          <t xml:space="preserve">HQ </t>
        </is>
      </c>
      <c r="S2725" t="n">
        <v>24</v>
      </c>
      <c r="T2725" t="n">
        <v>24</v>
      </c>
      <c r="U2725" t="inlineStr">
        <is>
          <t>2007-03-29</t>
        </is>
      </c>
      <c r="V2725" t="inlineStr">
        <is>
          <t>2007-03-29</t>
        </is>
      </c>
      <c r="W2725" t="inlineStr">
        <is>
          <t>1992-07-15</t>
        </is>
      </c>
      <c r="X2725" t="inlineStr">
        <is>
          <t>1992-07-15</t>
        </is>
      </c>
      <c r="Y2725" t="n">
        <v>980</v>
      </c>
      <c r="Z2725" t="n">
        <v>855</v>
      </c>
      <c r="AA2725" t="n">
        <v>863</v>
      </c>
      <c r="AB2725" t="n">
        <v>7</v>
      </c>
      <c r="AC2725" t="n">
        <v>7</v>
      </c>
      <c r="AD2725" t="n">
        <v>36</v>
      </c>
      <c r="AE2725" t="n">
        <v>36</v>
      </c>
      <c r="AF2725" t="n">
        <v>17</v>
      </c>
      <c r="AG2725" t="n">
        <v>17</v>
      </c>
      <c r="AH2725" t="n">
        <v>7</v>
      </c>
      <c r="AI2725" t="n">
        <v>7</v>
      </c>
      <c r="AJ2725" t="n">
        <v>16</v>
      </c>
      <c r="AK2725" t="n">
        <v>16</v>
      </c>
      <c r="AL2725" t="n">
        <v>5</v>
      </c>
      <c r="AM2725" t="n">
        <v>5</v>
      </c>
      <c r="AN2725" t="n">
        <v>0</v>
      </c>
      <c r="AO2725" t="n">
        <v>0</v>
      </c>
      <c r="AP2725" t="inlineStr">
        <is>
          <t>No</t>
        </is>
      </c>
      <c r="AQ2725" t="inlineStr">
        <is>
          <t>Yes</t>
        </is>
      </c>
      <c r="AR2725">
        <f>HYPERLINK("http://catalog.hathitrust.org/Record/002551790","HathiTrust Record")</f>
        <v/>
      </c>
      <c r="AS2725">
        <f>HYPERLINK("https://creighton-primo.hosted.exlibrisgroup.com/primo-explore/search?tab=default_tab&amp;search_scope=EVERYTHING&amp;vid=01CRU&amp;lang=en_US&amp;offset=0&amp;query=any,contains,991001976669702656","Catalog Record")</f>
        <v/>
      </c>
      <c r="AT2725">
        <f>HYPERLINK("http://www.worldcat.org/oclc/25050664","WorldCat Record")</f>
        <v/>
      </c>
      <c r="AU2725" t="inlineStr">
        <is>
          <t>894517041:eng</t>
        </is>
      </c>
      <c r="AV2725" t="inlineStr">
        <is>
          <t>25050664</t>
        </is>
      </c>
      <c r="AW2725" t="inlineStr">
        <is>
          <t>991001976669702656</t>
        </is>
      </c>
      <c r="AX2725" t="inlineStr">
        <is>
          <t>991001976669702656</t>
        </is>
      </c>
      <c r="AY2725" t="inlineStr">
        <is>
          <t>2269030970002656</t>
        </is>
      </c>
      <c r="AZ2725" t="inlineStr">
        <is>
          <t>BOOK</t>
        </is>
      </c>
      <c r="BB2725" t="inlineStr">
        <is>
          <t>9781555424169</t>
        </is>
      </c>
      <c r="BC2725" t="inlineStr">
        <is>
          <t>32285001158467</t>
        </is>
      </c>
      <c r="BD2725" t="inlineStr">
        <is>
          <t>893262013</t>
        </is>
      </c>
    </row>
    <row r="2726">
      <c r="A2726" t="inlineStr">
        <is>
          <t>No</t>
        </is>
      </c>
      <c r="B2726" t="inlineStr">
        <is>
          <t>HQ784.V55 C98 1999</t>
        </is>
      </c>
      <c r="C2726" t="inlineStr">
        <is>
          <t>0                      HQ 0784000V  55                 C  98          1999</t>
        </is>
      </c>
      <c r="D2726" t="inlineStr">
        <is>
          <t>Small criminals among us : how to recognize and change children's antisocial behavior before they explode / by Gad Czudner.</t>
        </is>
      </c>
      <c r="F2726" t="inlineStr">
        <is>
          <t>No</t>
        </is>
      </c>
      <c r="G2726" t="inlineStr">
        <is>
          <t>1</t>
        </is>
      </c>
      <c r="H2726" t="inlineStr">
        <is>
          <t>No</t>
        </is>
      </c>
      <c r="I2726" t="inlineStr">
        <is>
          <t>No</t>
        </is>
      </c>
      <c r="J2726" t="inlineStr">
        <is>
          <t>0</t>
        </is>
      </c>
      <c r="K2726" t="inlineStr">
        <is>
          <t>Czudner, Gad.</t>
        </is>
      </c>
      <c r="L2726" t="inlineStr">
        <is>
          <t>Liberty Corner, NJ : New Horizon Press, 1999.</t>
        </is>
      </c>
      <c r="M2726" t="inlineStr">
        <is>
          <t>1999</t>
        </is>
      </c>
      <c r="O2726" t="inlineStr">
        <is>
          <t>eng</t>
        </is>
      </c>
      <c r="P2726" t="inlineStr">
        <is>
          <t>nju</t>
        </is>
      </c>
      <c r="R2726" t="inlineStr">
        <is>
          <t xml:space="preserve">HQ </t>
        </is>
      </c>
      <c r="S2726" t="n">
        <v>3</v>
      </c>
      <c r="T2726" t="n">
        <v>3</v>
      </c>
      <c r="U2726" t="inlineStr">
        <is>
          <t>2001-09-10</t>
        </is>
      </c>
      <c r="V2726" t="inlineStr">
        <is>
          <t>2001-09-10</t>
        </is>
      </c>
      <c r="W2726" t="inlineStr">
        <is>
          <t>2001-08-29</t>
        </is>
      </c>
      <c r="X2726" t="inlineStr">
        <is>
          <t>2001-08-29</t>
        </is>
      </c>
      <c r="Y2726" t="n">
        <v>400</v>
      </c>
      <c r="Z2726" t="n">
        <v>375</v>
      </c>
      <c r="AA2726" t="n">
        <v>387</v>
      </c>
      <c r="AB2726" t="n">
        <v>6</v>
      </c>
      <c r="AC2726" t="n">
        <v>6</v>
      </c>
      <c r="AD2726" t="n">
        <v>4</v>
      </c>
      <c r="AE2726" t="n">
        <v>4</v>
      </c>
      <c r="AF2726" t="n">
        <v>0</v>
      </c>
      <c r="AG2726" t="n">
        <v>0</v>
      </c>
      <c r="AH2726" t="n">
        <v>0</v>
      </c>
      <c r="AI2726" t="n">
        <v>0</v>
      </c>
      <c r="AJ2726" t="n">
        <v>1</v>
      </c>
      <c r="AK2726" t="n">
        <v>1</v>
      </c>
      <c r="AL2726" t="n">
        <v>3</v>
      </c>
      <c r="AM2726" t="n">
        <v>3</v>
      </c>
      <c r="AN2726" t="n">
        <v>0</v>
      </c>
      <c r="AO2726" t="n">
        <v>0</v>
      </c>
      <c r="AP2726" t="inlineStr">
        <is>
          <t>No</t>
        </is>
      </c>
      <c r="AQ2726" t="inlineStr">
        <is>
          <t>No</t>
        </is>
      </c>
      <c r="AS2726">
        <f>HYPERLINK("https://creighton-primo.hosted.exlibrisgroup.com/primo-explore/search?tab=default_tab&amp;search_scope=EVERYTHING&amp;vid=01CRU&amp;lang=en_US&amp;offset=0&amp;query=any,contains,991003608899702656","Catalog Record")</f>
        <v/>
      </c>
      <c r="AT2726">
        <f>HYPERLINK("http://www.worldcat.org/oclc/41630319","WorldCat Record")</f>
        <v/>
      </c>
      <c r="AU2726" t="inlineStr">
        <is>
          <t>197798868:eng</t>
        </is>
      </c>
      <c r="AV2726" t="inlineStr">
        <is>
          <t>41630319</t>
        </is>
      </c>
      <c r="AW2726" t="inlineStr">
        <is>
          <t>991003608899702656</t>
        </is>
      </c>
      <c r="AX2726" t="inlineStr">
        <is>
          <t>991003608899702656</t>
        </is>
      </c>
      <c r="AY2726" t="inlineStr">
        <is>
          <t>2260833190002656</t>
        </is>
      </c>
      <c r="AZ2726" t="inlineStr">
        <is>
          <t>BOOK</t>
        </is>
      </c>
      <c r="BB2726" t="inlineStr">
        <is>
          <t>9780882821801</t>
        </is>
      </c>
      <c r="BC2726" t="inlineStr">
        <is>
          <t>32285004382593</t>
        </is>
      </c>
      <c r="BD2726" t="inlineStr">
        <is>
          <t>893717874</t>
        </is>
      </c>
    </row>
    <row r="2727">
      <c r="A2727" t="inlineStr">
        <is>
          <t>No</t>
        </is>
      </c>
      <c r="B2727" t="inlineStr">
        <is>
          <t>HQ784.V55 D65 2001</t>
        </is>
      </c>
      <c r="C2727" t="inlineStr">
        <is>
          <t>0                      HQ 0784000V  55                 D  65          2001</t>
        </is>
      </c>
      <c r="D2727" t="inlineStr">
        <is>
          <t>Domestic violence in the lives of children : the future of research, intervention, and social policy / edited by Sandra A. Graham-Bermann and Jeffrey L. Edleson.</t>
        </is>
      </c>
      <c r="F2727" t="inlineStr">
        <is>
          <t>No</t>
        </is>
      </c>
      <c r="G2727" t="inlineStr">
        <is>
          <t>1</t>
        </is>
      </c>
      <c r="H2727" t="inlineStr">
        <is>
          <t>No</t>
        </is>
      </c>
      <c r="I2727" t="inlineStr">
        <is>
          <t>No</t>
        </is>
      </c>
      <c r="J2727" t="inlineStr">
        <is>
          <t>0</t>
        </is>
      </c>
      <c r="L2727" t="inlineStr">
        <is>
          <t>Washington, DC : American Psychological Association, c2001.</t>
        </is>
      </c>
      <c r="M2727" t="inlineStr">
        <is>
          <t>2001</t>
        </is>
      </c>
      <c r="N2727" t="inlineStr">
        <is>
          <t>1st ed.</t>
        </is>
      </c>
      <c r="O2727" t="inlineStr">
        <is>
          <t>eng</t>
        </is>
      </c>
      <c r="P2727" t="inlineStr">
        <is>
          <t>dcu</t>
        </is>
      </c>
      <c r="R2727" t="inlineStr">
        <is>
          <t xml:space="preserve">HQ </t>
        </is>
      </c>
      <c r="S2727" t="n">
        <v>7</v>
      </c>
      <c r="T2727" t="n">
        <v>7</v>
      </c>
      <c r="U2727" t="inlineStr">
        <is>
          <t>2005-11-21</t>
        </is>
      </c>
      <c r="V2727" t="inlineStr">
        <is>
          <t>2005-11-21</t>
        </is>
      </c>
      <c r="W2727" t="inlineStr">
        <is>
          <t>2001-09-26</t>
        </is>
      </c>
      <c r="X2727" t="inlineStr">
        <is>
          <t>2001-09-26</t>
        </is>
      </c>
      <c r="Y2727" t="n">
        <v>852</v>
      </c>
      <c r="Z2727" t="n">
        <v>742</v>
      </c>
      <c r="AA2727" t="n">
        <v>810</v>
      </c>
      <c r="AB2727" t="n">
        <v>5</v>
      </c>
      <c r="AC2727" t="n">
        <v>6</v>
      </c>
      <c r="AD2727" t="n">
        <v>39</v>
      </c>
      <c r="AE2727" t="n">
        <v>43</v>
      </c>
      <c r="AF2727" t="n">
        <v>17</v>
      </c>
      <c r="AG2727" t="n">
        <v>18</v>
      </c>
      <c r="AH2727" t="n">
        <v>6</v>
      </c>
      <c r="AI2727" t="n">
        <v>6</v>
      </c>
      <c r="AJ2727" t="n">
        <v>16</v>
      </c>
      <c r="AK2727" t="n">
        <v>18</v>
      </c>
      <c r="AL2727" t="n">
        <v>4</v>
      </c>
      <c r="AM2727" t="n">
        <v>5</v>
      </c>
      <c r="AN2727" t="n">
        <v>5</v>
      </c>
      <c r="AO2727" t="n">
        <v>5</v>
      </c>
      <c r="AP2727" t="inlineStr">
        <is>
          <t>No</t>
        </is>
      </c>
      <c r="AQ2727" t="inlineStr">
        <is>
          <t>No</t>
        </is>
      </c>
      <c r="AS2727">
        <f>HYPERLINK("https://creighton-primo.hosted.exlibrisgroup.com/primo-explore/search?tab=default_tab&amp;search_scope=EVERYTHING&amp;vid=01CRU&amp;lang=en_US&amp;offset=0&amp;query=any,contains,991003604199702656","Catalog Record")</f>
        <v/>
      </c>
      <c r="AT2727">
        <f>HYPERLINK("http://www.worldcat.org/oclc/45610088","WorldCat Record")</f>
        <v/>
      </c>
      <c r="AU2727" t="inlineStr">
        <is>
          <t>837004911:eng</t>
        </is>
      </c>
      <c r="AV2727" t="inlineStr">
        <is>
          <t>45610088</t>
        </is>
      </c>
      <c r="AW2727" t="inlineStr">
        <is>
          <t>991003604199702656</t>
        </is>
      </c>
      <c r="AX2727" t="inlineStr">
        <is>
          <t>991003604199702656</t>
        </is>
      </c>
      <c r="AY2727" t="inlineStr">
        <is>
          <t>2260398340002656</t>
        </is>
      </c>
      <c r="AZ2727" t="inlineStr">
        <is>
          <t>BOOK</t>
        </is>
      </c>
      <c r="BB2727" t="inlineStr">
        <is>
          <t>9781557987792</t>
        </is>
      </c>
      <c r="BC2727" t="inlineStr">
        <is>
          <t>32285004393558</t>
        </is>
      </c>
      <c r="BD2727" t="inlineStr">
        <is>
          <t>893623671</t>
        </is>
      </c>
    </row>
    <row r="2728">
      <c r="A2728" t="inlineStr">
        <is>
          <t>No</t>
        </is>
      </c>
      <c r="B2728" t="inlineStr">
        <is>
          <t>HQ784.V55 G76 2002</t>
        </is>
      </c>
      <c r="C2728" t="inlineStr">
        <is>
          <t>0                      HQ 0784000V  55                 G  76          2002</t>
        </is>
      </c>
      <c r="D2728" t="inlineStr">
        <is>
          <t>Children who see too much : lessons from the child witness to violence project / Betsy McAlister Groves.</t>
        </is>
      </c>
      <c r="F2728" t="inlineStr">
        <is>
          <t>No</t>
        </is>
      </c>
      <c r="G2728" t="inlineStr">
        <is>
          <t>1</t>
        </is>
      </c>
      <c r="H2728" t="inlineStr">
        <is>
          <t>No</t>
        </is>
      </c>
      <c r="I2728" t="inlineStr">
        <is>
          <t>No</t>
        </is>
      </c>
      <c r="J2728" t="inlineStr">
        <is>
          <t>0</t>
        </is>
      </c>
      <c r="K2728" t="inlineStr">
        <is>
          <t>Groves, Betsy McAlister.</t>
        </is>
      </c>
      <c r="L2728" t="inlineStr">
        <is>
          <t>Boston : Beacon Press, c2002.</t>
        </is>
      </c>
      <c r="M2728" t="inlineStr">
        <is>
          <t>2002</t>
        </is>
      </c>
      <c r="O2728" t="inlineStr">
        <is>
          <t>eng</t>
        </is>
      </c>
      <c r="P2728" t="inlineStr">
        <is>
          <t>mau</t>
        </is>
      </c>
      <c r="R2728" t="inlineStr">
        <is>
          <t xml:space="preserve">HQ </t>
        </is>
      </c>
      <c r="S2728" t="n">
        <v>8</v>
      </c>
      <c r="T2728" t="n">
        <v>8</v>
      </c>
      <c r="U2728" t="inlineStr">
        <is>
          <t>2003-02-26</t>
        </is>
      </c>
      <c r="V2728" t="inlineStr">
        <is>
          <t>2003-02-26</t>
        </is>
      </c>
      <c r="W2728" t="inlineStr">
        <is>
          <t>2002-04-25</t>
        </is>
      </c>
      <c r="X2728" t="inlineStr">
        <is>
          <t>2002-04-25</t>
        </is>
      </c>
      <c r="Y2728" t="n">
        <v>876</v>
      </c>
      <c r="Z2728" t="n">
        <v>803</v>
      </c>
      <c r="AA2728" t="n">
        <v>1799</v>
      </c>
      <c r="AB2728" t="n">
        <v>5</v>
      </c>
      <c r="AC2728" t="n">
        <v>35</v>
      </c>
      <c r="AD2728" t="n">
        <v>22</v>
      </c>
      <c r="AE2728" t="n">
        <v>53</v>
      </c>
      <c r="AF2728" t="n">
        <v>6</v>
      </c>
      <c r="AG2728" t="n">
        <v>17</v>
      </c>
      <c r="AH2728" t="n">
        <v>6</v>
      </c>
      <c r="AI2728" t="n">
        <v>9</v>
      </c>
      <c r="AJ2728" t="n">
        <v>10</v>
      </c>
      <c r="AK2728" t="n">
        <v>18</v>
      </c>
      <c r="AL2728" t="n">
        <v>3</v>
      </c>
      <c r="AM2728" t="n">
        <v>15</v>
      </c>
      <c r="AN2728" t="n">
        <v>2</v>
      </c>
      <c r="AO2728" t="n">
        <v>3</v>
      </c>
      <c r="AP2728" t="inlineStr">
        <is>
          <t>No</t>
        </is>
      </c>
      <c r="AQ2728" t="inlineStr">
        <is>
          <t>Yes</t>
        </is>
      </c>
      <c r="AR2728">
        <f>HYPERLINK("http://catalog.hathitrust.org/Record/004244312","HathiTrust Record")</f>
        <v/>
      </c>
      <c r="AS2728">
        <f>HYPERLINK("https://creighton-primo.hosted.exlibrisgroup.com/primo-explore/search?tab=default_tab&amp;search_scope=EVERYTHING&amp;vid=01CRU&amp;lang=en_US&amp;offset=0&amp;query=any,contains,991003756859702656","Catalog Record")</f>
        <v/>
      </c>
      <c r="AT2728">
        <f>HYPERLINK("http://www.worldcat.org/oclc/47666578","WorldCat Record")</f>
        <v/>
      </c>
      <c r="AU2728" t="inlineStr">
        <is>
          <t>793870595:eng</t>
        </is>
      </c>
      <c r="AV2728" t="inlineStr">
        <is>
          <t>47666578</t>
        </is>
      </c>
      <c r="AW2728" t="inlineStr">
        <is>
          <t>991003756859702656</t>
        </is>
      </c>
      <c r="AX2728" t="inlineStr">
        <is>
          <t>991003756859702656</t>
        </is>
      </c>
      <c r="AY2728" t="inlineStr">
        <is>
          <t>2261412780002656</t>
        </is>
      </c>
      <c r="AZ2728" t="inlineStr">
        <is>
          <t>BOOK</t>
        </is>
      </c>
      <c r="BB2728" t="inlineStr">
        <is>
          <t>9780807031384</t>
        </is>
      </c>
      <c r="BC2728" t="inlineStr">
        <is>
          <t>32285004483581</t>
        </is>
      </c>
      <c r="BD2728" t="inlineStr">
        <is>
          <t>893718033</t>
        </is>
      </c>
    </row>
    <row r="2729">
      <c r="A2729" t="inlineStr">
        <is>
          <t>No</t>
        </is>
      </c>
      <c r="B2729" t="inlineStr">
        <is>
          <t>HQ784.V55 K56 1995</t>
        </is>
      </c>
      <c r="C2729" t="inlineStr">
        <is>
          <t>0                      HQ 0784000V  55                 K  56          1995</t>
        </is>
      </c>
      <c r="D2729" t="inlineStr">
        <is>
          <t>Violent children : a research handbook / Karen L. Kinnear.</t>
        </is>
      </c>
      <c r="F2729" t="inlineStr">
        <is>
          <t>No</t>
        </is>
      </c>
      <c r="G2729" t="inlineStr">
        <is>
          <t>1</t>
        </is>
      </c>
      <c r="H2729" t="inlineStr">
        <is>
          <t>No</t>
        </is>
      </c>
      <c r="I2729" t="inlineStr">
        <is>
          <t>No</t>
        </is>
      </c>
      <c r="J2729" t="inlineStr">
        <is>
          <t>0</t>
        </is>
      </c>
      <c r="K2729" t="inlineStr">
        <is>
          <t>Kinnear, Karen L.</t>
        </is>
      </c>
      <c r="L2729" t="inlineStr">
        <is>
          <t>Santa Barbara, Calif. : ABC-CLIO, 1995.</t>
        </is>
      </c>
      <c r="M2729" t="inlineStr">
        <is>
          <t>1995</t>
        </is>
      </c>
      <c r="O2729" t="inlineStr">
        <is>
          <t>eng</t>
        </is>
      </c>
      <c r="P2729" t="inlineStr">
        <is>
          <t>cau</t>
        </is>
      </c>
      <c r="Q2729" t="inlineStr">
        <is>
          <t>Contemporary world issues</t>
        </is>
      </c>
      <c r="R2729" t="inlineStr">
        <is>
          <t xml:space="preserve">HQ </t>
        </is>
      </c>
      <c r="S2729" t="n">
        <v>18</v>
      </c>
      <c r="T2729" t="n">
        <v>18</v>
      </c>
      <c r="U2729" t="inlineStr">
        <is>
          <t>2003-08-28</t>
        </is>
      </c>
      <c r="V2729" t="inlineStr">
        <is>
          <t>2003-08-28</t>
        </is>
      </c>
      <c r="W2729" t="inlineStr">
        <is>
          <t>1995-06-29</t>
        </is>
      </c>
      <c r="X2729" t="inlineStr">
        <is>
          <t>1995-06-29</t>
        </is>
      </c>
      <c r="Y2729" t="n">
        <v>781</v>
      </c>
      <c r="Z2729" t="n">
        <v>726</v>
      </c>
      <c r="AA2729" t="n">
        <v>1427</v>
      </c>
      <c r="AB2729" t="n">
        <v>7</v>
      </c>
      <c r="AC2729" t="n">
        <v>10</v>
      </c>
      <c r="AD2729" t="n">
        <v>17</v>
      </c>
      <c r="AE2729" t="n">
        <v>30</v>
      </c>
      <c r="AF2729" t="n">
        <v>3</v>
      </c>
      <c r="AG2729" t="n">
        <v>11</v>
      </c>
      <c r="AH2729" t="n">
        <v>4</v>
      </c>
      <c r="AI2729" t="n">
        <v>6</v>
      </c>
      <c r="AJ2729" t="n">
        <v>7</v>
      </c>
      <c r="AK2729" t="n">
        <v>12</v>
      </c>
      <c r="AL2729" t="n">
        <v>6</v>
      </c>
      <c r="AM2729" t="n">
        <v>8</v>
      </c>
      <c r="AN2729" t="n">
        <v>0</v>
      </c>
      <c r="AO2729" t="n">
        <v>0</v>
      </c>
      <c r="AP2729" t="inlineStr">
        <is>
          <t>No</t>
        </is>
      </c>
      <c r="AQ2729" t="inlineStr">
        <is>
          <t>Yes</t>
        </is>
      </c>
      <c r="AR2729">
        <f>HYPERLINK("http://catalog.hathitrust.org/Record/002999521","HathiTrust Record")</f>
        <v/>
      </c>
      <c r="AS2729">
        <f>HYPERLINK("https://creighton-primo.hosted.exlibrisgroup.com/primo-explore/search?tab=default_tab&amp;search_scope=EVERYTHING&amp;vid=01CRU&amp;lang=en_US&amp;offset=0&amp;query=any,contains,991002466839702656","Catalog Record")</f>
        <v/>
      </c>
      <c r="AT2729">
        <f>HYPERLINK("http://www.worldcat.org/oclc/32132878","WorldCat Record")</f>
        <v/>
      </c>
      <c r="AU2729" t="inlineStr">
        <is>
          <t>3856663767:eng</t>
        </is>
      </c>
      <c r="AV2729" t="inlineStr">
        <is>
          <t>32132878</t>
        </is>
      </c>
      <c r="AW2729" t="inlineStr">
        <is>
          <t>991002466839702656</t>
        </is>
      </c>
      <c r="AX2729" t="inlineStr">
        <is>
          <t>991002466839702656</t>
        </is>
      </c>
      <c r="AY2729" t="inlineStr">
        <is>
          <t>2262176110002656</t>
        </is>
      </c>
      <c r="AZ2729" t="inlineStr">
        <is>
          <t>BOOK</t>
        </is>
      </c>
      <c r="BB2729" t="inlineStr">
        <is>
          <t>9780874367867</t>
        </is>
      </c>
      <c r="BC2729" t="inlineStr">
        <is>
          <t>32285002057957</t>
        </is>
      </c>
      <c r="BD2729" t="inlineStr">
        <is>
          <t>893903910</t>
        </is>
      </c>
    </row>
    <row r="2730">
      <c r="A2730" t="inlineStr">
        <is>
          <t>No</t>
        </is>
      </c>
      <c r="B2730" t="inlineStr">
        <is>
          <t>HQ784.V55 P86 2000</t>
        </is>
      </c>
      <c r="C2730" t="inlineStr">
        <is>
          <t>0                      HQ 0784000V  55                 P  86          2000</t>
        </is>
      </c>
      <c r="D2730" t="inlineStr">
        <is>
          <t>The public assault on America's children : poverty, violence, and juvenile injustice / Valerie Polakow, editor.</t>
        </is>
      </c>
      <c r="F2730" t="inlineStr">
        <is>
          <t>No</t>
        </is>
      </c>
      <c r="G2730" t="inlineStr">
        <is>
          <t>1</t>
        </is>
      </c>
      <c r="H2730" t="inlineStr">
        <is>
          <t>No</t>
        </is>
      </c>
      <c r="I2730" t="inlineStr">
        <is>
          <t>No</t>
        </is>
      </c>
      <c r="J2730" t="inlineStr">
        <is>
          <t>0</t>
        </is>
      </c>
      <c r="L2730" t="inlineStr">
        <is>
          <t>New York: Teachers College Press, 2000.</t>
        </is>
      </c>
      <c r="M2730" t="inlineStr">
        <is>
          <t>2000</t>
        </is>
      </c>
      <c r="O2730" t="inlineStr">
        <is>
          <t>eng</t>
        </is>
      </c>
      <c r="P2730" t="inlineStr">
        <is>
          <t>nyu</t>
        </is>
      </c>
      <c r="Q2730" t="inlineStr">
        <is>
          <t>The Teaching for social justice series</t>
        </is>
      </c>
      <c r="R2730" t="inlineStr">
        <is>
          <t xml:space="preserve">HQ </t>
        </is>
      </c>
      <c r="S2730" t="n">
        <v>6</v>
      </c>
      <c r="T2730" t="n">
        <v>6</v>
      </c>
      <c r="U2730" t="inlineStr">
        <is>
          <t>2008-11-30</t>
        </is>
      </c>
      <c r="V2730" t="inlineStr">
        <is>
          <t>2008-11-30</t>
        </is>
      </c>
      <c r="W2730" t="inlineStr">
        <is>
          <t>2001-02-05</t>
        </is>
      </c>
      <c r="X2730" t="inlineStr">
        <is>
          <t>2001-02-05</t>
        </is>
      </c>
      <c r="Y2730" t="n">
        <v>584</v>
      </c>
      <c r="Z2730" t="n">
        <v>542</v>
      </c>
      <c r="AA2730" t="n">
        <v>547</v>
      </c>
      <c r="AB2730" t="n">
        <v>4</v>
      </c>
      <c r="AC2730" t="n">
        <v>4</v>
      </c>
      <c r="AD2730" t="n">
        <v>30</v>
      </c>
      <c r="AE2730" t="n">
        <v>30</v>
      </c>
      <c r="AF2730" t="n">
        <v>12</v>
      </c>
      <c r="AG2730" t="n">
        <v>12</v>
      </c>
      <c r="AH2730" t="n">
        <v>5</v>
      </c>
      <c r="AI2730" t="n">
        <v>5</v>
      </c>
      <c r="AJ2730" t="n">
        <v>15</v>
      </c>
      <c r="AK2730" t="n">
        <v>15</v>
      </c>
      <c r="AL2730" t="n">
        <v>3</v>
      </c>
      <c r="AM2730" t="n">
        <v>3</v>
      </c>
      <c r="AN2730" t="n">
        <v>3</v>
      </c>
      <c r="AO2730" t="n">
        <v>3</v>
      </c>
      <c r="AP2730" t="inlineStr">
        <is>
          <t>No</t>
        </is>
      </c>
      <c r="AQ2730" t="inlineStr">
        <is>
          <t>No</t>
        </is>
      </c>
      <c r="AS2730">
        <f>HYPERLINK("https://creighton-primo.hosted.exlibrisgroup.com/primo-explore/search?tab=default_tab&amp;search_scope=EVERYTHING&amp;vid=01CRU&amp;lang=en_US&amp;offset=0&amp;query=any,contains,991003474029702656","Catalog Record")</f>
        <v/>
      </c>
      <c r="AT2730">
        <f>HYPERLINK("http://www.worldcat.org/oclc/44427087","WorldCat Record")</f>
        <v/>
      </c>
      <c r="AU2730" t="inlineStr">
        <is>
          <t>56569711:eng</t>
        </is>
      </c>
      <c r="AV2730" t="inlineStr">
        <is>
          <t>44427087</t>
        </is>
      </c>
      <c r="AW2730" t="inlineStr">
        <is>
          <t>991003474029702656</t>
        </is>
      </c>
      <c r="AX2730" t="inlineStr">
        <is>
          <t>991003474029702656</t>
        </is>
      </c>
      <c r="AY2730" t="inlineStr">
        <is>
          <t>2257654180002656</t>
        </is>
      </c>
      <c r="AZ2730" t="inlineStr">
        <is>
          <t>BOOK</t>
        </is>
      </c>
      <c r="BB2730" t="inlineStr">
        <is>
          <t>9780807739839</t>
        </is>
      </c>
      <c r="BC2730" t="inlineStr">
        <is>
          <t>32285004293717</t>
        </is>
      </c>
      <c r="BD2730" t="inlineStr">
        <is>
          <t>893435021</t>
        </is>
      </c>
    </row>
    <row r="2731">
      <c r="A2731" t="inlineStr">
        <is>
          <t>No</t>
        </is>
      </c>
      <c r="B2731" t="inlineStr">
        <is>
          <t>HQ784.V55 V48 1998</t>
        </is>
      </c>
      <c r="C2731" t="inlineStr">
        <is>
          <t>0                      HQ 0784000V  55                 V  48          1998</t>
        </is>
      </c>
      <c r="D2731" t="inlineStr">
        <is>
          <t>Violence against children in the family and the community / edited by Penelope K. Trickett, Cynthia J. Schellenbach.</t>
        </is>
      </c>
      <c r="F2731" t="inlineStr">
        <is>
          <t>No</t>
        </is>
      </c>
      <c r="G2731" t="inlineStr">
        <is>
          <t>1</t>
        </is>
      </c>
      <c r="H2731" t="inlineStr">
        <is>
          <t>Yes</t>
        </is>
      </c>
      <c r="I2731" t="inlineStr">
        <is>
          <t>No</t>
        </is>
      </c>
      <c r="J2731" t="inlineStr">
        <is>
          <t>0</t>
        </is>
      </c>
      <c r="L2731" t="inlineStr">
        <is>
          <t>Washington, DC : American Psychological Association, c1998.</t>
        </is>
      </c>
      <c r="M2731" t="inlineStr">
        <is>
          <t>1998</t>
        </is>
      </c>
      <c r="N2731" t="inlineStr">
        <is>
          <t>1st ed.</t>
        </is>
      </c>
      <c r="O2731" t="inlineStr">
        <is>
          <t>eng</t>
        </is>
      </c>
      <c r="P2731" t="inlineStr">
        <is>
          <t>dcu</t>
        </is>
      </c>
      <c r="R2731" t="inlineStr">
        <is>
          <t xml:space="preserve">HQ </t>
        </is>
      </c>
      <c r="S2731" t="n">
        <v>17</v>
      </c>
      <c r="T2731" t="n">
        <v>18</v>
      </c>
      <c r="U2731" t="inlineStr">
        <is>
          <t>2009-12-15</t>
        </is>
      </c>
      <c r="V2731" t="inlineStr">
        <is>
          <t>2009-12-15</t>
        </is>
      </c>
      <c r="W2731" t="inlineStr">
        <is>
          <t>1998-07-15</t>
        </is>
      </c>
      <c r="X2731" t="inlineStr">
        <is>
          <t>1999-01-05</t>
        </is>
      </c>
      <c r="Y2731" t="n">
        <v>923</v>
      </c>
      <c r="Z2731" t="n">
        <v>824</v>
      </c>
      <c r="AA2731" t="n">
        <v>872</v>
      </c>
      <c r="AB2731" t="n">
        <v>6</v>
      </c>
      <c r="AC2731" t="n">
        <v>7</v>
      </c>
      <c r="AD2731" t="n">
        <v>31</v>
      </c>
      <c r="AE2731" t="n">
        <v>34</v>
      </c>
      <c r="AF2731" t="n">
        <v>14</v>
      </c>
      <c r="AG2731" t="n">
        <v>16</v>
      </c>
      <c r="AH2731" t="n">
        <v>5</v>
      </c>
      <c r="AI2731" t="n">
        <v>5</v>
      </c>
      <c r="AJ2731" t="n">
        <v>13</v>
      </c>
      <c r="AK2731" t="n">
        <v>13</v>
      </c>
      <c r="AL2731" t="n">
        <v>4</v>
      </c>
      <c r="AM2731" t="n">
        <v>5</v>
      </c>
      <c r="AN2731" t="n">
        <v>2</v>
      </c>
      <c r="AO2731" t="n">
        <v>2</v>
      </c>
      <c r="AP2731" t="inlineStr">
        <is>
          <t>No</t>
        </is>
      </c>
      <c r="AQ2731" t="inlineStr">
        <is>
          <t>No</t>
        </is>
      </c>
      <c r="AS2731">
        <f>HYPERLINK("https://creighton-primo.hosted.exlibrisgroup.com/primo-explore/search?tab=default_tab&amp;search_scope=EVERYTHING&amp;vid=01CRU&amp;lang=en_US&amp;offset=0&amp;query=any,contains,991001676859702656","Catalog Record")</f>
        <v/>
      </c>
      <c r="AT2731">
        <f>HYPERLINK("http://www.worldcat.org/oclc/38048322","WorldCat Record")</f>
        <v/>
      </c>
      <c r="AU2731" t="inlineStr">
        <is>
          <t>1078472857:eng</t>
        </is>
      </c>
      <c r="AV2731" t="inlineStr">
        <is>
          <t>38048322</t>
        </is>
      </c>
      <c r="AW2731" t="inlineStr">
        <is>
          <t>991001676859702656</t>
        </is>
      </c>
      <c r="AX2731" t="inlineStr">
        <is>
          <t>991001676859702656</t>
        </is>
      </c>
      <c r="AY2731" t="inlineStr">
        <is>
          <t>2257826040002656</t>
        </is>
      </c>
      <c r="AZ2731" t="inlineStr">
        <is>
          <t>BOOK</t>
        </is>
      </c>
      <c r="BB2731" t="inlineStr">
        <is>
          <t>9781557984807</t>
        </is>
      </c>
      <c r="BC2731" t="inlineStr">
        <is>
          <t>32285003432316</t>
        </is>
      </c>
      <c r="BD2731" t="inlineStr">
        <is>
          <t>893334487</t>
        </is>
      </c>
    </row>
    <row r="2732">
      <c r="A2732" t="inlineStr">
        <is>
          <t>No</t>
        </is>
      </c>
      <c r="B2732" t="inlineStr">
        <is>
          <t>HQ784.V55 V65 1993</t>
        </is>
      </c>
      <c r="C2732" t="inlineStr">
        <is>
          <t>0                      HQ 0784000V  55                 V  65          1993</t>
        </is>
      </c>
      <c r="D2732" t="inlineStr">
        <is>
          <t>Voices from the future : our children tell us about violence in America / by Children's express ; edited by Susan Goodwillie.</t>
        </is>
      </c>
      <c r="F2732" t="inlineStr">
        <is>
          <t>No</t>
        </is>
      </c>
      <c r="G2732" t="inlineStr">
        <is>
          <t>1</t>
        </is>
      </c>
      <c r="H2732" t="inlineStr">
        <is>
          <t>No</t>
        </is>
      </c>
      <c r="I2732" t="inlineStr">
        <is>
          <t>No</t>
        </is>
      </c>
      <c r="J2732" t="inlineStr">
        <is>
          <t>0</t>
        </is>
      </c>
      <c r="L2732" t="inlineStr">
        <is>
          <t>New York : Crown Publishers, 1993.</t>
        </is>
      </c>
      <c r="M2732" t="inlineStr">
        <is>
          <t>1993</t>
        </is>
      </c>
      <c r="O2732" t="inlineStr">
        <is>
          <t>eng</t>
        </is>
      </c>
      <c r="P2732" t="inlineStr">
        <is>
          <t>nyu</t>
        </is>
      </c>
      <c r="R2732" t="inlineStr">
        <is>
          <t xml:space="preserve">HQ </t>
        </is>
      </c>
      <c r="S2732" t="n">
        <v>9</v>
      </c>
      <c r="T2732" t="n">
        <v>9</v>
      </c>
      <c r="U2732" t="inlineStr">
        <is>
          <t>1998-11-01</t>
        </is>
      </c>
      <c r="V2732" t="inlineStr">
        <is>
          <t>1998-11-01</t>
        </is>
      </c>
      <c r="W2732" t="inlineStr">
        <is>
          <t>1993-10-16</t>
        </is>
      </c>
      <c r="X2732" t="inlineStr">
        <is>
          <t>1993-10-16</t>
        </is>
      </c>
      <c r="Y2732" t="n">
        <v>714</v>
      </c>
      <c r="Z2732" t="n">
        <v>679</v>
      </c>
      <c r="AA2732" t="n">
        <v>687</v>
      </c>
      <c r="AB2732" t="n">
        <v>6</v>
      </c>
      <c r="AC2732" t="n">
        <v>6</v>
      </c>
      <c r="AD2732" t="n">
        <v>16</v>
      </c>
      <c r="AE2732" t="n">
        <v>16</v>
      </c>
      <c r="AF2732" t="n">
        <v>4</v>
      </c>
      <c r="AG2732" t="n">
        <v>4</v>
      </c>
      <c r="AH2732" t="n">
        <v>4</v>
      </c>
      <c r="AI2732" t="n">
        <v>4</v>
      </c>
      <c r="AJ2732" t="n">
        <v>10</v>
      </c>
      <c r="AK2732" t="n">
        <v>10</v>
      </c>
      <c r="AL2732" t="n">
        <v>3</v>
      </c>
      <c r="AM2732" t="n">
        <v>3</v>
      </c>
      <c r="AN2732" t="n">
        <v>0</v>
      </c>
      <c r="AO2732" t="n">
        <v>0</v>
      </c>
      <c r="AP2732" t="inlineStr">
        <is>
          <t>No</t>
        </is>
      </c>
      <c r="AQ2732" t="inlineStr">
        <is>
          <t>Yes</t>
        </is>
      </c>
      <c r="AR2732">
        <f>HYPERLINK("http://catalog.hathitrust.org/Record/002726393","HathiTrust Record")</f>
        <v/>
      </c>
      <c r="AS2732">
        <f>HYPERLINK("https://creighton-primo.hosted.exlibrisgroup.com/primo-explore/search?tab=default_tab&amp;search_scope=EVERYTHING&amp;vid=01CRU&amp;lang=en_US&amp;offset=0&amp;query=any,contains,991002146759702656","Catalog Record")</f>
        <v/>
      </c>
      <c r="AT2732">
        <f>HYPERLINK("http://www.worldcat.org/oclc/27676623","WorldCat Record")</f>
        <v/>
      </c>
      <c r="AU2732" t="inlineStr">
        <is>
          <t>350225061:eng</t>
        </is>
      </c>
      <c r="AV2732" t="inlineStr">
        <is>
          <t>27676623</t>
        </is>
      </c>
      <c r="AW2732" t="inlineStr">
        <is>
          <t>991002146759702656</t>
        </is>
      </c>
      <c r="AX2732" t="inlineStr">
        <is>
          <t>991002146759702656</t>
        </is>
      </c>
      <c r="AY2732" t="inlineStr">
        <is>
          <t>2255067680002656</t>
        </is>
      </c>
      <c r="AZ2732" t="inlineStr">
        <is>
          <t>BOOK</t>
        </is>
      </c>
      <c r="BB2732" t="inlineStr">
        <is>
          <t>9780517594940</t>
        </is>
      </c>
      <c r="BC2732" t="inlineStr">
        <is>
          <t>32285001786192</t>
        </is>
      </c>
      <c r="BD2732" t="inlineStr">
        <is>
          <t>893603240</t>
        </is>
      </c>
    </row>
    <row r="2733">
      <c r="A2733" t="inlineStr">
        <is>
          <t>No</t>
        </is>
      </c>
      <c r="B2733" t="inlineStr">
        <is>
          <t>HQ784.V64 H65 2002</t>
        </is>
      </c>
      <c r="C2733" t="inlineStr">
        <is>
          <t>0                      HQ 0784000V  64                 H  65          2002</t>
        </is>
      </c>
      <c r="D2733" t="inlineStr">
        <is>
          <t>It's our world, too! : young people who are making a difference : how they do it--how YOU can, too! / Phillip Hoose ; with a foreword by Pete Seeger.</t>
        </is>
      </c>
      <c r="F2733" t="inlineStr">
        <is>
          <t>No</t>
        </is>
      </c>
      <c r="G2733" t="inlineStr">
        <is>
          <t>1</t>
        </is>
      </c>
      <c r="H2733" t="inlineStr">
        <is>
          <t>No</t>
        </is>
      </c>
      <c r="I2733" t="inlineStr">
        <is>
          <t>No</t>
        </is>
      </c>
      <c r="J2733" t="inlineStr">
        <is>
          <t>0</t>
        </is>
      </c>
      <c r="K2733" t="inlineStr">
        <is>
          <t>Hoose, Phillip M., 1947-</t>
        </is>
      </c>
      <c r="L2733" t="inlineStr">
        <is>
          <t>[New York] : Farrar, Straus and Giroux, 2002.</t>
        </is>
      </c>
      <c r="M2733" t="inlineStr">
        <is>
          <t>2002</t>
        </is>
      </c>
      <c r="N2733" t="inlineStr">
        <is>
          <t>1st Sunburst ed.</t>
        </is>
      </c>
      <c r="O2733" t="inlineStr">
        <is>
          <t>eng</t>
        </is>
      </c>
      <c r="P2733" t="inlineStr">
        <is>
          <t>nyu</t>
        </is>
      </c>
      <c r="R2733" t="inlineStr">
        <is>
          <t xml:space="preserve">HQ </t>
        </is>
      </c>
      <c r="S2733" t="n">
        <v>2</v>
      </c>
      <c r="T2733" t="n">
        <v>2</v>
      </c>
      <c r="U2733" t="inlineStr">
        <is>
          <t>2006-11-02</t>
        </is>
      </c>
      <c r="V2733" t="inlineStr">
        <is>
          <t>2006-11-02</t>
        </is>
      </c>
      <c r="W2733" t="inlineStr">
        <is>
          <t>2006-11-02</t>
        </is>
      </c>
      <c r="X2733" t="inlineStr">
        <is>
          <t>2006-11-02</t>
        </is>
      </c>
      <c r="Y2733" t="n">
        <v>235</v>
      </c>
      <c r="Z2733" t="n">
        <v>222</v>
      </c>
      <c r="AA2733" t="n">
        <v>730</v>
      </c>
      <c r="AB2733" t="n">
        <v>3</v>
      </c>
      <c r="AC2733" t="n">
        <v>6</v>
      </c>
      <c r="AD2733" t="n">
        <v>5</v>
      </c>
      <c r="AE2733" t="n">
        <v>11</v>
      </c>
      <c r="AF2733" t="n">
        <v>3</v>
      </c>
      <c r="AG2733" t="n">
        <v>4</v>
      </c>
      <c r="AH2733" t="n">
        <v>2</v>
      </c>
      <c r="AI2733" t="n">
        <v>4</v>
      </c>
      <c r="AJ2733" t="n">
        <v>0</v>
      </c>
      <c r="AK2733" t="n">
        <v>4</v>
      </c>
      <c r="AL2733" t="n">
        <v>1</v>
      </c>
      <c r="AM2733" t="n">
        <v>2</v>
      </c>
      <c r="AN2733" t="n">
        <v>0</v>
      </c>
      <c r="AO2733" t="n">
        <v>0</v>
      </c>
      <c r="AP2733" t="inlineStr">
        <is>
          <t>No</t>
        </is>
      </c>
      <c r="AQ2733" t="inlineStr">
        <is>
          <t>No</t>
        </is>
      </c>
      <c r="AS2733">
        <f>HYPERLINK("https://creighton-primo.hosted.exlibrisgroup.com/primo-explore/search?tab=default_tab&amp;search_scope=EVERYTHING&amp;vid=01CRU&amp;lang=en_US&amp;offset=0&amp;query=any,contains,991004964229702656","Catalog Record")</f>
        <v/>
      </c>
      <c r="AT2733">
        <f>HYPERLINK("http://www.worldcat.org/oclc/49404204","WorldCat Record")</f>
        <v/>
      </c>
      <c r="AU2733" t="inlineStr">
        <is>
          <t>3901910708:eng</t>
        </is>
      </c>
      <c r="AV2733" t="inlineStr">
        <is>
          <t>49404204</t>
        </is>
      </c>
      <c r="AW2733" t="inlineStr">
        <is>
          <t>991004964229702656</t>
        </is>
      </c>
      <c r="AX2733" t="inlineStr">
        <is>
          <t>991004964229702656</t>
        </is>
      </c>
      <c r="AY2733" t="inlineStr">
        <is>
          <t>2257995060002656</t>
        </is>
      </c>
      <c r="AZ2733" t="inlineStr">
        <is>
          <t>BOOK</t>
        </is>
      </c>
      <c r="BB2733" t="inlineStr">
        <is>
          <t>9780374336226</t>
        </is>
      </c>
      <c r="BC2733" t="inlineStr">
        <is>
          <t>32285005234660</t>
        </is>
      </c>
      <c r="BD2733" t="inlineStr">
        <is>
          <t>893585895</t>
        </is>
      </c>
    </row>
    <row r="2734">
      <c r="A2734" t="inlineStr">
        <is>
          <t>No</t>
        </is>
      </c>
      <c r="B2734" t="inlineStr">
        <is>
          <t>HQ784.W3 G37 1991</t>
        </is>
      </c>
      <c r="C2734" t="inlineStr">
        <is>
          <t>0                      HQ 0784000W  3                  G  37          1991</t>
        </is>
      </c>
      <c r="D2734" t="inlineStr">
        <is>
          <t>No place to be a child : growing up in a war zone / by James Garbarino, Kathleen Kostelny, Nancy Dubrow.</t>
        </is>
      </c>
      <c r="F2734" t="inlineStr">
        <is>
          <t>No</t>
        </is>
      </c>
      <c r="G2734" t="inlineStr">
        <is>
          <t>1</t>
        </is>
      </c>
      <c r="H2734" t="inlineStr">
        <is>
          <t>No</t>
        </is>
      </c>
      <c r="I2734" t="inlineStr">
        <is>
          <t>No</t>
        </is>
      </c>
      <c r="J2734" t="inlineStr">
        <is>
          <t>0</t>
        </is>
      </c>
      <c r="K2734" t="inlineStr">
        <is>
          <t>Garbarino, James.</t>
        </is>
      </c>
      <c r="L2734" t="inlineStr">
        <is>
          <t>Lexington, Mass. : Lexington Books, c1991.</t>
        </is>
      </c>
      <c r="M2734" t="inlineStr">
        <is>
          <t>1991</t>
        </is>
      </c>
      <c r="O2734" t="inlineStr">
        <is>
          <t>eng</t>
        </is>
      </c>
      <c r="P2734" t="inlineStr">
        <is>
          <t>mau</t>
        </is>
      </c>
      <c r="R2734" t="inlineStr">
        <is>
          <t xml:space="preserve">HQ </t>
        </is>
      </c>
      <c r="S2734" t="n">
        <v>5</v>
      </c>
      <c r="T2734" t="n">
        <v>5</v>
      </c>
      <c r="U2734" t="inlineStr">
        <is>
          <t>2005-03-15</t>
        </is>
      </c>
      <c r="V2734" t="inlineStr">
        <is>
          <t>2005-03-15</t>
        </is>
      </c>
      <c r="W2734" t="inlineStr">
        <is>
          <t>2001-08-01</t>
        </is>
      </c>
      <c r="X2734" t="inlineStr">
        <is>
          <t>2001-08-01</t>
        </is>
      </c>
      <c r="Y2734" t="n">
        <v>494</v>
      </c>
      <c r="Z2734" t="n">
        <v>416</v>
      </c>
      <c r="AA2734" t="n">
        <v>483</v>
      </c>
      <c r="AB2734" t="n">
        <v>4</v>
      </c>
      <c r="AC2734" t="n">
        <v>5</v>
      </c>
      <c r="AD2734" t="n">
        <v>17</v>
      </c>
      <c r="AE2734" t="n">
        <v>20</v>
      </c>
      <c r="AF2734" t="n">
        <v>3</v>
      </c>
      <c r="AG2734" t="n">
        <v>4</v>
      </c>
      <c r="AH2734" t="n">
        <v>5</v>
      </c>
      <c r="AI2734" t="n">
        <v>6</v>
      </c>
      <c r="AJ2734" t="n">
        <v>9</v>
      </c>
      <c r="AK2734" t="n">
        <v>9</v>
      </c>
      <c r="AL2734" t="n">
        <v>3</v>
      </c>
      <c r="AM2734" t="n">
        <v>4</v>
      </c>
      <c r="AN2734" t="n">
        <v>1</v>
      </c>
      <c r="AO2734" t="n">
        <v>1</v>
      </c>
      <c r="AP2734" t="inlineStr">
        <is>
          <t>No</t>
        </is>
      </c>
      <c r="AQ2734" t="inlineStr">
        <is>
          <t>Yes</t>
        </is>
      </c>
      <c r="AR2734">
        <f>HYPERLINK("http://catalog.hathitrust.org/Record/002546529","HathiTrust Record")</f>
        <v/>
      </c>
      <c r="AS2734">
        <f>HYPERLINK("https://creighton-primo.hosted.exlibrisgroup.com/primo-explore/search?tab=default_tab&amp;search_scope=EVERYTHING&amp;vid=01CRU&amp;lang=en_US&amp;offset=0&amp;query=any,contains,991003572579702656","Catalog Record")</f>
        <v/>
      </c>
      <c r="AT2734">
        <f>HYPERLINK("http://www.worldcat.org/oclc/22957026","WorldCat Record")</f>
        <v/>
      </c>
      <c r="AU2734" t="inlineStr">
        <is>
          <t>24056961:eng</t>
        </is>
      </c>
      <c r="AV2734" t="inlineStr">
        <is>
          <t>22957026</t>
        </is>
      </c>
      <c r="AW2734" t="inlineStr">
        <is>
          <t>991003572579702656</t>
        </is>
      </c>
      <c r="AX2734" t="inlineStr">
        <is>
          <t>991003572579702656</t>
        </is>
      </c>
      <c r="AY2734" t="inlineStr">
        <is>
          <t>2261197230002656</t>
        </is>
      </c>
      <c r="AZ2734" t="inlineStr">
        <is>
          <t>BOOK</t>
        </is>
      </c>
      <c r="BB2734" t="inlineStr">
        <is>
          <t>9780669244410</t>
        </is>
      </c>
      <c r="BC2734" t="inlineStr">
        <is>
          <t>32285004375100</t>
        </is>
      </c>
      <c r="BD2734" t="inlineStr">
        <is>
          <t>893441441</t>
        </is>
      </c>
    </row>
    <row r="2735">
      <c r="A2735" t="inlineStr">
        <is>
          <t>No</t>
        </is>
      </c>
      <c r="B2735" t="inlineStr">
        <is>
          <t>HQ784.W3 J66 2004</t>
        </is>
      </c>
      <c r="C2735" t="inlineStr">
        <is>
          <t>0                      HQ 0784000W  3                  J  66          2004</t>
        </is>
      </c>
      <c r="D2735" t="inlineStr">
        <is>
          <t>Then they started shooting : growing up in wartime Bosnia / Lynne Jones.</t>
        </is>
      </c>
      <c r="F2735" t="inlineStr">
        <is>
          <t>No</t>
        </is>
      </c>
      <c r="G2735" t="inlineStr">
        <is>
          <t>1</t>
        </is>
      </c>
      <c r="H2735" t="inlineStr">
        <is>
          <t>No</t>
        </is>
      </c>
      <c r="I2735" t="inlineStr">
        <is>
          <t>No</t>
        </is>
      </c>
      <c r="J2735" t="inlineStr">
        <is>
          <t>0</t>
        </is>
      </c>
      <c r="K2735" t="inlineStr">
        <is>
          <t>Jones, Lynne.</t>
        </is>
      </c>
      <c r="L2735" t="inlineStr">
        <is>
          <t>Cambridge, Mass. : Harvard University Press, 2004.</t>
        </is>
      </c>
      <c r="M2735" t="inlineStr">
        <is>
          <t>2004</t>
        </is>
      </c>
      <c r="O2735" t="inlineStr">
        <is>
          <t>eng</t>
        </is>
      </c>
      <c r="P2735" t="inlineStr">
        <is>
          <t>mau</t>
        </is>
      </c>
      <c r="R2735" t="inlineStr">
        <is>
          <t xml:space="preserve">HQ </t>
        </is>
      </c>
      <c r="S2735" t="n">
        <v>1</v>
      </c>
      <c r="T2735" t="n">
        <v>1</v>
      </c>
      <c r="U2735" t="inlineStr">
        <is>
          <t>2006-10-09</t>
        </is>
      </c>
      <c r="V2735" t="inlineStr">
        <is>
          <t>2006-10-09</t>
        </is>
      </c>
      <c r="W2735" t="inlineStr">
        <is>
          <t>2005-01-06</t>
        </is>
      </c>
      <c r="X2735" t="inlineStr">
        <is>
          <t>2005-01-06</t>
        </is>
      </c>
      <c r="Y2735" t="n">
        <v>466</v>
      </c>
      <c r="Z2735" t="n">
        <v>380</v>
      </c>
      <c r="AA2735" t="n">
        <v>387</v>
      </c>
      <c r="AB2735" t="n">
        <v>3</v>
      </c>
      <c r="AC2735" t="n">
        <v>3</v>
      </c>
      <c r="AD2735" t="n">
        <v>18</v>
      </c>
      <c r="AE2735" t="n">
        <v>18</v>
      </c>
      <c r="AF2735" t="n">
        <v>5</v>
      </c>
      <c r="AG2735" t="n">
        <v>5</v>
      </c>
      <c r="AH2735" t="n">
        <v>8</v>
      </c>
      <c r="AI2735" t="n">
        <v>8</v>
      </c>
      <c r="AJ2735" t="n">
        <v>10</v>
      </c>
      <c r="AK2735" t="n">
        <v>10</v>
      </c>
      <c r="AL2735" t="n">
        <v>2</v>
      </c>
      <c r="AM2735" t="n">
        <v>2</v>
      </c>
      <c r="AN2735" t="n">
        <v>0</v>
      </c>
      <c r="AO2735" t="n">
        <v>0</v>
      </c>
      <c r="AP2735" t="inlineStr">
        <is>
          <t>No</t>
        </is>
      </c>
      <c r="AQ2735" t="inlineStr">
        <is>
          <t>Yes</t>
        </is>
      </c>
      <c r="AR2735">
        <f>HYPERLINK("http://catalog.hathitrust.org/Record/004963533","HathiTrust Record")</f>
        <v/>
      </c>
      <c r="AS2735">
        <f>HYPERLINK("https://creighton-primo.hosted.exlibrisgroup.com/primo-explore/search?tab=default_tab&amp;search_scope=EVERYTHING&amp;vid=01CRU&amp;lang=en_US&amp;offset=0&amp;query=any,contains,991004376129702656","Catalog Record")</f>
        <v/>
      </c>
      <c r="AT2735">
        <f>HYPERLINK("http://www.worldcat.org/oclc/55511139","WorldCat Record")</f>
        <v/>
      </c>
      <c r="AU2735" t="inlineStr">
        <is>
          <t>1034101:eng</t>
        </is>
      </c>
      <c r="AV2735" t="inlineStr">
        <is>
          <t>55511139</t>
        </is>
      </c>
      <c r="AW2735" t="inlineStr">
        <is>
          <t>991004376129702656</t>
        </is>
      </c>
      <c r="AX2735" t="inlineStr">
        <is>
          <t>991004376129702656</t>
        </is>
      </c>
      <c r="AY2735" t="inlineStr">
        <is>
          <t>2261212010002656</t>
        </is>
      </c>
      <c r="AZ2735" t="inlineStr">
        <is>
          <t>BOOK</t>
        </is>
      </c>
      <c r="BB2735" t="inlineStr">
        <is>
          <t>9780674015616</t>
        </is>
      </c>
      <c r="BC2735" t="inlineStr">
        <is>
          <t>32285005019079</t>
        </is>
      </c>
      <c r="BD2735" t="inlineStr">
        <is>
          <t>893693871</t>
        </is>
      </c>
    </row>
    <row r="2736">
      <c r="A2736" t="inlineStr">
        <is>
          <t>No</t>
        </is>
      </c>
      <c r="B2736" t="inlineStr">
        <is>
          <t>HQ784.W3 R67 1983</t>
        </is>
      </c>
      <c r="C2736" t="inlineStr">
        <is>
          <t>0                      HQ 0784000W  3                  R  67          1983</t>
        </is>
      </c>
      <c r="D2736" t="inlineStr">
        <is>
          <t>Children of war / Roger Rosenblatt.</t>
        </is>
      </c>
      <c r="F2736" t="inlineStr">
        <is>
          <t>No</t>
        </is>
      </c>
      <c r="G2736" t="inlineStr">
        <is>
          <t>1</t>
        </is>
      </c>
      <c r="H2736" t="inlineStr">
        <is>
          <t>No</t>
        </is>
      </c>
      <c r="I2736" t="inlineStr">
        <is>
          <t>No</t>
        </is>
      </c>
      <c r="J2736" t="inlineStr">
        <is>
          <t>0</t>
        </is>
      </c>
      <c r="K2736" t="inlineStr">
        <is>
          <t>Rosenblatt, Roger.</t>
        </is>
      </c>
      <c r="L2736" t="inlineStr">
        <is>
          <t>Garden City, N.Y. : Anchor Press/Doubleday, 1983.</t>
        </is>
      </c>
      <c r="M2736" t="inlineStr">
        <is>
          <t>1983</t>
        </is>
      </c>
      <c r="N2736" t="inlineStr">
        <is>
          <t>1st ed.</t>
        </is>
      </c>
      <c r="O2736" t="inlineStr">
        <is>
          <t>eng</t>
        </is>
      </c>
      <c r="P2736" t="inlineStr">
        <is>
          <t>nyu</t>
        </is>
      </c>
      <c r="R2736" t="inlineStr">
        <is>
          <t xml:space="preserve">HQ </t>
        </is>
      </c>
      <c r="S2736" t="n">
        <v>1</v>
      </c>
      <c r="T2736" t="n">
        <v>1</v>
      </c>
      <c r="U2736" t="inlineStr">
        <is>
          <t>2004-12-07</t>
        </is>
      </c>
      <c r="V2736" t="inlineStr">
        <is>
          <t>2004-12-07</t>
        </is>
      </c>
      <c r="W2736" t="inlineStr">
        <is>
          <t>1992-11-12</t>
        </is>
      </c>
      <c r="X2736" t="inlineStr">
        <is>
          <t>1992-11-12</t>
        </is>
      </c>
      <c r="Y2736" t="n">
        <v>859</v>
      </c>
      <c r="Z2736" t="n">
        <v>791</v>
      </c>
      <c r="AA2736" t="n">
        <v>880</v>
      </c>
      <c r="AB2736" t="n">
        <v>6</v>
      </c>
      <c r="AC2736" t="n">
        <v>6</v>
      </c>
      <c r="AD2736" t="n">
        <v>19</v>
      </c>
      <c r="AE2736" t="n">
        <v>23</v>
      </c>
      <c r="AF2736" t="n">
        <v>9</v>
      </c>
      <c r="AG2736" t="n">
        <v>11</v>
      </c>
      <c r="AH2736" t="n">
        <v>4</v>
      </c>
      <c r="AI2736" t="n">
        <v>4</v>
      </c>
      <c r="AJ2736" t="n">
        <v>8</v>
      </c>
      <c r="AK2736" t="n">
        <v>10</v>
      </c>
      <c r="AL2736" t="n">
        <v>3</v>
      </c>
      <c r="AM2736" t="n">
        <v>3</v>
      </c>
      <c r="AN2736" t="n">
        <v>0</v>
      </c>
      <c r="AO2736" t="n">
        <v>0</v>
      </c>
      <c r="AP2736" t="inlineStr">
        <is>
          <t>No</t>
        </is>
      </c>
      <c r="AQ2736" t="inlineStr">
        <is>
          <t>Yes</t>
        </is>
      </c>
      <c r="AR2736">
        <f>HYPERLINK("http://catalog.hathitrust.org/Record/000315421","HathiTrust Record")</f>
        <v/>
      </c>
      <c r="AS2736">
        <f>HYPERLINK("https://creighton-primo.hosted.exlibrisgroup.com/primo-explore/search?tab=default_tab&amp;search_scope=EVERYTHING&amp;vid=01CRU&amp;lang=en_US&amp;offset=0&amp;query=any,contains,991000152199702656","Catalog Record")</f>
        <v/>
      </c>
      <c r="AT2736">
        <f>HYPERLINK("http://www.worldcat.org/oclc/9217373","WorldCat Record")</f>
        <v/>
      </c>
      <c r="AU2736" t="inlineStr">
        <is>
          <t>2850917:eng</t>
        </is>
      </c>
      <c r="AV2736" t="inlineStr">
        <is>
          <t>9217373</t>
        </is>
      </c>
      <c r="AW2736" t="inlineStr">
        <is>
          <t>991000152199702656</t>
        </is>
      </c>
      <c r="AX2736" t="inlineStr">
        <is>
          <t>991000152199702656</t>
        </is>
      </c>
      <c r="AY2736" t="inlineStr">
        <is>
          <t>2267775460002656</t>
        </is>
      </c>
      <c r="AZ2736" t="inlineStr">
        <is>
          <t>BOOK</t>
        </is>
      </c>
      <c r="BB2736" t="inlineStr">
        <is>
          <t>9780385182508</t>
        </is>
      </c>
      <c r="BC2736" t="inlineStr">
        <is>
          <t>32285001396026</t>
        </is>
      </c>
      <c r="BD2736" t="inlineStr">
        <is>
          <t>893777737</t>
        </is>
      </c>
    </row>
    <row r="2737">
      <c r="A2737" t="inlineStr">
        <is>
          <t>No</t>
        </is>
      </c>
      <c r="B2737" t="inlineStr">
        <is>
          <t>HQ784.W3 S75 2006</t>
        </is>
      </c>
      <c r="C2737" t="inlineStr">
        <is>
          <t>0                      HQ 0784000W  3                  S  75          2006</t>
        </is>
      </c>
      <c r="D2737" t="inlineStr">
        <is>
          <t>Stolen voices : young people's war diaries, from World War I to Iraq / edited with commentaries by Zlata Filipović and Melanie Challenger ; foreword by Olara A. Otunnu.</t>
        </is>
      </c>
      <c r="F2737" t="inlineStr">
        <is>
          <t>No</t>
        </is>
      </c>
      <c r="G2737" t="inlineStr">
        <is>
          <t>1</t>
        </is>
      </c>
      <c r="H2737" t="inlineStr">
        <is>
          <t>No</t>
        </is>
      </c>
      <c r="I2737" t="inlineStr">
        <is>
          <t>No</t>
        </is>
      </c>
      <c r="J2737" t="inlineStr">
        <is>
          <t>0</t>
        </is>
      </c>
      <c r="L2737" t="inlineStr">
        <is>
          <t>New York : Penguin Books, 2006.</t>
        </is>
      </c>
      <c r="M2737" t="inlineStr">
        <is>
          <t>2006</t>
        </is>
      </c>
      <c r="O2737" t="inlineStr">
        <is>
          <t>eng</t>
        </is>
      </c>
      <c r="P2737" t="inlineStr">
        <is>
          <t>nyu</t>
        </is>
      </c>
      <c r="R2737" t="inlineStr">
        <is>
          <t xml:space="preserve">HQ </t>
        </is>
      </c>
      <c r="S2737" t="n">
        <v>2</v>
      </c>
      <c r="T2737" t="n">
        <v>2</v>
      </c>
      <c r="U2737" t="inlineStr">
        <is>
          <t>2007-06-05</t>
        </is>
      </c>
      <c r="V2737" t="inlineStr">
        <is>
          <t>2007-06-05</t>
        </is>
      </c>
      <c r="W2737" t="inlineStr">
        <is>
          <t>2007-06-05</t>
        </is>
      </c>
      <c r="X2737" t="inlineStr">
        <is>
          <t>2007-06-05</t>
        </is>
      </c>
      <c r="Y2737" t="n">
        <v>895</v>
      </c>
      <c r="Z2737" t="n">
        <v>861</v>
      </c>
      <c r="AA2737" t="n">
        <v>915</v>
      </c>
      <c r="AB2737" t="n">
        <v>7</v>
      </c>
      <c r="AC2737" t="n">
        <v>7</v>
      </c>
      <c r="AD2737" t="n">
        <v>21</v>
      </c>
      <c r="AE2737" t="n">
        <v>21</v>
      </c>
      <c r="AF2737" t="n">
        <v>10</v>
      </c>
      <c r="AG2737" t="n">
        <v>10</v>
      </c>
      <c r="AH2737" t="n">
        <v>4</v>
      </c>
      <c r="AI2737" t="n">
        <v>4</v>
      </c>
      <c r="AJ2737" t="n">
        <v>10</v>
      </c>
      <c r="AK2737" t="n">
        <v>10</v>
      </c>
      <c r="AL2737" t="n">
        <v>3</v>
      </c>
      <c r="AM2737" t="n">
        <v>3</v>
      </c>
      <c r="AN2737" t="n">
        <v>0</v>
      </c>
      <c r="AO2737" t="n">
        <v>0</v>
      </c>
      <c r="AP2737" t="inlineStr">
        <is>
          <t>No</t>
        </is>
      </c>
      <c r="AQ2737" t="inlineStr">
        <is>
          <t>Yes</t>
        </is>
      </c>
      <c r="AR2737">
        <f>HYPERLINK("http://catalog.hathitrust.org/Record/007147969","HathiTrust Record")</f>
        <v/>
      </c>
      <c r="AS2737">
        <f>HYPERLINK("https://creighton-primo.hosted.exlibrisgroup.com/primo-explore/search?tab=default_tab&amp;search_scope=EVERYTHING&amp;vid=01CRU&amp;lang=en_US&amp;offset=0&amp;query=any,contains,991005083189702656","Catalog Record")</f>
        <v/>
      </c>
      <c r="AT2737">
        <f>HYPERLINK("http://www.worldcat.org/oclc/77476351","WorldCat Record")</f>
        <v/>
      </c>
      <c r="AU2737" t="inlineStr">
        <is>
          <t>4241262687:eng</t>
        </is>
      </c>
      <c r="AV2737" t="inlineStr">
        <is>
          <t>77476351</t>
        </is>
      </c>
      <c r="AW2737" t="inlineStr">
        <is>
          <t>991005083189702656</t>
        </is>
      </c>
      <c r="AX2737" t="inlineStr">
        <is>
          <t>991005083189702656</t>
        </is>
      </c>
      <c r="AY2737" t="inlineStr">
        <is>
          <t>2261914180002656</t>
        </is>
      </c>
      <c r="AZ2737" t="inlineStr">
        <is>
          <t>BOOK</t>
        </is>
      </c>
      <c r="BB2737" t="inlineStr">
        <is>
          <t>9780143038719</t>
        </is>
      </c>
      <c r="BC2737" t="inlineStr">
        <is>
          <t>32285005314991</t>
        </is>
      </c>
      <c r="BD2737" t="inlineStr">
        <is>
          <t>893526868</t>
        </is>
      </c>
    </row>
    <row r="2738">
      <c r="A2738" t="inlineStr">
        <is>
          <t>No</t>
        </is>
      </c>
      <c r="B2738" t="inlineStr">
        <is>
          <t>HQ784.W6 G64</t>
        </is>
      </c>
      <c r="C2738" t="inlineStr">
        <is>
          <t>0                      HQ 0784000W  6                  G  64</t>
        </is>
      </c>
      <c r="D2738" t="inlineStr">
        <is>
          <t>Children and work : a study of socialization / Bernard Goldstein, Jack Oldham.</t>
        </is>
      </c>
      <c r="F2738" t="inlineStr">
        <is>
          <t>No</t>
        </is>
      </c>
      <c r="G2738" t="inlineStr">
        <is>
          <t>1</t>
        </is>
      </c>
      <c r="H2738" t="inlineStr">
        <is>
          <t>No</t>
        </is>
      </c>
      <c r="I2738" t="inlineStr">
        <is>
          <t>No</t>
        </is>
      </c>
      <c r="J2738" t="inlineStr">
        <is>
          <t>0</t>
        </is>
      </c>
      <c r="K2738" t="inlineStr">
        <is>
          <t>Goldstein, Bernard, 1925-</t>
        </is>
      </c>
      <c r="L2738" t="inlineStr">
        <is>
          <t>New Brunswick, N.J. : Transaction Books, c1979.</t>
        </is>
      </c>
      <c r="M2738" t="inlineStr">
        <is>
          <t>1979</t>
        </is>
      </c>
      <c r="O2738" t="inlineStr">
        <is>
          <t>eng</t>
        </is>
      </c>
      <c r="P2738" t="inlineStr">
        <is>
          <t>nju</t>
        </is>
      </c>
      <c r="R2738" t="inlineStr">
        <is>
          <t xml:space="preserve">HQ </t>
        </is>
      </c>
      <c r="S2738" t="n">
        <v>2</v>
      </c>
      <c r="T2738" t="n">
        <v>2</v>
      </c>
      <c r="U2738" t="inlineStr">
        <is>
          <t>1997-02-11</t>
        </is>
      </c>
      <c r="V2738" t="inlineStr">
        <is>
          <t>1997-02-11</t>
        </is>
      </c>
      <c r="W2738" t="inlineStr">
        <is>
          <t>1992-11-12</t>
        </is>
      </c>
      <c r="X2738" t="inlineStr">
        <is>
          <t>1992-11-12</t>
        </is>
      </c>
      <c r="Y2738" t="n">
        <v>568</v>
      </c>
      <c r="Z2738" t="n">
        <v>482</v>
      </c>
      <c r="AA2738" t="n">
        <v>489</v>
      </c>
      <c r="AB2738" t="n">
        <v>5</v>
      </c>
      <c r="AC2738" t="n">
        <v>5</v>
      </c>
      <c r="AD2738" t="n">
        <v>21</v>
      </c>
      <c r="AE2738" t="n">
        <v>21</v>
      </c>
      <c r="AF2738" t="n">
        <v>6</v>
      </c>
      <c r="AG2738" t="n">
        <v>6</v>
      </c>
      <c r="AH2738" t="n">
        <v>5</v>
      </c>
      <c r="AI2738" t="n">
        <v>5</v>
      </c>
      <c r="AJ2738" t="n">
        <v>11</v>
      </c>
      <c r="AK2738" t="n">
        <v>11</v>
      </c>
      <c r="AL2738" t="n">
        <v>3</v>
      </c>
      <c r="AM2738" t="n">
        <v>3</v>
      </c>
      <c r="AN2738" t="n">
        <v>0</v>
      </c>
      <c r="AO2738" t="n">
        <v>0</v>
      </c>
      <c r="AP2738" t="inlineStr">
        <is>
          <t>No</t>
        </is>
      </c>
      <c r="AQ2738" t="inlineStr">
        <is>
          <t>No</t>
        </is>
      </c>
      <c r="AS2738">
        <f>HYPERLINK("https://creighton-primo.hosted.exlibrisgroup.com/primo-explore/search?tab=default_tab&amp;search_scope=EVERYTHING&amp;vid=01CRU&amp;lang=en_US&amp;offset=0&amp;query=any,contains,991004677909702656","Catalog Record")</f>
        <v/>
      </c>
      <c r="AT2738">
        <f>HYPERLINK("http://www.worldcat.org/oclc/4549514","WorldCat Record")</f>
        <v/>
      </c>
      <c r="AU2738" t="inlineStr">
        <is>
          <t>970209036:eng</t>
        </is>
      </c>
      <c r="AV2738" t="inlineStr">
        <is>
          <t>4549514</t>
        </is>
      </c>
      <c r="AW2738" t="inlineStr">
        <is>
          <t>991004677909702656</t>
        </is>
      </c>
      <c r="AX2738" t="inlineStr">
        <is>
          <t>991004677909702656</t>
        </is>
      </c>
      <c r="AY2738" t="inlineStr">
        <is>
          <t>2272639010002656</t>
        </is>
      </c>
      <c r="AZ2738" t="inlineStr">
        <is>
          <t>BOOK</t>
        </is>
      </c>
      <c r="BB2738" t="inlineStr">
        <is>
          <t>9780878552856</t>
        </is>
      </c>
      <c r="BC2738" t="inlineStr">
        <is>
          <t>32285001396034</t>
        </is>
      </c>
      <c r="BD2738" t="inlineStr">
        <is>
          <t>893700531</t>
        </is>
      </c>
    </row>
    <row r="2739">
      <c r="A2739" t="inlineStr">
        <is>
          <t>No</t>
        </is>
      </c>
      <c r="B2739" t="inlineStr">
        <is>
          <t>HQ789 .C46</t>
        </is>
      </c>
      <c r="C2739" t="inlineStr">
        <is>
          <t>0                      HQ 0789000C  46</t>
        </is>
      </c>
      <c r="D2739" t="inlineStr">
        <is>
          <t>Children's rights : contemporary perspectives / Patricia A. Vardin and Ilene N. Brody, editors.</t>
        </is>
      </c>
      <c r="F2739" t="inlineStr">
        <is>
          <t>No</t>
        </is>
      </c>
      <c r="G2739" t="inlineStr">
        <is>
          <t>1</t>
        </is>
      </c>
      <c r="H2739" t="inlineStr">
        <is>
          <t>No</t>
        </is>
      </c>
      <c r="I2739" t="inlineStr">
        <is>
          <t>No</t>
        </is>
      </c>
      <c r="J2739" t="inlineStr">
        <is>
          <t>0</t>
        </is>
      </c>
      <c r="L2739" t="inlineStr">
        <is>
          <t>New York : Teachers College Press, 1978.</t>
        </is>
      </c>
      <c r="M2739" t="inlineStr">
        <is>
          <t>1978</t>
        </is>
      </c>
      <c r="O2739" t="inlineStr">
        <is>
          <t>eng</t>
        </is>
      </c>
      <c r="P2739" t="inlineStr">
        <is>
          <t>nyu</t>
        </is>
      </c>
      <c r="R2739" t="inlineStr">
        <is>
          <t xml:space="preserve">HQ </t>
        </is>
      </c>
      <c r="S2739" t="n">
        <v>15</v>
      </c>
      <c r="T2739" t="n">
        <v>15</v>
      </c>
      <c r="U2739" t="inlineStr">
        <is>
          <t>1998-11-14</t>
        </is>
      </c>
      <c r="V2739" t="inlineStr">
        <is>
          <t>1998-11-14</t>
        </is>
      </c>
      <c r="W2739" t="inlineStr">
        <is>
          <t>1990-05-03</t>
        </is>
      </c>
      <c r="X2739" t="inlineStr">
        <is>
          <t>1990-05-03</t>
        </is>
      </c>
      <c r="Y2739" t="n">
        <v>788</v>
      </c>
      <c r="Z2739" t="n">
        <v>714</v>
      </c>
      <c r="AA2739" t="n">
        <v>722</v>
      </c>
      <c r="AB2739" t="n">
        <v>5</v>
      </c>
      <c r="AC2739" t="n">
        <v>5</v>
      </c>
      <c r="AD2739" t="n">
        <v>35</v>
      </c>
      <c r="AE2739" t="n">
        <v>35</v>
      </c>
      <c r="AF2739" t="n">
        <v>11</v>
      </c>
      <c r="AG2739" t="n">
        <v>11</v>
      </c>
      <c r="AH2739" t="n">
        <v>6</v>
      </c>
      <c r="AI2739" t="n">
        <v>6</v>
      </c>
      <c r="AJ2739" t="n">
        <v>11</v>
      </c>
      <c r="AK2739" t="n">
        <v>11</v>
      </c>
      <c r="AL2739" t="n">
        <v>3</v>
      </c>
      <c r="AM2739" t="n">
        <v>3</v>
      </c>
      <c r="AN2739" t="n">
        <v>10</v>
      </c>
      <c r="AO2739" t="n">
        <v>10</v>
      </c>
      <c r="AP2739" t="inlineStr">
        <is>
          <t>No</t>
        </is>
      </c>
      <c r="AQ2739" t="inlineStr">
        <is>
          <t>No</t>
        </is>
      </c>
      <c r="AS2739">
        <f>HYPERLINK("https://creighton-primo.hosted.exlibrisgroup.com/primo-explore/search?tab=default_tab&amp;search_scope=EVERYTHING&amp;vid=01CRU&amp;lang=en_US&amp;offset=0&amp;query=any,contains,991004654569702656","Catalog Record")</f>
        <v/>
      </c>
      <c r="AT2739">
        <f>HYPERLINK("http://www.worldcat.org/oclc/4494938","WorldCat Record")</f>
        <v/>
      </c>
      <c r="AU2739" t="inlineStr">
        <is>
          <t>425642259:eng</t>
        </is>
      </c>
      <c r="AV2739" t="inlineStr">
        <is>
          <t>4494938</t>
        </is>
      </c>
      <c r="AW2739" t="inlineStr">
        <is>
          <t>991004654569702656</t>
        </is>
      </c>
      <c r="AX2739" t="inlineStr">
        <is>
          <t>991004654569702656</t>
        </is>
      </c>
      <c r="AY2739" t="inlineStr">
        <is>
          <t>2265378110002656</t>
        </is>
      </c>
      <c r="AZ2739" t="inlineStr">
        <is>
          <t>BOOK</t>
        </is>
      </c>
      <c r="BB2739" t="inlineStr">
        <is>
          <t>9780807725504</t>
        </is>
      </c>
      <c r="BC2739" t="inlineStr">
        <is>
          <t>32285000148006</t>
        </is>
      </c>
      <c r="BD2739" t="inlineStr">
        <is>
          <t>893795119</t>
        </is>
      </c>
    </row>
    <row r="2740">
      <c r="A2740" t="inlineStr">
        <is>
          <t>No</t>
        </is>
      </c>
      <c r="B2740" t="inlineStr">
        <is>
          <t>HQ789 .C47 1971b</t>
        </is>
      </c>
      <c r="C2740" t="inlineStr">
        <is>
          <t>0                      HQ 0789000C  47          1971b</t>
        </is>
      </c>
      <c r="D2740" t="inlineStr">
        <is>
          <t>Children's rights : toward the liberation of the child / [by] Paul Adams [and others] Introd. by Paul Goodman.</t>
        </is>
      </c>
      <c r="F2740" t="inlineStr">
        <is>
          <t>No</t>
        </is>
      </c>
      <c r="G2740" t="inlineStr">
        <is>
          <t>1</t>
        </is>
      </c>
      <c r="H2740" t="inlineStr">
        <is>
          <t>No</t>
        </is>
      </c>
      <c r="I2740" t="inlineStr">
        <is>
          <t>No</t>
        </is>
      </c>
      <c r="J2740" t="inlineStr">
        <is>
          <t>0</t>
        </is>
      </c>
      <c r="L2740" t="inlineStr">
        <is>
          <t>New York : Praeger, [1971]</t>
        </is>
      </c>
      <c r="M2740" t="inlineStr">
        <is>
          <t>1971</t>
        </is>
      </c>
      <c r="O2740" t="inlineStr">
        <is>
          <t>eng</t>
        </is>
      </c>
      <c r="P2740" t="inlineStr">
        <is>
          <t>nyu</t>
        </is>
      </c>
      <c r="R2740" t="inlineStr">
        <is>
          <t xml:space="preserve">HQ </t>
        </is>
      </c>
      <c r="S2740" t="n">
        <v>11</v>
      </c>
      <c r="T2740" t="n">
        <v>11</v>
      </c>
      <c r="U2740" t="inlineStr">
        <is>
          <t>1998-11-08</t>
        </is>
      </c>
      <c r="V2740" t="inlineStr">
        <is>
          <t>1998-11-08</t>
        </is>
      </c>
      <c r="W2740" t="inlineStr">
        <is>
          <t>1991-02-19</t>
        </is>
      </c>
      <c r="X2740" t="inlineStr">
        <is>
          <t>1991-02-19</t>
        </is>
      </c>
      <c r="Y2740" t="n">
        <v>684</v>
      </c>
      <c r="Z2740" t="n">
        <v>628</v>
      </c>
      <c r="AA2740" t="n">
        <v>717</v>
      </c>
      <c r="AB2740" t="n">
        <v>2</v>
      </c>
      <c r="AC2740" t="n">
        <v>4</v>
      </c>
      <c r="AD2740" t="n">
        <v>25</v>
      </c>
      <c r="AE2740" t="n">
        <v>28</v>
      </c>
      <c r="AF2740" t="n">
        <v>7</v>
      </c>
      <c r="AG2740" t="n">
        <v>8</v>
      </c>
      <c r="AH2740" t="n">
        <v>6</v>
      </c>
      <c r="AI2740" t="n">
        <v>6</v>
      </c>
      <c r="AJ2740" t="n">
        <v>9</v>
      </c>
      <c r="AK2740" t="n">
        <v>9</v>
      </c>
      <c r="AL2740" t="n">
        <v>1</v>
      </c>
      <c r="AM2740" t="n">
        <v>2</v>
      </c>
      <c r="AN2740" t="n">
        <v>6</v>
      </c>
      <c r="AO2740" t="n">
        <v>7</v>
      </c>
      <c r="AP2740" t="inlineStr">
        <is>
          <t>No</t>
        </is>
      </c>
      <c r="AQ2740" t="inlineStr">
        <is>
          <t>Yes</t>
        </is>
      </c>
      <c r="AR2740">
        <f>HYPERLINK("http://catalog.hathitrust.org/Record/000104825","HathiTrust Record")</f>
        <v/>
      </c>
      <c r="AS2740">
        <f>HYPERLINK("https://creighton-primo.hosted.exlibrisgroup.com/primo-explore/search?tab=default_tab&amp;search_scope=EVERYTHING&amp;vid=01CRU&amp;lang=en_US&amp;offset=0&amp;query=any,contains,991001236479702656","Catalog Record")</f>
        <v/>
      </c>
      <c r="AT2740">
        <f>HYPERLINK("http://www.worldcat.org/oclc/206462","WorldCat Record")</f>
        <v/>
      </c>
      <c r="AU2740" t="inlineStr">
        <is>
          <t>1253988:eng</t>
        </is>
      </c>
      <c r="AV2740" t="inlineStr">
        <is>
          <t>206462</t>
        </is>
      </c>
      <c r="AW2740" t="inlineStr">
        <is>
          <t>991001236479702656</t>
        </is>
      </c>
      <c r="AX2740" t="inlineStr">
        <is>
          <t>991001236479702656</t>
        </is>
      </c>
      <c r="AY2740" t="inlineStr">
        <is>
          <t>2255058930002656</t>
        </is>
      </c>
      <c r="AZ2740" t="inlineStr">
        <is>
          <t>BOOK</t>
        </is>
      </c>
      <c r="BC2740" t="inlineStr">
        <is>
          <t>32285000497577</t>
        </is>
      </c>
      <c r="BD2740" t="inlineStr">
        <is>
          <t>893503229</t>
        </is>
      </c>
    </row>
    <row r="2741">
      <c r="A2741" t="inlineStr">
        <is>
          <t>No</t>
        </is>
      </c>
      <c r="B2741" t="inlineStr">
        <is>
          <t>HQ789 .C63 1980</t>
        </is>
      </c>
      <c r="C2741" t="inlineStr">
        <is>
          <t>0                      HQ 0789000C  63          1980</t>
        </is>
      </c>
      <c r="D2741" t="inlineStr">
        <is>
          <t>Equal rights for children / by Howard Cohen.</t>
        </is>
      </c>
      <c r="F2741" t="inlineStr">
        <is>
          <t>No</t>
        </is>
      </c>
      <c r="G2741" t="inlineStr">
        <is>
          <t>1</t>
        </is>
      </c>
      <c r="H2741" t="inlineStr">
        <is>
          <t>No</t>
        </is>
      </c>
      <c r="I2741" t="inlineStr">
        <is>
          <t>No</t>
        </is>
      </c>
      <c r="J2741" t="inlineStr">
        <is>
          <t>0</t>
        </is>
      </c>
      <c r="K2741" t="inlineStr">
        <is>
          <t>Cohen, Howard, 1944-</t>
        </is>
      </c>
      <c r="L2741" t="inlineStr">
        <is>
          <t>Totowa, N.J. : Rowman and Littlefield, c1980.</t>
        </is>
      </c>
      <c r="M2741" t="inlineStr">
        <is>
          <t>1980</t>
        </is>
      </c>
      <c r="O2741" t="inlineStr">
        <is>
          <t>eng</t>
        </is>
      </c>
      <c r="P2741" t="inlineStr">
        <is>
          <t>nju</t>
        </is>
      </c>
      <c r="R2741" t="inlineStr">
        <is>
          <t xml:space="preserve">HQ </t>
        </is>
      </c>
      <c r="S2741" t="n">
        <v>11</v>
      </c>
      <c r="T2741" t="n">
        <v>11</v>
      </c>
      <c r="U2741" t="inlineStr">
        <is>
          <t>2004-12-07</t>
        </is>
      </c>
      <c r="V2741" t="inlineStr">
        <is>
          <t>2004-12-07</t>
        </is>
      </c>
      <c r="W2741" t="inlineStr">
        <is>
          <t>1992-11-12</t>
        </is>
      </c>
      <c r="X2741" t="inlineStr">
        <is>
          <t>1992-11-12</t>
        </is>
      </c>
      <c r="Y2741" t="n">
        <v>311</v>
      </c>
      <c r="Z2741" t="n">
        <v>288</v>
      </c>
      <c r="AA2741" t="n">
        <v>657</v>
      </c>
      <c r="AB2741" t="n">
        <v>1</v>
      </c>
      <c r="AC2741" t="n">
        <v>6</v>
      </c>
      <c r="AD2741" t="n">
        <v>20</v>
      </c>
      <c r="AE2741" t="n">
        <v>41</v>
      </c>
      <c r="AF2741" t="n">
        <v>3</v>
      </c>
      <c r="AG2741" t="n">
        <v>8</v>
      </c>
      <c r="AH2741" t="n">
        <v>3</v>
      </c>
      <c r="AI2741" t="n">
        <v>6</v>
      </c>
      <c r="AJ2741" t="n">
        <v>3</v>
      </c>
      <c r="AK2741" t="n">
        <v>12</v>
      </c>
      <c r="AL2741" t="n">
        <v>0</v>
      </c>
      <c r="AM2741" t="n">
        <v>3</v>
      </c>
      <c r="AN2741" t="n">
        <v>13</v>
      </c>
      <c r="AO2741" t="n">
        <v>18</v>
      </c>
      <c r="AP2741" t="inlineStr">
        <is>
          <t>No</t>
        </is>
      </c>
      <c r="AQ2741" t="inlineStr">
        <is>
          <t>Yes</t>
        </is>
      </c>
      <c r="AR2741">
        <f>HYPERLINK("http://catalog.hathitrust.org/Record/000732703","HathiTrust Record")</f>
        <v/>
      </c>
      <c r="AS2741">
        <f>HYPERLINK("https://creighton-primo.hosted.exlibrisgroup.com/primo-explore/search?tab=default_tab&amp;search_scope=EVERYTHING&amp;vid=01CRU&amp;lang=en_US&amp;offset=0&amp;query=any,contains,991004991529702656","Catalog Record")</f>
        <v/>
      </c>
      <c r="AT2741">
        <f>HYPERLINK("http://www.worldcat.org/oclc/6487459","WorldCat Record")</f>
        <v/>
      </c>
      <c r="AU2741" t="inlineStr">
        <is>
          <t>508104:eng</t>
        </is>
      </c>
      <c r="AV2741" t="inlineStr">
        <is>
          <t>6487459</t>
        </is>
      </c>
      <c r="AW2741" t="inlineStr">
        <is>
          <t>991004991529702656</t>
        </is>
      </c>
      <c r="AX2741" t="inlineStr">
        <is>
          <t>991004991529702656</t>
        </is>
      </c>
      <c r="AY2741" t="inlineStr">
        <is>
          <t>2271898000002656</t>
        </is>
      </c>
      <c r="AZ2741" t="inlineStr">
        <is>
          <t>BOOK</t>
        </is>
      </c>
      <c r="BB2741" t="inlineStr">
        <is>
          <t>9780847667727</t>
        </is>
      </c>
      <c r="BC2741" t="inlineStr">
        <is>
          <t>32285001396042</t>
        </is>
      </c>
      <c r="BD2741" t="inlineStr">
        <is>
          <t>893776666</t>
        </is>
      </c>
    </row>
    <row r="2742">
      <c r="A2742" t="inlineStr">
        <is>
          <t>No</t>
        </is>
      </c>
      <c r="B2742" t="inlineStr">
        <is>
          <t>HQ789 .E35 1996</t>
        </is>
      </c>
      <c r="C2742" t="inlineStr">
        <is>
          <t>0                      HQ 0789000E  35          1996</t>
        </is>
      </c>
      <c r="D2742" t="inlineStr">
        <is>
          <t>Children's rights : a reference handbook / Beverly C. Edmonds, William R. Fernekes.</t>
        </is>
      </c>
      <c r="F2742" t="inlineStr">
        <is>
          <t>No</t>
        </is>
      </c>
      <c r="G2742" t="inlineStr">
        <is>
          <t>1</t>
        </is>
      </c>
      <c r="H2742" t="inlineStr">
        <is>
          <t>No</t>
        </is>
      </c>
      <c r="I2742" t="inlineStr">
        <is>
          <t>No</t>
        </is>
      </c>
      <c r="J2742" t="inlineStr">
        <is>
          <t>0</t>
        </is>
      </c>
      <c r="K2742" t="inlineStr">
        <is>
          <t>Edmonds, Beverly C.</t>
        </is>
      </c>
      <c r="L2742" t="inlineStr">
        <is>
          <t>Santa Barbara, Calif. : ABC-CLIO, 1996.</t>
        </is>
      </c>
      <c r="M2742" t="inlineStr">
        <is>
          <t>1996</t>
        </is>
      </c>
      <c r="O2742" t="inlineStr">
        <is>
          <t>eng</t>
        </is>
      </c>
      <c r="P2742" t="inlineStr">
        <is>
          <t>cau</t>
        </is>
      </c>
      <c r="Q2742" t="inlineStr">
        <is>
          <t>Contemporary world issues</t>
        </is>
      </c>
      <c r="R2742" t="inlineStr">
        <is>
          <t xml:space="preserve">HQ </t>
        </is>
      </c>
      <c r="S2742" t="n">
        <v>1</v>
      </c>
      <c r="T2742" t="n">
        <v>1</v>
      </c>
      <c r="U2742" t="inlineStr">
        <is>
          <t>2004-12-07</t>
        </is>
      </c>
      <c r="V2742" t="inlineStr">
        <is>
          <t>2004-12-07</t>
        </is>
      </c>
      <c r="W2742" t="inlineStr">
        <is>
          <t>1996-11-13</t>
        </is>
      </c>
      <c r="X2742" t="inlineStr">
        <is>
          <t>1996-11-13</t>
        </is>
      </c>
      <c r="Y2742" t="n">
        <v>733</v>
      </c>
      <c r="Z2742" t="n">
        <v>662</v>
      </c>
      <c r="AA2742" t="n">
        <v>1176</v>
      </c>
      <c r="AB2742" t="n">
        <v>6</v>
      </c>
      <c r="AC2742" t="n">
        <v>8</v>
      </c>
      <c r="AD2742" t="n">
        <v>22</v>
      </c>
      <c r="AE2742" t="n">
        <v>30</v>
      </c>
      <c r="AF2742" t="n">
        <v>4</v>
      </c>
      <c r="AG2742" t="n">
        <v>9</v>
      </c>
      <c r="AH2742" t="n">
        <v>4</v>
      </c>
      <c r="AI2742" t="n">
        <v>5</v>
      </c>
      <c r="AJ2742" t="n">
        <v>9</v>
      </c>
      <c r="AK2742" t="n">
        <v>12</v>
      </c>
      <c r="AL2742" t="n">
        <v>5</v>
      </c>
      <c r="AM2742" t="n">
        <v>6</v>
      </c>
      <c r="AN2742" t="n">
        <v>3</v>
      </c>
      <c r="AO2742" t="n">
        <v>3</v>
      </c>
      <c r="AP2742" t="inlineStr">
        <is>
          <t>No</t>
        </is>
      </c>
      <c r="AQ2742" t="inlineStr">
        <is>
          <t>No</t>
        </is>
      </c>
      <c r="AS2742">
        <f>HYPERLINK("https://creighton-primo.hosted.exlibrisgroup.com/primo-explore/search?tab=default_tab&amp;search_scope=EVERYTHING&amp;vid=01CRU&amp;lang=en_US&amp;offset=0&amp;query=any,contains,991002823719702656","Catalog Record")</f>
        <v/>
      </c>
      <c r="AT2742">
        <f>HYPERLINK("http://www.worldcat.org/oclc/35559177","WorldCat Record")</f>
        <v/>
      </c>
      <c r="AU2742" t="inlineStr">
        <is>
          <t>854151649:eng</t>
        </is>
      </c>
      <c r="AV2742" t="inlineStr">
        <is>
          <t>35559177</t>
        </is>
      </c>
      <c r="AW2742" t="inlineStr">
        <is>
          <t>991002823719702656</t>
        </is>
      </c>
      <c r="AX2742" t="inlineStr">
        <is>
          <t>991002823719702656</t>
        </is>
      </c>
      <c r="AY2742" t="inlineStr">
        <is>
          <t>2271556670002656</t>
        </is>
      </c>
      <c r="AZ2742" t="inlineStr">
        <is>
          <t>BOOK</t>
        </is>
      </c>
      <c r="BB2742" t="inlineStr">
        <is>
          <t>9780874367645</t>
        </is>
      </c>
      <c r="BC2742" t="inlineStr">
        <is>
          <t>32285004282835</t>
        </is>
      </c>
      <c r="BD2742" t="inlineStr">
        <is>
          <t>893792964</t>
        </is>
      </c>
    </row>
    <row r="2743">
      <c r="A2743" t="inlineStr">
        <is>
          <t>No</t>
        </is>
      </c>
      <c r="B2743" t="inlineStr">
        <is>
          <t>HQ789 .F37 1978</t>
        </is>
      </c>
      <c r="C2743" t="inlineStr">
        <is>
          <t>0                      HQ 0789000F  37          1978</t>
        </is>
      </c>
      <c r="D2743" t="inlineStr">
        <is>
          <t>Birthrights / Richard Farson.</t>
        </is>
      </c>
      <c r="F2743" t="inlineStr">
        <is>
          <t>No</t>
        </is>
      </c>
      <c r="G2743" t="inlineStr">
        <is>
          <t>1</t>
        </is>
      </c>
      <c r="H2743" t="inlineStr">
        <is>
          <t>No</t>
        </is>
      </c>
      <c r="I2743" t="inlineStr">
        <is>
          <t>No</t>
        </is>
      </c>
      <c r="J2743" t="inlineStr">
        <is>
          <t>0</t>
        </is>
      </c>
      <c r="K2743" t="inlineStr">
        <is>
          <t>Farson, Richard Evans, 1926-</t>
        </is>
      </c>
      <c r="L2743" t="inlineStr">
        <is>
          <t>Harmondsworth, Eng. : Penguin Books, 1978, c1974.</t>
        </is>
      </c>
      <c r="M2743" t="inlineStr">
        <is>
          <t>1978</t>
        </is>
      </c>
      <c r="O2743" t="inlineStr">
        <is>
          <t>eng</t>
        </is>
      </c>
      <c r="P2743" t="inlineStr">
        <is>
          <t>enk</t>
        </is>
      </c>
      <c r="R2743" t="inlineStr">
        <is>
          <t xml:space="preserve">HQ </t>
        </is>
      </c>
      <c r="S2743" t="n">
        <v>6</v>
      </c>
      <c r="T2743" t="n">
        <v>6</v>
      </c>
      <c r="U2743" t="inlineStr">
        <is>
          <t>1998-11-08</t>
        </is>
      </c>
      <c r="V2743" t="inlineStr">
        <is>
          <t>1998-11-08</t>
        </is>
      </c>
      <c r="W2743" t="inlineStr">
        <is>
          <t>1992-10-16</t>
        </is>
      </c>
      <c r="X2743" t="inlineStr">
        <is>
          <t>1992-10-16</t>
        </is>
      </c>
      <c r="Y2743" t="n">
        <v>52</v>
      </c>
      <c r="Z2743" t="n">
        <v>43</v>
      </c>
      <c r="AA2743" t="n">
        <v>654</v>
      </c>
      <c r="AB2743" t="n">
        <v>1</v>
      </c>
      <c r="AC2743" t="n">
        <v>6</v>
      </c>
      <c r="AD2743" t="n">
        <v>0</v>
      </c>
      <c r="AE2743" t="n">
        <v>24</v>
      </c>
      <c r="AF2743" t="n">
        <v>0</v>
      </c>
      <c r="AG2743" t="n">
        <v>7</v>
      </c>
      <c r="AH2743" t="n">
        <v>0</v>
      </c>
      <c r="AI2743" t="n">
        <v>6</v>
      </c>
      <c r="AJ2743" t="n">
        <v>0</v>
      </c>
      <c r="AK2743" t="n">
        <v>8</v>
      </c>
      <c r="AL2743" t="n">
        <v>0</v>
      </c>
      <c r="AM2743" t="n">
        <v>3</v>
      </c>
      <c r="AN2743" t="n">
        <v>0</v>
      </c>
      <c r="AO2743" t="n">
        <v>6</v>
      </c>
      <c r="AP2743" t="inlineStr">
        <is>
          <t>No</t>
        </is>
      </c>
      <c r="AQ2743" t="inlineStr">
        <is>
          <t>No</t>
        </is>
      </c>
      <c r="AS2743">
        <f>HYPERLINK("https://creighton-primo.hosted.exlibrisgroup.com/primo-explore/search?tab=default_tab&amp;search_scope=EVERYTHING&amp;vid=01CRU&amp;lang=en_US&amp;offset=0&amp;query=any,contains,991004398949702656","Catalog Record")</f>
        <v/>
      </c>
      <c r="AT2743">
        <f>HYPERLINK("http://www.worldcat.org/oclc/3292973","WorldCat Record")</f>
        <v/>
      </c>
      <c r="AU2743" t="inlineStr">
        <is>
          <t>412776:eng</t>
        </is>
      </c>
      <c r="AV2743" t="inlineStr">
        <is>
          <t>3292973</t>
        </is>
      </c>
      <c r="AW2743" t="inlineStr">
        <is>
          <t>991004398949702656</t>
        </is>
      </c>
      <c r="AX2743" t="inlineStr">
        <is>
          <t>991004398949702656</t>
        </is>
      </c>
      <c r="AY2743" t="inlineStr">
        <is>
          <t>2269315050002656</t>
        </is>
      </c>
      <c r="AZ2743" t="inlineStr">
        <is>
          <t>BOOK</t>
        </is>
      </c>
      <c r="BB2743" t="inlineStr">
        <is>
          <t>9780140047851</t>
        </is>
      </c>
      <c r="BC2743" t="inlineStr">
        <is>
          <t>32285001350726</t>
        </is>
      </c>
      <c r="BD2743" t="inlineStr">
        <is>
          <t>893605984</t>
        </is>
      </c>
    </row>
    <row r="2744">
      <c r="A2744" t="inlineStr">
        <is>
          <t>No</t>
        </is>
      </c>
      <c r="B2744" t="inlineStr">
        <is>
          <t>HQ789 .F73 1983</t>
        </is>
      </c>
      <c r="C2744" t="inlineStr">
        <is>
          <t>0                      HQ 0789000F  73          1983</t>
        </is>
      </c>
      <c r="D2744" t="inlineStr">
        <is>
          <t>The rights and wrongs of children / by M.D.A. Freeman.</t>
        </is>
      </c>
      <c r="F2744" t="inlineStr">
        <is>
          <t>No</t>
        </is>
      </c>
      <c r="G2744" t="inlineStr">
        <is>
          <t>1</t>
        </is>
      </c>
      <c r="H2744" t="inlineStr">
        <is>
          <t>No</t>
        </is>
      </c>
      <c r="I2744" t="inlineStr">
        <is>
          <t>No</t>
        </is>
      </c>
      <c r="J2744" t="inlineStr">
        <is>
          <t>0</t>
        </is>
      </c>
      <c r="K2744" t="inlineStr">
        <is>
          <t>Freeman, Michael D. A.</t>
        </is>
      </c>
      <c r="L2744" t="inlineStr">
        <is>
          <t>London ; Dover, N.H. : F. Pinter, c1983.</t>
        </is>
      </c>
      <c r="M2744" t="inlineStr">
        <is>
          <t>1983</t>
        </is>
      </c>
      <c r="O2744" t="inlineStr">
        <is>
          <t>eng</t>
        </is>
      </c>
      <c r="P2744" t="inlineStr">
        <is>
          <t>enk</t>
        </is>
      </c>
      <c r="R2744" t="inlineStr">
        <is>
          <t xml:space="preserve">HQ </t>
        </is>
      </c>
      <c r="S2744" t="n">
        <v>8</v>
      </c>
      <c r="T2744" t="n">
        <v>8</v>
      </c>
      <c r="U2744" t="inlineStr">
        <is>
          <t>2004-12-07</t>
        </is>
      </c>
      <c r="V2744" t="inlineStr">
        <is>
          <t>2004-12-07</t>
        </is>
      </c>
      <c r="W2744" t="inlineStr">
        <is>
          <t>1992-11-16</t>
        </is>
      </c>
      <c r="X2744" t="inlineStr">
        <is>
          <t>1992-11-16</t>
        </is>
      </c>
      <c r="Y2744" t="n">
        <v>616</v>
      </c>
      <c r="Z2744" t="n">
        <v>462</v>
      </c>
      <c r="AA2744" t="n">
        <v>470</v>
      </c>
      <c r="AB2744" t="n">
        <v>4</v>
      </c>
      <c r="AC2744" t="n">
        <v>4</v>
      </c>
      <c r="AD2744" t="n">
        <v>32</v>
      </c>
      <c r="AE2744" t="n">
        <v>32</v>
      </c>
      <c r="AF2744" t="n">
        <v>9</v>
      </c>
      <c r="AG2744" t="n">
        <v>9</v>
      </c>
      <c r="AH2744" t="n">
        <v>4</v>
      </c>
      <c r="AI2744" t="n">
        <v>4</v>
      </c>
      <c r="AJ2744" t="n">
        <v>10</v>
      </c>
      <c r="AK2744" t="n">
        <v>10</v>
      </c>
      <c r="AL2744" t="n">
        <v>2</v>
      </c>
      <c r="AM2744" t="n">
        <v>2</v>
      </c>
      <c r="AN2744" t="n">
        <v>13</v>
      </c>
      <c r="AO2744" t="n">
        <v>13</v>
      </c>
      <c r="AP2744" t="inlineStr">
        <is>
          <t>No</t>
        </is>
      </c>
      <c r="AQ2744" t="inlineStr">
        <is>
          <t>Yes</t>
        </is>
      </c>
      <c r="AR2744">
        <f>HYPERLINK("http://catalog.hathitrust.org/Record/000122631","HathiTrust Record")</f>
        <v/>
      </c>
      <c r="AS2744">
        <f>HYPERLINK("https://creighton-primo.hosted.exlibrisgroup.com/primo-explore/search?tab=default_tab&amp;search_scope=EVERYTHING&amp;vid=01CRU&amp;lang=en_US&amp;offset=0&amp;query=any,contains,991000231389702656","Catalog Record")</f>
        <v/>
      </c>
      <c r="AT2744">
        <f>HYPERLINK("http://www.worldcat.org/oclc/9643875","WorldCat Record")</f>
        <v/>
      </c>
      <c r="AU2744" t="inlineStr">
        <is>
          <t>43694547:eng</t>
        </is>
      </c>
      <c r="AV2744" t="inlineStr">
        <is>
          <t>9643875</t>
        </is>
      </c>
      <c r="AW2744" t="inlineStr">
        <is>
          <t>991000231389702656</t>
        </is>
      </c>
      <c r="AX2744" t="inlineStr">
        <is>
          <t>991000231389702656</t>
        </is>
      </c>
      <c r="AY2744" t="inlineStr">
        <is>
          <t>2270310980002656</t>
        </is>
      </c>
      <c r="AZ2744" t="inlineStr">
        <is>
          <t>BOOK</t>
        </is>
      </c>
      <c r="BB2744" t="inlineStr">
        <is>
          <t>9780861872268</t>
        </is>
      </c>
      <c r="BC2744" t="inlineStr">
        <is>
          <t>32285001396059</t>
        </is>
      </c>
      <c r="BD2744" t="inlineStr">
        <is>
          <t>893339404</t>
        </is>
      </c>
    </row>
    <row r="2745">
      <c r="A2745" t="inlineStr">
        <is>
          <t>No</t>
        </is>
      </c>
      <c r="B2745" t="inlineStr">
        <is>
          <t>HQ789 .G74</t>
        </is>
      </c>
      <c r="C2745" t="inlineStr">
        <is>
          <t>0                      HQ 0789000G  74</t>
        </is>
      </c>
      <c r="D2745" t="inlineStr">
        <is>
          <t>A comprehensive look at children's rights / by Delpaneaux V. Walakafra-Wills, Jewel Thomas.</t>
        </is>
      </c>
      <c r="F2745" t="inlineStr">
        <is>
          <t>No</t>
        </is>
      </c>
      <c r="G2745" t="inlineStr">
        <is>
          <t>1</t>
        </is>
      </c>
      <c r="H2745" t="inlineStr">
        <is>
          <t>No</t>
        </is>
      </c>
      <c r="I2745" t="inlineStr">
        <is>
          <t>No</t>
        </is>
      </c>
      <c r="J2745" t="inlineStr">
        <is>
          <t>0</t>
        </is>
      </c>
      <c r="K2745" t="inlineStr">
        <is>
          <t>Walakafra-Wills, Delpaneaux V.</t>
        </is>
      </c>
      <c r="L2745" t="inlineStr">
        <is>
          <t>[Omaha? : s. n., 197-]</t>
        </is>
      </c>
      <c r="M2745" t="inlineStr">
        <is>
          <t>1970</t>
        </is>
      </c>
      <c r="O2745" t="inlineStr">
        <is>
          <t>eng</t>
        </is>
      </c>
      <c r="P2745" t="inlineStr">
        <is>
          <t>nbu</t>
        </is>
      </c>
      <c r="R2745" t="inlineStr">
        <is>
          <t xml:space="preserve">HQ </t>
        </is>
      </c>
      <c r="S2745" t="n">
        <v>3</v>
      </c>
      <c r="T2745" t="n">
        <v>3</v>
      </c>
      <c r="U2745" t="inlineStr">
        <is>
          <t>1998-11-08</t>
        </is>
      </c>
      <c r="V2745" t="inlineStr">
        <is>
          <t>1998-11-08</t>
        </is>
      </c>
      <c r="W2745" t="inlineStr">
        <is>
          <t>1997-03-04</t>
        </is>
      </c>
      <c r="X2745" t="inlineStr">
        <is>
          <t>1997-03-04</t>
        </is>
      </c>
      <c r="Y2745" t="n">
        <v>2</v>
      </c>
      <c r="Z2745" t="n">
        <v>2</v>
      </c>
      <c r="AA2745" t="n">
        <v>3</v>
      </c>
      <c r="AB2745" t="n">
        <v>1</v>
      </c>
      <c r="AC2745" t="n">
        <v>1</v>
      </c>
      <c r="AD2745" t="n">
        <v>0</v>
      </c>
      <c r="AE2745" t="n">
        <v>0</v>
      </c>
      <c r="AF2745" t="n">
        <v>0</v>
      </c>
      <c r="AG2745" t="n">
        <v>0</v>
      </c>
      <c r="AH2745" t="n">
        <v>0</v>
      </c>
      <c r="AI2745" t="n">
        <v>0</v>
      </c>
      <c r="AJ2745" t="n">
        <v>0</v>
      </c>
      <c r="AK2745" t="n">
        <v>0</v>
      </c>
      <c r="AL2745" t="n">
        <v>0</v>
      </c>
      <c r="AM2745" t="n">
        <v>0</v>
      </c>
      <c r="AN2745" t="n">
        <v>0</v>
      </c>
      <c r="AO2745" t="n">
        <v>0</v>
      </c>
      <c r="AP2745" t="inlineStr">
        <is>
          <t>No</t>
        </is>
      </c>
      <c r="AQ2745" t="inlineStr">
        <is>
          <t>No</t>
        </is>
      </c>
      <c r="AR2745">
        <f>HYPERLINK("http://catalog.hathitrust.org/Record/007514310","HathiTrust Record")</f>
        <v/>
      </c>
      <c r="AS2745">
        <f>HYPERLINK("https://creighton-primo.hosted.exlibrisgroup.com/primo-explore/search?tab=default_tab&amp;search_scope=EVERYTHING&amp;vid=01CRU&amp;lang=en_US&amp;offset=0&amp;query=any,contains,991004586819702656","Catalog Record")</f>
        <v/>
      </c>
      <c r="AT2745">
        <f>HYPERLINK("http://www.worldcat.org/oclc/4093506","WorldCat Record")</f>
        <v/>
      </c>
      <c r="AU2745" t="inlineStr">
        <is>
          <t>2220436461:eng</t>
        </is>
      </c>
      <c r="AV2745" t="inlineStr">
        <is>
          <t>4093506</t>
        </is>
      </c>
      <c r="AW2745" t="inlineStr">
        <is>
          <t>991004586819702656</t>
        </is>
      </c>
      <c r="AX2745" t="inlineStr">
        <is>
          <t>991004586819702656</t>
        </is>
      </c>
      <c r="AY2745" t="inlineStr">
        <is>
          <t>2258926140002656</t>
        </is>
      </c>
      <c r="AZ2745" t="inlineStr">
        <is>
          <t>BOOK</t>
        </is>
      </c>
      <c r="BC2745" t="inlineStr">
        <is>
          <t>32285002463999</t>
        </is>
      </c>
      <c r="BD2745" t="inlineStr">
        <is>
          <t>893888922</t>
        </is>
      </c>
    </row>
    <row r="2746">
      <c r="A2746" t="inlineStr">
        <is>
          <t>No</t>
        </is>
      </c>
      <c r="B2746" t="inlineStr">
        <is>
          <t>HQ789 .H39 1991</t>
        </is>
      </c>
      <c r="C2746" t="inlineStr">
        <is>
          <t>0                      HQ 0789000H  39          1991</t>
        </is>
      </c>
      <c r="D2746" t="inlineStr">
        <is>
          <t>The children's rights movement : a history of advocacy and protection / Joseph M. Hawes.</t>
        </is>
      </c>
      <c r="F2746" t="inlineStr">
        <is>
          <t>No</t>
        </is>
      </c>
      <c r="G2746" t="inlineStr">
        <is>
          <t>1</t>
        </is>
      </c>
      <c r="H2746" t="inlineStr">
        <is>
          <t>No</t>
        </is>
      </c>
      <c r="I2746" t="inlineStr">
        <is>
          <t>No</t>
        </is>
      </c>
      <c r="J2746" t="inlineStr">
        <is>
          <t>0</t>
        </is>
      </c>
      <c r="K2746" t="inlineStr">
        <is>
          <t>Hawes, Joseph M.</t>
        </is>
      </c>
      <c r="L2746" t="inlineStr">
        <is>
          <t>Boston : Twayne Publishers, c1991.</t>
        </is>
      </c>
      <c r="M2746" t="inlineStr">
        <is>
          <t>1991</t>
        </is>
      </c>
      <c r="O2746" t="inlineStr">
        <is>
          <t>eng</t>
        </is>
      </c>
      <c r="P2746" t="inlineStr">
        <is>
          <t>mau</t>
        </is>
      </c>
      <c r="Q2746" t="inlineStr">
        <is>
          <t>Social movements past and present</t>
        </is>
      </c>
      <c r="R2746" t="inlineStr">
        <is>
          <t xml:space="preserve">HQ </t>
        </is>
      </c>
      <c r="S2746" t="n">
        <v>17</v>
      </c>
      <c r="T2746" t="n">
        <v>17</v>
      </c>
      <c r="U2746" t="inlineStr">
        <is>
          <t>1998-11-14</t>
        </is>
      </c>
      <c r="V2746" t="inlineStr">
        <is>
          <t>1998-11-14</t>
        </is>
      </c>
      <c r="W2746" t="inlineStr">
        <is>
          <t>1991-11-04</t>
        </is>
      </c>
      <c r="X2746" t="inlineStr">
        <is>
          <t>1991-11-04</t>
        </is>
      </c>
      <c r="Y2746" t="n">
        <v>915</v>
      </c>
      <c r="Z2746" t="n">
        <v>840</v>
      </c>
      <c r="AA2746" t="n">
        <v>849</v>
      </c>
      <c r="AB2746" t="n">
        <v>4</v>
      </c>
      <c r="AC2746" t="n">
        <v>4</v>
      </c>
      <c r="AD2746" t="n">
        <v>41</v>
      </c>
      <c r="AE2746" t="n">
        <v>41</v>
      </c>
      <c r="AF2746" t="n">
        <v>11</v>
      </c>
      <c r="AG2746" t="n">
        <v>11</v>
      </c>
      <c r="AH2746" t="n">
        <v>6</v>
      </c>
      <c r="AI2746" t="n">
        <v>6</v>
      </c>
      <c r="AJ2746" t="n">
        <v>16</v>
      </c>
      <c r="AK2746" t="n">
        <v>16</v>
      </c>
      <c r="AL2746" t="n">
        <v>3</v>
      </c>
      <c r="AM2746" t="n">
        <v>3</v>
      </c>
      <c r="AN2746" t="n">
        <v>13</v>
      </c>
      <c r="AO2746" t="n">
        <v>13</v>
      </c>
      <c r="AP2746" t="inlineStr">
        <is>
          <t>No</t>
        </is>
      </c>
      <c r="AQ2746" t="inlineStr">
        <is>
          <t>Yes</t>
        </is>
      </c>
      <c r="AR2746">
        <f>HYPERLINK("http://catalog.hathitrust.org/Record/002473988","HathiTrust Record")</f>
        <v/>
      </c>
      <c r="AS2746">
        <f>HYPERLINK("https://creighton-primo.hosted.exlibrisgroup.com/primo-explore/search?tab=default_tab&amp;search_scope=EVERYTHING&amp;vid=01CRU&amp;lang=en_US&amp;offset=0&amp;query=any,contains,991001856779702656","Catalog Record")</f>
        <v/>
      </c>
      <c r="AT2746">
        <f>HYPERLINK("http://www.worldcat.org/oclc/23287570","WorldCat Record")</f>
        <v/>
      </c>
      <c r="AU2746" t="inlineStr">
        <is>
          <t>476147321:eng</t>
        </is>
      </c>
      <c r="AV2746" t="inlineStr">
        <is>
          <t>23287570</t>
        </is>
      </c>
      <c r="AW2746" t="inlineStr">
        <is>
          <t>991001856779702656</t>
        </is>
      </c>
      <c r="AX2746" t="inlineStr">
        <is>
          <t>991001856779702656</t>
        </is>
      </c>
      <c r="AY2746" t="inlineStr">
        <is>
          <t>2272158300002656</t>
        </is>
      </c>
      <c r="AZ2746" t="inlineStr">
        <is>
          <t>BOOK</t>
        </is>
      </c>
      <c r="BB2746" t="inlineStr">
        <is>
          <t>9780805797480</t>
        </is>
      </c>
      <c r="BC2746" t="inlineStr">
        <is>
          <t>32285000729201</t>
        </is>
      </c>
      <c r="BD2746" t="inlineStr">
        <is>
          <t>893772970</t>
        </is>
      </c>
    </row>
    <row r="2747">
      <c r="A2747" t="inlineStr">
        <is>
          <t>No</t>
        </is>
      </c>
      <c r="B2747" t="inlineStr">
        <is>
          <t>HQ789 .L54 2002</t>
        </is>
      </c>
      <c r="C2747" t="inlineStr">
        <is>
          <t>0                      HQ 0789000L  54          2002</t>
        </is>
      </c>
      <c r="D2747" t="inlineStr">
        <is>
          <t>A life like mine.</t>
        </is>
      </c>
      <c r="F2747" t="inlineStr">
        <is>
          <t>No</t>
        </is>
      </c>
      <c r="G2747" t="inlineStr">
        <is>
          <t>1</t>
        </is>
      </c>
      <c r="H2747" t="inlineStr">
        <is>
          <t>No</t>
        </is>
      </c>
      <c r="I2747" t="inlineStr">
        <is>
          <t>No</t>
        </is>
      </c>
      <c r="J2747" t="inlineStr">
        <is>
          <t>0</t>
        </is>
      </c>
      <c r="L2747" t="inlineStr">
        <is>
          <t>New York : DK Pub., 2002.</t>
        </is>
      </c>
      <c r="M2747" t="inlineStr">
        <is>
          <t>2002</t>
        </is>
      </c>
      <c r="N2747" t="inlineStr">
        <is>
          <t>1st American ed.</t>
        </is>
      </c>
      <c r="O2747" t="inlineStr">
        <is>
          <t>eng</t>
        </is>
      </c>
      <c r="P2747" t="inlineStr">
        <is>
          <t>nyu</t>
        </is>
      </c>
      <c r="R2747" t="inlineStr">
        <is>
          <t xml:space="preserve">HQ </t>
        </is>
      </c>
      <c r="S2747" t="n">
        <v>4</v>
      </c>
      <c r="T2747" t="n">
        <v>4</v>
      </c>
      <c r="U2747" t="inlineStr">
        <is>
          <t>2008-11-20</t>
        </is>
      </c>
      <c r="V2747" t="inlineStr">
        <is>
          <t>2008-11-20</t>
        </is>
      </c>
      <c r="W2747" t="inlineStr">
        <is>
          <t>2006-11-07</t>
        </is>
      </c>
      <c r="X2747" t="inlineStr">
        <is>
          <t>2006-11-07</t>
        </is>
      </c>
      <c r="Y2747" t="n">
        <v>826</v>
      </c>
      <c r="Z2747" t="n">
        <v>744</v>
      </c>
      <c r="AA2747" t="n">
        <v>934</v>
      </c>
      <c r="AB2747" t="n">
        <v>10</v>
      </c>
      <c r="AC2747" t="n">
        <v>10</v>
      </c>
      <c r="AD2747" t="n">
        <v>5</v>
      </c>
      <c r="AE2747" t="n">
        <v>8</v>
      </c>
      <c r="AF2747" t="n">
        <v>1</v>
      </c>
      <c r="AG2747" t="n">
        <v>4</v>
      </c>
      <c r="AH2747" t="n">
        <v>0</v>
      </c>
      <c r="AI2747" t="n">
        <v>1</v>
      </c>
      <c r="AJ2747" t="n">
        <v>4</v>
      </c>
      <c r="AK2747" t="n">
        <v>5</v>
      </c>
      <c r="AL2747" t="n">
        <v>1</v>
      </c>
      <c r="AM2747" t="n">
        <v>1</v>
      </c>
      <c r="AN2747" t="n">
        <v>0</v>
      </c>
      <c r="AO2747" t="n">
        <v>0</v>
      </c>
      <c r="AP2747" t="inlineStr">
        <is>
          <t>No</t>
        </is>
      </c>
      <c r="AQ2747" t="inlineStr">
        <is>
          <t>No</t>
        </is>
      </c>
      <c r="AS2747">
        <f>HYPERLINK("https://creighton-primo.hosted.exlibrisgroup.com/primo-explore/search?tab=default_tab&amp;search_scope=EVERYTHING&amp;vid=01CRU&amp;lang=en_US&amp;offset=0&amp;query=any,contains,991004969119702656","Catalog Record")</f>
        <v/>
      </c>
      <c r="AT2747">
        <f>HYPERLINK("http://www.worldcat.org/oclc/50234988","WorldCat Record")</f>
        <v/>
      </c>
      <c r="AU2747" t="inlineStr">
        <is>
          <t>372879:eng</t>
        </is>
      </c>
      <c r="AV2747" t="inlineStr">
        <is>
          <t>50234988</t>
        </is>
      </c>
      <c r="AW2747" t="inlineStr">
        <is>
          <t>991004969119702656</t>
        </is>
      </c>
      <c r="AX2747" t="inlineStr">
        <is>
          <t>991004969119702656</t>
        </is>
      </c>
      <c r="AY2747" t="inlineStr">
        <is>
          <t>2262900460002656</t>
        </is>
      </c>
      <c r="AZ2747" t="inlineStr">
        <is>
          <t>BOOK</t>
        </is>
      </c>
      <c r="BB2747" t="inlineStr">
        <is>
          <t>9780789488596</t>
        </is>
      </c>
      <c r="BC2747" t="inlineStr">
        <is>
          <t>32285005237135</t>
        </is>
      </c>
      <c r="BD2747" t="inlineStr">
        <is>
          <t>893682739</t>
        </is>
      </c>
    </row>
    <row r="2748">
      <c r="A2748" t="inlineStr">
        <is>
          <t>No</t>
        </is>
      </c>
      <c r="B2748" t="inlineStr">
        <is>
          <t>HQ789 .M44 1983</t>
        </is>
      </c>
      <c r="C2748" t="inlineStr">
        <is>
          <t>0                      HQ 0789000M  44          1983</t>
        </is>
      </c>
      <c r="D2748" t="inlineStr">
        <is>
          <t>Child advocacy : psychological issues and interventions / Gary B. Melton.</t>
        </is>
      </c>
      <c r="F2748" t="inlineStr">
        <is>
          <t>No</t>
        </is>
      </c>
      <c r="G2748" t="inlineStr">
        <is>
          <t>1</t>
        </is>
      </c>
      <c r="H2748" t="inlineStr">
        <is>
          <t>No</t>
        </is>
      </c>
      <c r="I2748" t="inlineStr">
        <is>
          <t>No</t>
        </is>
      </c>
      <c r="J2748" t="inlineStr">
        <is>
          <t>0</t>
        </is>
      </c>
      <c r="K2748" t="inlineStr">
        <is>
          <t>Melton, Gary B.</t>
        </is>
      </c>
      <c r="L2748" t="inlineStr">
        <is>
          <t>New York : Plenum Press, c1983.</t>
        </is>
      </c>
      <c r="M2748" t="inlineStr">
        <is>
          <t>1983</t>
        </is>
      </c>
      <c r="O2748" t="inlineStr">
        <is>
          <t>eng</t>
        </is>
      </c>
      <c r="P2748" t="inlineStr">
        <is>
          <t>nyu</t>
        </is>
      </c>
      <c r="R2748" t="inlineStr">
        <is>
          <t xml:space="preserve">HQ </t>
        </is>
      </c>
      <c r="S2748" t="n">
        <v>14</v>
      </c>
      <c r="T2748" t="n">
        <v>14</v>
      </c>
      <c r="U2748" t="inlineStr">
        <is>
          <t>2004-12-07</t>
        </is>
      </c>
      <c r="V2748" t="inlineStr">
        <is>
          <t>2004-12-07</t>
        </is>
      </c>
      <c r="W2748" t="inlineStr">
        <is>
          <t>1992-10-16</t>
        </is>
      </c>
      <c r="X2748" t="inlineStr">
        <is>
          <t>1992-10-16</t>
        </is>
      </c>
      <c r="Y2748" t="n">
        <v>374</v>
      </c>
      <c r="Z2748" t="n">
        <v>313</v>
      </c>
      <c r="AA2748" t="n">
        <v>336</v>
      </c>
      <c r="AB2748" t="n">
        <v>3</v>
      </c>
      <c r="AC2748" t="n">
        <v>3</v>
      </c>
      <c r="AD2748" t="n">
        <v>18</v>
      </c>
      <c r="AE2748" t="n">
        <v>20</v>
      </c>
      <c r="AF2748" t="n">
        <v>2</v>
      </c>
      <c r="AG2748" t="n">
        <v>4</v>
      </c>
      <c r="AH2748" t="n">
        <v>3</v>
      </c>
      <c r="AI2748" t="n">
        <v>3</v>
      </c>
      <c r="AJ2748" t="n">
        <v>4</v>
      </c>
      <c r="AK2748" t="n">
        <v>5</v>
      </c>
      <c r="AL2748" t="n">
        <v>2</v>
      </c>
      <c r="AM2748" t="n">
        <v>2</v>
      </c>
      <c r="AN2748" t="n">
        <v>8</v>
      </c>
      <c r="AO2748" t="n">
        <v>8</v>
      </c>
      <c r="AP2748" t="inlineStr">
        <is>
          <t>No</t>
        </is>
      </c>
      <c r="AQ2748" t="inlineStr">
        <is>
          <t>Yes</t>
        </is>
      </c>
      <c r="AR2748">
        <f>HYPERLINK("http://catalog.hathitrust.org/Record/000237165","HathiTrust Record")</f>
        <v/>
      </c>
      <c r="AS2748">
        <f>HYPERLINK("https://creighton-primo.hosted.exlibrisgroup.com/primo-explore/search?tab=default_tab&amp;search_scope=EVERYTHING&amp;vid=01CRU&amp;lang=en_US&amp;offset=0&amp;query=any,contains,991000153509702656","Catalog Record")</f>
        <v/>
      </c>
      <c r="AT2748">
        <f>HYPERLINK("http://www.worldcat.org/oclc/9219055","WorldCat Record")</f>
        <v/>
      </c>
      <c r="AU2748" t="inlineStr">
        <is>
          <t>836714014:eng</t>
        </is>
      </c>
      <c r="AV2748" t="inlineStr">
        <is>
          <t>9219055</t>
        </is>
      </c>
      <c r="AW2748" t="inlineStr">
        <is>
          <t>991000153509702656</t>
        </is>
      </c>
      <c r="AX2748" t="inlineStr">
        <is>
          <t>991000153509702656</t>
        </is>
      </c>
      <c r="AY2748" t="inlineStr">
        <is>
          <t>2268365690002656</t>
        </is>
      </c>
      <c r="AZ2748" t="inlineStr">
        <is>
          <t>BOOK</t>
        </is>
      </c>
      <c r="BB2748" t="inlineStr">
        <is>
          <t>9780306411564</t>
        </is>
      </c>
      <c r="BC2748" t="inlineStr">
        <is>
          <t>32285001350718</t>
        </is>
      </c>
      <c r="BD2748" t="inlineStr">
        <is>
          <t>893431744</t>
        </is>
      </c>
    </row>
    <row r="2749">
      <c r="A2749" t="inlineStr">
        <is>
          <t>No</t>
        </is>
      </c>
      <c r="B2749" t="inlineStr">
        <is>
          <t>HQ789 .M667 2002</t>
        </is>
      </c>
      <c r="C2749" t="inlineStr">
        <is>
          <t>0                      HQ 0789000M  667         2002</t>
        </is>
      </c>
      <c r="D2749" t="inlineStr">
        <is>
          <t>The moral and political status of children / edited by David Archard and Colin M. Macleod.</t>
        </is>
      </c>
      <c r="F2749" t="inlineStr">
        <is>
          <t>No</t>
        </is>
      </c>
      <c r="G2749" t="inlineStr">
        <is>
          <t>1</t>
        </is>
      </c>
      <c r="H2749" t="inlineStr">
        <is>
          <t>No</t>
        </is>
      </c>
      <c r="I2749" t="inlineStr">
        <is>
          <t>No</t>
        </is>
      </c>
      <c r="J2749" t="inlineStr">
        <is>
          <t>0</t>
        </is>
      </c>
      <c r="L2749" t="inlineStr">
        <is>
          <t>Oxford ; New York : Oxford University Press, 2002.</t>
        </is>
      </c>
      <c r="M2749" t="inlineStr">
        <is>
          <t>2002</t>
        </is>
      </c>
      <c r="O2749" t="inlineStr">
        <is>
          <t>eng</t>
        </is>
      </c>
      <c r="P2749" t="inlineStr">
        <is>
          <t>enk</t>
        </is>
      </c>
      <c r="R2749" t="inlineStr">
        <is>
          <t xml:space="preserve">HQ </t>
        </is>
      </c>
      <c r="S2749" t="n">
        <v>7</v>
      </c>
      <c r="T2749" t="n">
        <v>7</v>
      </c>
      <c r="U2749" t="inlineStr">
        <is>
          <t>2008-03-04</t>
        </is>
      </c>
      <c r="V2749" t="inlineStr">
        <is>
          <t>2008-03-04</t>
        </is>
      </c>
      <c r="W2749" t="inlineStr">
        <is>
          <t>2003-10-01</t>
        </is>
      </c>
      <c r="X2749" t="inlineStr">
        <is>
          <t>2003-10-01</t>
        </is>
      </c>
      <c r="Y2749" t="n">
        <v>341</v>
      </c>
      <c r="Z2749" t="n">
        <v>235</v>
      </c>
      <c r="AA2749" t="n">
        <v>310</v>
      </c>
      <c r="AB2749" t="n">
        <v>2</v>
      </c>
      <c r="AC2749" t="n">
        <v>2</v>
      </c>
      <c r="AD2749" t="n">
        <v>17</v>
      </c>
      <c r="AE2749" t="n">
        <v>22</v>
      </c>
      <c r="AF2749" t="n">
        <v>7</v>
      </c>
      <c r="AG2749" t="n">
        <v>7</v>
      </c>
      <c r="AH2749" t="n">
        <v>3</v>
      </c>
      <c r="AI2749" t="n">
        <v>7</v>
      </c>
      <c r="AJ2749" t="n">
        <v>4</v>
      </c>
      <c r="AK2749" t="n">
        <v>7</v>
      </c>
      <c r="AL2749" t="n">
        <v>1</v>
      </c>
      <c r="AM2749" t="n">
        <v>1</v>
      </c>
      <c r="AN2749" t="n">
        <v>5</v>
      </c>
      <c r="AO2749" t="n">
        <v>5</v>
      </c>
      <c r="AP2749" t="inlineStr">
        <is>
          <t>No</t>
        </is>
      </c>
      <c r="AQ2749" t="inlineStr">
        <is>
          <t>No</t>
        </is>
      </c>
      <c r="AS2749">
        <f>HYPERLINK("https://creighton-primo.hosted.exlibrisgroup.com/primo-explore/search?tab=default_tab&amp;search_scope=EVERYTHING&amp;vid=01CRU&amp;lang=en_US&amp;offset=0&amp;query=any,contains,991004146309702656","Catalog Record")</f>
        <v/>
      </c>
      <c r="AT2749">
        <f>HYPERLINK("http://www.worldcat.org/oclc/48920142","WorldCat Record")</f>
        <v/>
      </c>
      <c r="AU2749" t="inlineStr">
        <is>
          <t>766246341:eng</t>
        </is>
      </c>
      <c r="AV2749" t="inlineStr">
        <is>
          <t>48920142</t>
        </is>
      </c>
      <c r="AW2749" t="inlineStr">
        <is>
          <t>991004146309702656</t>
        </is>
      </c>
      <c r="AX2749" t="inlineStr">
        <is>
          <t>991004146309702656</t>
        </is>
      </c>
      <c r="AY2749" t="inlineStr">
        <is>
          <t>2264604770002656</t>
        </is>
      </c>
      <c r="AZ2749" t="inlineStr">
        <is>
          <t>BOOK</t>
        </is>
      </c>
      <c r="BB2749" t="inlineStr">
        <is>
          <t>9780199242689</t>
        </is>
      </c>
      <c r="BC2749" t="inlineStr">
        <is>
          <t>32285004796511</t>
        </is>
      </c>
      <c r="BD2749" t="inlineStr">
        <is>
          <t>893525709</t>
        </is>
      </c>
    </row>
    <row r="2750">
      <c r="A2750" t="inlineStr">
        <is>
          <t>No</t>
        </is>
      </c>
      <c r="B2750" t="inlineStr">
        <is>
          <t>HQ789 .P87 1992</t>
        </is>
      </c>
      <c r="C2750" t="inlineStr">
        <is>
          <t>0                      HQ 0789000P  87          1992</t>
        </is>
      </c>
      <c r="D2750" t="inlineStr">
        <is>
          <t>In their best interest? : the case against equal rights for children / Laura M. Purdy.</t>
        </is>
      </c>
      <c r="F2750" t="inlineStr">
        <is>
          <t>No</t>
        </is>
      </c>
      <c r="G2750" t="inlineStr">
        <is>
          <t>1</t>
        </is>
      </c>
      <c r="H2750" t="inlineStr">
        <is>
          <t>Yes</t>
        </is>
      </c>
      <c r="I2750" t="inlineStr">
        <is>
          <t>No</t>
        </is>
      </c>
      <c r="J2750" t="inlineStr">
        <is>
          <t>0</t>
        </is>
      </c>
      <c r="K2750" t="inlineStr">
        <is>
          <t>Purdy, Laura Martha.</t>
        </is>
      </c>
      <c r="L2750" t="inlineStr">
        <is>
          <t>Ithaca : Cornell University Press, 1992.</t>
        </is>
      </c>
      <c r="M2750" t="inlineStr">
        <is>
          <t>1992</t>
        </is>
      </c>
      <c r="O2750" t="inlineStr">
        <is>
          <t>eng</t>
        </is>
      </c>
      <c r="P2750" t="inlineStr">
        <is>
          <t>nyu</t>
        </is>
      </c>
      <c r="R2750" t="inlineStr">
        <is>
          <t xml:space="preserve">HQ </t>
        </is>
      </c>
      <c r="S2750" t="n">
        <v>13</v>
      </c>
      <c r="T2750" t="n">
        <v>17</v>
      </c>
      <c r="U2750" t="inlineStr">
        <is>
          <t>2002-10-21</t>
        </is>
      </c>
      <c r="V2750" t="inlineStr">
        <is>
          <t>2002-10-21</t>
        </is>
      </c>
      <c r="W2750" t="inlineStr">
        <is>
          <t>1992-10-13</t>
        </is>
      </c>
      <c r="X2750" t="inlineStr">
        <is>
          <t>1993-01-07</t>
        </is>
      </c>
      <c r="Y2750" t="n">
        <v>845</v>
      </c>
      <c r="Z2750" t="n">
        <v>736</v>
      </c>
      <c r="AA2750" t="n">
        <v>742</v>
      </c>
      <c r="AB2750" t="n">
        <v>5</v>
      </c>
      <c r="AC2750" t="n">
        <v>5</v>
      </c>
      <c r="AD2750" t="n">
        <v>47</v>
      </c>
      <c r="AE2750" t="n">
        <v>47</v>
      </c>
      <c r="AF2750" t="n">
        <v>12</v>
      </c>
      <c r="AG2750" t="n">
        <v>12</v>
      </c>
      <c r="AH2750" t="n">
        <v>7</v>
      </c>
      <c r="AI2750" t="n">
        <v>7</v>
      </c>
      <c r="AJ2750" t="n">
        <v>16</v>
      </c>
      <c r="AK2750" t="n">
        <v>16</v>
      </c>
      <c r="AL2750" t="n">
        <v>3</v>
      </c>
      <c r="AM2750" t="n">
        <v>3</v>
      </c>
      <c r="AN2750" t="n">
        <v>16</v>
      </c>
      <c r="AO2750" t="n">
        <v>16</v>
      </c>
      <c r="AP2750" t="inlineStr">
        <is>
          <t>No</t>
        </is>
      </c>
      <c r="AQ2750" t="inlineStr">
        <is>
          <t>Yes</t>
        </is>
      </c>
      <c r="AR2750">
        <f>HYPERLINK("http://catalog.hathitrust.org/Record/002527190","HathiTrust Record")</f>
        <v/>
      </c>
      <c r="AS2750">
        <f>HYPERLINK("https://creighton-primo.hosted.exlibrisgroup.com/primo-explore/search?tab=default_tab&amp;search_scope=EVERYTHING&amp;vid=01CRU&amp;lang=en_US&amp;offset=0&amp;query=any,contains,991001650449702656","Catalog Record")</f>
        <v/>
      </c>
      <c r="AT2750">
        <f>HYPERLINK("http://www.worldcat.org/oclc/24503571","WorldCat Record")</f>
        <v/>
      </c>
      <c r="AU2750" t="inlineStr">
        <is>
          <t>197413360:eng</t>
        </is>
      </c>
      <c r="AV2750" t="inlineStr">
        <is>
          <t>24503571</t>
        </is>
      </c>
      <c r="AW2750" t="inlineStr">
        <is>
          <t>991001650449702656</t>
        </is>
      </c>
      <c r="AX2750" t="inlineStr">
        <is>
          <t>991001650449702656</t>
        </is>
      </c>
      <c r="AY2750" t="inlineStr">
        <is>
          <t>2261636600002656</t>
        </is>
      </c>
      <c r="AZ2750" t="inlineStr">
        <is>
          <t>BOOK</t>
        </is>
      </c>
      <c r="BB2750" t="inlineStr">
        <is>
          <t>9780801426629</t>
        </is>
      </c>
      <c r="BC2750" t="inlineStr">
        <is>
          <t>32285001317394</t>
        </is>
      </c>
      <c r="BD2750" t="inlineStr">
        <is>
          <t>893872677</t>
        </is>
      </c>
    </row>
    <row r="2751">
      <c r="A2751" t="inlineStr">
        <is>
          <t>No</t>
        </is>
      </c>
      <c r="B2751" t="inlineStr">
        <is>
          <t>HQ789 .R53</t>
        </is>
      </c>
      <c r="C2751" t="inlineStr">
        <is>
          <t>0                      HQ 0789000R  53</t>
        </is>
      </c>
      <c r="D2751" t="inlineStr">
        <is>
          <t>The Rights of children.</t>
        </is>
      </c>
      <c r="F2751" t="inlineStr">
        <is>
          <t>No</t>
        </is>
      </c>
      <c r="G2751" t="inlineStr">
        <is>
          <t>1</t>
        </is>
      </c>
      <c r="H2751" t="inlineStr">
        <is>
          <t>Yes</t>
        </is>
      </c>
      <c r="I2751" t="inlineStr">
        <is>
          <t>No</t>
        </is>
      </c>
      <c r="J2751" t="inlineStr">
        <is>
          <t>0</t>
        </is>
      </c>
      <c r="L2751" t="inlineStr">
        <is>
          <t>Cambridge : Harvard educational review, 1974.</t>
        </is>
      </c>
      <c r="M2751" t="inlineStr">
        <is>
          <t>1974</t>
        </is>
      </c>
      <c r="O2751" t="inlineStr">
        <is>
          <t>eng</t>
        </is>
      </c>
      <c r="P2751" t="inlineStr">
        <is>
          <t>mau</t>
        </is>
      </c>
      <c r="Q2751" t="inlineStr">
        <is>
          <t>Reprint series - Harvard educational review ; no. 9</t>
        </is>
      </c>
      <c r="R2751" t="inlineStr">
        <is>
          <t xml:space="preserve">HQ </t>
        </is>
      </c>
      <c r="S2751" t="n">
        <v>5</v>
      </c>
      <c r="T2751" t="n">
        <v>8</v>
      </c>
      <c r="U2751" t="inlineStr">
        <is>
          <t>1998-09-25</t>
        </is>
      </c>
      <c r="V2751" t="inlineStr">
        <is>
          <t>1998-09-25</t>
        </is>
      </c>
      <c r="W2751" t="inlineStr">
        <is>
          <t>1991-12-09</t>
        </is>
      </c>
      <c r="X2751" t="inlineStr">
        <is>
          <t>1992-08-11</t>
        </is>
      </c>
      <c r="Y2751" t="n">
        <v>305</v>
      </c>
      <c r="Z2751" t="n">
        <v>273</v>
      </c>
      <c r="AA2751" t="n">
        <v>275</v>
      </c>
      <c r="AB2751" t="n">
        <v>5</v>
      </c>
      <c r="AC2751" t="n">
        <v>5</v>
      </c>
      <c r="AD2751" t="n">
        <v>17</v>
      </c>
      <c r="AE2751" t="n">
        <v>17</v>
      </c>
      <c r="AF2751" t="n">
        <v>4</v>
      </c>
      <c r="AG2751" t="n">
        <v>4</v>
      </c>
      <c r="AH2751" t="n">
        <v>0</v>
      </c>
      <c r="AI2751" t="n">
        <v>0</v>
      </c>
      <c r="AJ2751" t="n">
        <v>6</v>
      </c>
      <c r="AK2751" t="n">
        <v>6</v>
      </c>
      <c r="AL2751" t="n">
        <v>2</v>
      </c>
      <c r="AM2751" t="n">
        <v>2</v>
      </c>
      <c r="AN2751" t="n">
        <v>7</v>
      </c>
      <c r="AO2751" t="n">
        <v>7</v>
      </c>
      <c r="AP2751" t="inlineStr">
        <is>
          <t>No</t>
        </is>
      </c>
      <c r="AQ2751" t="inlineStr">
        <is>
          <t>Yes</t>
        </is>
      </c>
      <c r="AR2751">
        <f>HYPERLINK("http://catalog.hathitrust.org/Record/000148969","HathiTrust Record")</f>
        <v/>
      </c>
      <c r="AS2751">
        <f>HYPERLINK("https://creighton-primo.hosted.exlibrisgroup.com/primo-explore/search?tab=default_tab&amp;search_scope=EVERYTHING&amp;vid=01CRU&amp;lang=en_US&amp;offset=0&amp;query=any,contains,991001692089702656","Catalog Record")</f>
        <v/>
      </c>
      <c r="AT2751">
        <f>HYPERLINK("http://www.worldcat.org/oclc/1075718","WorldCat Record")</f>
        <v/>
      </c>
      <c r="AU2751" t="inlineStr">
        <is>
          <t>498034658:eng</t>
        </is>
      </c>
      <c r="AV2751" t="inlineStr">
        <is>
          <t>1075718</t>
        </is>
      </c>
      <c r="AW2751" t="inlineStr">
        <is>
          <t>991001692089702656</t>
        </is>
      </c>
      <c r="AX2751" t="inlineStr">
        <is>
          <t>991001692089702656</t>
        </is>
      </c>
      <c r="AY2751" t="inlineStr">
        <is>
          <t>2257877130002656</t>
        </is>
      </c>
      <c r="AZ2751" t="inlineStr">
        <is>
          <t>BOOK</t>
        </is>
      </c>
      <c r="BC2751" t="inlineStr">
        <is>
          <t>32285000849413</t>
        </is>
      </c>
      <c r="BD2751" t="inlineStr">
        <is>
          <t>893791629</t>
        </is>
      </c>
    </row>
    <row r="2752">
      <c r="A2752" t="inlineStr">
        <is>
          <t>No</t>
        </is>
      </c>
      <c r="B2752" t="inlineStr">
        <is>
          <t>HQ789 .W54</t>
        </is>
      </c>
      <c r="C2752" t="inlineStr">
        <is>
          <t>0                      HQ 0789000W  54</t>
        </is>
      </c>
      <c r="D2752" t="inlineStr">
        <is>
          <t>The rights of children : emergent concepts in law and society / edited by Albert E. Wilkerson, with an introd. by Justine Wise Polier.</t>
        </is>
      </c>
      <c r="F2752" t="inlineStr">
        <is>
          <t>No</t>
        </is>
      </c>
      <c r="G2752" t="inlineStr">
        <is>
          <t>1</t>
        </is>
      </c>
      <c r="H2752" t="inlineStr">
        <is>
          <t>Yes</t>
        </is>
      </c>
      <c r="I2752" t="inlineStr">
        <is>
          <t>No</t>
        </is>
      </c>
      <c r="J2752" t="inlineStr">
        <is>
          <t>0</t>
        </is>
      </c>
      <c r="K2752" t="inlineStr">
        <is>
          <t>Wilkerson, Albert E. (Albert Ernest), 1928-, compiler.</t>
        </is>
      </c>
      <c r="L2752" t="inlineStr">
        <is>
          <t>Philadelphia : Temple University Press, [1973]</t>
        </is>
      </c>
      <c r="M2752" t="inlineStr">
        <is>
          <t>1973</t>
        </is>
      </c>
      <c r="O2752" t="inlineStr">
        <is>
          <t>eng</t>
        </is>
      </c>
      <c r="P2752" t="inlineStr">
        <is>
          <t>pau</t>
        </is>
      </c>
      <c r="R2752" t="inlineStr">
        <is>
          <t xml:space="preserve">HQ </t>
        </is>
      </c>
      <c r="S2752" t="n">
        <v>11</v>
      </c>
      <c r="T2752" t="n">
        <v>13</v>
      </c>
      <c r="U2752" t="inlineStr">
        <is>
          <t>2002-10-21</t>
        </is>
      </c>
      <c r="V2752" t="inlineStr">
        <is>
          <t>2002-10-21</t>
        </is>
      </c>
      <c r="W2752" t="inlineStr">
        <is>
          <t>1993-04-23</t>
        </is>
      </c>
      <c r="X2752" t="inlineStr">
        <is>
          <t>1993-10-15</t>
        </is>
      </c>
      <c r="Y2752" t="n">
        <v>990</v>
      </c>
      <c r="Z2752" t="n">
        <v>909</v>
      </c>
      <c r="AA2752" t="n">
        <v>912</v>
      </c>
      <c r="AB2752" t="n">
        <v>11</v>
      </c>
      <c r="AC2752" t="n">
        <v>11</v>
      </c>
      <c r="AD2752" t="n">
        <v>50</v>
      </c>
      <c r="AE2752" t="n">
        <v>50</v>
      </c>
      <c r="AF2752" t="n">
        <v>14</v>
      </c>
      <c r="AG2752" t="n">
        <v>14</v>
      </c>
      <c r="AH2752" t="n">
        <v>7</v>
      </c>
      <c r="AI2752" t="n">
        <v>7</v>
      </c>
      <c r="AJ2752" t="n">
        <v>15</v>
      </c>
      <c r="AK2752" t="n">
        <v>15</v>
      </c>
      <c r="AL2752" t="n">
        <v>5</v>
      </c>
      <c r="AM2752" t="n">
        <v>5</v>
      </c>
      <c r="AN2752" t="n">
        <v>17</v>
      </c>
      <c r="AO2752" t="n">
        <v>17</v>
      </c>
      <c r="AP2752" t="inlineStr">
        <is>
          <t>No</t>
        </is>
      </c>
      <c r="AQ2752" t="inlineStr">
        <is>
          <t>Yes</t>
        </is>
      </c>
      <c r="AR2752">
        <f>HYPERLINK("http://catalog.hathitrust.org/Record/000507492","HathiTrust Record")</f>
        <v/>
      </c>
      <c r="AS2752">
        <f>HYPERLINK("https://creighton-primo.hosted.exlibrisgroup.com/primo-explore/search?tab=default_tab&amp;search_scope=EVERYTHING&amp;vid=01CRU&amp;lang=en_US&amp;offset=0&amp;query=any,contains,991001678639702656","Catalog Record")</f>
        <v/>
      </c>
      <c r="AT2752">
        <f>HYPERLINK("http://www.worldcat.org/oclc/763763","WorldCat Record")</f>
        <v/>
      </c>
      <c r="AU2752" t="inlineStr">
        <is>
          <t>309107218:eng</t>
        </is>
      </c>
      <c r="AV2752" t="inlineStr">
        <is>
          <t>763763</t>
        </is>
      </c>
      <c r="AW2752" t="inlineStr">
        <is>
          <t>991001678639702656</t>
        </is>
      </c>
      <c r="AX2752" t="inlineStr">
        <is>
          <t>991001678639702656</t>
        </is>
      </c>
      <c r="AY2752" t="inlineStr">
        <is>
          <t>2266541980002656</t>
        </is>
      </c>
      <c r="AZ2752" t="inlineStr">
        <is>
          <t>BOOK</t>
        </is>
      </c>
      <c r="BB2752" t="inlineStr">
        <is>
          <t>9780877220527</t>
        </is>
      </c>
      <c r="BC2752" t="inlineStr">
        <is>
          <t>32285001623254</t>
        </is>
      </c>
      <c r="BD2752" t="inlineStr">
        <is>
          <t>893866397</t>
        </is>
      </c>
    </row>
    <row r="2753">
      <c r="A2753" t="inlineStr">
        <is>
          <t>No</t>
        </is>
      </c>
      <c r="B2753" t="inlineStr">
        <is>
          <t>HQ789 .W74 1981</t>
        </is>
      </c>
      <c r="C2753" t="inlineStr">
        <is>
          <t>0                      HQ 0789000W  74          1981</t>
        </is>
      </c>
      <c r="D2753" t="inlineStr">
        <is>
          <t>Children's rights : a philosophical study / C.A. Wringe.</t>
        </is>
      </c>
      <c r="F2753" t="inlineStr">
        <is>
          <t>No</t>
        </is>
      </c>
      <c r="G2753" t="inlineStr">
        <is>
          <t>1</t>
        </is>
      </c>
      <c r="H2753" t="inlineStr">
        <is>
          <t>Yes</t>
        </is>
      </c>
      <c r="I2753" t="inlineStr">
        <is>
          <t>No</t>
        </is>
      </c>
      <c r="J2753" t="inlineStr">
        <is>
          <t>0</t>
        </is>
      </c>
      <c r="K2753" t="inlineStr">
        <is>
          <t>Wringe, Colin.</t>
        </is>
      </c>
      <c r="L2753" t="inlineStr">
        <is>
          <t>London ; Boston : Routledge &amp; Kegan Paul, 1981.</t>
        </is>
      </c>
      <c r="M2753" t="inlineStr">
        <is>
          <t>1981</t>
        </is>
      </c>
      <c r="O2753" t="inlineStr">
        <is>
          <t>eng</t>
        </is>
      </c>
      <c r="P2753" t="inlineStr">
        <is>
          <t>enk</t>
        </is>
      </c>
      <c r="Q2753" t="inlineStr">
        <is>
          <t>International library of the philosophy of education</t>
        </is>
      </c>
      <c r="R2753" t="inlineStr">
        <is>
          <t xml:space="preserve">HQ </t>
        </is>
      </c>
      <c r="S2753" t="n">
        <v>9</v>
      </c>
      <c r="T2753" t="n">
        <v>11</v>
      </c>
      <c r="U2753" t="inlineStr">
        <is>
          <t>2004-12-07</t>
        </is>
      </c>
      <c r="V2753" t="inlineStr">
        <is>
          <t>2004-12-07</t>
        </is>
      </c>
      <c r="W2753" t="inlineStr">
        <is>
          <t>1990-03-19</t>
        </is>
      </c>
      <c r="X2753" t="inlineStr">
        <is>
          <t>1990-03-19</t>
        </is>
      </c>
      <c r="Y2753" t="n">
        <v>723</v>
      </c>
      <c r="Z2753" t="n">
        <v>531</v>
      </c>
      <c r="AA2753" t="n">
        <v>557</v>
      </c>
      <c r="AB2753" t="n">
        <v>3</v>
      </c>
      <c r="AC2753" t="n">
        <v>3</v>
      </c>
      <c r="AD2753" t="n">
        <v>25</v>
      </c>
      <c r="AE2753" t="n">
        <v>25</v>
      </c>
      <c r="AF2753" t="n">
        <v>8</v>
      </c>
      <c r="AG2753" t="n">
        <v>8</v>
      </c>
      <c r="AH2753" t="n">
        <v>6</v>
      </c>
      <c r="AI2753" t="n">
        <v>6</v>
      </c>
      <c r="AJ2753" t="n">
        <v>10</v>
      </c>
      <c r="AK2753" t="n">
        <v>10</v>
      </c>
      <c r="AL2753" t="n">
        <v>1</v>
      </c>
      <c r="AM2753" t="n">
        <v>1</v>
      </c>
      <c r="AN2753" t="n">
        <v>6</v>
      </c>
      <c r="AO2753" t="n">
        <v>6</v>
      </c>
      <c r="AP2753" t="inlineStr">
        <is>
          <t>No</t>
        </is>
      </c>
      <c r="AQ2753" t="inlineStr">
        <is>
          <t>Yes</t>
        </is>
      </c>
      <c r="AR2753">
        <f>HYPERLINK("http://catalog.hathitrust.org/Record/000180928","HathiTrust Record")</f>
        <v/>
      </c>
      <c r="AS2753">
        <f>HYPERLINK("https://creighton-primo.hosted.exlibrisgroup.com/primo-explore/search?tab=default_tab&amp;search_scope=EVERYTHING&amp;vid=01CRU&amp;lang=en_US&amp;offset=0&amp;query=any,contains,991001759129702656","Catalog Record")</f>
        <v/>
      </c>
      <c r="AT2753">
        <f>HYPERLINK("http://www.worldcat.org/oclc/7555849","WorldCat Record")</f>
        <v/>
      </c>
      <c r="AU2753" t="inlineStr">
        <is>
          <t>906257546:eng</t>
        </is>
      </c>
      <c r="AV2753" t="inlineStr">
        <is>
          <t>7555849</t>
        </is>
      </c>
      <c r="AW2753" t="inlineStr">
        <is>
          <t>991001759129702656</t>
        </is>
      </c>
      <c r="AX2753" t="inlineStr">
        <is>
          <t>991001759129702656</t>
        </is>
      </c>
      <c r="AY2753" t="inlineStr">
        <is>
          <t>2266256400002656</t>
        </is>
      </c>
      <c r="AZ2753" t="inlineStr">
        <is>
          <t>BOOK</t>
        </is>
      </c>
      <c r="BB2753" t="inlineStr">
        <is>
          <t>9780710008527</t>
        </is>
      </c>
      <c r="BC2753" t="inlineStr">
        <is>
          <t>32285000086198</t>
        </is>
      </c>
      <c r="BD2753" t="inlineStr">
        <is>
          <t>893256491</t>
        </is>
      </c>
    </row>
    <row r="2754">
      <c r="A2754" t="inlineStr">
        <is>
          <t>No</t>
        </is>
      </c>
      <c r="B2754" t="inlineStr">
        <is>
          <t>HQ79 .S35 1983</t>
        </is>
      </c>
      <c r="C2754" t="inlineStr">
        <is>
          <t>0                      HQ 0079000S  35          1983</t>
        </is>
      </c>
      <c r="D2754" t="inlineStr">
        <is>
          <t>S and M, studies in sadomasochism / edited by Thomas Weinberg and G.W. Levi Kamel.</t>
        </is>
      </c>
      <c r="F2754" t="inlineStr">
        <is>
          <t>No</t>
        </is>
      </c>
      <c r="G2754" t="inlineStr">
        <is>
          <t>1</t>
        </is>
      </c>
      <c r="H2754" t="inlineStr">
        <is>
          <t>No</t>
        </is>
      </c>
      <c r="I2754" t="inlineStr">
        <is>
          <t>No</t>
        </is>
      </c>
      <c r="J2754" t="inlineStr">
        <is>
          <t>0</t>
        </is>
      </c>
      <c r="L2754" t="inlineStr">
        <is>
          <t>Buffalo, N.Y. : Prometheus Books, 1983.</t>
        </is>
      </c>
      <c r="M2754" t="inlineStr">
        <is>
          <t>1983</t>
        </is>
      </c>
      <c r="O2754" t="inlineStr">
        <is>
          <t>eng</t>
        </is>
      </c>
      <c r="P2754" t="inlineStr">
        <is>
          <t>mnu</t>
        </is>
      </c>
      <c r="Q2754" t="inlineStr">
        <is>
          <t>New concepts in human sexuality</t>
        </is>
      </c>
      <c r="R2754" t="inlineStr">
        <is>
          <t xml:space="preserve">HQ </t>
        </is>
      </c>
      <c r="S2754" t="n">
        <v>35</v>
      </c>
      <c r="T2754" t="n">
        <v>35</v>
      </c>
      <c r="U2754" t="inlineStr">
        <is>
          <t>2004-12-05</t>
        </is>
      </c>
      <c r="V2754" t="inlineStr">
        <is>
          <t>2004-12-05</t>
        </is>
      </c>
      <c r="W2754" t="inlineStr">
        <is>
          <t>1992-04-30</t>
        </is>
      </c>
      <c r="X2754" t="inlineStr">
        <is>
          <t>1992-04-30</t>
        </is>
      </c>
      <c r="Y2754" t="n">
        <v>313</v>
      </c>
      <c r="Z2754" t="n">
        <v>274</v>
      </c>
      <c r="AA2754" t="n">
        <v>275</v>
      </c>
      <c r="AB2754" t="n">
        <v>2</v>
      </c>
      <c r="AC2754" t="n">
        <v>2</v>
      </c>
      <c r="AD2754" t="n">
        <v>10</v>
      </c>
      <c r="AE2754" t="n">
        <v>10</v>
      </c>
      <c r="AF2754" t="n">
        <v>4</v>
      </c>
      <c r="AG2754" t="n">
        <v>4</v>
      </c>
      <c r="AH2754" t="n">
        <v>2</v>
      </c>
      <c r="AI2754" t="n">
        <v>2</v>
      </c>
      <c r="AJ2754" t="n">
        <v>5</v>
      </c>
      <c r="AK2754" t="n">
        <v>5</v>
      </c>
      <c r="AL2754" t="n">
        <v>1</v>
      </c>
      <c r="AM2754" t="n">
        <v>1</v>
      </c>
      <c r="AN2754" t="n">
        <v>0</v>
      </c>
      <c r="AO2754" t="n">
        <v>0</v>
      </c>
      <c r="AP2754" t="inlineStr">
        <is>
          <t>No</t>
        </is>
      </c>
      <c r="AQ2754" t="inlineStr">
        <is>
          <t>Yes</t>
        </is>
      </c>
      <c r="AR2754">
        <f>HYPERLINK("http://catalog.hathitrust.org/Record/002598252","HathiTrust Record")</f>
        <v/>
      </c>
      <c r="AS2754">
        <f>HYPERLINK("https://creighton-primo.hosted.exlibrisgroup.com/primo-explore/search?tab=default_tab&amp;search_scope=EVERYTHING&amp;vid=01CRU&amp;lang=en_US&amp;offset=0&amp;query=any,contains,991000306219702656","Catalog Record")</f>
        <v/>
      </c>
      <c r="AT2754">
        <f>HYPERLINK("http://www.worldcat.org/oclc/10069805","WorldCat Record")</f>
        <v/>
      </c>
      <c r="AU2754" t="inlineStr">
        <is>
          <t>3023570:eng</t>
        </is>
      </c>
      <c r="AV2754" t="inlineStr">
        <is>
          <t>10069805</t>
        </is>
      </c>
      <c r="AW2754" t="inlineStr">
        <is>
          <t>991000306219702656</t>
        </is>
      </c>
      <c r="AX2754" t="inlineStr">
        <is>
          <t>991000306219702656</t>
        </is>
      </c>
      <c r="AY2754" t="inlineStr">
        <is>
          <t>2259466730002656</t>
        </is>
      </c>
      <c r="AZ2754" t="inlineStr">
        <is>
          <t>BOOK</t>
        </is>
      </c>
      <c r="BB2754" t="inlineStr">
        <is>
          <t>9780879752309</t>
        </is>
      </c>
      <c r="BC2754" t="inlineStr">
        <is>
          <t>32285001104156</t>
        </is>
      </c>
      <c r="BD2754" t="inlineStr">
        <is>
          <t>893595463</t>
        </is>
      </c>
    </row>
    <row r="2755">
      <c r="A2755" t="inlineStr">
        <is>
          <t>No</t>
        </is>
      </c>
      <c r="B2755" t="inlineStr">
        <is>
          <t>HQ792.A4 A6</t>
        </is>
      </c>
      <c r="C2755" t="inlineStr">
        <is>
          <t>0                      HQ 0792000A  4                  A  6</t>
        </is>
      </c>
      <c r="D2755" t="inlineStr">
        <is>
          <t>Growing up African / edited by Jay David and Helise Harrington.</t>
        </is>
      </c>
      <c r="F2755" t="inlineStr">
        <is>
          <t>No</t>
        </is>
      </c>
      <c r="G2755" t="inlineStr">
        <is>
          <t>1</t>
        </is>
      </c>
      <c r="H2755" t="inlineStr">
        <is>
          <t>No</t>
        </is>
      </c>
      <c r="I2755" t="inlineStr">
        <is>
          <t>No</t>
        </is>
      </c>
      <c r="J2755" t="inlineStr">
        <is>
          <t>0</t>
        </is>
      </c>
      <c r="K2755" t="inlineStr">
        <is>
          <t>Adler, Bill, 1929-2014.</t>
        </is>
      </c>
      <c r="L2755" t="inlineStr">
        <is>
          <t>New York : Morrow, 1971.</t>
        </is>
      </c>
      <c r="M2755" t="inlineStr">
        <is>
          <t>1971</t>
        </is>
      </c>
      <c r="O2755" t="inlineStr">
        <is>
          <t>eng</t>
        </is>
      </c>
      <c r="P2755" t="inlineStr">
        <is>
          <t>nyu</t>
        </is>
      </c>
      <c r="R2755" t="inlineStr">
        <is>
          <t xml:space="preserve">HQ </t>
        </is>
      </c>
      <c r="S2755" t="n">
        <v>5</v>
      </c>
      <c r="T2755" t="n">
        <v>5</v>
      </c>
      <c r="U2755" t="inlineStr">
        <is>
          <t>1995-11-30</t>
        </is>
      </c>
      <c r="V2755" t="inlineStr">
        <is>
          <t>1995-11-30</t>
        </is>
      </c>
      <c r="W2755" t="inlineStr">
        <is>
          <t>1992-04-07</t>
        </is>
      </c>
      <c r="X2755" t="inlineStr">
        <is>
          <t>1992-04-07</t>
        </is>
      </c>
      <c r="Y2755" t="n">
        <v>410</v>
      </c>
      <c r="Z2755" t="n">
        <v>376</v>
      </c>
      <c r="AA2755" t="n">
        <v>381</v>
      </c>
      <c r="AB2755" t="n">
        <v>4</v>
      </c>
      <c r="AC2755" t="n">
        <v>4</v>
      </c>
      <c r="AD2755" t="n">
        <v>10</v>
      </c>
      <c r="AE2755" t="n">
        <v>10</v>
      </c>
      <c r="AF2755" t="n">
        <v>1</v>
      </c>
      <c r="AG2755" t="n">
        <v>1</v>
      </c>
      <c r="AH2755" t="n">
        <v>4</v>
      </c>
      <c r="AI2755" t="n">
        <v>4</v>
      </c>
      <c r="AJ2755" t="n">
        <v>4</v>
      </c>
      <c r="AK2755" t="n">
        <v>4</v>
      </c>
      <c r="AL2755" t="n">
        <v>3</v>
      </c>
      <c r="AM2755" t="n">
        <v>3</v>
      </c>
      <c r="AN2755" t="n">
        <v>0</v>
      </c>
      <c r="AO2755" t="n">
        <v>0</v>
      </c>
      <c r="AP2755" t="inlineStr">
        <is>
          <t>No</t>
        </is>
      </c>
      <c r="AQ2755" t="inlineStr">
        <is>
          <t>No</t>
        </is>
      </c>
      <c r="AS2755">
        <f>HYPERLINK("https://creighton-primo.hosted.exlibrisgroup.com/primo-explore/search?tab=default_tab&amp;search_scope=EVERYTHING&amp;vid=01CRU&amp;lang=en_US&amp;offset=0&amp;query=any,contains,991000890979702656","Catalog Record")</f>
        <v/>
      </c>
      <c r="AT2755">
        <f>HYPERLINK("http://www.worldcat.org/oclc/154008","WorldCat Record")</f>
        <v/>
      </c>
      <c r="AU2755" t="inlineStr">
        <is>
          <t>1181331:eng</t>
        </is>
      </c>
      <c r="AV2755" t="inlineStr">
        <is>
          <t>154008</t>
        </is>
      </c>
      <c r="AW2755" t="inlineStr">
        <is>
          <t>991000890979702656</t>
        </is>
      </c>
      <c r="AX2755" t="inlineStr">
        <is>
          <t>991000890979702656</t>
        </is>
      </c>
      <c r="AY2755" t="inlineStr">
        <is>
          <t>2254935130002656</t>
        </is>
      </c>
      <c r="AZ2755" t="inlineStr">
        <is>
          <t>BOOK</t>
        </is>
      </c>
      <c r="BC2755" t="inlineStr">
        <is>
          <t>32285001055341</t>
        </is>
      </c>
      <c r="BD2755" t="inlineStr">
        <is>
          <t>893872100</t>
        </is>
      </c>
    </row>
    <row r="2756">
      <c r="A2756" t="inlineStr">
        <is>
          <t>No</t>
        </is>
      </c>
      <c r="B2756" t="inlineStr">
        <is>
          <t>HQ792.A4 M34 2005</t>
        </is>
      </c>
      <c r="C2756" t="inlineStr">
        <is>
          <t>0                      HQ 0792000A  4                  M  34          2005</t>
        </is>
      </c>
      <c r="D2756" t="inlineStr">
        <is>
          <t>Makers &amp; breakers : children &amp; youth in postcolonial Africa / edited by Alcinda Honwana &amp; Filip de Boeck.</t>
        </is>
      </c>
      <c r="F2756" t="inlineStr">
        <is>
          <t>No</t>
        </is>
      </c>
      <c r="G2756" t="inlineStr">
        <is>
          <t>1</t>
        </is>
      </c>
      <c r="H2756" t="inlineStr">
        <is>
          <t>No</t>
        </is>
      </c>
      <c r="I2756" t="inlineStr">
        <is>
          <t>No</t>
        </is>
      </c>
      <c r="J2756" t="inlineStr">
        <is>
          <t>0</t>
        </is>
      </c>
      <c r="L2756" t="inlineStr">
        <is>
          <t>Trenton, N.J. : Africa World Press, 2005.</t>
        </is>
      </c>
      <c r="M2756" t="inlineStr">
        <is>
          <t>2005</t>
        </is>
      </c>
      <c r="O2756" t="inlineStr">
        <is>
          <t>eng</t>
        </is>
      </c>
      <c r="P2756" t="inlineStr">
        <is>
          <t>nju</t>
        </is>
      </c>
      <c r="R2756" t="inlineStr">
        <is>
          <t xml:space="preserve">HQ </t>
        </is>
      </c>
      <c r="S2756" t="n">
        <v>2</v>
      </c>
      <c r="T2756" t="n">
        <v>2</v>
      </c>
      <c r="U2756" t="inlineStr">
        <is>
          <t>2010-07-30</t>
        </is>
      </c>
      <c r="V2756" t="inlineStr">
        <is>
          <t>2010-07-30</t>
        </is>
      </c>
      <c r="W2756" t="inlineStr">
        <is>
          <t>2009-04-20</t>
        </is>
      </c>
      <c r="X2756" t="inlineStr">
        <is>
          <t>2009-04-20</t>
        </is>
      </c>
      <c r="Y2756" t="n">
        <v>90</v>
      </c>
      <c r="Z2756" t="n">
        <v>72</v>
      </c>
      <c r="AA2756" t="n">
        <v>103</v>
      </c>
      <c r="AB2756" t="n">
        <v>1</v>
      </c>
      <c r="AC2756" t="n">
        <v>1</v>
      </c>
      <c r="AD2756" t="n">
        <v>5</v>
      </c>
      <c r="AE2756" t="n">
        <v>5</v>
      </c>
      <c r="AF2756" t="n">
        <v>1</v>
      </c>
      <c r="AG2756" t="n">
        <v>1</v>
      </c>
      <c r="AH2756" t="n">
        <v>2</v>
      </c>
      <c r="AI2756" t="n">
        <v>2</v>
      </c>
      <c r="AJ2756" t="n">
        <v>3</v>
      </c>
      <c r="AK2756" t="n">
        <v>3</v>
      </c>
      <c r="AL2756" t="n">
        <v>0</v>
      </c>
      <c r="AM2756" t="n">
        <v>0</v>
      </c>
      <c r="AN2756" t="n">
        <v>0</v>
      </c>
      <c r="AO2756" t="n">
        <v>0</v>
      </c>
      <c r="AP2756" t="inlineStr">
        <is>
          <t>No</t>
        </is>
      </c>
      <c r="AQ2756" t="inlineStr">
        <is>
          <t>Yes</t>
        </is>
      </c>
      <c r="AR2756">
        <f>HYPERLINK("http://catalog.hathitrust.org/Record/008316165","HathiTrust Record")</f>
        <v/>
      </c>
      <c r="AS2756">
        <f>HYPERLINK("https://creighton-primo.hosted.exlibrisgroup.com/primo-explore/search?tab=default_tab&amp;search_scope=EVERYTHING&amp;vid=01CRU&amp;lang=en_US&amp;offset=0&amp;query=any,contains,991005308299702656","Catalog Record")</f>
        <v/>
      </c>
      <c r="AT2756">
        <f>HYPERLINK("http://www.worldcat.org/oclc/61314684","WorldCat Record")</f>
        <v/>
      </c>
      <c r="AU2756" t="inlineStr">
        <is>
          <t>938321887:eng</t>
        </is>
      </c>
      <c r="AV2756" t="inlineStr">
        <is>
          <t>61314684</t>
        </is>
      </c>
      <c r="AW2756" t="inlineStr">
        <is>
          <t>991005308299702656</t>
        </is>
      </c>
      <c r="AX2756" t="inlineStr">
        <is>
          <t>991005308299702656</t>
        </is>
      </c>
      <c r="AY2756" t="inlineStr">
        <is>
          <t>2271068460002656</t>
        </is>
      </c>
      <c r="AZ2756" t="inlineStr">
        <is>
          <t>BOOK</t>
        </is>
      </c>
      <c r="BB2756" t="inlineStr">
        <is>
          <t>9781592213399</t>
        </is>
      </c>
      <c r="BC2756" t="inlineStr">
        <is>
          <t>32285005516777</t>
        </is>
      </c>
      <c r="BD2756" t="inlineStr">
        <is>
          <t>893902455</t>
        </is>
      </c>
    </row>
    <row r="2757">
      <c r="A2757" t="inlineStr">
        <is>
          <t>No</t>
        </is>
      </c>
      <c r="B2757" t="inlineStr">
        <is>
          <t>HQ792.E75 P65 2004</t>
        </is>
      </c>
      <c r="C2757" t="inlineStr">
        <is>
          <t>0                      HQ 0792000E  75                 P  65          2004</t>
        </is>
      </c>
      <c r="D2757" t="inlineStr">
        <is>
          <t>The power of continuity : Ethiopia through the eyes of its children / Eva Poluha.</t>
        </is>
      </c>
      <c r="F2757" t="inlineStr">
        <is>
          <t>No</t>
        </is>
      </c>
      <c r="G2757" t="inlineStr">
        <is>
          <t>1</t>
        </is>
      </c>
      <c r="H2757" t="inlineStr">
        <is>
          <t>No</t>
        </is>
      </c>
      <c r="I2757" t="inlineStr">
        <is>
          <t>No</t>
        </is>
      </c>
      <c r="J2757" t="inlineStr">
        <is>
          <t>0</t>
        </is>
      </c>
      <c r="K2757" t="inlineStr">
        <is>
          <t>Poluha, Eva.</t>
        </is>
      </c>
      <c r="L2757" t="inlineStr">
        <is>
          <t>Uppsala, Sweden : Nordiska Afrikainstitutet, 2004.</t>
        </is>
      </c>
      <c r="M2757" t="inlineStr">
        <is>
          <t>2004</t>
        </is>
      </c>
      <c r="O2757" t="inlineStr">
        <is>
          <t>eng</t>
        </is>
      </c>
      <c r="P2757" t="inlineStr">
        <is>
          <t xml:space="preserve">sw </t>
        </is>
      </c>
      <c r="R2757" t="inlineStr">
        <is>
          <t xml:space="preserve">HQ </t>
        </is>
      </c>
      <c r="S2757" t="n">
        <v>1</v>
      </c>
      <c r="T2757" t="n">
        <v>1</v>
      </c>
      <c r="U2757" t="inlineStr">
        <is>
          <t>2009-11-04</t>
        </is>
      </c>
      <c r="V2757" t="inlineStr">
        <is>
          <t>2009-11-04</t>
        </is>
      </c>
      <c r="W2757" t="inlineStr">
        <is>
          <t>2009-11-04</t>
        </is>
      </c>
      <c r="X2757" t="inlineStr">
        <is>
          <t>2009-11-04</t>
        </is>
      </c>
      <c r="Y2757" t="n">
        <v>178</v>
      </c>
      <c r="Z2757" t="n">
        <v>140</v>
      </c>
      <c r="AA2757" t="n">
        <v>142</v>
      </c>
      <c r="AB2757" t="n">
        <v>2</v>
      </c>
      <c r="AC2757" t="n">
        <v>2</v>
      </c>
      <c r="AD2757" t="n">
        <v>9</v>
      </c>
      <c r="AE2757" t="n">
        <v>9</v>
      </c>
      <c r="AF2757" t="n">
        <v>2</v>
      </c>
      <c r="AG2757" t="n">
        <v>2</v>
      </c>
      <c r="AH2757" t="n">
        <v>2</v>
      </c>
      <c r="AI2757" t="n">
        <v>2</v>
      </c>
      <c r="AJ2757" t="n">
        <v>6</v>
      </c>
      <c r="AK2757" t="n">
        <v>6</v>
      </c>
      <c r="AL2757" t="n">
        <v>1</v>
      </c>
      <c r="AM2757" t="n">
        <v>1</v>
      </c>
      <c r="AN2757" t="n">
        <v>0</v>
      </c>
      <c r="AO2757" t="n">
        <v>0</v>
      </c>
      <c r="AP2757" t="inlineStr">
        <is>
          <t>No</t>
        </is>
      </c>
      <c r="AQ2757" t="inlineStr">
        <is>
          <t>No</t>
        </is>
      </c>
      <c r="AS2757">
        <f>HYPERLINK("https://creighton-primo.hosted.exlibrisgroup.com/primo-explore/search?tab=default_tab&amp;search_scope=EVERYTHING&amp;vid=01CRU&amp;lang=en_US&amp;offset=0&amp;query=any,contains,991005339379702656","Catalog Record")</f>
        <v/>
      </c>
      <c r="AT2757">
        <f>HYPERLINK("http://www.worldcat.org/oclc/57612839","WorldCat Record")</f>
        <v/>
      </c>
      <c r="AU2757" t="inlineStr">
        <is>
          <t>896690336:eng</t>
        </is>
      </c>
      <c r="AV2757" t="inlineStr">
        <is>
          <t>57612839</t>
        </is>
      </c>
      <c r="AW2757" t="inlineStr">
        <is>
          <t>991005339379702656</t>
        </is>
      </c>
      <c r="AX2757" t="inlineStr">
        <is>
          <t>991005339379702656</t>
        </is>
      </c>
      <c r="AY2757" t="inlineStr">
        <is>
          <t>2267470870002656</t>
        </is>
      </c>
      <c r="AZ2757" t="inlineStr">
        <is>
          <t>BOOK</t>
        </is>
      </c>
      <c r="BB2757" t="inlineStr">
        <is>
          <t>9789171065353</t>
        </is>
      </c>
      <c r="BC2757" t="inlineStr">
        <is>
          <t>32285005549539</t>
        </is>
      </c>
      <c r="BD2757" t="inlineStr">
        <is>
          <t>893883693</t>
        </is>
      </c>
    </row>
    <row r="2758">
      <c r="A2758" t="inlineStr">
        <is>
          <t>No</t>
        </is>
      </c>
      <c r="B2758" t="inlineStr">
        <is>
          <t>HQ792.E8 S53 1990</t>
        </is>
      </c>
      <c r="C2758" t="inlineStr">
        <is>
          <t>0                      HQ 0792000E  8                  S  53          1990</t>
        </is>
      </c>
      <c r="D2758" t="inlineStr">
        <is>
          <t>Childhood in the Middle Ages / Shulamith Shahar.</t>
        </is>
      </c>
      <c r="F2758" t="inlineStr">
        <is>
          <t>No</t>
        </is>
      </c>
      <c r="G2758" t="inlineStr">
        <is>
          <t>1</t>
        </is>
      </c>
      <c r="H2758" t="inlineStr">
        <is>
          <t>No</t>
        </is>
      </c>
      <c r="I2758" t="inlineStr">
        <is>
          <t>No</t>
        </is>
      </c>
      <c r="J2758" t="inlineStr">
        <is>
          <t>0</t>
        </is>
      </c>
      <c r="K2758" t="inlineStr">
        <is>
          <t>Shahar, Shulamith.</t>
        </is>
      </c>
      <c r="L2758" t="inlineStr">
        <is>
          <t>London ; New York : Routledge, 1990.</t>
        </is>
      </c>
      <c r="M2758" t="inlineStr">
        <is>
          <t>1990</t>
        </is>
      </c>
      <c r="O2758" t="inlineStr">
        <is>
          <t>eng</t>
        </is>
      </c>
      <c r="P2758" t="inlineStr">
        <is>
          <t>enk</t>
        </is>
      </c>
      <c r="R2758" t="inlineStr">
        <is>
          <t xml:space="preserve">HQ </t>
        </is>
      </c>
      <c r="S2758" t="n">
        <v>9</v>
      </c>
      <c r="T2758" t="n">
        <v>9</v>
      </c>
      <c r="U2758" t="inlineStr">
        <is>
          <t>2004-12-13</t>
        </is>
      </c>
      <c r="V2758" t="inlineStr">
        <is>
          <t>2004-12-13</t>
        </is>
      </c>
      <c r="W2758" t="inlineStr">
        <is>
          <t>1991-06-18</t>
        </is>
      </c>
      <c r="X2758" t="inlineStr">
        <is>
          <t>1991-06-18</t>
        </is>
      </c>
      <c r="Y2758" t="n">
        <v>735</v>
      </c>
      <c r="Z2758" t="n">
        <v>567</v>
      </c>
      <c r="AA2758" t="n">
        <v>683</v>
      </c>
      <c r="AB2758" t="n">
        <v>5</v>
      </c>
      <c r="AC2758" t="n">
        <v>5</v>
      </c>
      <c r="AD2758" t="n">
        <v>24</v>
      </c>
      <c r="AE2758" t="n">
        <v>28</v>
      </c>
      <c r="AF2758" t="n">
        <v>5</v>
      </c>
      <c r="AG2758" t="n">
        <v>7</v>
      </c>
      <c r="AH2758" t="n">
        <v>8</v>
      </c>
      <c r="AI2758" t="n">
        <v>8</v>
      </c>
      <c r="AJ2758" t="n">
        <v>13</v>
      </c>
      <c r="AK2758" t="n">
        <v>16</v>
      </c>
      <c r="AL2758" t="n">
        <v>4</v>
      </c>
      <c r="AM2758" t="n">
        <v>4</v>
      </c>
      <c r="AN2758" t="n">
        <v>0</v>
      </c>
      <c r="AO2758" t="n">
        <v>0</v>
      </c>
      <c r="AP2758" t="inlineStr">
        <is>
          <t>No</t>
        </is>
      </c>
      <c r="AQ2758" t="inlineStr">
        <is>
          <t>No</t>
        </is>
      </c>
      <c r="AS2758">
        <f>HYPERLINK("https://creighton-primo.hosted.exlibrisgroup.com/primo-explore/search?tab=default_tab&amp;search_scope=EVERYTHING&amp;vid=01CRU&amp;lang=en_US&amp;offset=0&amp;query=any,contains,991001468029702656","Catalog Record")</f>
        <v/>
      </c>
      <c r="AT2758">
        <f>HYPERLINK("http://www.worldcat.org/oclc/19515844","WorldCat Record")</f>
        <v/>
      </c>
      <c r="AU2758" t="inlineStr">
        <is>
          <t>21376833:eng</t>
        </is>
      </c>
      <c r="AV2758" t="inlineStr">
        <is>
          <t>19515844</t>
        </is>
      </c>
      <c r="AW2758" t="inlineStr">
        <is>
          <t>991001468029702656</t>
        </is>
      </c>
      <c r="AX2758" t="inlineStr">
        <is>
          <t>991001468029702656</t>
        </is>
      </c>
      <c r="AY2758" t="inlineStr">
        <is>
          <t>2261480120002656</t>
        </is>
      </c>
      <c r="AZ2758" t="inlineStr">
        <is>
          <t>BOOK</t>
        </is>
      </c>
      <c r="BB2758" t="inlineStr">
        <is>
          <t>9780415026246</t>
        </is>
      </c>
      <c r="BC2758" t="inlineStr">
        <is>
          <t>32285000656743</t>
        </is>
      </c>
      <c r="BD2758" t="inlineStr">
        <is>
          <t>893328150</t>
        </is>
      </c>
    </row>
    <row r="2759">
      <c r="A2759" t="inlineStr">
        <is>
          <t>No</t>
        </is>
      </c>
      <c r="B2759" t="inlineStr">
        <is>
          <t>HQ792.G7 C35 1987</t>
        </is>
      </c>
      <c r="C2759" t="inlineStr">
        <is>
          <t>0                      HQ 0792000G  7                  C  35          1987</t>
        </is>
      </c>
      <c r="D2759" t="inlineStr">
        <is>
          <t>Caught in crossfire : children and the Northern Ireland conflict / Ed Cairns.</t>
        </is>
      </c>
      <c r="F2759" t="inlineStr">
        <is>
          <t>No</t>
        </is>
      </c>
      <c r="G2759" t="inlineStr">
        <is>
          <t>1</t>
        </is>
      </c>
      <c r="H2759" t="inlineStr">
        <is>
          <t>No</t>
        </is>
      </c>
      <c r="I2759" t="inlineStr">
        <is>
          <t>No</t>
        </is>
      </c>
      <c r="J2759" t="inlineStr">
        <is>
          <t>0</t>
        </is>
      </c>
      <c r="K2759" t="inlineStr">
        <is>
          <t>Cairns, Ed.</t>
        </is>
      </c>
      <c r="L2759" t="inlineStr">
        <is>
          <t>Belfast : Appletree Press ; Syracuse, N.Y. : Syracuse University Press, 1987.</t>
        </is>
      </c>
      <c r="M2759" t="inlineStr">
        <is>
          <t>1987</t>
        </is>
      </c>
      <c r="O2759" t="inlineStr">
        <is>
          <t>eng</t>
        </is>
      </c>
      <c r="P2759" t="inlineStr">
        <is>
          <t>nik</t>
        </is>
      </c>
      <c r="Q2759" t="inlineStr">
        <is>
          <t>Modern Irish society</t>
        </is>
      </c>
      <c r="R2759" t="inlineStr">
        <is>
          <t xml:space="preserve">HQ </t>
        </is>
      </c>
      <c r="S2759" t="n">
        <v>1</v>
      </c>
      <c r="T2759" t="n">
        <v>1</v>
      </c>
      <c r="U2759" t="inlineStr">
        <is>
          <t>1994-10-29</t>
        </is>
      </c>
      <c r="V2759" t="inlineStr">
        <is>
          <t>1994-10-29</t>
        </is>
      </c>
      <c r="W2759" t="inlineStr">
        <is>
          <t>1992-11-16</t>
        </is>
      </c>
      <c r="X2759" t="inlineStr">
        <is>
          <t>1992-11-16</t>
        </is>
      </c>
      <c r="Y2759" t="n">
        <v>409</v>
      </c>
      <c r="Z2759" t="n">
        <v>329</v>
      </c>
      <c r="AA2759" t="n">
        <v>345</v>
      </c>
      <c r="AB2759" t="n">
        <v>3</v>
      </c>
      <c r="AC2759" t="n">
        <v>3</v>
      </c>
      <c r="AD2759" t="n">
        <v>18</v>
      </c>
      <c r="AE2759" t="n">
        <v>19</v>
      </c>
      <c r="AF2759" t="n">
        <v>7</v>
      </c>
      <c r="AG2759" t="n">
        <v>8</v>
      </c>
      <c r="AH2759" t="n">
        <v>6</v>
      </c>
      <c r="AI2759" t="n">
        <v>6</v>
      </c>
      <c r="AJ2759" t="n">
        <v>8</v>
      </c>
      <c r="AK2759" t="n">
        <v>8</v>
      </c>
      <c r="AL2759" t="n">
        <v>2</v>
      </c>
      <c r="AM2759" t="n">
        <v>2</v>
      </c>
      <c r="AN2759" t="n">
        <v>0</v>
      </c>
      <c r="AO2759" t="n">
        <v>0</v>
      </c>
      <c r="AP2759" t="inlineStr">
        <is>
          <t>No</t>
        </is>
      </c>
      <c r="AQ2759" t="inlineStr">
        <is>
          <t>Yes</t>
        </is>
      </c>
      <c r="AR2759">
        <f>HYPERLINK("http://catalog.hathitrust.org/Record/000854312","HathiTrust Record")</f>
        <v/>
      </c>
      <c r="AS2759">
        <f>HYPERLINK("https://creighton-primo.hosted.exlibrisgroup.com/primo-explore/search?tab=default_tab&amp;search_scope=EVERYTHING&amp;vid=01CRU&amp;lang=en_US&amp;offset=0&amp;query=any,contains,991001144519702656","Catalog Record")</f>
        <v/>
      </c>
      <c r="AT2759">
        <f>HYPERLINK("http://www.worldcat.org/oclc/16756875","WorldCat Record")</f>
        <v/>
      </c>
      <c r="AU2759" t="inlineStr">
        <is>
          <t>808137012:eng</t>
        </is>
      </c>
      <c r="AV2759" t="inlineStr">
        <is>
          <t>16756875</t>
        </is>
      </c>
      <c r="AW2759" t="inlineStr">
        <is>
          <t>991001144519702656</t>
        </is>
      </c>
      <c r="AX2759" t="inlineStr">
        <is>
          <t>991001144519702656</t>
        </is>
      </c>
      <c r="AY2759" t="inlineStr">
        <is>
          <t>2262339700002656</t>
        </is>
      </c>
      <c r="AZ2759" t="inlineStr">
        <is>
          <t>BOOK</t>
        </is>
      </c>
      <c r="BB2759" t="inlineStr">
        <is>
          <t>9780815624219</t>
        </is>
      </c>
      <c r="BC2759" t="inlineStr">
        <is>
          <t>32285001396075</t>
        </is>
      </c>
      <c r="BD2759" t="inlineStr">
        <is>
          <t>893261743</t>
        </is>
      </c>
    </row>
    <row r="2760">
      <c r="A2760" t="inlineStr">
        <is>
          <t>No</t>
        </is>
      </c>
      <c r="B2760" t="inlineStr">
        <is>
          <t>HQ792.G7 O74 2001</t>
        </is>
      </c>
      <c r="C2760" t="inlineStr">
        <is>
          <t>0                      HQ 0792000G  7                  O  74          2001</t>
        </is>
      </c>
      <c r="D2760" t="inlineStr">
        <is>
          <t>Medieval children / Nicholas Orme.</t>
        </is>
      </c>
      <c r="F2760" t="inlineStr">
        <is>
          <t>No</t>
        </is>
      </c>
      <c r="G2760" t="inlineStr">
        <is>
          <t>1</t>
        </is>
      </c>
      <c r="H2760" t="inlineStr">
        <is>
          <t>No</t>
        </is>
      </c>
      <c r="I2760" t="inlineStr">
        <is>
          <t>No</t>
        </is>
      </c>
      <c r="J2760" t="inlineStr">
        <is>
          <t>0</t>
        </is>
      </c>
      <c r="K2760" t="inlineStr">
        <is>
          <t>Orme, Nicholas.</t>
        </is>
      </c>
      <c r="L2760" t="inlineStr">
        <is>
          <t>New Haven : Yale University Press, c2001.</t>
        </is>
      </c>
      <c r="M2760" t="inlineStr">
        <is>
          <t>2001</t>
        </is>
      </c>
      <c r="O2760" t="inlineStr">
        <is>
          <t>eng</t>
        </is>
      </c>
      <c r="P2760" t="inlineStr">
        <is>
          <t>ctu</t>
        </is>
      </c>
      <c r="R2760" t="inlineStr">
        <is>
          <t xml:space="preserve">HQ </t>
        </is>
      </c>
      <c r="S2760" t="n">
        <v>2</v>
      </c>
      <c r="T2760" t="n">
        <v>2</v>
      </c>
      <c r="U2760" t="inlineStr">
        <is>
          <t>2004-12-13</t>
        </is>
      </c>
      <c r="V2760" t="inlineStr">
        <is>
          <t>2004-12-13</t>
        </is>
      </c>
      <c r="W2760" t="inlineStr">
        <is>
          <t>2002-01-10</t>
        </is>
      </c>
      <c r="X2760" t="inlineStr">
        <is>
          <t>2002-01-10</t>
        </is>
      </c>
      <c r="Y2760" t="n">
        <v>1110</v>
      </c>
      <c r="Z2760" t="n">
        <v>911</v>
      </c>
      <c r="AA2760" t="n">
        <v>1110</v>
      </c>
      <c r="AB2760" t="n">
        <v>5</v>
      </c>
      <c r="AC2760" t="n">
        <v>6</v>
      </c>
      <c r="AD2760" t="n">
        <v>36</v>
      </c>
      <c r="AE2760" t="n">
        <v>41</v>
      </c>
      <c r="AF2760" t="n">
        <v>16</v>
      </c>
      <c r="AG2760" t="n">
        <v>18</v>
      </c>
      <c r="AH2760" t="n">
        <v>11</v>
      </c>
      <c r="AI2760" t="n">
        <v>11</v>
      </c>
      <c r="AJ2760" t="n">
        <v>17</v>
      </c>
      <c r="AK2760" t="n">
        <v>21</v>
      </c>
      <c r="AL2760" t="n">
        <v>4</v>
      </c>
      <c r="AM2760" t="n">
        <v>4</v>
      </c>
      <c r="AN2760" t="n">
        <v>0</v>
      </c>
      <c r="AO2760" t="n">
        <v>0</v>
      </c>
      <c r="AP2760" t="inlineStr">
        <is>
          <t>No</t>
        </is>
      </c>
      <c r="AQ2760" t="inlineStr">
        <is>
          <t>No</t>
        </is>
      </c>
      <c r="AS2760">
        <f>HYPERLINK("https://creighton-primo.hosted.exlibrisgroup.com/primo-explore/search?tab=default_tab&amp;search_scope=EVERYTHING&amp;vid=01CRU&amp;lang=en_US&amp;offset=0&amp;query=any,contains,991003677319702656","Catalog Record")</f>
        <v/>
      </c>
      <c r="AT2760">
        <f>HYPERLINK("http://www.worldcat.org/oclc/46703306","WorldCat Record")</f>
        <v/>
      </c>
      <c r="AU2760" t="inlineStr">
        <is>
          <t>671689:eng</t>
        </is>
      </c>
      <c r="AV2760" t="inlineStr">
        <is>
          <t>46703306</t>
        </is>
      </c>
      <c r="AW2760" t="inlineStr">
        <is>
          <t>991003677319702656</t>
        </is>
      </c>
      <c r="AX2760" t="inlineStr">
        <is>
          <t>991003677319702656</t>
        </is>
      </c>
      <c r="AY2760" t="inlineStr">
        <is>
          <t>2272027190002656</t>
        </is>
      </c>
      <c r="AZ2760" t="inlineStr">
        <is>
          <t>BOOK</t>
        </is>
      </c>
      <c r="BB2760" t="inlineStr">
        <is>
          <t>9780300085419</t>
        </is>
      </c>
      <c r="BC2760" t="inlineStr">
        <is>
          <t>32285004447545</t>
        </is>
      </c>
      <c r="BD2760" t="inlineStr">
        <is>
          <t>893693018</t>
        </is>
      </c>
    </row>
    <row r="2761">
      <c r="A2761" t="inlineStr">
        <is>
          <t>No</t>
        </is>
      </c>
      <c r="B2761" t="inlineStr">
        <is>
          <t>HQ792.I75 R3 1982</t>
        </is>
      </c>
      <c r="C2761" t="inlineStr">
        <is>
          <t>0                      HQ 0792000I  75                 R  3           1982</t>
        </is>
      </c>
      <c r="D2761" t="inlineStr">
        <is>
          <t>Twenty years later : Kibbutz children grown up / A.I. Rabin, Benjamin Beit-Hallahmi.</t>
        </is>
      </c>
      <c r="F2761" t="inlineStr">
        <is>
          <t>No</t>
        </is>
      </c>
      <c r="G2761" t="inlineStr">
        <is>
          <t>1</t>
        </is>
      </c>
      <c r="H2761" t="inlineStr">
        <is>
          <t>No</t>
        </is>
      </c>
      <c r="I2761" t="inlineStr">
        <is>
          <t>No</t>
        </is>
      </c>
      <c r="J2761" t="inlineStr">
        <is>
          <t>0</t>
        </is>
      </c>
      <c r="K2761" t="inlineStr">
        <is>
          <t>Rabin, Albert I.</t>
        </is>
      </c>
      <c r="L2761" t="inlineStr">
        <is>
          <t>New York : Springer, c1982.</t>
        </is>
      </c>
      <c r="M2761" t="inlineStr">
        <is>
          <t>1982</t>
        </is>
      </c>
      <c r="O2761" t="inlineStr">
        <is>
          <t>eng</t>
        </is>
      </c>
      <c r="P2761" t="inlineStr">
        <is>
          <t>nyu</t>
        </is>
      </c>
      <c r="R2761" t="inlineStr">
        <is>
          <t xml:space="preserve">HQ </t>
        </is>
      </c>
      <c r="S2761" t="n">
        <v>3</v>
      </c>
      <c r="T2761" t="n">
        <v>3</v>
      </c>
      <c r="U2761" t="inlineStr">
        <is>
          <t>1994-03-05</t>
        </is>
      </c>
      <c r="V2761" t="inlineStr">
        <is>
          <t>1994-03-05</t>
        </is>
      </c>
      <c r="W2761" t="inlineStr">
        <is>
          <t>1992-11-16</t>
        </is>
      </c>
      <c r="X2761" t="inlineStr">
        <is>
          <t>1992-11-16</t>
        </is>
      </c>
      <c r="Y2761" t="n">
        <v>498</v>
      </c>
      <c r="Z2761" t="n">
        <v>423</v>
      </c>
      <c r="AA2761" t="n">
        <v>425</v>
      </c>
      <c r="AB2761" t="n">
        <v>3</v>
      </c>
      <c r="AC2761" t="n">
        <v>3</v>
      </c>
      <c r="AD2761" t="n">
        <v>19</v>
      </c>
      <c r="AE2761" t="n">
        <v>19</v>
      </c>
      <c r="AF2761" t="n">
        <v>6</v>
      </c>
      <c r="AG2761" t="n">
        <v>6</v>
      </c>
      <c r="AH2761" t="n">
        <v>6</v>
      </c>
      <c r="AI2761" t="n">
        <v>6</v>
      </c>
      <c r="AJ2761" t="n">
        <v>9</v>
      </c>
      <c r="AK2761" t="n">
        <v>9</v>
      </c>
      <c r="AL2761" t="n">
        <v>2</v>
      </c>
      <c r="AM2761" t="n">
        <v>2</v>
      </c>
      <c r="AN2761" t="n">
        <v>0</v>
      </c>
      <c r="AO2761" t="n">
        <v>0</v>
      </c>
      <c r="AP2761" t="inlineStr">
        <is>
          <t>No</t>
        </is>
      </c>
      <c r="AQ2761" t="inlineStr">
        <is>
          <t>Yes</t>
        </is>
      </c>
      <c r="AR2761">
        <f>HYPERLINK("http://catalog.hathitrust.org/Record/000230009","HathiTrust Record")</f>
        <v/>
      </c>
      <c r="AS2761">
        <f>HYPERLINK("https://creighton-primo.hosted.exlibrisgroup.com/primo-explore/search?tab=default_tab&amp;search_scope=EVERYTHING&amp;vid=01CRU&amp;lang=en_US&amp;offset=0&amp;query=any,contains,991005217279702656","Catalog Record")</f>
        <v/>
      </c>
      <c r="AT2761">
        <f>HYPERLINK("http://www.worldcat.org/oclc/8195522","WorldCat Record")</f>
        <v/>
      </c>
      <c r="AU2761" t="inlineStr">
        <is>
          <t>197709703:eng</t>
        </is>
      </c>
      <c r="AV2761" t="inlineStr">
        <is>
          <t>8195522</t>
        </is>
      </c>
      <c r="AW2761" t="inlineStr">
        <is>
          <t>991005217279702656</t>
        </is>
      </c>
      <c r="AX2761" t="inlineStr">
        <is>
          <t>991005217279702656</t>
        </is>
      </c>
      <c r="AY2761" t="inlineStr">
        <is>
          <t>2268328010002656</t>
        </is>
      </c>
      <c r="AZ2761" t="inlineStr">
        <is>
          <t>BOOK</t>
        </is>
      </c>
      <c r="BB2761" t="inlineStr">
        <is>
          <t>9780826133106</t>
        </is>
      </c>
      <c r="BC2761" t="inlineStr">
        <is>
          <t>32285001396083</t>
        </is>
      </c>
      <c r="BD2761" t="inlineStr">
        <is>
          <t>893443597</t>
        </is>
      </c>
    </row>
    <row r="2762">
      <c r="A2762" t="inlineStr">
        <is>
          <t>No</t>
        </is>
      </c>
      <c r="B2762" t="inlineStr">
        <is>
          <t>HQ792.P3 G7 1975</t>
        </is>
      </c>
      <c r="C2762" t="inlineStr">
        <is>
          <t>0                      HQ 0792000P  3                  G  7           1975</t>
        </is>
      </c>
      <c r="D2762" t="inlineStr">
        <is>
          <t>Birth and childhood among the Arabs : studies in a Muhammadan village in Palestine / by Hilma Granqvist.</t>
        </is>
      </c>
      <c r="F2762" t="inlineStr">
        <is>
          <t>No</t>
        </is>
      </c>
      <c r="G2762" t="inlineStr">
        <is>
          <t>1</t>
        </is>
      </c>
      <c r="H2762" t="inlineStr">
        <is>
          <t>No</t>
        </is>
      </c>
      <c r="I2762" t="inlineStr">
        <is>
          <t>No</t>
        </is>
      </c>
      <c r="J2762" t="inlineStr">
        <is>
          <t>0</t>
        </is>
      </c>
      <c r="K2762" t="inlineStr">
        <is>
          <t>Granqvist, Hilma Natalia, 1890-</t>
        </is>
      </c>
      <c r="L2762" t="inlineStr">
        <is>
          <t>New York : AMS Press, 1975.</t>
        </is>
      </c>
      <c r="M2762" t="inlineStr">
        <is>
          <t>1975</t>
        </is>
      </c>
      <c r="O2762" t="inlineStr">
        <is>
          <t>eng</t>
        </is>
      </c>
      <c r="P2762" t="inlineStr">
        <is>
          <t>nyu</t>
        </is>
      </c>
      <c r="R2762" t="inlineStr">
        <is>
          <t xml:space="preserve">HQ </t>
        </is>
      </c>
      <c r="S2762" t="n">
        <v>1</v>
      </c>
      <c r="T2762" t="n">
        <v>1</v>
      </c>
      <c r="U2762" t="inlineStr">
        <is>
          <t>2004-12-13</t>
        </is>
      </c>
      <c r="V2762" t="inlineStr">
        <is>
          <t>2004-12-13</t>
        </is>
      </c>
      <c r="W2762" t="inlineStr">
        <is>
          <t>1991-09-24</t>
        </is>
      </c>
      <c r="X2762" t="inlineStr">
        <is>
          <t>1991-09-24</t>
        </is>
      </c>
      <c r="Y2762" t="n">
        <v>97</v>
      </c>
      <c r="Z2762" t="n">
        <v>78</v>
      </c>
      <c r="AA2762" t="n">
        <v>284</v>
      </c>
      <c r="AB2762" t="n">
        <v>2</v>
      </c>
      <c r="AC2762" t="n">
        <v>3</v>
      </c>
      <c r="AD2762" t="n">
        <v>5</v>
      </c>
      <c r="AE2762" t="n">
        <v>9</v>
      </c>
      <c r="AF2762" t="n">
        <v>2</v>
      </c>
      <c r="AG2762" t="n">
        <v>3</v>
      </c>
      <c r="AH2762" t="n">
        <v>2</v>
      </c>
      <c r="AI2762" t="n">
        <v>3</v>
      </c>
      <c r="AJ2762" t="n">
        <v>2</v>
      </c>
      <c r="AK2762" t="n">
        <v>4</v>
      </c>
      <c r="AL2762" t="n">
        <v>1</v>
      </c>
      <c r="AM2762" t="n">
        <v>2</v>
      </c>
      <c r="AN2762" t="n">
        <v>0</v>
      </c>
      <c r="AO2762" t="n">
        <v>0</v>
      </c>
      <c r="AP2762" t="inlineStr">
        <is>
          <t>No</t>
        </is>
      </c>
      <c r="AQ2762" t="inlineStr">
        <is>
          <t>Yes</t>
        </is>
      </c>
      <c r="AR2762">
        <f>HYPERLINK("http://catalog.hathitrust.org/Record/009908529","HathiTrust Record")</f>
        <v/>
      </c>
      <c r="AS2762">
        <f>HYPERLINK("https://creighton-primo.hosted.exlibrisgroup.com/primo-explore/search?tab=default_tab&amp;search_scope=EVERYTHING&amp;vid=01CRU&amp;lang=en_US&amp;offset=0&amp;query=any,contains,991003591299702656","Catalog Record")</f>
        <v/>
      </c>
      <c r="AT2762">
        <f>HYPERLINK("http://www.worldcat.org/oclc/1174281","WorldCat Record")</f>
        <v/>
      </c>
      <c r="AU2762" t="inlineStr">
        <is>
          <t>2117748:eng</t>
        </is>
      </c>
      <c r="AV2762" t="inlineStr">
        <is>
          <t>1174281</t>
        </is>
      </c>
      <c r="AW2762" t="inlineStr">
        <is>
          <t>991003591299702656</t>
        </is>
      </c>
      <c r="AX2762" t="inlineStr">
        <is>
          <t>991003591299702656</t>
        </is>
      </c>
      <c r="AY2762" t="inlineStr">
        <is>
          <t>2272414010002656</t>
        </is>
      </c>
      <c r="AZ2762" t="inlineStr">
        <is>
          <t>BOOK</t>
        </is>
      </c>
      <c r="BB2762" t="inlineStr">
        <is>
          <t>9780404574475</t>
        </is>
      </c>
      <c r="BC2762" t="inlineStr">
        <is>
          <t>32285000760511</t>
        </is>
      </c>
      <c r="BD2762" t="inlineStr">
        <is>
          <t>893799909</t>
        </is>
      </c>
    </row>
    <row r="2763">
      <c r="A2763" t="inlineStr">
        <is>
          <t>No</t>
        </is>
      </c>
      <c r="B2763" t="inlineStr">
        <is>
          <t>HQ792.P3 R3</t>
        </is>
      </c>
      <c r="C2763" t="inlineStr">
        <is>
          <t>0                      HQ 0792000P  3                  R  3</t>
        </is>
      </c>
      <c r="D2763" t="inlineStr">
        <is>
          <t>Growing up in the Kibbutz : comparison of the personality of children brought up in the Kibbutz and of family-reared children / by A. I. Rabin.</t>
        </is>
      </c>
      <c r="F2763" t="inlineStr">
        <is>
          <t>No</t>
        </is>
      </c>
      <c r="G2763" t="inlineStr">
        <is>
          <t>1</t>
        </is>
      </c>
      <c r="H2763" t="inlineStr">
        <is>
          <t>No</t>
        </is>
      </c>
      <c r="I2763" t="inlineStr">
        <is>
          <t>No</t>
        </is>
      </c>
      <c r="J2763" t="inlineStr">
        <is>
          <t>0</t>
        </is>
      </c>
      <c r="K2763" t="inlineStr">
        <is>
          <t>Rabin, Albert I.</t>
        </is>
      </c>
      <c r="L2763" t="inlineStr">
        <is>
          <t>New York : Springer Pub. Co., [1965]</t>
        </is>
      </c>
      <c r="M2763" t="inlineStr">
        <is>
          <t>1965</t>
        </is>
      </c>
      <c r="O2763" t="inlineStr">
        <is>
          <t>eng</t>
        </is>
      </c>
      <c r="P2763" t="inlineStr">
        <is>
          <t>nyu</t>
        </is>
      </c>
      <c r="R2763" t="inlineStr">
        <is>
          <t xml:space="preserve">HQ </t>
        </is>
      </c>
      <c r="S2763" t="n">
        <v>2</v>
      </c>
      <c r="T2763" t="n">
        <v>2</v>
      </c>
      <c r="U2763" t="inlineStr">
        <is>
          <t>2002-07-14</t>
        </is>
      </c>
      <c r="V2763" t="inlineStr">
        <is>
          <t>2002-07-14</t>
        </is>
      </c>
      <c r="W2763" t="inlineStr">
        <is>
          <t>1994-05-06</t>
        </is>
      </c>
      <c r="X2763" t="inlineStr">
        <is>
          <t>1994-05-06</t>
        </is>
      </c>
      <c r="Y2763" t="n">
        <v>728</v>
      </c>
      <c r="Z2763" t="n">
        <v>637</v>
      </c>
      <c r="AA2763" t="n">
        <v>661</v>
      </c>
      <c r="AB2763" t="n">
        <v>7</v>
      </c>
      <c r="AC2763" t="n">
        <v>7</v>
      </c>
      <c r="AD2763" t="n">
        <v>31</v>
      </c>
      <c r="AE2763" t="n">
        <v>32</v>
      </c>
      <c r="AF2763" t="n">
        <v>13</v>
      </c>
      <c r="AG2763" t="n">
        <v>14</v>
      </c>
      <c r="AH2763" t="n">
        <v>5</v>
      </c>
      <c r="AI2763" t="n">
        <v>5</v>
      </c>
      <c r="AJ2763" t="n">
        <v>12</v>
      </c>
      <c r="AK2763" t="n">
        <v>13</v>
      </c>
      <c r="AL2763" t="n">
        <v>5</v>
      </c>
      <c r="AM2763" t="n">
        <v>5</v>
      </c>
      <c r="AN2763" t="n">
        <v>0</v>
      </c>
      <c r="AO2763" t="n">
        <v>0</v>
      </c>
      <c r="AP2763" t="inlineStr">
        <is>
          <t>No</t>
        </is>
      </c>
      <c r="AQ2763" t="inlineStr">
        <is>
          <t>Yes</t>
        </is>
      </c>
      <c r="AR2763">
        <f>HYPERLINK("http://catalog.hathitrust.org/Record/001110157","HathiTrust Record")</f>
        <v/>
      </c>
      <c r="AS2763">
        <f>HYPERLINK("https://creighton-primo.hosted.exlibrisgroup.com/primo-explore/search?tab=default_tab&amp;search_scope=EVERYTHING&amp;vid=01CRU&amp;lang=en_US&amp;offset=0&amp;query=any,contains,991005265129702656","Catalog Record")</f>
        <v/>
      </c>
      <c r="AT2763">
        <f>HYPERLINK("http://www.worldcat.org/oclc/260538","WorldCat Record")</f>
        <v/>
      </c>
      <c r="AU2763" t="inlineStr">
        <is>
          <t>792467958:eng</t>
        </is>
      </c>
      <c r="AV2763" t="inlineStr">
        <is>
          <t>260538</t>
        </is>
      </c>
      <c r="AW2763" t="inlineStr">
        <is>
          <t>991005265129702656</t>
        </is>
      </c>
      <c r="AX2763" t="inlineStr">
        <is>
          <t>991005265129702656</t>
        </is>
      </c>
      <c r="AY2763" t="inlineStr">
        <is>
          <t>2262509480002656</t>
        </is>
      </c>
      <c r="AZ2763" t="inlineStr">
        <is>
          <t>BOOK</t>
        </is>
      </c>
      <c r="BC2763" t="inlineStr">
        <is>
          <t>32285001907806</t>
        </is>
      </c>
      <c r="BD2763" t="inlineStr">
        <is>
          <t>893713762</t>
        </is>
      </c>
    </row>
    <row r="2764">
      <c r="A2764" t="inlineStr">
        <is>
          <t>No</t>
        </is>
      </c>
      <c r="B2764" t="inlineStr">
        <is>
          <t>HQ792.S6 G7 1986</t>
        </is>
      </c>
      <c r="C2764" t="inlineStr">
        <is>
          <t>0                      HQ 0792000S  6                  G  7           1986</t>
        </is>
      </c>
      <c r="D2764" t="inlineStr">
        <is>
          <t>Growing up in a divided society : the contexts of childhood in South Africa / edited and with an introduction and afterword by Sandra Burman and Pamela Reynolds.</t>
        </is>
      </c>
      <c r="F2764" t="inlineStr">
        <is>
          <t>No</t>
        </is>
      </c>
      <c r="G2764" t="inlineStr">
        <is>
          <t>1</t>
        </is>
      </c>
      <c r="H2764" t="inlineStr">
        <is>
          <t>No</t>
        </is>
      </c>
      <c r="I2764" t="inlineStr">
        <is>
          <t>No</t>
        </is>
      </c>
      <c r="J2764" t="inlineStr">
        <is>
          <t>0</t>
        </is>
      </c>
      <c r="L2764" t="inlineStr">
        <is>
          <t>Johannesburg : Ravan Press, 1986.</t>
        </is>
      </c>
      <c r="M2764" t="inlineStr">
        <is>
          <t>1986</t>
        </is>
      </c>
      <c r="O2764" t="inlineStr">
        <is>
          <t>eng</t>
        </is>
      </c>
      <c r="P2764" t="inlineStr">
        <is>
          <t xml:space="preserve">sa </t>
        </is>
      </c>
      <c r="R2764" t="inlineStr">
        <is>
          <t xml:space="preserve">HQ </t>
        </is>
      </c>
      <c r="S2764" t="n">
        <v>4</v>
      </c>
      <c r="T2764" t="n">
        <v>4</v>
      </c>
      <c r="U2764" t="inlineStr">
        <is>
          <t>1995-11-30</t>
        </is>
      </c>
      <c r="V2764" t="inlineStr">
        <is>
          <t>1995-11-30</t>
        </is>
      </c>
      <c r="W2764" t="inlineStr">
        <is>
          <t>1992-04-22</t>
        </is>
      </c>
      <c r="X2764" t="inlineStr">
        <is>
          <t>1992-04-22</t>
        </is>
      </c>
      <c r="Y2764" t="n">
        <v>271</v>
      </c>
      <c r="Z2764" t="n">
        <v>161</v>
      </c>
      <c r="AA2764" t="n">
        <v>322</v>
      </c>
      <c r="AB2764" t="n">
        <v>2</v>
      </c>
      <c r="AC2764" t="n">
        <v>2</v>
      </c>
      <c r="AD2764" t="n">
        <v>2</v>
      </c>
      <c r="AE2764" t="n">
        <v>8</v>
      </c>
      <c r="AF2764" t="n">
        <v>0</v>
      </c>
      <c r="AG2764" t="n">
        <v>2</v>
      </c>
      <c r="AH2764" t="n">
        <v>1</v>
      </c>
      <c r="AI2764" t="n">
        <v>2</v>
      </c>
      <c r="AJ2764" t="n">
        <v>0</v>
      </c>
      <c r="AK2764" t="n">
        <v>6</v>
      </c>
      <c r="AL2764" t="n">
        <v>1</v>
      </c>
      <c r="AM2764" t="n">
        <v>1</v>
      </c>
      <c r="AN2764" t="n">
        <v>0</v>
      </c>
      <c r="AO2764" t="n">
        <v>0</v>
      </c>
      <c r="AP2764" t="inlineStr">
        <is>
          <t>No</t>
        </is>
      </c>
      <c r="AQ2764" t="inlineStr">
        <is>
          <t>Yes</t>
        </is>
      </c>
      <c r="AR2764">
        <f>HYPERLINK("http://catalog.hathitrust.org/Record/009513617","HathiTrust Record")</f>
        <v/>
      </c>
      <c r="AS2764">
        <f>HYPERLINK("https://creighton-primo.hosted.exlibrisgroup.com/primo-explore/search?tab=default_tab&amp;search_scope=EVERYTHING&amp;vid=01CRU&amp;lang=en_US&amp;offset=0&amp;query=any,contains,991001090699702656","Catalog Record")</f>
        <v/>
      </c>
      <c r="AT2764">
        <f>HYPERLINK("http://www.worldcat.org/oclc/16219380","WorldCat Record")</f>
        <v/>
      </c>
      <c r="AU2764" t="inlineStr">
        <is>
          <t>347507433:eng</t>
        </is>
      </c>
      <c r="AV2764" t="inlineStr">
        <is>
          <t>16219380</t>
        </is>
      </c>
      <c r="AW2764" t="inlineStr">
        <is>
          <t>991001090699702656</t>
        </is>
      </c>
      <c r="AX2764" t="inlineStr">
        <is>
          <t>991001090699702656</t>
        </is>
      </c>
      <c r="AY2764" t="inlineStr">
        <is>
          <t>2254878810002656</t>
        </is>
      </c>
      <c r="AZ2764" t="inlineStr">
        <is>
          <t>BOOK</t>
        </is>
      </c>
      <c r="BB2764" t="inlineStr">
        <is>
          <t>9780869753064</t>
        </is>
      </c>
      <c r="BC2764" t="inlineStr">
        <is>
          <t>32285001064509</t>
        </is>
      </c>
      <c r="BD2764" t="inlineStr">
        <is>
          <t>893503096</t>
        </is>
      </c>
    </row>
    <row r="2765">
      <c r="A2765" t="inlineStr">
        <is>
          <t>No</t>
        </is>
      </c>
      <c r="B2765" t="inlineStr">
        <is>
          <t>HQ792.U3 W37 1987</t>
        </is>
      </c>
      <c r="C2765" t="inlineStr">
        <is>
          <t>0                      HQ 0792000U  3                  W  37          1987</t>
        </is>
      </c>
      <c r="D2765" t="inlineStr">
        <is>
          <t>War, violence, and children in Uganda / edited by Cole P. Dodge and Magne Raundalen.</t>
        </is>
      </c>
      <c r="F2765" t="inlineStr">
        <is>
          <t>No</t>
        </is>
      </c>
      <c r="G2765" t="inlineStr">
        <is>
          <t>1</t>
        </is>
      </c>
      <c r="H2765" t="inlineStr">
        <is>
          <t>No</t>
        </is>
      </c>
      <c r="I2765" t="inlineStr">
        <is>
          <t>No</t>
        </is>
      </c>
      <c r="J2765" t="inlineStr">
        <is>
          <t>0</t>
        </is>
      </c>
      <c r="L2765" t="inlineStr">
        <is>
          <t>Oslo : Norwegian University Press ; Oxford : Oxford University Press [distributor], c1987.</t>
        </is>
      </c>
      <c r="M2765" t="inlineStr">
        <is>
          <t>1987</t>
        </is>
      </c>
      <c r="O2765" t="inlineStr">
        <is>
          <t>eng</t>
        </is>
      </c>
      <c r="P2765" t="inlineStr">
        <is>
          <t>enk</t>
        </is>
      </c>
      <c r="R2765" t="inlineStr">
        <is>
          <t xml:space="preserve">HQ </t>
        </is>
      </c>
      <c r="S2765" t="n">
        <v>6</v>
      </c>
      <c r="T2765" t="n">
        <v>6</v>
      </c>
      <c r="U2765" t="inlineStr">
        <is>
          <t>2008-12-10</t>
        </is>
      </c>
      <c r="V2765" t="inlineStr">
        <is>
          <t>2008-12-10</t>
        </is>
      </c>
      <c r="W2765" t="inlineStr">
        <is>
          <t>1991-02-11</t>
        </is>
      </c>
      <c r="X2765" t="inlineStr">
        <is>
          <t>1991-02-11</t>
        </is>
      </c>
      <c r="Y2765" t="n">
        <v>159</v>
      </c>
      <c r="Z2765" t="n">
        <v>110</v>
      </c>
      <c r="AA2765" t="n">
        <v>111</v>
      </c>
      <c r="AB2765" t="n">
        <v>1</v>
      </c>
      <c r="AC2765" t="n">
        <v>1</v>
      </c>
      <c r="AD2765" t="n">
        <v>2</v>
      </c>
      <c r="AE2765" t="n">
        <v>2</v>
      </c>
      <c r="AF2765" t="n">
        <v>0</v>
      </c>
      <c r="AG2765" t="n">
        <v>0</v>
      </c>
      <c r="AH2765" t="n">
        <v>1</v>
      </c>
      <c r="AI2765" t="n">
        <v>1</v>
      </c>
      <c r="AJ2765" t="n">
        <v>1</v>
      </c>
      <c r="AK2765" t="n">
        <v>1</v>
      </c>
      <c r="AL2765" t="n">
        <v>0</v>
      </c>
      <c r="AM2765" t="n">
        <v>0</v>
      </c>
      <c r="AN2765" t="n">
        <v>0</v>
      </c>
      <c r="AO2765" t="n">
        <v>0</v>
      </c>
      <c r="AP2765" t="inlineStr">
        <is>
          <t>No</t>
        </is>
      </c>
      <c r="AQ2765" t="inlineStr">
        <is>
          <t>Yes</t>
        </is>
      </c>
      <c r="AR2765">
        <f>HYPERLINK("http://catalog.hathitrust.org/Record/000849942","HathiTrust Record")</f>
        <v/>
      </c>
      <c r="AS2765">
        <f>HYPERLINK("https://creighton-primo.hosted.exlibrisgroup.com/primo-explore/search?tab=default_tab&amp;search_scope=EVERYTHING&amp;vid=01CRU&amp;lang=en_US&amp;offset=0&amp;query=any,contains,991000947499702656","Catalog Record")</f>
        <v/>
      </c>
      <c r="AT2765">
        <f>HYPERLINK("http://www.worldcat.org/oclc/14588189","WorldCat Record")</f>
        <v/>
      </c>
      <c r="AU2765" t="inlineStr">
        <is>
          <t>9066233:eng</t>
        </is>
      </c>
      <c r="AV2765" t="inlineStr">
        <is>
          <t>14588189</t>
        </is>
      </c>
      <c r="AW2765" t="inlineStr">
        <is>
          <t>991000947499702656</t>
        </is>
      </c>
      <c r="AX2765" t="inlineStr">
        <is>
          <t>991000947499702656</t>
        </is>
      </c>
      <c r="AY2765" t="inlineStr">
        <is>
          <t>2271586620002656</t>
        </is>
      </c>
      <c r="AZ2765" t="inlineStr">
        <is>
          <t>BOOK</t>
        </is>
      </c>
      <c r="BB2765" t="inlineStr">
        <is>
          <t>9788200184089</t>
        </is>
      </c>
      <c r="BC2765" t="inlineStr">
        <is>
          <t>32285000464080</t>
        </is>
      </c>
      <c r="BD2765" t="inlineStr">
        <is>
          <t>893865819</t>
        </is>
      </c>
    </row>
    <row r="2766">
      <c r="A2766" t="inlineStr">
        <is>
          <t>No</t>
        </is>
      </c>
      <c r="B2766" t="inlineStr">
        <is>
          <t>HQ792.U5 A525 1985</t>
        </is>
      </c>
      <c r="C2766" t="inlineStr">
        <is>
          <t>0                      HQ 0792000U  5                  A  525         1985</t>
        </is>
      </c>
      <c r="D2766" t="inlineStr">
        <is>
          <t>American childhood : a research guide and historical handbook / edited by Joseph M. Hawes and N. Ray Hiner.</t>
        </is>
      </c>
      <c r="F2766" t="inlineStr">
        <is>
          <t>No</t>
        </is>
      </c>
      <c r="G2766" t="inlineStr">
        <is>
          <t>1</t>
        </is>
      </c>
      <c r="H2766" t="inlineStr">
        <is>
          <t>No</t>
        </is>
      </c>
      <c r="I2766" t="inlineStr">
        <is>
          <t>No</t>
        </is>
      </c>
      <c r="J2766" t="inlineStr">
        <is>
          <t>0</t>
        </is>
      </c>
      <c r="L2766" t="inlineStr">
        <is>
          <t>Westport, Conn. : Greenwood Press, c1985.</t>
        </is>
      </c>
      <c r="M2766" t="inlineStr">
        <is>
          <t>1985</t>
        </is>
      </c>
      <c r="O2766" t="inlineStr">
        <is>
          <t>eng</t>
        </is>
      </c>
      <c r="P2766" t="inlineStr">
        <is>
          <t>ctu</t>
        </is>
      </c>
      <c r="R2766" t="inlineStr">
        <is>
          <t xml:space="preserve">HQ </t>
        </is>
      </c>
      <c r="S2766" t="n">
        <v>4</v>
      </c>
      <c r="T2766" t="n">
        <v>4</v>
      </c>
      <c r="U2766" t="inlineStr">
        <is>
          <t>2004-04-18</t>
        </is>
      </c>
      <c r="V2766" t="inlineStr">
        <is>
          <t>2004-04-18</t>
        </is>
      </c>
      <c r="W2766" t="inlineStr">
        <is>
          <t>1992-03-03</t>
        </is>
      </c>
      <c r="X2766" t="inlineStr">
        <is>
          <t>1992-03-03</t>
        </is>
      </c>
      <c r="Y2766" t="n">
        <v>630</v>
      </c>
      <c r="Z2766" t="n">
        <v>571</v>
      </c>
      <c r="AA2766" t="n">
        <v>572</v>
      </c>
      <c r="AB2766" t="n">
        <v>5</v>
      </c>
      <c r="AC2766" t="n">
        <v>5</v>
      </c>
      <c r="AD2766" t="n">
        <v>21</v>
      </c>
      <c r="AE2766" t="n">
        <v>21</v>
      </c>
      <c r="AF2766" t="n">
        <v>5</v>
      </c>
      <c r="AG2766" t="n">
        <v>5</v>
      </c>
      <c r="AH2766" t="n">
        <v>7</v>
      </c>
      <c r="AI2766" t="n">
        <v>7</v>
      </c>
      <c r="AJ2766" t="n">
        <v>9</v>
      </c>
      <c r="AK2766" t="n">
        <v>9</v>
      </c>
      <c r="AL2766" t="n">
        <v>4</v>
      </c>
      <c r="AM2766" t="n">
        <v>4</v>
      </c>
      <c r="AN2766" t="n">
        <v>0</v>
      </c>
      <c r="AO2766" t="n">
        <v>0</v>
      </c>
      <c r="AP2766" t="inlineStr">
        <is>
          <t>No</t>
        </is>
      </c>
      <c r="AQ2766" t="inlineStr">
        <is>
          <t>Yes</t>
        </is>
      </c>
      <c r="AR2766">
        <f>HYPERLINK("http://catalog.hathitrust.org/Record/000470816","HathiTrust Record")</f>
        <v/>
      </c>
      <c r="AS2766">
        <f>HYPERLINK("https://creighton-primo.hosted.exlibrisgroup.com/primo-explore/search?tab=default_tab&amp;search_scope=EVERYTHING&amp;vid=01CRU&amp;lang=en_US&amp;offset=0&amp;query=any,contains,991000470449702656","Catalog Record")</f>
        <v/>
      </c>
      <c r="AT2766">
        <f>HYPERLINK("http://www.worldcat.org/oclc/10996759","WorldCat Record")</f>
        <v/>
      </c>
      <c r="AU2766" t="inlineStr">
        <is>
          <t>890257313:eng</t>
        </is>
      </c>
      <c r="AV2766" t="inlineStr">
        <is>
          <t>10996759</t>
        </is>
      </c>
      <c r="AW2766" t="inlineStr">
        <is>
          <t>991000470449702656</t>
        </is>
      </c>
      <c r="AX2766" t="inlineStr">
        <is>
          <t>991000470449702656</t>
        </is>
      </c>
      <c r="AY2766" t="inlineStr">
        <is>
          <t>2261965840002656</t>
        </is>
      </c>
      <c r="AZ2766" t="inlineStr">
        <is>
          <t>BOOK</t>
        </is>
      </c>
      <c r="BB2766" t="inlineStr">
        <is>
          <t>9780313233371</t>
        </is>
      </c>
      <c r="BC2766" t="inlineStr">
        <is>
          <t>32285000991181</t>
        </is>
      </c>
      <c r="BD2766" t="inlineStr">
        <is>
          <t>893534167</t>
        </is>
      </c>
    </row>
    <row r="2767">
      <c r="A2767" t="inlineStr">
        <is>
          <t>No</t>
        </is>
      </c>
      <c r="B2767" t="inlineStr">
        <is>
          <t>HQ792.U5 B44 1984</t>
        </is>
      </c>
      <c r="C2767" t="inlineStr">
        <is>
          <t>0                      HQ 0792000U  5                  B  44          1984</t>
        </is>
      </c>
      <c r="D2767" t="inlineStr">
        <is>
          <t>The child in the family / Jay Belsky, Richard M. Lerner, Graham B. Spanier.</t>
        </is>
      </c>
      <c r="F2767" t="inlineStr">
        <is>
          <t>No</t>
        </is>
      </c>
      <c r="G2767" t="inlineStr">
        <is>
          <t>1</t>
        </is>
      </c>
      <c r="H2767" t="inlineStr">
        <is>
          <t>No</t>
        </is>
      </c>
      <c r="I2767" t="inlineStr">
        <is>
          <t>No</t>
        </is>
      </c>
      <c r="J2767" t="inlineStr">
        <is>
          <t>0</t>
        </is>
      </c>
      <c r="K2767" t="inlineStr">
        <is>
          <t>Belsky, Jay, 1952-</t>
        </is>
      </c>
      <c r="L2767" t="inlineStr">
        <is>
          <t>New York : Random House, c1984.</t>
        </is>
      </c>
      <c r="M2767" t="inlineStr">
        <is>
          <t>1984</t>
        </is>
      </c>
      <c r="N2767" t="inlineStr">
        <is>
          <t>1st ed.</t>
        </is>
      </c>
      <c r="O2767" t="inlineStr">
        <is>
          <t>eng</t>
        </is>
      </c>
      <c r="P2767" t="inlineStr">
        <is>
          <t>nyu</t>
        </is>
      </c>
      <c r="R2767" t="inlineStr">
        <is>
          <t xml:space="preserve">HQ </t>
        </is>
      </c>
      <c r="S2767" t="n">
        <v>7</v>
      </c>
      <c r="T2767" t="n">
        <v>7</v>
      </c>
      <c r="U2767" t="inlineStr">
        <is>
          <t>2010-10-13</t>
        </is>
      </c>
      <c r="V2767" t="inlineStr">
        <is>
          <t>2010-10-13</t>
        </is>
      </c>
      <c r="W2767" t="inlineStr">
        <is>
          <t>1992-03-30</t>
        </is>
      </c>
      <c r="X2767" t="inlineStr">
        <is>
          <t>1992-03-30</t>
        </is>
      </c>
      <c r="Y2767" t="n">
        <v>114</v>
      </c>
      <c r="Z2767" t="n">
        <v>89</v>
      </c>
      <c r="AA2767" t="n">
        <v>307</v>
      </c>
      <c r="AB2767" t="n">
        <v>1</v>
      </c>
      <c r="AC2767" t="n">
        <v>3</v>
      </c>
      <c r="AD2767" t="n">
        <v>5</v>
      </c>
      <c r="AE2767" t="n">
        <v>13</v>
      </c>
      <c r="AF2767" t="n">
        <v>1</v>
      </c>
      <c r="AG2767" t="n">
        <v>3</v>
      </c>
      <c r="AH2767" t="n">
        <v>1</v>
      </c>
      <c r="AI2767" t="n">
        <v>2</v>
      </c>
      <c r="AJ2767" t="n">
        <v>3</v>
      </c>
      <c r="AK2767" t="n">
        <v>8</v>
      </c>
      <c r="AL2767" t="n">
        <v>0</v>
      </c>
      <c r="AM2767" t="n">
        <v>2</v>
      </c>
      <c r="AN2767" t="n">
        <v>0</v>
      </c>
      <c r="AO2767" t="n">
        <v>0</v>
      </c>
      <c r="AP2767" t="inlineStr">
        <is>
          <t>No</t>
        </is>
      </c>
      <c r="AQ2767" t="inlineStr">
        <is>
          <t>Yes</t>
        </is>
      </c>
      <c r="AR2767">
        <f>HYPERLINK("http://catalog.hathitrust.org/Record/007559210","HathiTrust Record")</f>
        <v/>
      </c>
      <c r="AS2767">
        <f>HYPERLINK("https://creighton-primo.hosted.exlibrisgroup.com/primo-explore/search?tab=default_tab&amp;search_scope=EVERYTHING&amp;vid=01CRU&amp;lang=en_US&amp;offset=0&amp;query=any,contains,991000735949702656","Catalog Record")</f>
        <v/>
      </c>
      <c r="AT2767">
        <f>HYPERLINK("http://www.worldcat.org/oclc/12771707","WorldCat Record")</f>
        <v/>
      </c>
      <c r="AU2767" t="inlineStr">
        <is>
          <t>5563277:eng</t>
        </is>
      </c>
      <c r="AV2767" t="inlineStr">
        <is>
          <t>12771707</t>
        </is>
      </c>
      <c r="AW2767" t="inlineStr">
        <is>
          <t>991000735949702656</t>
        </is>
      </c>
      <c r="AX2767" t="inlineStr">
        <is>
          <t>991000735949702656</t>
        </is>
      </c>
      <c r="AY2767" t="inlineStr">
        <is>
          <t>2259548850002656</t>
        </is>
      </c>
      <c r="AZ2767" t="inlineStr">
        <is>
          <t>BOOK</t>
        </is>
      </c>
      <c r="BB2767" t="inlineStr">
        <is>
          <t>9780394347875</t>
        </is>
      </c>
      <c r="BC2767" t="inlineStr">
        <is>
          <t>32285001030401</t>
        </is>
      </c>
      <c r="BD2767" t="inlineStr">
        <is>
          <t>893339842</t>
        </is>
      </c>
    </row>
    <row r="2768">
      <c r="A2768" t="inlineStr">
        <is>
          <t>No</t>
        </is>
      </c>
      <c r="B2768" t="inlineStr">
        <is>
          <t>HQ792.U5 B85 1994</t>
        </is>
      </c>
      <c r="C2768" t="inlineStr">
        <is>
          <t>0                      HQ 0792000U  5                  B  85          1994</t>
        </is>
      </c>
      <c r="D2768" t="inlineStr">
        <is>
          <t>Earth angels : migrant children in America / Nancy Buirski ; introduction by Henry G. Cisneros ; afterword by Rubén Blades.</t>
        </is>
      </c>
      <c r="F2768" t="inlineStr">
        <is>
          <t>No</t>
        </is>
      </c>
      <c r="G2768" t="inlineStr">
        <is>
          <t>1</t>
        </is>
      </c>
      <c r="H2768" t="inlineStr">
        <is>
          <t>No</t>
        </is>
      </c>
      <c r="I2768" t="inlineStr">
        <is>
          <t>No</t>
        </is>
      </c>
      <c r="J2768" t="inlineStr">
        <is>
          <t>0</t>
        </is>
      </c>
      <c r="K2768" t="inlineStr">
        <is>
          <t>Buirski, Nancy.</t>
        </is>
      </c>
      <c r="L2768" t="inlineStr">
        <is>
          <t>San Francisco, Calif. : Pomegranate Artbooks, c1994.</t>
        </is>
      </c>
      <c r="M2768" t="inlineStr">
        <is>
          <t>1994</t>
        </is>
      </c>
      <c r="O2768" t="inlineStr">
        <is>
          <t>eng</t>
        </is>
      </c>
      <c r="P2768" t="inlineStr">
        <is>
          <t>cau</t>
        </is>
      </c>
      <c r="R2768" t="inlineStr">
        <is>
          <t xml:space="preserve">HQ </t>
        </is>
      </c>
      <c r="S2768" t="n">
        <v>2</v>
      </c>
      <c r="T2768" t="n">
        <v>2</v>
      </c>
      <c r="U2768" t="inlineStr">
        <is>
          <t>1995-04-19</t>
        </is>
      </c>
      <c r="V2768" t="inlineStr">
        <is>
          <t>1995-04-19</t>
        </is>
      </c>
      <c r="W2768" t="inlineStr">
        <is>
          <t>1995-04-03</t>
        </is>
      </c>
      <c r="X2768" t="inlineStr">
        <is>
          <t>1995-04-03</t>
        </is>
      </c>
      <c r="Y2768" t="n">
        <v>261</v>
      </c>
      <c r="Z2768" t="n">
        <v>254</v>
      </c>
      <c r="AA2768" t="n">
        <v>255</v>
      </c>
      <c r="AB2768" t="n">
        <v>1</v>
      </c>
      <c r="AC2768" t="n">
        <v>1</v>
      </c>
      <c r="AD2768" t="n">
        <v>8</v>
      </c>
      <c r="AE2768" t="n">
        <v>8</v>
      </c>
      <c r="AF2768" t="n">
        <v>1</v>
      </c>
      <c r="AG2768" t="n">
        <v>1</v>
      </c>
      <c r="AH2768" t="n">
        <v>1</v>
      </c>
      <c r="AI2768" t="n">
        <v>1</v>
      </c>
      <c r="AJ2768" t="n">
        <v>6</v>
      </c>
      <c r="AK2768" t="n">
        <v>6</v>
      </c>
      <c r="AL2768" t="n">
        <v>0</v>
      </c>
      <c r="AM2768" t="n">
        <v>0</v>
      </c>
      <c r="AN2768" t="n">
        <v>0</v>
      </c>
      <c r="AO2768" t="n">
        <v>0</v>
      </c>
      <c r="AP2768" t="inlineStr">
        <is>
          <t>No</t>
        </is>
      </c>
      <c r="AQ2768" t="inlineStr">
        <is>
          <t>No</t>
        </is>
      </c>
      <c r="AS2768">
        <f>HYPERLINK("https://creighton-primo.hosted.exlibrisgroup.com/primo-explore/search?tab=default_tab&amp;search_scope=EVERYTHING&amp;vid=01CRU&amp;lang=en_US&amp;offset=0&amp;query=any,contains,991002346849702656","Catalog Record")</f>
        <v/>
      </c>
      <c r="AT2768">
        <f>HYPERLINK("http://www.worldcat.org/oclc/30547694","WorldCat Record")</f>
        <v/>
      </c>
      <c r="AU2768" t="inlineStr">
        <is>
          <t>32831353:eng</t>
        </is>
      </c>
      <c r="AV2768" t="inlineStr">
        <is>
          <t>30547694</t>
        </is>
      </c>
      <c r="AW2768" t="inlineStr">
        <is>
          <t>991002346849702656</t>
        </is>
      </c>
      <c r="AX2768" t="inlineStr">
        <is>
          <t>991002346849702656</t>
        </is>
      </c>
      <c r="AY2768" t="inlineStr">
        <is>
          <t>2263955510002656</t>
        </is>
      </c>
      <c r="AZ2768" t="inlineStr">
        <is>
          <t>BOOK</t>
        </is>
      </c>
      <c r="BB2768" t="inlineStr">
        <is>
          <t>9780876540732</t>
        </is>
      </c>
      <c r="BC2768" t="inlineStr">
        <is>
          <t>32285002016417</t>
        </is>
      </c>
      <c r="BD2768" t="inlineStr">
        <is>
          <t>893773502</t>
        </is>
      </c>
    </row>
    <row r="2769">
      <c r="A2769" t="inlineStr">
        <is>
          <t>No</t>
        </is>
      </c>
      <c r="B2769" t="inlineStr">
        <is>
          <t>HQ792.U5 C435 1983</t>
        </is>
      </c>
      <c r="C2769" t="inlineStr">
        <is>
          <t>0                      HQ 0792000U  5                  C  435         1983</t>
        </is>
      </c>
      <c r="D2769" t="inlineStr">
        <is>
          <t>Children of working parents : experiences and outcomes / Cheryl D. Hayes and Sheila B. Kamerman, editors ; Panel on Work, Family, and Community, Committee on Child Development Research and Public Policy, Commission on Behavioral and Social Sciences and Education, National Research Council.</t>
        </is>
      </c>
      <c r="F2769" t="inlineStr">
        <is>
          <t>No</t>
        </is>
      </c>
      <c r="G2769" t="inlineStr">
        <is>
          <t>1</t>
        </is>
      </c>
      <c r="H2769" t="inlineStr">
        <is>
          <t>No</t>
        </is>
      </c>
      <c r="I2769" t="inlineStr">
        <is>
          <t>No</t>
        </is>
      </c>
      <c r="J2769" t="inlineStr">
        <is>
          <t>0</t>
        </is>
      </c>
      <c r="L2769" t="inlineStr">
        <is>
          <t>Washington, D.C. : National Academy Press, 1983.</t>
        </is>
      </c>
      <c r="M2769" t="inlineStr">
        <is>
          <t>1983</t>
        </is>
      </c>
      <c r="O2769" t="inlineStr">
        <is>
          <t>eng</t>
        </is>
      </c>
      <c r="P2769" t="inlineStr">
        <is>
          <t>dcu</t>
        </is>
      </c>
      <c r="R2769" t="inlineStr">
        <is>
          <t xml:space="preserve">HQ </t>
        </is>
      </c>
      <c r="S2769" t="n">
        <v>10</v>
      </c>
      <c r="T2769" t="n">
        <v>10</v>
      </c>
      <c r="U2769" t="inlineStr">
        <is>
          <t>2005-11-21</t>
        </is>
      </c>
      <c r="V2769" t="inlineStr">
        <is>
          <t>2005-11-21</t>
        </is>
      </c>
      <c r="W2769" t="inlineStr">
        <is>
          <t>1991-11-25</t>
        </is>
      </c>
      <c r="X2769" t="inlineStr">
        <is>
          <t>1991-11-25</t>
        </is>
      </c>
      <c r="Y2769" t="n">
        <v>663</v>
      </c>
      <c r="Z2769" t="n">
        <v>590</v>
      </c>
      <c r="AA2769" t="n">
        <v>598</v>
      </c>
      <c r="AB2769" t="n">
        <v>3</v>
      </c>
      <c r="AC2769" t="n">
        <v>3</v>
      </c>
      <c r="AD2769" t="n">
        <v>25</v>
      </c>
      <c r="AE2769" t="n">
        <v>25</v>
      </c>
      <c r="AF2769" t="n">
        <v>9</v>
      </c>
      <c r="AG2769" t="n">
        <v>9</v>
      </c>
      <c r="AH2769" t="n">
        <v>7</v>
      </c>
      <c r="AI2769" t="n">
        <v>7</v>
      </c>
      <c r="AJ2769" t="n">
        <v>14</v>
      </c>
      <c r="AK2769" t="n">
        <v>14</v>
      </c>
      <c r="AL2769" t="n">
        <v>2</v>
      </c>
      <c r="AM2769" t="n">
        <v>2</v>
      </c>
      <c r="AN2769" t="n">
        <v>0</v>
      </c>
      <c r="AO2769" t="n">
        <v>0</v>
      </c>
      <c r="AP2769" t="inlineStr">
        <is>
          <t>No</t>
        </is>
      </c>
      <c r="AQ2769" t="inlineStr">
        <is>
          <t>Yes</t>
        </is>
      </c>
      <c r="AR2769">
        <f>HYPERLINK("http://catalog.hathitrust.org/Record/000276266","HathiTrust Record")</f>
        <v/>
      </c>
      <c r="AS2769">
        <f>HYPERLINK("https://creighton-primo.hosted.exlibrisgroup.com/primo-explore/search?tab=default_tab&amp;search_scope=EVERYTHING&amp;vid=01CRU&amp;lang=en_US&amp;offset=0&amp;query=any,contains,991000184319702656","Catalog Record")</f>
        <v/>
      </c>
      <c r="AT2769">
        <f>HYPERLINK("http://www.worldcat.org/oclc/9393146","WorldCat Record")</f>
        <v/>
      </c>
      <c r="AU2769" t="inlineStr">
        <is>
          <t>910260062:eng</t>
        </is>
      </c>
      <c r="AV2769" t="inlineStr">
        <is>
          <t>9393146</t>
        </is>
      </c>
      <c r="AW2769" t="inlineStr">
        <is>
          <t>991000184319702656</t>
        </is>
      </c>
      <c r="AX2769" t="inlineStr">
        <is>
          <t>991000184319702656</t>
        </is>
      </c>
      <c r="AY2769" t="inlineStr">
        <is>
          <t>2265926560002656</t>
        </is>
      </c>
      <c r="AZ2769" t="inlineStr">
        <is>
          <t>BOOK</t>
        </is>
      </c>
      <c r="BB2769" t="inlineStr">
        <is>
          <t>9780309033480</t>
        </is>
      </c>
      <c r="BC2769" t="inlineStr">
        <is>
          <t>32285000845072</t>
        </is>
      </c>
      <c r="BD2769" t="inlineStr">
        <is>
          <t>893701914</t>
        </is>
      </c>
    </row>
    <row r="2770">
      <c r="A2770" t="inlineStr">
        <is>
          <t>No</t>
        </is>
      </c>
      <c r="B2770" t="inlineStr">
        <is>
          <t>HQ792.U5 C44</t>
        </is>
      </c>
      <c r="C2770" t="inlineStr">
        <is>
          <t>0                      HQ 0792000U  5                  C  44</t>
        </is>
      </c>
      <c r="D2770" t="inlineStr">
        <is>
          <t>The Children's rights movement : overcoming the oppression of young people / edited by Beatrice Gross and Ronald Gross.</t>
        </is>
      </c>
      <c r="F2770" t="inlineStr">
        <is>
          <t>No</t>
        </is>
      </c>
      <c r="G2770" t="inlineStr">
        <is>
          <t>1</t>
        </is>
      </c>
      <c r="H2770" t="inlineStr">
        <is>
          <t>No</t>
        </is>
      </c>
      <c r="I2770" t="inlineStr">
        <is>
          <t>No</t>
        </is>
      </c>
      <c r="J2770" t="inlineStr">
        <is>
          <t>0</t>
        </is>
      </c>
      <c r="L2770" t="inlineStr">
        <is>
          <t>Garden City, N.Y. : Anchor Books, 1977.</t>
        </is>
      </c>
      <c r="M2770" t="inlineStr">
        <is>
          <t>1977</t>
        </is>
      </c>
      <c r="N2770" t="inlineStr">
        <is>
          <t>1st ed.</t>
        </is>
      </c>
      <c r="O2770" t="inlineStr">
        <is>
          <t>eng</t>
        </is>
      </c>
      <c r="P2770" t="inlineStr">
        <is>
          <t>nyu</t>
        </is>
      </c>
      <c r="R2770" t="inlineStr">
        <is>
          <t xml:space="preserve">HQ </t>
        </is>
      </c>
      <c r="S2770" t="n">
        <v>4</v>
      </c>
      <c r="T2770" t="n">
        <v>4</v>
      </c>
      <c r="U2770" t="inlineStr">
        <is>
          <t>1996-06-24</t>
        </is>
      </c>
      <c r="V2770" t="inlineStr">
        <is>
          <t>1996-06-24</t>
        </is>
      </c>
      <c r="W2770" t="inlineStr">
        <is>
          <t>1992-07-28</t>
        </is>
      </c>
      <c r="X2770" t="inlineStr">
        <is>
          <t>1992-07-28</t>
        </is>
      </c>
      <c r="Y2770" t="n">
        <v>1143</v>
      </c>
      <c r="Z2770" t="n">
        <v>1029</v>
      </c>
      <c r="AA2770" t="n">
        <v>1035</v>
      </c>
      <c r="AB2770" t="n">
        <v>9</v>
      </c>
      <c r="AC2770" t="n">
        <v>9</v>
      </c>
      <c r="AD2770" t="n">
        <v>49</v>
      </c>
      <c r="AE2770" t="n">
        <v>49</v>
      </c>
      <c r="AF2770" t="n">
        <v>18</v>
      </c>
      <c r="AG2770" t="n">
        <v>18</v>
      </c>
      <c r="AH2770" t="n">
        <v>10</v>
      </c>
      <c r="AI2770" t="n">
        <v>10</v>
      </c>
      <c r="AJ2770" t="n">
        <v>15</v>
      </c>
      <c r="AK2770" t="n">
        <v>15</v>
      </c>
      <c r="AL2770" t="n">
        <v>7</v>
      </c>
      <c r="AM2770" t="n">
        <v>7</v>
      </c>
      <c r="AN2770" t="n">
        <v>9</v>
      </c>
      <c r="AO2770" t="n">
        <v>9</v>
      </c>
      <c r="AP2770" t="inlineStr">
        <is>
          <t>No</t>
        </is>
      </c>
      <c r="AQ2770" t="inlineStr">
        <is>
          <t>Yes</t>
        </is>
      </c>
      <c r="AR2770">
        <f>HYPERLINK("http://catalog.hathitrust.org/Record/000210196","HathiTrust Record")</f>
        <v/>
      </c>
      <c r="AS2770">
        <f>HYPERLINK("https://creighton-primo.hosted.exlibrisgroup.com/primo-explore/search?tab=default_tab&amp;search_scope=EVERYTHING&amp;vid=01CRU&amp;lang=en_US&amp;offset=0&amp;query=any,contains,991004251749702656","Catalog Record")</f>
        <v/>
      </c>
      <c r="AT2770">
        <f>HYPERLINK("http://www.worldcat.org/oclc/2815137","WorldCat Record")</f>
        <v/>
      </c>
      <c r="AU2770" t="inlineStr">
        <is>
          <t>892618541:eng</t>
        </is>
      </c>
      <c r="AV2770" t="inlineStr">
        <is>
          <t>2815137</t>
        </is>
      </c>
      <c r="AW2770" t="inlineStr">
        <is>
          <t>991004251749702656</t>
        </is>
      </c>
      <c r="AX2770" t="inlineStr">
        <is>
          <t>991004251749702656</t>
        </is>
      </c>
      <c r="AY2770" t="inlineStr">
        <is>
          <t>2258340500002656</t>
        </is>
      </c>
      <c r="AZ2770" t="inlineStr">
        <is>
          <t>BOOK</t>
        </is>
      </c>
      <c r="BB2770" t="inlineStr">
        <is>
          <t>9780385110273</t>
        </is>
      </c>
      <c r="BC2770" t="inlineStr">
        <is>
          <t>32285001206621</t>
        </is>
      </c>
      <c r="BD2770" t="inlineStr">
        <is>
          <t>893253460</t>
        </is>
      </c>
    </row>
    <row r="2771">
      <c r="A2771" t="inlineStr">
        <is>
          <t>No</t>
        </is>
      </c>
      <c r="B2771" t="inlineStr">
        <is>
          <t>HQ792.U5 C565 1997</t>
        </is>
      </c>
      <c r="C2771" t="inlineStr">
        <is>
          <t>0                      HQ 0792000U  5                  C  565         1997</t>
        </is>
      </c>
      <c r="D2771" t="inlineStr">
        <is>
          <t>Growing pains : children in the industrial age, 1850-1890 / Priscilla Ferguson Clement.</t>
        </is>
      </c>
      <c r="F2771" t="inlineStr">
        <is>
          <t>No</t>
        </is>
      </c>
      <c r="G2771" t="inlineStr">
        <is>
          <t>1</t>
        </is>
      </c>
      <c r="H2771" t="inlineStr">
        <is>
          <t>No</t>
        </is>
      </c>
      <c r="I2771" t="inlineStr">
        <is>
          <t>No</t>
        </is>
      </c>
      <c r="J2771" t="inlineStr">
        <is>
          <t>0</t>
        </is>
      </c>
      <c r="K2771" t="inlineStr">
        <is>
          <t>Clement, Priscilla Ferguson, 1942-</t>
        </is>
      </c>
      <c r="L2771" t="inlineStr">
        <is>
          <t>New York : Twayne Publishers ; London : Prentice Hall International, c1997.</t>
        </is>
      </c>
      <c r="M2771" t="inlineStr">
        <is>
          <t>1997</t>
        </is>
      </c>
      <c r="O2771" t="inlineStr">
        <is>
          <t>eng</t>
        </is>
      </c>
      <c r="P2771" t="inlineStr">
        <is>
          <t>nyu</t>
        </is>
      </c>
      <c r="Q2771" t="inlineStr">
        <is>
          <t>Twayne's history of American childhood series</t>
        </is>
      </c>
      <c r="R2771" t="inlineStr">
        <is>
          <t xml:space="preserve">HQ </t>
        </is>
      </c>
      <c r="S2771" t="n">
        <v>2</v>
      </c>
      <c r="T2771" t="n">
        <v>2</v>
      </c>
      <c r="U2771" t="inlineStr">
        <is>
          <t>2001-03-27</t>
        </is>
      </c>
      <c r="V2771" t="inlineStr">
        <is>
          <t>2001-03-27</t>
        </is>
      </c>
      <c r="W2771" t="inlineStr">
        <is>
          <t>1997-04-24</t>
        </is>
      </c>
      <c r="X2771" t="inlineStr">
        <is>
          <t>1997-04-24</t>
        </is>
      </c>
      <c r="Y2771" t="n">
        <v>491</v>
      </c>
      <c r="Z2771" t="n">
        <v>442</v>
      </c>
      <c r="AA2771" t="n">
        <v>450</v>
      </c>
      <c r="AB2771" t="n">
        <v>3</v>
      </c>
      <c r="AC2771" t="n">
        <v>3</v>
      </c>
      <c r="AD2771" t="n">
        <v>26</v>
      </c>
      <c r="AE2771" t="n">
        <v>26</v>
      </c>
      <c r="AF2771" t="n">
        <v>10</v>
      </c>
      <c r="AG2771" t="n">
        <v>10</v>
      </c>
      <c r="AH2771" t="n">
        <v>7</v>
      </c>
      <c r="AI2771" t="n">
        <v>7</v>
      </c>
      <c r="AJ2771" t="n">
        <v>16</v>
      </c>
      <c r="AK2771" t="n">
        <v>16</v>
      </c>
      <c r="AL2771" t="n">
        <v>2</v>
      </c>
      <c r="AM2771" t="n">
        <v>2</v>
      </c>
      <c r="AN2771" t="n">
        <v>0</v>
      </c>
      <c r="AO2771" t="n">
        <v>0</v>
      </c>
      <c r="AP2771" t="inlineStr">
        <is>
          <t>No</t>
        </is>
      </c>
      <c r="AQ2771" t="inlineStr">
        <is>
          <t>Yes</t>
        </is>
      </c>
      <c r="AR2771">
        <f>HYPERLINK("http://catalog.hathitrust.org/Record/003146193","HathiTrust Record")</f>
        <v/>
      </c>
      <c r="AS2771">
        <f>HYPERLINK("https://creighton-primo.hosted.exlibrisgroup.com/primo-explore/search?tab=default_tab&amp;search_scope=EVERYTHING&amp;vid=01CRU&amp;lang=en_US&amp;offset=0&amp;query=any,contains,991002707299702656","Catalog Record")</f>
        <v/>
      </c>
      <c r="AT2771">
        <f>HYPERLINK("http://www.worldcat.org/oclc/35360700","WorldCat Record")</f>
        <v/>
      </c>
      <c r="AU2771" t="inlineStr">
        <is>
          <t>39845192:eng</t>
        </is>
      </c>
      <c r="AV2771" t="inlineStr">
        <is>
          <t>35360700</t>
        </is>
      </c>
      <c r="AW2771" t="inlineStr">
        <is>
          <t>991002707299702656</t>
        </is>
      </c>
      <c r="AX2771" t="inlineStr">
        <is>
          <t>991002707299702656</t>
        </is>
      </c>
      <c r="AY2771" t="inlineStr">
        <is>
          <t>2266742260002656</t>
        </is>
      </c>
      <c r="AZ2771" t="inlineStr">
        <is>
          <t>BOOK</t>
        </is>
      </c>
      <c r="BB2771" t="inlineStr">
        <is>
          <t>9780805741094</t>
        </is>
      </c>
      <c r="BC2771" t="inlineStr">
        <is>
          <t>32285002540697</t>
        </is>
      </c>
      <c r="BD2771" t="inlineStr">
        <is>
          <t>893245537</t>
        </is>
      </c>
    </row>
    <row r="2772">
      <c r="A2772" t="inlineStr">
        <is>
          <t>No</t>
        </is>
      </c>
      <c r="B2772" t="inlineStr">
        <is>
          <t>HQ792.U5 C6 1987</t>
        </is>
      </c>
      <c r="C2772" t="inlineStr">
        <is>
          <t>0                      HQ 0792000U  5                  C  6           1987</t>
        </is>
      </c>
      <c r="D2772" t="inlineStr">
        <is>
          <t>The Nation's children / edited by Eli Ginzberg ; with a new introduction by the editor.</t>
        </is>
      </c>
      <c r="F2772" t="inlineStr">
        <is>
          <t>No</t>
        </is>
      </c>
      <c r="G2772" t="inlineStr">
        <is>
          <t>1</t>
        </is>
      </c>
      <c r="H2772" t="inlineStr">
        <is>
          <t>No</t>
        </is>
      </c>
      <c r="I2772" t="inlineStr">
        <is>
          <t>No</t>
        </is>
      </c>
      <c r="J2772" t="inlineStr">
        <is>
          <t>0</t>
        </is>
      </c>
      <c r="L2772" t="inlineStr">
        <is>
          <t>New Brunswick, U.S.A. : Transaction Books, 1987, c1960.</t>
        </is>
      </c>
      <c r="M2772" t="inlineStr">
        <is>
          <t>1986</t>
        </is>
      </c>
      <c r="O2772" t="inlineStr">
        <is>
          <t>eng</t>
        </is>
      </c>
      <c r="P2772" t="inlineStr">
        <is>
          <t>nju</t>
        </is>
      </c>
      <c r="R2772" t="inlineStr">
        <is>
          <t xml:space="preserve">HQ </t>
        </is>
      </c>
      <c r="S2772" t="n">
        <v>3</v>
      </c>
      <c r="T2772" t="n">
        <v>3</v>
      </c>
      <c r="U2772" t="inlineStr">
        <is>
          <t>2010-10-13</t>
        </is>
      </c>
      <c r="V2772" t="inlineStr">
        <is>
          <t>2010-10-13</t>
        </is>
      </c>
      <c r="W2772" t="inlineStr">
        <is>
          <t>1992-11-16</t>
        </is>
      </c>
      <c r="X2772" t="inlineStr">
        <is>
          <t>1992-11-16</t>
        </is>
      </c>
      <c r="Y2772" t="n">
        <v>105</v>
      </c>
      <c r="Z2772" t="n">
        <v>98</v>
      </c>
      <c r="AA2772" t="n">
        <v>105</v>
      </c>
      <c r="AB2772" t="n">
        <v>1</v>
      </c>
      <c r="AC2772" t="n">
        <v>1</v>
      </c>
      <c r="AD2772" t="n">
        <v>6</v>
      </c>
      <c r="AE2772" t="n">
        <v>6</v>
      </c>
      <c r="AF2772" t="n">
        <v>1</v>
      </c>
      <c r="AG2772" t="n">
        <v>1</v>
      </c>
      <c r="AH2772" t="n">
        <v>2</v>
      </c>
      <c r="AI2772" t="n">
        <v>2</v>
      </c>
      <c r="AJ2772" t="n">
        <v>4</v>
      </c>
      <c r="AK2772" t="n">
        <v>4</v>
      </c>
      <c r="AL2772" t="n">
        <v>0</v>
      </c>
      <c r="AM2772" t="n">
        <v>0</v>
      </c>
      <c r="AN2772" t="n">
        <v>0</v>
      </c>
      <c r="AO2772" t="n">
        <v>0</v>
      </c>
      <c r="AP2772" t="inlineStr">
        <is>
          <t>No</t>
        </is>
      </c>
      <c r="AQ2772" t="inlineStr">
        <is>
          <t>No</t>
        </is>
      </c>
      <c r="AS2772">
        <f>HYPERLINK("https://creighton-primo.hosted.exlibrisgroup.com/primo-explore/search?tab=default_tab&amp;search_scope=EVERYTHING&amp;vid=01CRU&amp;lang=en_US&amp;offset=0&amp;query=any,contains,991000921299702656","Catalog Record")</f>
        <v/>
      </c>
      <c r="AT2772">
        <f>HYPERLINK("http://www.worldcat.org/oclc/14212395","WorldCat Record")</f>
        <v/>
      </c>
      <c r="AU2772" t="inlineStr">
        <is>
          <t>5218179755:eng</t>
        </is>
      </c>
      <c r="AV2772" t="inlineStr">
        <is>
          <t>14212395</t>
        </is>
      </c>
      <c r="AW2772" t="inlineStr">
        <is>
          <t>991000921299702656</t>
        </is>
      </c>
      <c r="AX2772" t="inlineStr">
        <is>
          <t>991000921299702656</t>
        </is>
      </c>
      <c r="AY2772" t="inlineStr">
        <is>
          <t>2268854050002656</t>
        </is>
      </c>
      <c r="AZ2772" t="inlineStr">
        <is>
          <t>BOOK</t>
        </is>
      </c>
      <c r="BB2772" t="inlineStr">
        <is>
          <t>9780887386763</t>
        </is>
      </c>
      <c r="BC2772" t="inlineStr">
        <is>
          <t>32285001396117</t>
        </is>
      </c>
      <c r="BD2772" t="inlineStr">
        <is>
          <t>893426170</t>
        </is>
      </c>
    </row>
    <row r="2773">
      <c r="A2773" t="inlineStr">
        <is>
          <t>No</t>
        </is>
      </c>
      <c r="B2773" t="inlineStr">
        <is>
          <t>HQ792.U5 E86 1984</t>
        </is>
      </c>
      <c r="C2773" t="inlineStr">
        <is>
          <t>0                      HQ 0792000U  5                  E  86          1984</t>
        </is>
      </c>
      <c r="D2773" t="inlineStr">
        <is>
          <t>Investing in children : new estimates of parental expenditures / Thomas J. Espenshade.</t>
        </is>
      </c>
      <c r="F2773" t="inlineStr">
        <is>
          <t>No</t>
        </is>
      </c>
      <c r="G2773" t="inlineStr">
        <is>
          <t>1</t>
        </is>
      </c>
      <c r="H2773" t="inlineStr">
        <is>
          <t>No</t>
        </is>
      </c>
      <c r="I2773" t="inlineStr">
        <is>
          <t>No</t>
        </is>
      </c>
      <c r="J2773" t="inlineStr">
        <is>
          <t>0</t>
        </is>
      </c>
      <c r="K2773" t="inlineStr">
        <is>
          <t>Espenshade, Thomas J.</t>
        </is>
      </c>
      <c r="L2773" t="inlineStr">
        <is>
          <t>Washington, D.C. : Urban Institute Press, c1984.</t>
        </is>
      </c>
      <c r="M2773" t="inlineStr">
        <is>
          <t>1984</t>
        </is>
      </c>
      <c r="O2773" t="inlineStr">
        <is>
          <t>eng</t>
        </is>
      </c>
      <c r="P2773" t="inlineStr">
        <is>
          <t>dcu</t>
        </is>
      </c>
      <c r="R2773" t="inlineStr">
        <is>
          <t xml:space="preserve">HQ </t>
        </is>
      </c>
      <c r="S2773" t="n">
        <v>3</v>
      </c>
      <c r="T2773" t="n">
        <v>3</v>
      </c>
      <c r="U2773" t="inlineStr">
        <is>
          <t>1995-03-09</t>
        </is>
      </c>
      <c r="V2773" t="inlineStr">
        <is>
          <t>1995-03-09</t>
        </is>
      </c>
      <c r="W2773" t="inlineStr">
        <is>
          <t>1992-11-16</t>
        </is>
      </c>
      <c r="X2773" t="inlineStr">
        <is>
          <t>1992-11-16</t>
        </is>
      </c>
      <c r="Y2773" t="n">
        <v>402</v>
      </c>
      <c r="Z2773" t="n">
        <v>357</v>
      </c>
      <c r="AA2773" t="n">
        <v>364</v>
      </c>
      <c r="AB2773" t="n">
        <v>3</v>
      </c>
      <c r="AC2773" t="n">
        <v>3</v>
      </c>
      <c r="AD2773" t="n">
        <v>18</v>
      </c>
      <c r="AE2773" t="n">
        <v>18</v>
      </c>
      <c r="AF2773" t="n">
        <v>3</v>
      </c>
      <c r="AG2773" t="n">
        <v>3</v>
      </c>
      <c r="AH2773" t="n">
        <v>3</v>
      </c>
      <c r="AI2773" t="n">
        <v>3</v>
      </c>
      <c r="AJ2773" t="n">
        <v>8</v>
      </c>
      <c r="AK2773" t="n">
        <v>8</v>
      </c>
      <c r="AL2773" t="n">
        <v>2</v>
      </c>
      <c r="AM2773" t="n">
        <v>2</v>
      </c>
      <c r="AN2773" t="n">
        <v>5</v>
      </c>
      <c r="AO2773" t="n">
        <v>5</v>
      </c>
      <c r="AP2773" t="inlineStr">
        <is>
          <t>No</t>
        </is>
      </c>
      <c r="AQ2773" t="inlineStr">
        <is>
          <t>Yes</t>
        </is>
      </c>
      <c r="AR2773">
        <f>HYPERLINK("http://catalog.hathitrust.org/Record/000374050","HathiTrust Record")</f>
        <v/>
      </c>
      <c r="AS2773">
        <f>HYPERLINK("https://creighton-primo.hosted.exlibrisgroup.com/primo-explore/search?tab=default_tab&amp;search_scope=EVERYTHING&amp;vid=01CRU&amp;lang=en_US&amp;offset=0&amp;query=any,contains,991000388219702656","Catalog Record")</f>
        <v/>
      </c>
      <c r="AT2773">
        <f>HYPERLINK("http://www.worldcat.org/oclc/10532468","WorldCat Record")</f>
        <v/>
      </c>
      <c r="AU2773" t="inlineStr">
        <is>
          <t>370974892:eng</t>
        </is>
      </c>
      <c r="AV2773" t="inlineStr">
        <is>
          <t>10532468</t>
        </is>
      </c>
      <c r="AW2773" t="inlineStr">
        <is>
          <t>991000388219702656</t>
        </is>
      </c>
      <c r="AX2773" t="inlineStr">
        <is>
          <t>991000388219702656</t>
        </is>
      </c>
      <c r="AY2773" t="inlineStr">
        <is>
          <t>2267084160002656</t>
        </is>
      </c>
      <c r="AZ2773" t="inlineStr">
        <is>
          <t>BOOK</t>
        </is>
      </c>
      <c r="BB2773" t="inlineStr">
        <is>
          <t>9780877663324</t>
        </is>
      </c>
      <c r="BC2773" t="inlineStr">
        <is>
          <t>32285001396133</t>
        </is>
      </c>
      <c r="BD2773" t="inlineStr">
        <is>
          <t>893249292</t>
        </is>
      </c>
    </row>
    <row r="2774">
      <c r="A2774" t="inlineStr">
        <is>
          <t>No</t>
        </is>
      </c>
      <c r="B2774" t="inlineStr">
        <is>
          <t>HQ792.U5 F738 2005</t>
        </is>
      </c>
      <c r="C2774" t="inlineStr">
        <is>
          <t>0                      HQ 0792000U  5                  F  738         2005</t>
        </is>
      </c>
      <c r="D2774" t="inlineStr">
        <is>
          <t>Children of the Great Depression / Russell Freedman.</t>
        </is>
      </c>
      <c r="F2774" t="inlineStr">
        <is>
          <t>No</t>
        </is>
      </c>
      <c r="G2774" t="inlineStr">
        <is>
          <t>1</t>
        </is>
      </c>
      <c r="H2774" t="inlineStr">
        <is>
          <t>No</t>
        </is>
      </c>
      <c r="I2774" t="inlineStr">
        <is>
          <t>No</t>
        </is>
      </c>
      <c r="J2774" t="inlineStr">
        <is>
          <t>0</t>
        </is>
      </c>
      <c r="K2774" t="inlineStr">
        <is>
          <t>Freedman, Russell, 1929-2018.</t>
        </is>
      </c>
      <c r="L2774" t="inlineStr">
        <is>
          <t>New York : Clarion Books, c2005.</t>
        </is>
      </c>
      <c r="M2774" t="inlineStr">
        <is>
          <t>2005</t>
        </is>
      </c>
      <c r="O2774" t="inlineStr">
        <is>
          <t>eng</t>
        </is>
      </c>
      <c r="P2774" t="inlineStr">
        <is>
          <t>nyu</t>
        </is>
      </c>
      <c r="R2774" t="inlineStr">
        <is>
          <t xml:space="preserve">HQ </t>
        </is>
      </c>
      <c r="S2774" t="n">
        <v>3</v>
      </c>
      <c r="T2774" t="n">
        <v>3</v>
      </c>
      <c r="U2774" t="inlineStr">
        <is>
          <t>2010-11-29</t>
        </is>
      </c>
      <c r="V2774" t="inlineStr">
        <is>
          <t>2010-11-29</t>
        </is>
      </c>
      <c r="W2774" t="inlineStr">
        <is>
          <t>2006-03-22</t>
        </is>
      </c>
      <c r="X2774" t="inlineStr">
        <is>
          <t>2006-03-22</t>
        </is>
      </c>
      <c r="Y2774" t="n">
        <v>2936</v>
      </c>
      <c r="Z2774" t="n">
        <v>2900</v>
      </c>
      <c r="AA2774" t="n">
        <v>2957</v>
      </c>
      <c r="AB2774" t="n">
        <v>23</v>
      </c>
      <c r="AC2774" t="n">
        <v>23</v>
      </c>
      <c r="AD2774" t="n">
        <v>26</v>
      </c>
      <c r="AE2774" t="n">
        <v>26</v>
      </c>
      <c r="AF2774" t="n">
        <v>11</v>
      </c>
      <c r="AG2774" t="n">
        <v>11</v>
      </c>
      <c r="AH2774" t="n">
        <v>6</v>
      </c>
      <c r="AI2774" t="n">
        <v>6</v>
      </c>
      <c r="AJ2774" t="n">
        <v>9</v>
      </c>
      <c r="AK2774" t="n">
        <v>9</v>
      </c>
      <c r="AL2774" t="n">
        <v>6</v>
      </c>
      <c r="AM2774" t="n">
        <v>6</v>
      </c>
      <c r="AN2774" t="n">
        <v>0</v>
      </c>
      <c r="AO2774" t="n">
        <v>0</v>
      </c>
      <c r="AP2774" t="inlineStr">
        <is>
          <t>No</t>
        </is>
      </c>
      <c r="AQ2774" t="inlineStr">
        <is>
          <t>No</t>
        </is>
      </c>
      <c r="AS2774">
        <f>HYPERLINK("https://creighton-primo.hosted.exlibrisgroup.com/primo-explore/search?tab=default_tab&amp;search_scope=EVERYTHING&amp;vid=01CRU&amp;lang=en_US&amp;offset=0&amp;query=any,contains,991004770279702656","Catalog Record")</f>
        <v/>
      </c>
      <c r="AT2774">
        <f>HYPERLINK("http://www.worldcat.org/oclc/58976036","WorldCat Record")</f>
        <v/>
      </c>
      <c r="AU2774" t="inlineStr">
        <is>
          <t>3943894779:eng</t>
        </is>
      </c>
      <c r="AV2774" t="inlineStr">
        <is>
          <t>58976036</t>
        </is>
      </c>
      <c r="AW2774" t="inlineStr">
        <is>
          <t>991004770279702656</t>
        </is>
      </c>
      <c r="AX2774" t="inlineStr">
        <is>
          <t>991004770279702656</t>
        </is>
      </c>
      <c r="AY2774" t="inlineStr">
        <is>
          <t>2257764940002656</t>
        </is>
      </c>
      <c r="AZ2774" t="inlineStr">
        <is>
          <t>BOOK</t>
        </is>
      </c>
      <c r="BB2774" t="inlineStr">
        <is>
          <t>9780618446308</t>
        </is>
      </c>
      <c r="BC2774" t="inlineStr">
        <is>
          <t>32285005166698</t>
        </is>
      </c>
      <c r="BD2774" t="inlineStr">
        <is>
          <t>893679712</t>
        </is>
      </c>
    </row>
    <row r="2775">
      <c r="A2775" t="inlineStr">
        <is>
          <t>No</t>
        </is>
      </c>
      <c r="B2775" t="inlineStr">
        <is>
          <t>HQ792.U5 F74 1983</t>
        </is>
      </c>
      <c r="C2775" t="inlineStr">
        <is>
          <t>0                      HQ 0792000U  5                  F  74          1983</t>
        </is>
      </c>
      <c r="D2775" t="inlineStr">
        <is>
          <t>Children of the Wild West / by Russell Freedman ; [illustrated with black-and-white historical photographs].</t>
        </is>
      </c>
      <c r="F2775" t="inlineStr">
        <is>
          <t>No</t>
        </is>
      </c>
      <c r="G2775" t="inlineStr">
        <is>
          <t>1</t>
        </is>
      </c>
      <c r="H2775" t="inlineStr">
        <is>
          <t>No</t>
        </is>
      </c>
      <c r="I2775" t="inlineStr">
        <is>
          <t>No</t>
        </is>
      </c>
      <c r="J2775" t="inlineStr">
        <is>
          <t>0</t>
        </is>
      </c>
      <c r="K2775" t="inlineStr">
        <is>
          <t>Freedman, Russell, 1929-2018.</t>
        </is>
      </c>
      <c r="L2775" t="inlineStr">
        <is>
          <t>New York : Clarion Books, c1983.</t>
        </is>
      </c>
      <c r="M2775" t="inlineStr">
        <is>
          <t>1983</t>
        </is>
      </c>
      <c r="O2775" t="inlineStr">
        <is>
          <t>eng</t>
        </is>
      </c>
      <c r="P2775" t="inlineStr">
        <is>
          <t>nyu</t>
        </is>
      </c>
      <c r="R2775" t="inlineStr">
        <is>
          <t xml:space="preserve">HQ </t>
        </is>
      </c>
      <c r="S2775" t="n">
        <v>3</v>
      </c>
      <c r="T2775" t="n">
        <v>3</v>
      </c>
      <c r="U2775" t="inlineStr">
        <is>
          <t>2000-11-28</t>
        </is>
      </c>
      <c r="V2775" t="inlineStr">
        <is>
          <t>2000-11-28</t>
        </is>
      </c>
      <c r="W2775" t="inlineStr">
        <is>
          <t>1998-08-12</t>
        </is>
      </c>
      <c r="X2775" t="inlineStr">
        <is>
          <t>1998-08-12</t>
        </is>
      </c>
      <c r="Y2775" t="n">
        <v>2238</v>
      </c>
      <c r="Z2775" t="n">
        <v>2200</v>
      </c>
      <c r="AA2775" t="n">
        <v>2353</v>
      </c>
      <c r="AB2775" t="n">
        <v>33</v>
      </c>
      <c r="AC2775" t="n">
        <v>36</v>
      </c>
      <c r="AD2775" t="n">
        <v>26</v>
      </c>
      <c r="AE2775" t="n">
        <v>27</v>
      </c>
      <c r="AF2775" t="n">
        <v>12</v>
      </c>
      <c r="AG2775" t="n">
        <v>12</v>
      </c>
      <c r="AH2775" t="n">
        <v>4</v>
      </c>
      <c r="AI2775" t="n">
        <v>5</v>
      </c>
      <c r="AJ2775" t="n">
        <v>9</v>
      </c>
      <c r="AK2775" t="n">
        <v>9</v>
      </c>
      <c r="AL2775" t="n">
        <v>8</v>
      </c>
      <c r="AM2775" t="n">
        <v>8</v>
      </c>
      <c r="AN2775" t="n">
        <v>1</v>
      </c>
      <c r="AO2775" t="n">
        <v>1</v>
      </c>
      <c r="AP2775" t="inlineStr">
        <is>
          <t>No</t>
        </is>
      </c>
      <c r="AQ2775" t="inlineStr">
        <is>
          <t>Yes</t>
        </is>
      </c>
      <c r="AR2775">
        <f>HYPERLINK("http://catalog.hathitrust.org/Record/000202670","HathiTrust Record")</f>
        <v/>
      </c>
      <c r="AS2775">
        <f>HYPERLINK("https://creighton-primo.hosted.exlibrisgroup.com/primo-explore/search?tab=default_tab&amp;search_scope=EVERYTHING&amp;vid=01CRU&amp;lang=en_US&amp;offset=0&amp;query=any,contains,991004439669702656","Catalog Record")</f>
        <v/>
      </c>
      <c r="AT2775">
        <f>HYPERLINK("http://www.worldcat.org/oclc/9371161","WorldCat Record")</f>
        <v/>
      </c>
      <c r="AU2775" t="inlineStr">
        <is>
          <t>6422640:eng</t>
        </is>
      </c>
      <c r="AV2775" t="inlineStr">
        <is>
          <t>9371161</t>
        </is>
      </c>
      <c r="AW2775" t="inlineStr">
        <is>
          <t>991004439669702656</t>
        </is>
      </c>
      <c r="AX2775" t="inlineStr">
        <is>
          <t>991004439669702656</t>
        </is>
      </c>
      <c r="AY2775" t="inlineStr">
        <is>
          <t>2266984110002656</t>
        </is>
      </c>
      <c r="AZ2775" t="inlineStr">
        <is>
          <t>BOOK</t>
        </is>
      </c>
      <c r="BB2775" t="inlineStr">
        <is>
          <t>9780395547854</t>
        </is>
      </c>
      <c r="BC2775" t="inlineStr">
        <is>
          <t>32285003452488</t>
        </is>
      </c>
      <c r="BD2775" t="inlineStr">
        <is>
          <t>893767860</t>
        </is>
      </c>
    </row>
    <row r="2776">
      <c r="A2776" t="inlineStr">
        <is>
          <t>No</t>
        </is>
      </c>
      <c r="B2776" t="inlineStr">
        <is>
          <t>HQ792.U5 G5</t>
        </is>
      </c>
      <c r="C2776" t="inlineStr">
        <is>
          <t>0                      HQ 0792000U  5                  G  5</t>
        </is>
      </c>
      <c r="D2776" t="inlineStr">
        <is>
          <t>Values and ideals of American youth. With a foreword by John W. Gardner.</t>
        </is>
      </c>
      <c r="F2776" t="inlineStr">
        <is>
          <t>No</t>
        </is>
      </c>
      <c r="G2776" t="inlineStr">
        <is>
          <t>1</t>
        </is>
      </c>
      <c r="H2776" t="inlineStr">
        <is>
          <t>No</t>
        </is>
      </c>
      <c r="I2776" t="inlineStr">
        <is>
          <t>No</t>
        </is>
      </c>
      <c r="J2776" t="inlineStr">
        <is>
          <t>0</t>
        </is>
      </c>
      <c r="K2776" t="inlineStr">
        <is>
          <t>Ginzberg, Eli, 1911-2002 editor.</t>
        </is>
      </c>
      <c r="L2776" t="inlineStr">
        <is>
          <t>New York, Columbia University Press, 1961.</t>
        </is>
      </c>
      <c r="M2776" t="inlineStr">
        <is>
          <t>1961</t>
        </is>
      </c>
      <c r="O2776" t="inlineStr">
        <is>
          <t>eng</t>
        </is>
      </c>
      <c r="P2776" t="inlineStr">
        <is>
          <t>nyu</t>
        </is>
      </c>
      <c r="R2776" t="inlineStr">
        <is>
          <t xml:space="preserve">HQ </t>
        </is>
      </c>
      <c r="S2776" t="n">
        <v>7</v>
      </c>
      <c r="T2776" t="n">
        <v>7</v>
      </c>
      <c r="U2776" t="inlineStr">
        <is>
          <t>2004-04-18</t>
        </is>
      </c>
      <c r="V2776" t="inlineStr">
        <is>
          <t>2004-04-18</t>
        </is>
      </c>
      <c r="W2776" t="inlineStr">
        <is>
          <t>1997-08-13</t>
        </is>
      </c>
      <c r="X2776" t="inlineStr">
        <is>
          <t>1997-08-13</t>
        </is>
      </c>
      <c r="Y2776" t="n">
        <v>632</v>
      </c>
      <c r="Z2776" t="n">
        <v>580</v>
      </c>
      <c r="AA2776" t="n">
        <v>660</v>
      </c>
      <c r="AB2776" t="n">
        <v>6</v>
      </c>
      <c r="AC2776" t="n">
        <v>6</v>
      </c>
      <c r="AD2776" t="n">
        <v>30</v>
      </c>
      <c r="AE2776" t="n">
        <v>33</v>
      </c>
      <c r="AF2776" t="n">
        <v>10</v>
      </c>
      <c r="AG2776" t="n">
        <v>13</v>
      </c>
      <c r="AH2776" t="n">
        <v>5</v>
      </c>
      <c r="AI2776" t="n">
        <v>6</v>
      </c>
      <c r="AJ2776" t="n">
        <v>14</v>
      </c>
      <c r="AK2776" t="n">
        <v>15</v>
      </c>
      <c r="AL2776" t="n">
        <v>5</v>
      </c>
      <c r="AM2776" t="n">
        <v>5</v>
      </c>
      <c r="AN2776" t="n">
        <v>0</v>
      </c>
      <c r="AO2776" t="n">
        <v>0</v>
      </c>
      <c r="AP2776" t="inlineStr">
        <is>
          <t>No</t>
        </is>
      </c>
      <c r="AQ2776" t="inlineStr">
        <is>
          <t>No</t>
        </is>
      </c>
      <c r="AR2776">
        <f>HYPERLINK("http://catalog.hathitrust.org/Record/001110160","HathiTrust Record")</f>
        <v/>
      </c>
      <c r="AS2776">
        <f>HYPERLINK("https://creighton-primo.hosted.exlibrisgroup.com/primo-explore/search?tab=default_tab&amp;search_scope=EVERYTHING&amp;vid=01CRU&amp;lang=en_US&amp;offset=0&amp;query=any,contains,991003341169702656","Catalog Record")</f>
        <v/>
      </c>
      <c r="AT2776">
        <f>HYPERLINK("http://www.worldcat.org/oclc/872261","WorldCat Record")</f>
        <v/>
      </c>
      <c r="AU2776" t="inlineStr">
        <is>
          <t>771909890:eng</t>
        </is>
      </c>
      <c r="AV2776" t="inlineStr">
        <is>
          <t>872261</t>
        </is>
      </c>
      <c r="AW2776" t="inlineStr">
        <is>
          <t>991003341169702656</t>
        </is>
      </c>
      <c r="AX2776" t="inlineStr">
        <is>
          <t>991003341169702656</t>
        </is>
      </c>
      <c r="AY2776" t="inlineStr">
        <is>
          <t>2258442810002656</t>
        </is>
      </c>
      <c r="AZ2776" t="inlineStr">
        <is>
          <t>BOOK</t>
        </is>
      </c>
      <c r="BC2776" t="inlineStr">
        <is>
          <t>32285003102000</t>
        </is>
      </c>
      <c r="BD2776" t="inlineStr">
        <is>
          <t>893799622</t>
        </is>
      </c>
    </row>
    <row r="2777">
      <c r="A2777" t="inlineStr">
        <is>
          <t>No</t>
        </is>
      </c>
      <c r="B2777" t="inlineStr">
        <is>
          <t>HQ792.U5 H29 1994</t>
        </is>
      </c>
      <c r="C2777" t="inlineStr">
        <is>
          <t>0                      HQ 0792000U  5                  H  29          1994</t>
        </is>
      </c>
      <c r="D2777" t="inlineStr">
        <is>
          <t>Succeeding generations : on the effects of investments in children / Robert Haveman and Barbara Wolfe.</t>
        </is>
      </c>
      <c r="F2777" t="inlineStr">
        <is>
          <t>No</t>
        </is>
      </c>
      <c r="G2777" t="inlineStr">
        <is>
          <t>1</t>
        </is>
      </c>
      <c r="H2777" t="inlineStr">
        <is>
          <t>No</t>
        </is>
      </c>
      <c r="I2777" t="inlineStr">
        <is>
          <t>No</t>
        </is>
      </c>
      <c r="J2777" t="inlineStr">
        <is>
          <t>0</t>
        </is>
      </c>
      <c r="K2777" t="inlineStr">
        <is>
          <t>Haveman, Robert H.</t>
        </is>
      </c>
      <c r="L2777" t="inlineStr">
        <is>
          <t>New York : Russell Sage Foundation, c1994.</t>
        </is>
      </c>
      <c r="M2777" t="inlineStr">
        <is>
          <t>1994</t>
        </is>
      </c>
      <c r="O2777" t="inlineStr">
        <is>
          <t>eng</t>
        </is>
      </c>
      <c r="P2777" t="inlineStr">
        <is>
          <t>nyu</t>
        </is>
      </c>
      <c r="R2777" t="inlineStr">
        <is>
          <t xml:space="preserve">HQ </t>
        </is>
      </c>
      <c r="S2777" t="n">
        <v>2</v>
      </c>
      <c r="T2777" t="n">
        <v>2</v>
      </c>
      <c r="U2777" t="inlineStr">
        <is>
          <t>2000-02-22</t>
        </is>
      </c>
      <c r="V2777" t="inlineStr">
        <is>
          <t>2000-02-22</t>
        </is>
      </c>
      <c r="W2777" t="inlineStr">
        <is>
          <t>1996-01-02</t>
        </is>
      </c>
      <c r="X2777" t="inlineStr">
        <is>
          <t>1996-01-02</t>
        </is>
      </c>
      <c r="Y2777" t="n">
        <v>462</v>
      </c>
      <c r="Z2777" t="n">
        <v>409</v>
      </c>
      <c r="AA2777" t="n">
        <v>496</v>
      </c>
      <c r="AB2777" t="n">
        <v>3</v>
      </c>
      <c r="AC2777" t="n">
        <v>3</v>
      </c>
      <c r="AD2777" t="n">
        <v>20</v>
      </c>
      <c r="AE2777" t="n">
        <v>26</v>
      </c>
      <c r="AF2777" t="n">
        <v>6</v>
      </c>
      <c r="AG2777" t="n">
        <v>11</v>
      </c>
      <c r="AH2777" t="n">
        <v>4</v>
      </c>
      <c r="AI2777" t="n">
        <v>5</v>
      </c>
      <c r="AJ2777" t="n">
        <v>14</v>
      </c>
      <c r="AK2777" t="n">
        <v>16</v>
      </c>
      <c r="AL2777" t="n">
        <v>2</v>
      </c>
      <c r="AM2777" t="n">
        <v>2</v>
      </c>
      <c r="AN2777" t="n">
        <v>1</v>
      </c>
      <c r="AO2777" t="n">
        <v>1</v>
      </c>
      <c r="AP2777" t="inlineStr">
        <is>
          <t>No</t>
        </is>
      </c>
      <c r="AQ2777" t="inlineStr">
        <is>
          <t>No</t>
        </is>
      </c>
      <c r="AS2777">
        <f>HYPERLINK("https://creighton-primo.hosted.exlibrisgroup.com/primo-explore/search?tab=default_tab&amp;search_scope=EVERYTHING&amp;vid=01CRU&amp;lang=en_US&amp;offset=0&amp;query=any,contains,991002255069702656","Catalog Record")</f>
        <v/>
      </c>
      <c r="AT2777">
        <f>HYPERLINK("http://www.worldcat.org/oclc/29220390","WorldCat Record")</f>
        <v/>
      </c>
      <c r="AU2777" t="inlineStr">
        <is>
          <t>31391205:eng</t>
        </is>
      </c>
      <c r="AV2777" t="inlineStr">
        <is>
          <t>29220390</t>
        </is>
      </c>
      <c r="AW2777" t="inlineStr">
        <is>
          <t>991002255069702656</t>
        </is>
      </c>
      <c r="AX2777" t="inlineStr">
        <is>
          <t>991002255069702656</t>
        </is>
      </c>
      <c r="AY2777" t="inlineStr">
        <is>
          <t>2272501320002656</t>
        </is>
      </c>
      <c r="AZ2777" t="inlineStr">
        <is>
          <t>BOOK</t>
        </is>
      </c>
      <c r="BB2777" t="inlineStr">
        <is>
          <t>9780871543776</t>
        </is>
      </c>
      <c r="BC2777" t="inlineStr">
        <is>
          <t>32285002113941</t>
        </is>
      </c>
      <c r="BD2777" t="inlineStr">
        <is>
          <t>893716233</t>
        </is>
      </c>
    </row>
    <row r="2778">
      <c r="A2778" t="inlineStr">
        <is>
          <t>No</t>
        </is>
      </c>
      <c r="B2778" t="inlineStr">
        <is>
          <t>HQ792.U5 H47 1995</t>
        </is>
      </c>
      <c r="C2778" t="inlineStr">
        <is>
          <t>0                      HQ 0792000U  5                  H  47          1995</t>
        </is>
      </c>
      <c r="D2778" t="inlineStr">
        <is>
          <t>America's children : resources from family, government, and the economy / Donald J. Hernandez, with David E. Myers for the National Committee for Research on the 1980 Census.</t>
        </is>
      </c>
      <c r="F2778" t="inlineStr">
        <is>
          <t>No</t>
        </is>
      </c>
      <c r="G2778" t="inlineStr">
        <is>
          <t>1</t>
        </is>
      </c>
      <c r="H2778" t="inlineStr">
        <is>
          <t>No</t>
        </is>
      </c>
      <c r="I2778" t="inlineStr">
        <is>
          <t>No</t>
        </is>
      </c>
      <c r="J2778" t="inlineStr">
        <is>
          <t>0</t>
        </is>
      </c>
      <c r="K2778" t="inlineStr">
        <is>
          <t>Hernandez, Donald J.</t>
        </is>
      </c>
      <c r="L2778" t="inlineStr">
        <is>
          <t>New York : Russell Sage Foundation, 1995, c1993.</t>
        </is>
      </c>
      <c r="M2778" t="inlineStr">
        <is>
          <t>1995</t>
        </is>
      </c>
      <c r="N2778" t="inlineStr">
        <is>
          <t>1st pbk. ed.</t>
        </is>
      </c>
      <c r="O2778" t="inlineStr">
        <is>
          <t>eng</t>
        </is>
      </c>
      <c r="P2778" t="inlineStr">
        <is>
          <t>nyu</t>
        </is>
      </c>
      <c r="Q2778" t="inlineStr">
        <is>
          <t>The Population of the United States in the 1980s</t>
        </is>
      </c>
      <c r="R2778" t="inlineStr">
        <is>
          <t xml:space="preserve">HQ </t>
        </is>
      </c>
      <c r="S2778" t="n">
        <v>4</v>
      </c>
      <c r="T2778" t="n">
        <v>4</v>
      </c>
      <c r="U2778" t="inlineStr">
        <is>
          <t>1998-04-14</t>
        </is>
      </c>
      <c r="V2778" t="inlineStr">
        <is>
          <t>1998-04-14</t>
        </is>
      </c>
      <c r="W2778" t="inlineStr">
        <is>
          <t>1997-04-17</t>
        </is>
      </c>
      <c r="X2778" t="inlineStr">
        <is>
          <t>1997-04-17</t>
        </is>
      </c>
      <c r="Y2778" t="n">
        <v>64</v>
      </c>
      <c r="Z2778" t="n">
        <v>56</v>
      </c>
      <c r="AA2778" t="n">
        <v>554</v>
      </c>
      <c r="AB2778" t="n">
        <v>1</v>
      </c>
      <c r="AC2778" t="n">
        <v>4</v>
      </c>
      <c r="AD2778" t="n">
        <v>4</v>
      </c>
      <c r="AE2778" t="n">
        <v>32</v>
      </c>
      <c r="AF2778" t="n">
        <v>3</v>
      </c>
      <c r="AG2778" t="n">
        <v>11</v>
      </c>
      <c r="AH2778" t="n">
        <v>2</v>
      </c>
      <c r="AI2778" t="n">
        <v>9</v>
      </c>
      <c r="AJ2778" t="n">
        <v>1</v>
      </c>
      <c r="AK2778" t="n">
        <v>16</v>
      </c>
      <c r="AL2778" t="n">
        <v>0</v>
      </c>
      <c r="AM2778" t="n">
        <v>3</v>
      </c>
      <c r="AN2778" t="n">
        <v>0</v>
      </c>
      <c r="AO2778" t="n">
        <v>2</v>
      </c>
      <c r="AP2778" t="inlineStr">
        <is>
          <t>No</t>
        </is>
      </c>
      <c r="AQ2778" t="inlineStr">
        <is>
          <t>No</t>
        </is>
      </c>
      <c r="AS2778">
        <f>HYPERLINK("https://creighton-primo.hosted.exlibrisgroup.com/primo-explore/search?tab=default_tab&amp;search_scope=EVERYTHING&amp;vid=01CRU&amp;lang=en_US&amp;offset=0&amp;query=any,contains,991002480859702656","Catalog Record")</f>
        <v/>
      </c>
      <c r="AT2778">
        <f>HYPERLINK("http://www.worldcat.org/oclc/32290345","WorldCat Record")</f>
        <v/>
      </c>
      <c r="AU2778" t="inlineStr">
        <is>
          <t>138722845:eng</t>
        </is>
      </c>
      <c r="AV2778" t="inlineStr">
        <is>
          <t>32290345</t>
        </is>
      </c>
      <c r="AW2778" t="inlineStr">
        <is>
          <t>991002480859702656</t>
        </is>
      </c>
      <c r="AX2778" t="inlineStr">
        <is>
          <t>991002480859702656</t>
        </is>
      </c>
      <c r="AY2778" t="inlineStr">
        <is>
          <t>2257417350002656</t>
        </is>
      </c>
      <c r="AZ2778" t="inlineStr">
        <is>
          <t>BOOK</t>
        </is>
      </c>
      <c r="BB2778" t="inlineStr">
        <is>
          <t>9780871543820</t>
        </is>
      </c>
      <c r="BC2778" t="inlineStr">
        <is>
          <t>32285002498086</t>
        </is>
      </c>
      <c r="BD2778" t="inlineStr">
        <is>
          <t>893691665</t>
        </is>
      </c>
    </row>
    <row r="2779">
      <c r="A2779" t="inlineStr">
        <is>
          <t>No</t>
        </is>
      </c>
      <c r="B2779" t="inlineStr">
        <is>
          <t>HQ792.U5 H63 1997</t>
        </is>
      </c>
      <c r="C2779" t="inlineStr">
        <is>
          <t>0                      HQ 0792000U  5                  H  63          1997</t>
        </is>
      </c>
      <c r="D2779" t="inlineStr">
        <is>
          <t>Raised in captivity : why does America fail its children? / Lucia Hodgson.</t>
        </is>
      </c>
      <c r="F2779" t="inlineStr">
        <is>
          <t>No</t>
        </is>
      </c>
      <c r="G2779" t="inlineStr">
        <is>
          <t>1</t>
        </is>
      </c>
      <c r="H2779" t="inlineStr">
        <is>
          <t>No</t>
        </is>
      </c>
      <c r="I2779" t="inlineStr">
        <is>
          <t>No</t>
        </is>
      </c>
      <c r="J2779" t="inlineStr">
        <is>
          <t>0</t>
        </is>
      </c>
      <c r="K2779" t="inlineStr">
        <is>
          <t>Hodgson, Lucia.</t>
        </is>
      </c>
      <c r="L2779" t="inlineStr">
        <is>
          <t>Saint Paul, Minn. : Graywolf Press, c1997.</t>
        </is>
      </c>
      <c r="M2779" t="inlineStr">
        <is>
          <t>1997</t>
        </is>
      </c>
      <c r="O2779" t="inlineStr">
        <is>
          <t>eng</t>
        </is>
      </c>
      <c r="P2779" t="inlineStr">
        <is>
          <t>mnu</t>
        </is>
      </c>
      <c r="R2779" t="inlineStr">
        <is>
          <t xml:space="preserve">HQ </t>
        </is>
      </c>
      <c r="S2779" t="n">
        <v>3</v>
      </c>
      <c r="T2779" t="n">
        <v>3</v>
      </c>
      <c r="U2779" t="inlineStr">
        <is>
          <t>2002-10-21</t>
        </is>
      </c>
      <c r="V2779" t="inlineStr">
        <is>
          <t>2002-10-21</t>
        </is>
      </c>
      <c r="W2779" t="inlineStr">
        <is>
          <t>2001-03-05</t>
        </is>
      </c>
      <c r="X2779" t="inlineStr">
        <is>
          <t>2001-03-05</t>
        </is>
      </c>
      <c r="Y2779" t="n">
        <v>519</v>
      </c>
      <c r="Z2779" t="n">
        <v>501</v>
      </c>
      <c r="AA2779" t="n">
        <v>517</v>
      </c>
      <c r="AB2779" t="n">
        <v>6</v>
      </c>
      <c r="AC2779" t="n">
        <v>6</v>
      </c>
      <c r="AD2779" t="n">
        <v>17</v>
      </c>
      <c r="AE2779" t="n">
        <v>18</v>
      </c>
      <c r="AF2779" t="n">
        <v>2</v>
      </c>
      <c r="AG2779" t="n">
        <v>3</v>
      </c>
      <c r="AH2779" t="n">
        <v>4</v>
      </c>
      <c r="AI2779" t="n">
        <v>4</v>
      </c>
      <c r="AJ2779" t="n">
        <v>8</v>
      </c>
      <c r="AK2779" t="n">
        <v>8</v>
      </c>
      <c r="AL2779" t="n">
        <v>5</v>
      </c>
      <c r="AM2779" t="n">
        <v>5</v>
      </c>
      <c r="AN2779" t="n">
        <v>1</v>
      </c>
      <c r="AO2779" t="n">
        <v>1</v>
      </c>
      <c r="AP2779" t="inlineStr">
        <is>
          <t>No</t>
        </is>
      </c>
      <c r="AQ2779" t="inlineStr">
        <is>
          <t>Yes</t>
        </is>
      </c>
      <c r="AR2779">
        <f>HYPERLINK("http://catalog.hathitrust.org/Record/003947100","HathiTrust Record")</f>
        <v/>
      </c>
      <c r="AS2779">
        <f>HYPERLINK("https://creighton-primo.hosted.exlibrisgroup.com/primo-explore/search?tab=default_tab&amp;search_scope=EVERYTHING&amp;vid=01CRU&amp;lang=en_US&amp;offset=0&amp;query=any,contains,991003474139702656","Catalog Record")</f>
        <v/>
      </c>
      <c r="AT2779">
        <f>HYPERLINK("http://www.worldcat.org/oclc/37611618","WorldCat Record")</f>
        <v/>
      </c>
      <c r="AU2779" t="inlineStr">
        <is>
          <t>371667709:eng</t>
        </is>
      </c>
      <c r="AV2779" t="inlineStr">
        <is>
          <t>37611618</t>
        </is>
      </c>
      <c r="AW2779" t="inlineStr">
        <is>
          <t>991003474139702656</t>
        </is>
      </c>
      <c r="AX2779" t="inlineStr">
        <is>
          <t>991003474139702656</t>
        </is>
      </c>
      <c r="AY2779" t="inlineStr">
        <is>
          <t>2261820920002656</t>
        </is>
      </c>
      <c r="AZ2779" t="inlineStr">
        <is>
          <t>BOOK</t>
        </is>
      </c>
      <c r="BB2779" t="inlineStr">
        <is>
          <t>9781555972615</t>
        </is>
      </c>
      <c r="BC2779" t="inlineStr">
        <is>
          <t>32285004299003</t>
        </is>
      </c>
      <c r="BD2779" t="inlineStr">
        <is>
          <t>893348711</t>
        </is>
      </c>
    </row>
    <row r="2780">
      <c r="A2780" t="inlineStr">
        <is>
          <t>No</t>
        </is>
      </c>
      <c r="B2780" t="inlineStr">
        <is>
          <t>HQ792.U5 I45 2002</t>
        </is>
      </c>
      <c r="C2780" t="inlineStr">
        <is>
          <t>0                      HQ 0792000U  5                  I  45          2002</t>
        </is>
      </c>
      <c r="D2780" t="inlineStr">
        <is>
          <t>American childhoods / Joseph E. Illick.</t>
        </is>
      </c>
      <c r="F2780" t="inlineStr">
        <is>
          <t>No</t>
        </is>
      </c>
      <c r="G2780" t="inlineStr">
        <is>
          <t>1</t>
        </is>
      </c>
      <c r="H2780" t="inlineStr">
        <is>
          <t>No</t>
        </is>
      </c>
      <c r="I2780" t="inlineStr">
        <is>
          <t>No</t>
        </is>
      </c>
      <c r="J2780" t="inlineStr">
        <is>
          <t>0</t>
        </is>
      </c>
      <c r="K2780" t="inlineStr">
        <is>
          <t>Illick, Joseph E.</t>
        </is>
      </c>
      <c r="L2780" t="inlineStr">
        <is>
          <t>Philadelphia : University of Pennsylvania Press, c2002.</t>
        </is>
      </c>
      <c r="M2780" t="inlineStr">
        <is>
          <t>2002</t>
        </is>
      </c>
      <c r="O2780" t="inlineStr">
        <is>
          <t>eng</t>
        </is>
      </c>
      <c r="P2780" t="inlineStr">
        <is>
          <t>pau</t>
        </is>
      </c>
      <c r="R2780" t="inlineStr">
        <is>
          <t xml:space="preserve">HQ </t>
        </is>
      </c>
      <c r="S2780" t="n">
        <v>4</v>
      </c>
      <c r="T2780" t="n">
        <v>4</v>
      </c>
      <c r="U2780" t="inlineStr">
        <is>
          <t>2004-02-03</t>
        </is>
      </c>
      <c r="V2780" t="inlineStr">
        <is>
          <t>2004-02-03</t>
        </is>
      </c>
      <c r="W2780" t="inlineStr">
        <is>
          <t>2004-02-03</t>
        </is>
      </c>
      <c r="X2780" t="inlineStr">
        <is>
          <t>2004-02-03</t>
        </is>
      </c>
      <c r="Y2780" t="n">
        <v>724</v>
      </c>
      <c r="Z2780" t="n">
        <v>660</v>
      </c>
      <c r="AA2780" t="n">
        <v>1385</v>
      </c>
      <c r="AB2780" t="n">
        <v>4</v>
      </c>
      <c r="AC2780" t="n">
        <v>29</v>
      </c>
      <c r="AD2780" t="n">
        <v>31</v>
      </c>
      <c r="AE2780" t="n">
        <v>57</v>
      </c>
      <c r="AF2780" t="n">
        <v>16</v>
      </c>
      <c r="AG2780" t="n">
        <v>23</v>
      </c>
      <c r="AH2780" t="n">
        <v>6</v>
      </c>
      <c r="AI2780" t="n">
        <v>10</v>
      </c>
      <c r="AJ2780" t="n">
        <v>16</v>
      </c>
      <c r="AK2780" t="n">
        <v>22</v>
      </c>
      <c r="AL2780" t="n">
        <v>2</v>
      </c>
      <c r="AM2780" t="n">
        <v>13</v>
      </c>
      <c r="AN2780" t="n">
        <v>0</v>
      </c>
      <c r="AO2780" t="n">
        <v>1</v>
      </c>
      <c r="AP2780" t="inlineStr">
        <is>
          <t>No</t>
        </is>
      </c>
      <c r="AQ2780" t="inlineStr">
        <is>
          <t>No</t>
        </is>
      </c>
      <c r="AS2780">
        <f>HYPERLINK("https://creighton-primo.hosted.exlibrisgroup.com/primo-explore/search?tab=default_tab&amp;search_scope=EVERYTHING&amp;vid=01CRU&amp;lang=en_US&amp;offset=0&amp;query=any,contains,991004218149702656","Catalog Record")</f>
        <v/>
      </c>
      <c r="AT2780">
        <f>HYPERLINK("http://www.worldcat.org/oclc/48662525","WorldCat Record")</f>
        <v/>
      </c>
      <c r="AU2780" t="inlineStr">
        <is>
          <t>1010792:eng</t>
        </is>
      </c>
      <c r="AV2780" t="inlineStr">
        <is>
          <t>48662525</t>
        </is>
      </c>
      <c r="AW2780" t="inlineStr">
        <is>
          <t>991004218149702656</t>
        </is>
      </c>
      <c r="AX2780" t="inlineStr">
        <is>
          <t>991004218149702656</t>
        </is>
      </c>
      <c r="AY2780" t="inlineStr">
        <is>
          <t>2272677420002656</t>
        </is>
      </c>
      <c r="AZ2780" t="inlineStr">
        <is>
          <t>BOOK</t>
        </is>
      </c>
      <c r="BB2780" t="inlineStr">
        <is>
          <t>9780812218077</t>
        </is>
      </c>
      <c r="BC2780" t="inlineStr">
        <is>
          <t>32285004636998</t>
        </is>
      </c>
      <c r="BD2780" t="inlineStr">
        <is>
          <t>893525812</t>
        </is>
      </c>
    </row>
    <row r="2781">
      <c r="A2781" t="inlineStr">
        <is>
          <t>No</t>
        </is>
      </c>
      <c r="B2781" t="inlineStr">
        <is>
          <t>HQ792.U5 J67</t>
        </is>
      </c>
      <c r="C2781" t="inlineStr">
        <is>
          <t>0                      HQ 0792000U  5                  J  67</t>
        </is>
      </c>
      <c r="D2781" t="inlineStr">
        <is>
          <t>Development in the preschool years : birth to age five / Thomas E. Jordan.</t>
        </is>
      </c>
      <c r="F2781" t="inlineStr">
        <is>
          <t>No</t>
        </is>
      </c>
      <c r="G2781" t="inlineStr">
        <is>
          <t>1</t>
        </is>
      </c>
      <c r="H2781" t="inlineStr">
        <is>
          <t>No</t>
        </is>
      </c>
      <c r="I2781" t="inlineStr">
        <is>
          <t>No</t>
        </is>
      </c>
      <c r="J2781" t="inlineStr">
        <is>
          <t>0</t>
        </is>
      </c>
      <c r="K2781" t="inlineStr">
        <is>
          <t>Jordan, Thomas E. (Thomas Edward)</t>
        </is>
      </c>
      <c r="L2781" t="inlineStr">
        <is>
          <t>New York : Academic Press, 1980.</t>
        </is>
      </c>
      <c r="M2781" t="inlineStr">
        <is>
          <t>1980</t>
        </is>
      </c>
      <c r="O2781" t="inlineStr">
        <is>
          <t>eng</t>
        </is>
      </c>
      <c r="P2781" t="inlineStr">
        <is>
          <t>nyu</t>
        </is>
      </c>
      <c r="Q2781" t="inlineStr">
        <is>
          <t>Educational psychology</t>
        </is>
      </c>
      <c r="R2781" t="inlineStr">
        <is>
          <t xml:space="preserve">HQ </t>
        </is>
      </c>
      <c r="S2781" t="n">
        <v>5</v>
      </c>
      <c r="T2781" t="n">
        <v>5</v>
      </c>
      <c r="U2781" t="inlineStr">
        <is>
          <t>2005-11-21</t>
        </is>
      </c>
      <c r="V2781" t="inlineStr">
        <is>
          <t>2005-11-21</t>
        </is>
      </c>
      <c r="W2781" t="inlineStr">
        <is>
          <t>1992-11-16</t>
        </is>
      </c>
      <c r="X2781" t="inlineStr">
        <is>
          <t>1992-11-16</t>
        </is>
      </c>
      <c r="Y2781" t="n">
        <v>424</v>
      </c>
      <c r="Z2781" t="n">
        <v>305</v>
      </c>
      <c r="AA2781" t="n">
        <v>345</v>
      </c>
      <c r="AB2781" t="n">
        <v>3</v>
      </c>
      <c r="AC2781" t="n">
        <v>3</v>
      </c>
      <c r="AD2781" t="n">
        <v>13</v>
      </c>
      <c r="AE2781" t="n">
        <v>16</v>
      </c>
      <c r="AF2781" t="n">
        <v>3</v>
      </c>
      <c r="AG2781" t="n">
        <v>5</v>
      </c>
      <c r="AH2781" t="n">
        <v>3</v>
      </c>
      <c r="AI2781" t="n">
        <v>5</v>
      </c>
      <c r="AJ2781" t="n">
        <v>9</v>
      </c>
      <c r="AK2781" t="n">
        <v>9</v>
      </c>
      <c r="AL2781" t="n">
        <v>2</v>
      </c>
      <c r="AM2781" t="n">
        <v>2</v>
      </c>
      <c r="AN2781" t="n">
        <v>0</v>
      </c>
      <c r="AO2781" t="n">
        <v>0</v>
      </c>
      <c r="AP2781" t="inlineStr">
        <is>
          <t>No</t>
        </is>
      </c>
      <c r="AQ2781" t="inlineStr">
        <is>
          <t>Yes</t>
        </is>
      </c>
      <c r="AR2781">
        <f>HYPERLINK("http://catalog.hathitrust.org/Record/000020725","HathiTrust Record")</f>
        <v/>
      </c>
      <c r="AS2781">
        <f>HYPERLINK("https://creighton-primo.hosted.exlibrisgroup.com/primo-explore/search?tab=default_tab&amp;search_scope=EVERYTHING&amp;vid=01CRU&amp;lang=en_US&amp;offset=0&amp;query=any,contains,991004908129702656","Catalog Record")</f>
        <v/>
      </c>
      <c r="AT2781">
        <f>HYPERLINK("http://www.worldcat.org/oclc/5968271","WorldCat Record")</f>
        <v/>
      </c>
      <c r="AU2781" t="inlineStr">
        <is>
          <t>905817389:eng</t>
        </is>
      </c>
      <c r="AV2781" t="inlineStr">
        <is>
          <t>5968271</t>
        </is>
      </c>
      <c r="AW2781" t="inlineStr">
        <is>
          <t>991004908129702656</t>
        </is>
      </c>
      <c r="AX2781" t="inlineStr">
        <is>
          <t>991004908129702656</t>
        </is>
      </c>
      <c r="AY2781" t="inlineStr">
        <is>
          <t>2269883050002656</t>
        </is>
      </c>
      <c r="AZ2781" t="inlineStr">
        <is>
          <t>BOOK</t>
        </is>
      </c>
      <c r="BB2781" t="inlineStr">
        <is>
          <t>9780123904508</t>
        </is>
      </c>
      <c r="BC2781" t="inlineStr">
        <is>
          <t>32285001396141</t>
        </is>
      </c>
      <c r="BD2781" t="inlineStr">
        <is>
          <t>893338263</t>
        </is>
      </c>
    </row>
    <row r="2782">
      <c r="A2782" t="inlineStr">
        <is>
          <t>No</t>
        </is>
      </c>
      <c r="B2782" t="inlineStr">
        <is>
          <t>HQ792.U5 M33 1998</t>
        </is>
      </c>
      <c r="C2782" t="inlineStr">
        <is>
          <t>0                      HQ 0792000U  5                  M  33          1998</t>
        </is>
      </c>
      <c r="D2782" t="inlineStr">
        <is>
          <t>The age of the child : children in America, 1890-1920 / David I. Macleod.</t>
        </is>
      </c>
      <c r="F2782" t="inlineStr">
        <is>
          <t>No</t>
        </is>
      </c>
      <c r="G2782" t="inlineStr">
        <is>
          <t>1</t>
        </is>
      </c>
      <c r="H2782" t="inlineStr">
        <is>
          <t>No</t>
        </is>
      </c>
      <c r="I2782" t="inlineStr">
        <is>
          <t>No</t>
        </is>
      </c>
      <c r="J2782" t="inlineStr">
        <is>
          <t>0</t>
        </is>
      </c>
      <c r="K2782" t="inlineStr">
        <is>
          <t>Macleod, David I.</t>
        </is>
      </c>
      <c r="L2782" t="inlineStr">
        <is>
          <t>New York : Twayne, c1998.</t>
        </is>
      </c>
      <c r="M2782" t="inlineStr">
        <is>
          <t>1998</t>
        </is>
      </c>
      <c r="O2782" t="inlineStr">
        <is>
          <t>eng</t>
        </is>
      </c>
      <c r="P2782" t="inlineStr">
        <is>
          <t>nyu</t>
        </is>
      </c>
      <c r="Q2782" t="inlineStr">
        <is>
          <t>Twayne's history of American childhood series</t>
        </is>
      </c>
      <c r="R2782" t="inlineStr">
        <is>
          <t xml:space="preserve">HQ </t>
        </is>
      </c>
      <c r="S2782" t="n">
        <v>1</v>
      </c>
      <c r="T2782" t="n">
        <v>1</v>
      </c>
      <c r="U2782" t="inlineStr">
        <is>
          <t>2001-03-27</t>
        </is>
      </c>
      <c r="V2782" t="inlineStr">
        <is>
          <t>2001-03-27</t>
        </is>
      </c>
      <c r="W2782" t="inlineStr">
        <is>
          <t>1999-01-27</t>
        </is>
      </c>
      <c r="X2782" t="inlineStr">
        <is>
          <t>1999-01-27</t>
        </is>
      </c>
      <c r="Y2782" t="n">
        <v>507</v>
      </c>
      <c r="Z2782" t="n">
        <v>468</v>
      </c>
      <c r="AA2782" t="n">
        <v>489</v>
      </c>
      <c r="AB2782" t="n">
        <v>5</v>
      </c>
      <c r="AC2782" t="n">
        <v>5</v>
      </c>
      <c r="AD2782" t="n">
        <v>22</v>
      </c>
      <c r="AE2782" t="n">
        <v>22</v>
      </c>
      <c r="AF2782" t="n">
        <v>6</v>
      </c>
      <c r="AG2782" t="n">
        <v>6</v>
      </c>
      <c r="AH2782" t="n">
        <v>6</v>
      </c>
      <c r="AI2782" t="n">
        <v>6</v>
      </c>
      <c r="AJ2782" t="n">
        <v>12</v>
      </c>
      <c r="AK2782" t="n">
        <v>12</v>
      </c>
      <c r="AL2782" t="n">
        <v>4</v>
      </c>
      <c r="AM2782" t="n">
        <v>4</v>
      </c>
      <c r="AN2782" t="n">
        <v>0</v>
      </c>
      <c r="AO2782" t="n">
        <v>0</v>
      </c>
      <c r="AP2782" t="inlineStr">
        <is>
          <t>No</t>
        </is>
      </c>
      <c r="AQ2782" t="inlineStr">
        <is>
          <t>Yes</t>
        </is>
      </c>
      <c r="AR2782">
        <f>HYPERLINK("http://catalog.hathitrust.org/Record/003972280","HathiTrust Record")</f>
        <v/>
      </c>
      <c r="AS2782">
        <f>HYPERLINK("https://creighton-primo.hosted.exlibrisgroup.com/primo-explore/search?tab=default_tab&amp;search_scope=EVERYTHING&amp;vid=01CRU&amp;lang=en_US&amp;offset=0&amp;query=any,contains,991002881019702656","Catalog Record")</f>
        <v/>
      </c>
      <c r="AT2782">
        <f>HYPERLINK("http://www.worldcat.org/oclc/37975524","WorldCat Record")</f>
        <v/>
      </c>
      <c r="AU2782" t="inlineStr">
        <is>
          <t>614606:eng</t>
        </is>
      </c>
      <c r="AV2782" t="inlineStr">
        <is>
          <t>37975524</t>
        </is>
      </c>
      <c r="AW2782" t="inlineStr">
        <is>
          <t>991002881019702656</t>
        </is>
      </c>
      <c r="AX2782" t="inlineStr">
        <is>
          <t>991002881019702656</t>
        </is>
      </c>
      <c r="AY2782" t="inlineStr">
        <is>
          <t>2260125110002656</t>
        </is>
      </c>
      <c r="AZ2782" t="inlineStr">
        <is>
          <t>BOOK</t>
        </is>
      </c>
      <c r="BB2782" t="inlineStr">
        <is>
          <t>9780805741056</t>
        </is>
      </c>
      <c r="BC2782" t="inlineStr">
        <is>
          <t>32285003516696</t>
        </is>
      </c>
      <c r="BD2782" t="inlineStr">
        <is>
          <t>893793044</t>
        </is>
      </c>
    </row>
    <row r="2783">
      <c r="A2783" t="inlineStr">
        <is>
          <t>No</t>
        </is>
      </c>
      <c r="B2783" t="inlineStr">
        <is>
          <t>HQ792.U5 R37 1996</t>
        </is>
      </c>
      <c r="C2783" t="inlineStr">
        <is>
          <t>0                      HQ 0792000U  5                  R  37          1996</t>
        </is>
      </c>
      <c r="D2783" t="inlineStr">
        <is>
          <t>From virtue to character : American childhood, 1775-1850 / Jacqueline S. Reinier.</t>
        </is>
      </c>
      <c r="F2783" t="inlineStr">
        <is>
          <t>No</t>
        </is>
      </c>
      <c r="G2783" t="inlineStr">
        <is>
          <t>1</t>
        </is>
      </c>
      <c r="H2783" t="inlineStr">
        <is>
          <t>No</t>
        </is>
      </c>
      <c r="I2783" t="inlineStr">
        <is>
          <t>No</t>
        </is>
      </c>
      <c r="J2783" t="inlineStr">
        <is>
          <t>0</t>
        </is>
      </c>
      <c r="K2783" t="inlineStr">
        <is>
          <t>Reinier, Jacqueline S.</t>
        </is>
      </c>
      <c r="L2783" t="inlineStr">
        <is>
          <t>New York : Twayne Publishers, 1996.</t>
        </is>
      </c>
      <c r="M2783" t="inlineStr">
        <is>
          <t>1996</t>
        </is>
      </c>
      <c r="O2783" t="inlineStr">
        <is>
          <t>eng</t>
        </is>
      </c>
      <c r="P2783" t="inlineStr">
        <is>
          <t>nyu</t>
        </is>
      </c>
      <c r="Q2783" t="inlineStr">
        <is>
          <t>Twayne's history of American childhood series</t>
        </is>
      </c>
      <c r="R2783" t="inlineStr">
        <is>
          <t xml:space="preserve">HQ </t>
        </is>
      </c>
      <c r="S2783" t="n">
        <v>3</v>
      </c>
      <c r="T2783" t="n">
        <v>3</v>
      </c>
      <c r="U2783" t="inlineStr">
        <is>
          <t>2001-03-27</t>
        </is>
      </c>
      <c r="V2783" t="inlineStr">
        <is>
          <t>2001-03-27</t>
        </is>
      </c>
      <c r="W2783" t="inlineStr">
        <is>
          <t>1996-12-20</t>
        </is>
      </c>
      <c r="X2783" t="inlineStr">
        <is>
          <t>1996-12-20</t>
        </is>
      </c>
      <c r="Y2783" t="n">
        <v>519</v>
      </c>
      <c r="Z2783" t="n">
        <v>476</v>
      </c>
      <c r="AA2783" t="n">
        <v>478</v>
      </c>
      <c r="AB2783" t="n">
        <v>3</v>
      </c>
      <c r="AC2783" t="n">
        <v>3</v>
      </c>
      <c r="AD2783" t="n">
        <v>25</v>
      </c>
      <c r="AE2783" t="n">
        <v>25</v>
      </c>
      <c r="AF2783" t="n">
        <v>9</v>
      </c>
      <c r="AG2783" t="n">
        <v>9</v>
      </c>
      <c r="AH2783" t="n">
        <v>8</v>
      </c>
      <c r="AI2783" t="n">
        <v>8</v>
      </c>
      <c r="AJ2783" t="n">
        <v>15</v>
      </c>
      <c r="AK2783" t="n">
        <v>15</v>
      </c>
      <c r="AL2783" t="n">
        <v>2</v>
      </c>
      <c r="AM2783" t="n">
        <v>2</v>
      </c>
      <c r="AN2783" t="n">
        <v>0</v>
      </c>
      <c r="AO2783" t="n">
        <v>0</v>
      </c>
      <c r="AP2783" t="inlineStr">
        <is>
          <t>No</t>
        </is>
      </c>
      <c r="AQ2783" t="inlineStr">
        <is>
          <t>Yes</t>
        </is>
      </c>
      <c r="AR2783">
        <f>HYPERLINK("http://catalog.hathitrust.org/Record/003120689","HathiTrust Record")</f>
        <v/>
      </c>
      <c r="AS2783">
        <f>HYPERLINK("https://creighton-primo.hosted.exlibrisgroup.com/primo-explore/search?tab=default_tab&amp;search_scope=EVERYTHING&amp;vid=01CRU&amp;lang=en_US&amp;offset=0&amp;query=any,contains,991002675579702656","Catalog Record")</f>
        <v/>
      </c>
      <c r="AT2783">
        <f>HYPERLINK("http://www.worldcat.org/oclc/34984148","WorldCat Record")</f>
        <v/>
      </c>
      <c r="AU2783" t="inlineStr">
        <is>
          <t>335050813:eng</t>
        </is>
      </c>
      <c r="AV2783" t="inlineStr">
        <is>
          <t>34984148</t>
        </is>
      </c>
      <c r="AW2783" t="inlineStr">
        <is>
          <t>991002675579702656</t>
        </is>
      </c>
      <c r="AX2783" t="inlineStr">
        <is>
          <t>991002675579702656</t>
        </is>
      </c>
      <c r="AY2783" t="inlineStr">
        <is>
          <t>2267854860002656</t>
        </is>
      </c>
      <c r="AZ2783" t="inlineStr">
        <is>
          <t>BOOK</t>
        </is>
      </c>
      <c r="BB2783" t="inlineStr">
        <is>
          <t>9780805741025</t>
        </is>
      </c>
      <c r="BC2783" t="inlineStr">
        <is>
          <t>32285002400959</t>
        </is>
      </c>
      <c r="BD2783" t="inlineStr">
        <is>
          <t>893440373</t>
        </is>
      </c>
    </row>
    <row r="2784">
      <c r="A2784" t="inlineStr">
        <is>
          <t>No</t>
        </is>
      </c>
      <c r="B2784" t="inlineStr">
        <is>
          <t>HQ792.U5 S534 1999</t>
        </is>
      </c>
      <c r="C2784" t="inlineStr">
        <is>
          <t>0                      HQ 0792000U  5                  S  534         1999</t>
        </is>
      </c>
      <c r="D2784" t="inlineStr">
        <is>
          <t>Lives on the line : American families and the struggle to make ends meet / Martha Shirk, Neil G. Bennett, and J. Lawrence Aber.</t>
        </is>
      </c>
      <c r="F2784" t="inlineStr">
        <is>
          <t>No</t>
        </is>
      </c>
      <c r="G2784" t="inlineStr">
        <is>
          <t>1</t>
        </is>
      </c>
      <c r="H2784" t="inlineStr">
        <is>
          <t>No</t>
        </is>
      </c>
      <c r="I2784" t="inlineStr">
        <is>
          <t>No</t>
        </is>
      </c>
      <c r="J2784" t="inlineStr">
        <is>
          <t>0</t>
        </is>
      </c>
      <c r="K2784" t="inlineStr">
        <is>
          <t>Shirk, Martha.</t>
        </is>
      </c>
      <c r="L2784" t="inlineStr">
        <is>
          <t>Boulder, Colo. : Westview Press, 1999.</t>
        </is>
      </c>
      <c r="M2784" t="inlineStr">
        <is>
          <t>1999</t>
        </is>
      </c>
      <c r="O2784" t="inlineStr">
        <is>
          <t>eng</t>
        </is>
      </c>
      <c r="P2784" t="inlineStr">
        <is>
          <t>cou</t>
        </is>
      </c>
      <c r="R2784" t="inlineStr">
        <is>
          <t xml:space="preserve">HQ </t>
        </is>
      </c>
      <c r="S2784" t="n">
        <v>3</v>
      </c>
      <c r="T2784" t="n">
        <v>3</v>
      </c>
      <c r="U2784" t="inlineStr">
        <is>
          <t>2009-09-20</t>
        </is>
      </c>
      <c r="V2784" t="inlineStr">
        <is>
          <t>2009-09-20</t>
        </is>
      </c>
      <c r="W2784" t="inlineStr">
        <is>
          <t>1999-11-15</t>
        </is>
      </c>
      <c r="X2784" t="inlineStr">
        <is>
          <t>1999-11-15</t>
        </is>
      </c>
      <c r="Y2784" t="n">
        <v>724</v>
      </c>
      <c r="Z2784" t="n">
        <v>688</v>
      </c>
      <c r="AA2784" t="n">
        <v>801</v>
      </c>
      <c r="AB2784" t="n">
        <v>5</v>
      </c>
      <c r="AC2784" t="n">
        <v>6</v>
      </c>
      <c r="AD2784" t="n">
        <v>30</v>
      </c>
      <c r="AE2784" t="n">
        <v>34</v>
      </c>
      <c r="AF2784" t="n">
        <v>13</v>
      </c>
      <c r="AG2784" t="n">
        <v>16</v>
      </c>
      <c r="AH2784" t="n">
        <v>8</v>
      </c>
      <c r="AI2784" t="n">
        <v>8</v>
      </c>
      <c r="AJ2784" t="n">
        <v>14</v>
      </c>
      <c r="AK2784" t="n">
        <v>14</v>
      </c>
      <c r="AL2784" t="n">
        <v>4</v>
      </c>
      <c r="AM2784" t="n">
        <v>5</v>
      </c>
      <c r="AN2784" t="n">
        <v>0</v>
      </c>
      <c r="AO2784" t="n">
        <v>0</v>
      </c>
      <c r="AP2784" t="inlineStr">
        <is>
          <t>No</t>
        </is>
      </c>
      <c r="AQ2784" t="inlineStr">
        <is>
          <t>Yes</t>
        </is>
      </c>
      <c r="AR2784">
        <f>HYPERLINK("http://catalog.hathitrust.org/Record/003447639","HathiTrust Record")</f>
        <v/>
      </c>
      <c r="AS2784">
        <f>HYPERLINK("https://creighton-primo.hosted.exlibrisgroup.com/primo-explore/search?tab=default_tab&amp;search_scope=EVERYTHING&amp;vid=01CRU&amp;lang=en_US&amp;offset=0&amp;query=any,contains,991003023089702656","Catalog Record")</f>
        <v/>
      </c>
      <c r="AT2784">
        <f>HYPERLINK("http://www.worldcat.org/oclc/41256222","WorldCat Record")</f>
        <v/>
      </c>
      <c r="AU2784" t="inlineStr">
        <is>
          <t>51312:eng</t>
        </is>
      </c>
      <c r="AV2784" t="inlineStr">
        <is>
          <t>41256222</t>
        </is>
      </c>
      <c r="AW2784" t="inlineStr">
        <is>
          <t>991003023089702656</t>
        </is>
      </c>
      <c r="AX2784" t="inlineStr">
        <is>
          <t>991003023089702656</t>
        </is>
      </c>
      <c r="AY2784" t="inlineStr">
        <is>
          <t>2263760050002656</t>
        </is>
      </c>
      <c r="AZ2784" t="inlineStr">
        <is>
          <t>BOOK</t>
        </is>
      </c>
      <c r="BB2784" t="inlineStr">
        <is>
          <t>9780813366531</t>
        </is>
      </c>
      <c r="BC2784" t="inlineStr">
        <is>
          <t>32285003621967</t>
        </is>
      </c>
      <c r="BD2784" t="inlineStr">
        <is>
          <t>893610627</t>
        </is>
      </c>
    </row>
    <row r="2785">
      <c r="A2785" t="inlineStr">
        <is>
          <t>No</t>
        </is>
      </c>
      <c r="B2785" t="inlineStr">
        <is>
          <t>HQ792.U5 S65</t>
        </is>
      </c>
      <c r="C2785" t="inlineStr">
        <is>
          <t>0                      HQ 0792000U  5                  S  65</t>
        </is>
      </c>
      <c r="D2785" t="inlineStr">
        <is>
          <t>Let's stop destroying our children.</t>
        </is>
      </c>
      <c r="F2785" t="inlineStr">
        <is>
          <t>No</t>
        </is>
      </c>
      <c r="G2785" t="inlineStr">
        <is>
          <t>1</t>
        </is>
      </c>
      <c r="H2785" t="inlineStr">
        <is>
          <t>No</t>
        </is>
      </c>
      <c r="I2785" t="inlineStr">
        <is>
          <t>No</t>
        </is>
      </c>
      <c r="J2785" t="inlineStr">
        <is>
          <t>0</t>
        </is>
      </c>
      <c r="K2785" t="inlineStr">
        <is>
          <t>Soman, Shirley Camper.</t>
        </is>
      </c>
      <c r="L2785" t="inlineStr">
        <is>
          <t>New York : Hawthorn Books, [1974]</t>
        </is>
      </c>
      <c r="M2785" t="inlineStr">
        <is>
          <t>1974</t>
        </is>
      </c>
      <c r="O2785" t="inlineStr">
        <is>
          <t>eng</t>
        </is>
      </c>
      <c r="P2785" t="inlineStr">
        <is>
          <t>nyu</t>
        </is>
      </c>
      <c r="R2785" t="inlineStr">
        <is>
          <t xml:space="preserve">HQ </t>
        </is>
      </c>
      <c r="S2785" t="n">
        <v>4</v>
      </c>
      <c r="T2785" t="n">
        <v>4</v>
      </c>
      <c r="U2785" t="inlineStr">
        <is>
          <t>1995-02-19</t>
        </is>
      </c>
      <c r="V2785" t="inlineStr">
        <is>
          <t>1995-02-19</t>
        </is>
      </c>
      <c r="W2785" t="inlineStr">
        <is>
          <t>1991-12-09</t>
        </is>
      </c>
      <c r="X2785" t="inlineStr">
        <is>
          <t>1991-12-09</t>
        </is>
      </c>
      <c r="Y2785" t="n">
        <v>395</v>
      </c>
      <c r="Z2785" t="n">
        <v>367</v>
      </c>
      <c r="AA2785" t="n">
        <v>369</v>
      </c>
      <c r="AB2785" t="n">
        <v>7</v>
      </c>
      <c r="AC2785" t="n">
        <v>7</v>
      </c>
      <c r="AD2785" t="n">
        <v>9</v>
      </c>
      <c r="AE2785" t="n">
        <v>9</v>
      </c>
      <c r="AF2785" t="n">
        <v>3</v>
      </c>
      <c r="AG2785" t="n">
        <v>3</v>
      </c>
      <c r="AH2785" t="n">
        <v>0</v>
      </c>
      <c r="AI2785" t="n">
        <v>0</v>
      </c>
      <c r="AJ2785" t="n">
        <v>3</v>
      </c>
      <c r="AK2785" t="n">
        <v>3</v>
      </c>
      <c r="AL2785" t="n">
        <v>3</v>
      </c>
      <c r="AM2785" t="n">
        <v>3</v>
      </c>
      <c r="AN2785" t="n">
        <v>1</v>
      </c>
      <c r="AO2785" t="n">
        <v>1</v>
      </c>
      <c r="AP2785" t="inlineStr">
        <is>
          <t>No</t>
        </is>
      </c>
      <c r="AQ2785" t="inlineStr">
        <is>
          <t>Yes</t>
        </is>
      </c>
      <c r="AR2785">
        <f>HYPERLINK("http://catalog.hathitrust.org/Record/000013117","HathiTrust Record")</f>
        <v/>
      </c>
      <c r="AS2785">
        <f>HYPERLINK("https://creighton-primo.hosted.exlibrisgroup.com/primo-explore/search?tab=default_tab&amp;search_scope=EVERYTHING&amp;vid=01CRU&amp;lang=en_US&amp;offset=0&amp;query=any,contains,991003324019702656","Catalog Record")</f>
        <v/>
      </c>
      <c r="AT2785">
        <f>HYPERLINK("http://www.worldcat.org/oclc/852853","WorldCat Record")</f>
        <v/>
      </c>
      <c r="AU2785" t="inlineStr">
        <is>
          <t>1794173:eng</t>
        </is>
      </c>
      <c r="AV2785" t="inlineStr">
        <is>
          <t>852853</t>
        </is>
      </c>
      <c r="AW2785" t="inlineStr">
        <is>
          <t>991003324019702656</t>
        </is>
      </c>
      <c r="AX2785" t="inlineStr">
        <is>
          <t>991003324019702656</t>
        </is>
      </c>
      <c r="AY2785" t="inlineStr">
        <is>
          <t>2266367720002656</t>
        </is>
      </c>
      <c r="AZ2785" t="inlineStr">
        <is>
          <t>BOOK</t>
        </is>
      </c>
      <c r="BC2785" t="inlineStr">
        <is>
          <t>32285000849405</t>
        </is>
      </c>
      <c r="BD2785" t="inlineStr">
        <is>
          <t>893518379</t>
        </is>
      </c>
    </row>
    <row r="2786">
      <c r="A2786" t="inlineStr">
        <is>
          <t>No</t>
        </is>
      </c>
      <c r="B2786" t="inlineStr">
        <is>
          <t>HQ792.U5 S87 1982</t>
        </is>
      </c>
      <c r="C2786" t="inlineStr">
        <is>
          <t>0                      HQ 0792000U  5                  S  87          1982</t>
        </is>
      </c>
      <c r="D2786" t="inlineStr">
        <is>
          <t>The erosion of childhood / Valerie Polakow Suransky.</t>
        </is>
      </c>
      <c r="F2786" t="inlineStr">
        <is>
          <t>No</t>
        </is>
      </c>
      <c r="G2786" t="inlineStr">
        <is>
          <t>1</t>
        </is>
      </c>
      <c r="H2786" t="inlineStr">
        <is>
          <t>No</t>
        </is>
      </c>
      <c r="I2786" t="inlineStr">
        <is>
          <t>No</t>
        </is>
      </c>
      <c r="J2786" t="inlineStr">
        <is>
          <t>0</t>
        </is>
      </c>
      <c r="K2786" t="inlineStr">
        <is>
          <t>Polakow, Valerie.</t>
        </is>
      </c>
      <c r="L2786" t="inlineStr">
        <is>
          <t>Chicago : University of Chicago Press, 1982.</t>
        </is>
      </c>
      <c r="M2786" t="inlineStr">
        <is>
          <t>1982</t>
        </is>
      </c>
      <c r="O2786" t="inlineStr">
        <is>
          <t>eng</t>
        </is>
      </c>
      <c r="P2786" t="inlineStr">
        <is>
          <t>ilu</t>
        </is>
      </c>
      <c r="R2786" t="inlineStr">
        <is>
          <t xml:space="preserve">HQ </t>
        </is>
      </c>
      <c r="S2786" t="n">
        <v>1</v>
      </c>
      <c r="T2786" t="n">
        <v>1</v>
      </c>
      <c r="U2786" t="inlineStr">
        <is>
          <t>2001-06-05</t>
        </is>
      </c>
      <c r="V2786" t="inlineStr">
        <is>
          <t>2001-06-05</t>
        </is>
      </c>
      <c r="W2786" t="inlineStr">
        <is>
          <t>1992-11-16</t>
        </is>
      </c>
      <c r="X2786" t="inlineStr">
        <is>
          <t>1992-11-16</t>
        </is>
      </c>
      <c r="Y2786" t="n">
        <v>772</v>
      </c>
      <c r="Z2786" t="n">
        <v>657</v>
      </c>
      <c r="AA2786" t="n">
        <v>788</v>
      </c>
      <c r="AB2786" t="n">
        <v>5</v>
      </c>
      <c r="AC2786" t="n">
        <v>7</v>
      </c>
      <c r="AD2786" t="n">
        <v>26</v>
      </c>
      <c r="AE2786" t="n">
        <v>30</v>
      </c>
      <c r="AF2786" t="n">
        <v>11</v>
      </c>
      <c r="AG2786" t="n">
        <v>11</v>
      </c>
      <c r="AH2786" t="n">
        <v>8</v>
      </c>
      <c r="AI2786" t="n">
        <v>9</v>
      </c>
      <c r="AJ2786" t="n">
        <v>14</v>
      </c>
      <c r="AK2786" t="n">
        <v>16</v>
      </c>
      <c r="AL2786" t="n">
        <v>3</v>
      </c>
      <c r="AM2786" t="n">
        <v>5</v>
      </c>
      <c r="AN2786" t="n">
        <v>0</v>
      </c>
      <c r="AO2786" t="n">
        <v>0</v>
      </c>
      <c r="AP2786" t="inlineStr">
        <is>
          <t>No</t>
        </is>
      </c>
      <c r="AQ2786" t="inlineStr">
        <is>
          <t>No</t>
        </is>
      </c>
      <c r="AS2786">
        <f>HYPERLINK("https://creighton-primo.hosted.exlibrisgroup.com/primo-explore/search?tab=default_tab&amp;search_scope=EVERYTHING&amp;vid=01CRU&amp;lang=en_US&amp;offset=0&amp;query=any,contains,991005182019702656","Catalog Record")</f>
        <v/>
      </c>
      <c r="AT2786">
        <f>HYPERLINK("http://www.worldcat.org/oclc/7946871","WorldCat Record")</f>
        <v/>
      </c>
      <c r="AU2786" t="inlineStr">
        <is>
          <t>2794990:eng</t>
        </is>
      </c>
      <c r="AV2786" t="inlineStr">
        <is>
          <t>7946871</t>
        </is>
      </c>
      <c r="AW2786" t="inlineStr">
        <is>
          <t>991005182019702656</t>
        </is>
      </c>
      <c r="AX2786" t="inlineStr">
        <is>
          <t>991005182019702656</t>
        </is>
      </c>
      <c r="AY2786" t="inlineStr">
        <is>
          <t>2272478100002656</t>
        </is>
      </c>
      <c r="AZ2786" t="inlineStr">
        <is>
          <t>BOOK</t>
        </is>
      </c>
      <c r="BB2786" t="inlineStr">
        <is>
          <t>9780226780061</t>
        </is>
      </c>
      <c r="BC2786" t="inlineStr">
        <is>
          <t>32285001396174</t>
        </is>
      </c>
      <c r="BD2786" t="inlineStr">
        <is>
          <t>893514191</t>
        </is>
      </c>
    </row>
    <row r="2787">
      <c r="A2787" t="inlineStr">
        <is>
          <t>No</t>
        </is>
      </c>
      <c r="B2787" t="inlineStr">
        <is>
          <t>HQ792.U5 T75 2003</t>
        </is>
      </c>
      <c r="C2787" t="inlineStr">
        <is>
          <t>0                      HQ 0792000U  5                  T  75          2003</t>
        </is>
      </c>
      <c r="D2787" t="inlineStr">
        <is>
          <t>Long term trends in the well-being of children and youth / edited by Roger P. Weissberg ... [et al.].</t>
        </is>
      </c>
      <c r="F2787" t="inlineStr">
        <is>
          <t>No</t>
        </is>
      </c>
      <c r="G2787" t="inlineStr">
        <is>
          <t>1</t>
        </is>
      </c>
      <c r="H2787" t="inlineStr">
        <is>
          <t>No</t>
        </is>
      </c>
      <c r="I2787" t="inlineStr">
        <is>
          <t>No</t>
        </is>
      </c>
      <c r="J2787" t="inlineStr">
        <is>
          <t>0</t>
        </is>
      </c>
      <c r="L2787" t="inlineStr">
        <is>
          <t>Washington, DC : CWLA Press, c2003.</t>
        </is>
      </c>
      <c r="M2787" t="inlineStr">
        <is>
          <t>2003</t>
        </is>
      </c>
      <c r="O2787" t="inlineStr">
        <is>
          <t>eng</t>
        </is>
      </c>
      <c r="P2787" t="inlineStr">
        <is>
          <t>dcu</t>
        </is>
      </c>
      <c r="Q2787" t="inlineStr">
        <is>
          <t>Issues in children's and families' lives</t>
        </is>
      </c>
      <c r="R2787" t="inlineStr">
        <is>
          <t xml:space="preserve">HQ </t>
        </is>
      </c>
      <c r="S2787" t="n">
        <v>2</v>
      </c>
      <c r="T2787" t="n">
        <v>2</v>
      </c>
      <c r="U2787" t="inlineStr">
        <is>
          <t>2004-04-20</t>
        </is>
      </c>
      <c r="V2787" t="inlineStr">
        <is>
          <t>2004-04-20</t>
        </is>
      </c>
      <c r="W2787" t="inlineStr">
        <is>
          <t>2004-04-20</t>
        </is>
      </c>
      <c r="X2787" t="inlineStr">
        <is>
          <t>2004-04-20</t>
        </is>
      </c>
      <c r="Y2787" t="n">
        <v>182</v>
      </c>
      <c r="Z2787" t="n">
        <v>160</v>
      </c>
      <c r="AA2787" t="n">
        <v>163</v>
      </c>
      <c r="AB2787" t="n">
        <v>3</v>
      </c>
      <c r="AC2787" t="n">
        <v>3</v>
      </c>
      <c r="AD2787" t="n">
        <v>10</v>
      </c>
      <c r="AE2787" t="n">
        <v>10</v>
      </c>
      <c r="AF2787" t="n">
        <v>1</v>
      </c>
      <c r="AG2787" t="n">
        <v>1</v>
      </c>
      <c r="AH2787" t="n">
        <v>3</v>
      </c>
      <c r="AI2787" t="n">
        <v>3</v>
      </c>
      <c r="AJ2787" t="n">
        <v>5</v>
      </c>
      <c r="AK2787" t="n">
        <v>5</v>
      </c>
      <c r="AL2787" t="n">
        <v>2</v>
      </c>
      <c r="AM2787" t="n">
        <v>2</v>
      </c>
      <c r="AN2787" t="n">
        <v>0</v>
      </c>
      <c r="AO2787" t="n">
        <v>0</v>
      </c>
      <c r="AP2787" t="inlineStr">
        <is>
          <t>No</t>
        </is>
      </c>
      <c r="AQ2787" t="inlineStr">
        <is>
          <t>Yes</t>
        </is>
      </c>
      <c r="AR2787">
        <f>HYPERLINK("http://catalog.hathitrust.org/Record/004348871","HathiTrust Record")</f>
        <v/>
      </c>
      <c r="AS2787">
        <f>HYPERLINK("https://creighton-primo.hosted.exlibrisgroup.com/primo-explore/search?tab=default_tab&amp;search_scope=EVERYTHING&amp;vid=01CRU&amp;lang=en_US&amp;offset=0&amp;query=any,contains,991004263269702656","Catalog Record")</f>
        <v/>
      </c>
      <c r="AT2787">
        <f>HYPERLINK("http://www.worldcat.org/oclc/46729313","WorldCat Record")</f>
        <v/>
      </c>
      <c r="AU2787" t="inlineStr">
        <is>
          <t>36016229:eng</t>
        </is>
      </c>
      <c r="AV2787" t="inlineStr">
        <is>
          <t>46729313</t>
        </is>
      </c>
      <c r="AW2787" t="inlineStr">
        <is>
          <t>991004263269702656</t>
        </is>
      </c>
      <c r="AX2787" t="inlineStr">
        <is>
          <t>991004263269702656</t>
        </is>
      </c>
      <c r="AY2787" t="inlineStr">
        <is>
          <t>2256412420002656</t>
        </is>
      </c>
      <c r="AZ2787" t="inlineStr">
        <is>
          <t>BOOK</t>
        </is>
      </c>
      <c r="BB2787" t="inlineStr">
        <is>
          <t>9780878688241</t>
        </is>
      </c>
      <c r="BC2787" t="inlineStr">
        <is>
          <t>32285004900808</t>
        </is>
      </c>
      <c r="BD2787" t="inlineStr">
        <is>
          <t>893593474</t>
        </is>
      </c>
    </row>
    <row r="2788">
      <c r="A2788" t="inlineStr">
        <is>
          <t>No</t>
        </is>
      </c>
      <c r="B2788" t="inlineStr">
        <is>
          <t>HQ792.U5 V85 1988</t>
        </is>
      </c>
      <c r="C2788" t="inlineStr">
        <is>
          <t>0                      HQ 0792000U  5                  V  85          1988</t>
        </is>
      </c>
      <c r="D2788" t="inlineStr">
        <is>
          <t>The Vulnerable / John L. Palmer, Timothy Smeeding, Barbara Boyle Torrey, editors.</t>
        </is>
      </c>
      <c r="F2788" t="inlineStr">
        <is>
          <t>No</t>
        </is>
      </c>
      <c r="G2788" t="inlineStr">
        <is>
          <t>1</t>
        </is>
      </c>
      <c r="H2788" t="inlineStr">
        <is>
          <t>No</t>
        </is>
      </c>
      <c r="I2788" t="inlineStr">
        <is>
          <t>No</t>
        </is>
      </c>
      <c r="J2788" t="inlineStr">
        <is>
          <t>0</t>
        </is>
      </c>
      <c r="L2788" t="inlineStr">
        <is>
          <t>Washington, D.C. : Urban Institute Press ; Lanham, MD : Distributed in the United States and Canada by University Press of America, 1988.</t>
        </is>
      </c>
      <c r="M2788" t="inlineStr">
        <is>
          <t>1988</t>
        </is>
      </c>
      <c r="O2788" t="inlineStr">
        <is>
          <t>eng</t>
        </is>
      </c>
      <c r="P2788" t="inlineStr">
        <is>
          <t>dcu</t>
        </is>
      </c>
      <c r="Q2788" t="inlineStr">
        <is>
          <t>The Changing domestic priorities series</t>
        </is>
      </c>
      <c r="R2788" t="inlineStr">
        <is>
          <t xml:space="preserve">HQ </t>
        </is>
      </c>
      <c r="S2788" t="n">
        <v>1</v>
      </c>
      <c r="T2788" t="n">
        <v>1</v>
      </c>
      <c r="U2788" t="inlineStr">
        <is>
          <t>1997-04-11</t>
        </is>
      </c>
      <c r="V2788" t="inlineStr">
        <is>
          <t>1997-04-11</t>
        </is>
      </c>
      <c r="W2788" t="inlineStr">
        <is>
          <t>1992-07-27</t>
        </is>
      </c>
      <c r="X2788" t="inlineStr">
        <is>
          <t>1992-07-27</t>
        </is>
      </c>
      <c r="Y2788" t="n">
        <v>550</v>
      </c>
      <c r="Z2788" t="n">
        <v>494</v>
      </c>
      <c r="AA2788" t="n">
        <v>501</v>
      </c>
      <c r="AB2788" t="n">
        <v>3</v>
      </c>
      <c r="AC2788" t="n">
        <v>3</v>
      </c>
      <c r="AD2788" t="n">
        <v>22</v>
      </c>
      <c r="AE2788" t="n">
        <v>22</v>
      </c>
      <c r="AF2788" t="n">
        <v>5</v>
      </c>
      <c r="AG2788" t="n">
        <v>5</v>
      </c>
      <c r="AH2788" t="n">
        <v>7</v>
      </c>
      <c r="AI2788" t="n">
        <v>7</v>
      </c>
      <c r="AJ2788" t="n">
        <v>10</v>
      </c>
      <c r="AK2788" t="n">
        <v>10</v>
      </c>
      <c r="AL2788" t="n">
        <v>2</v>
      </c>
      <c r="AM2788" t="n">
        <v>2</v>
      </c>
      <c r="AN2788" t="n">
        <v>3</v>
      </c>
      <c r="AO2788" t="n">
        <v>3</v>
      </c>
      <c r="AP2788" t="inlineStr">
        <is>
          <t>No</t>
        </is>
      </c>
      <c r="AQ2788" t="inlineStr">
        <is>
          <t>Yes</t>
        </is>
      </c>
      <c r="AR2788">
        <f>HYPERLINK("http://catalog.hathitrust.org/Record/001081147","HathiTrust Record")</f>
        <v/>
      </c>
      <c r="AS2788">
        <f>HYPERLINK("https://creighton-primo.hosted.exlibrisgroup.com/primo-explore/search?tab=default_tab&amp;search_scope=EVERYTHING&amp;vid=01CRU&amp;lang=en_US&amp;offset=0&amp;query=any,contains,991001306149702656","Catalog Record")</f>
        <v/>
      </c>
      <c r="AT2788">
        <f>HYPERLINK("http://www.worldcat.org/oclc/18106282","WorldCat Record")</f>
        <v/>
      </c>
      <c r="AU2788" t="inlineStr">
        <is>
          <t>5218170450:eng</t>
        </is>
      </c>
      <c r="AV2788" t="inlineStr">
        <is>
          <t>18106282</t>
        </is>
      </c>
      <c r="AW2788" t="inlineStr">
        <is>
          <t>991001306149702656</t>
        </is>
      </c>
      <c r="AX2788" t="inlineStr">
        <is>
          <t>991001306149702656</t>
        </is>
      </c>
      <c r="AY2788" t="inlineStr">
        <is>
          <t>2257752540002656</t>
        </is>
      </c>
      <c r="AZ2788" t="inlineStr">
        <is>
          <t>BOOK</t>
        </is>
      </c>
      <c r="BB2788" t="inlineStr">
        <is>
          <t>9780877664208</t>
        </is>
      </c>
      <c r="BC2788" t="inlineStr">
        <is>
          <t>32285001206613</t>
        </is>
      </c>
      <c r="BD2788" t="inlineStr">
        <is>
          <t>893414156</t>
        </is>
      </c>
    </row>
    <row r="2789">
      <c r="A2789" t="inlineStr">
        <is>
          <t>No</t>
        </is>
      </c>
      <c r="B2789" t="inlineStr">
        <is>
          <t>HQ792.U5 W39 1992</t>
        </is>
      </c>
      <c r="C2789" t="inlineStr">
        <is>
          <t>0                      HQ 0792000U  5                  W  39          1992</t>
        </is>
      </c>
      <c r="D2789" t="inlineStr">
        <is>
          <t>Overcoming the odds : high risk children from birth to adulthood / Emmy E. Werner and Ruth S. Smith.</t>
        </is>
      </c>
      <c r="F2789" t="inlineStr">
        <is>
          <t>No</t>
        </is>
      </c>
      <c r="G2789" t="inlineStr">
        <is>
          <t>1</t>
        </is>
      </c>
      <c r="H2789" t="inlineStr">
        <is>
          <t>No</t>
        </is>
      </c>
      <c r="I2789" t="inlineStr">
        <is>
          <t>No</t>
        </is>
      </c>
      <c r="J2789" t="inlineStr">
        <is>
          <t>0</t>
        </is>
      </c>
      <c r="K2789" t="inlineStr">
        <is>
          <t>Werner, Emmy E.</t>
        </is>
      </c>
      <c r="L2789" t="inlineStr">
        <is>
          <t>Ithaca : Cornell University Press, 1992.</t>
        </is>
      </c>
      <c r="M2789" t="inlineStr">
        <is>
          <t>1992</t>
        </is>
      </c>
      <c r="O2789" t="inlineStr">
        <is>
          <t>eng</t>
        </is>
      </c>
      <c r="P2789" t="inlineStr">
        <is>
          <t>nyu</t>
        </is>
      </c>
      <c r="R2789" t="inlineStr">
        <is>
          <t xml:space="preserve">HQ </t>
        </is>
      </c>
      <c r="S2789" t="n">
        <v>4</v>
      </c>
      <c r="T2789" t="n">
        <v>4</v>
      </c>
      <c r="U2789" t="inlineStr">
        <is>
          <t>2009-09-20</t>
        </is>
      </c>
      <c r="V2789" t="inlineStr">
        <is>
          <t>2009-09-20</t>
        </is>
      </c>
      <c r="W2789" t="inlineStr">
        <is>
          <t>1992-10-15</t>
        </is>
      </c>
      <c r="X2789" t="inlineStr">
        <is>
          <t>1992-10-15</t>
        </is>
      </c>
      <c r="Y2789" t="n">
        <v>493</v>
      </c>
      <c r="Z2789" t="n">
        <v>383</v>
      </c>
      <c r="AA2789" t="n">
        <v>551</v>
      </c>
      <c r="AB2789" t="n">
        <v>4</v>
      </c>
      <c r="AC2789" t="n">
        <v>4</v>
      </c>
      <c r="AD2789" t="n">
        <v>21</v>
      </c>
      <c r="AE2789" t="n">
        <v>28</v>
      </c>
      <c r="AF2789" t="n">
        <v>6</v>
      </c>
      <c r="AG2789" t="n">
        <v>11</v>
      </c>
      <c r="AH2789" t="n">
        <v>5</v>
      </c>
      <c r="AI2789" t="n">
        <v>8</v>
      </c>
      <c r="AJ2789" t="n">
        <v>14</v>
      </c>
      <c r="AK2789" t="n">
        <v>15</v>
      </c>
      <c r="AL2789" t="n">
        <v>3</v>
      </c>
      <c r="AM2789" t="n">
        <v>3</v>
      </c>
      <c r="AN2789" t="n">
        <v>0</v>
      </c>
      <c r="AO2789" t="n">
        <v>0</v>
      </c>
      <c r="AP2789" t="inlineStr">
        <is>
          <t>No</t>
        </is>
      </c>
      <c r="AQ2789" t="inlineStr">
        <is>
          <t>Yes</t>
        </is>
      </c>
      <c r="AR2789">
        <f>HYPERLINK("http://catalog.hathitrust.org/Record/002536318","HathiTrust Record")</f>
        <v/>
      </c>
      <c r="AS2789">
        <f>HYPERLINK("https://creighton-primo.hosted.exlibrisgroup.com/primo-explore/search?tab=default_tab&amp;search_scope=EVERYTHING&amp;vid=01CRU&amp;lang=en_US&amp;offset=0&amp;query=any,contains,991001905139702656","Catalog Record")</f>
        <v/>
      </c>
      <c r="AT2789">
        <f>HYPERLINK("http://www.worldcat.org/oclc/24067120","WorldCat Record")</f>
        <v/>
      </c>
      <c r="AU2789" t="inlineStr">
        <is>
          <t>203514136:eng</t>
        </is>
      </c>
      <c r="AV2789" t="inlineStr">
        <is>
          <t>24067120</t>
        </is>
      </c>
      <c r="AW2789" t="inlineStr">
        <is>
          <t>991001905139702656</t>
        </is>
      </c>
      <c r="AX2789" t="inlineStr">
        <is>
          <t>991001905139702656</t>
        </is>
      </c>
      <c r="AY2789" t="inlineStr">
        <is>
          <t>2261143130002656</t>
        </is>
      </c>
      <c r="AZ2789" t="inlineStr">
        <is>
          <t>BOOK</t>
        </is>
      </c>
      <c r="BB2789" t="inlineStr">
        <is>
          <t>9780801480188</t>
        </is>
      </c>
      <c r="BC2789" t="inlineStr">
        <is>
          <t>32285001318400</t>
        </is>
      </c>
      <c r="BD2789" t="inlineStr">
        <is>
          <t>893244514</t>
        </is>
      </c>
    </row>
    <row r="2790">
      <c r="A2790" t="inlineStr">
        <is>
          <t>No</t>
        </is>
      </c>
      <c r="B2790" t="inlineStr">
        <is>
          <t>HQ792.U5 W423 1996</t>
        </is>
      </c>
      <c r="C2790" t="inlineStr">
        <is>
          <t>0                      HQ 0792000U  5                  W  423         1996</t>
        </is>
      </c>
      <c r="D2790" t="inlineStr">
        <is>
          <t>Growing up in twentieth-century America : a history and reference guide / Elliott West.</t>
        </is>
      </c>
      <c r="F2790" t="inlineStr">
        <is>
          <t>No</t>
        </is>
      </c>
      <c r="G2790" t="inlineStr">
        <is>
          <t>1</t>
        </is>
      </c>
      <c r="H2790" t="inlineStr">
        <is>
          <t>No</t>
        </is>
      </c>
      <c r="I2790" t="inlineStr">
        <is>
          <t>No</t>
        </is>
      </c>
      <c r="J2790" t="inlineStr">
        <is>
          <t>0</t>
        </is>
      </c>
      <c r="K2790" t="inlineStr">
        <is>
          <t>West, Elliott, 1945-</t>
        </is>
      </c>
      <c r="L2790" t="inlineStr">
        <is>
          <t>Westport, Conn. : Greenwood Press, 1996.</t>
        </is>
      </c>
      <c r="M2790" t="inlineStr">
        <is>
          <t>1996</t>
        </is>
      </c>
      <c r="O2790" t="inlineStr">
        <is>
          <t>eng</t>
        </is>
      </c>
      <c r="P2790" t="inlineStr">
        <is>
          <t>ctu</t>
        </is>
      </c>
      <c r="R2790" t="inlineStr">
        <is>
          <t xml:space="preserve">HQ </t>
        </is>
      </c>
      <c r="S2790" t="n">
        <v>1</v>
      </c>
      <c r="T2790" t="n">
        <v>1</v>
      </c>
      <c r="U2790" t="inlineStr">
        <is>
          <t>2004-10-06</t>
        </is>
      </c>
      <c r="V2790" t="inlineStr">
        <is>
          <t>2004-10-06</t>
        </is>
      </c>
      <c r="W2790" t="inlineStr">
        <is>
          <t>2004-10-05</t>
        </is>
      </c>
      <c r="X2790" t="inlineStr">
        <is>
          <t>2004-10-05</t>
        </is>
      </c>
      <c r="Y2790" t="n">
        <v>663</v>
      </c>
      <c r="Z2790" t="n">
        <v>611</v>
      </c>
      <c r="AA2790" t="n">
        <v>616</v>
      </c>
      <c r="AB2790" t="n">
        <v>4</v>
      </c>
      <c r="AC2790" t="n">
        <v>4</v>
      </c>
      <c r="AD2790" t="n">
        <v>28</v>
      </c>
      <c r="AE2790" t="n">
        <v>28</v>
      </c>
      <c r="AF2790" t="n">
        <v>8</v>
      </c>
      <c r="AG2790" t="n">
        <v>8</v>
      </c>
      <c r="AH2790" t="n">
        <v>6</v>
      </c>
      <c r="AI2790" t="n">
        <v>6</v>
      </c>
      <c r="AJ2790" t="n">
        <v>18</v>
      </c>
      <c r="AK2790" t="n">
        <v>18</v>
      </c>
      <c r="AL2790" t="n">
        <v>3</v>
      </c>
      <c r="AM2790" t="n">
        <v>3</v>
      </c>
      <c r="AN2790" t="n">
        <v>0</v>
      </c>
      <c r="AO2790" t="n">
        <v>0</v>
      </c>
      <c r="AP2790" t="inlineStr">
        <is>
          <t>No</t>
        </is>
      </c>
      <c r="AQ2790" t="inlineStr">
        <is>
          <t>No</t>
        </is>
      </c>
      <c r="AS2790">
        <f>HYPERLINK("https://creighton-primo.hosted.exlibrisgroup.com/primo-explore/search?tab=default_tab&amp;search_scope=EVERYTHING&amp;vid=01CRU&amp;lang=en_US&amp;offset=0&amp;query=any,contains,991004364869702656","Catalog Record")</f>
        <v/>
      </c>
      <c r="AT2790">
        <f>HYPERLINK("http://www.worldcat.org/oclc/33078759","WorldCat Record")</f>
        <v/>
      </c>
      <c r="AU2790" t="inlineStr">
        <is>
          <t>1003212:eng</t>
        </is>
      </c>
      <c r="AV2790" t="inlineStr">
        <is>
          <t>33078759</t>
        </is>
      </c>
      <c r="AW2790" t="inlineStr">
        <is>
          <t>991004364869702656</t>
        </is>
      </c>
      <c r="AX2790" t="inlineStr">
        <is>
          <t>991004364869702656</t>
        </is>
      </c>
      <c r="AY2790" t="inlineStr">
        <is>
          <t>2255408500002656</t>
        </is>
      </c>
      <c r="AZ2790" t="inlineStr">
        <is>
          <t>BOOK</t>
        </is>
      </c>
      <c r="BB2790" t="inlineStr">
        <is>
          <t>9780313288012</t>
        </is>
      </c>
      <c r="BC2790" t="inlineStr">
        <is>
          <t>32285005000228</t>
        </is>
      </c>
      <c r="BD2790" t="inlineStr">
        <is>
          <t>893693855</t>
        </is>
      </c>
    </row>
    <row r="2791">
      <c r="A2791" t="inlineStr">
        <is>
          <t>No</t>
        </is>
      </c>
      <c r="B2791" t="inlineStr">
        <is>
          <t>HQ792.U5 W48 1980b</t>
        </is>
      </c>
      <c r="C2791" t="inlineStr">
        <is>
          <t>0                      HQ 0792000U  5                  W  48          1980b</t>
        </is>
      </c>
      <c r="D2791" t="inlineStr">
        <is>
          <t>Whose child? : Children's rights, parental authority, and state power / edited by William Aiken and Hugh LaFollette.</t>
        </is>
      </c>
      <c r="F2791" t="inlineStr">
        <is>
          <t>No</t>
        </is>
      </c>
      <c r="G2791" t="inlineStr">
        <is>
          <t>1</t>
        </is>
      </c>
      <c r="H2791" t="inlineStr">
        <is>
          <t>No</t>
        </is>
      </c>
      <c r="I2791" t="inlineStr">
        <is>
          <t>No</t>
        </is>
      </c>
      <c r="J2791" t="inlineStr">
        <is>
          <t>0</t>
        </is>
      </c>
      <c r="L2791" t="inlineStr">
        <is>
          <t>Totowa, N.J. : Rowman and Littlefield, 1980.</t>
        </is>
      </c>
      <c r="M2791" t="inlineStr">
        <is>
          <t>1980</t>
        </is>
      </c>
      <c r="O2791" t="inlineStr">
        <is>
          <t>eng</t>
        </is>
      </c>
      <c r="P2791" t="inlineStr">
        <is>
          <t>nju</t>
        </is>
      </c>
      <c r="R2791" t="inlineStr">
        <is>
          <t xml:space="preserve">HQ </t>
        </is>
      </c>
      <c r="S2791" t="n">
        <v>9</v>
      </c>
      <c r="T2791" t="n">
        <v>9</v>
      </c>
      <c r="U2791" t="inlineStr">
        <is>
          <t>2002-10-21</t>
        </is>
      </c>
      <c r="V2791" t="inlineStr">
        <is>
          <t>2002-10-21</t>
        </is>
      </c>
      <c r="W2791" t="inlineStr">
        <is>
          <t>1990-05-03</t>
        </is>
      </c>
      <c r="X2791" t="inlineStr">
        <is>
          <t>1990-05-03</t>
        </is>
      </c>
      <c r="Y2791" t="n">
        <v>391</v>
      </c>
      <c r="Z2791" t="n">
        <v>350</v>
      </c>
      <c r="AA2791" t="n">
        <v>606</v>
      </c>
      <c r="AB2791" t="n">
        <v>2</v>
      </c>
      <c r="AC2791" t="n">
        <v>2</v>
      </c>
      <c r="AD2791" t="n">
        <v>16</v>
      </c>
      <c r="AE2791" t="n">
        <v>32</v>
      </c>
      <c r="AF2791" t="n">
        <v>5</v>
      </c>
      <c r="AG2791" t="n">
        <v>7</v>
      </c>
      <c r="AH2791" t="n">
        <v>4</v>
      </c>
      <c r="AI2791" t="n">
        <v>6</v>
      </c>
      <c r="AJ2791" t="n">
        <v>6</v>
      </c>
      <c r="AK2791" t="n">
        <v>11</v>
      </c>
      <c r="AL2791" t="n">
        <v>1</v>
      </c>
      <c r="AM2791" t="n">
        <v>1</v>
      </c>
      <c r="AN2791" t="n">
        <v>5</v>
      </c>
      <c r="AO2791" t="n">
        <v>13</v>
      </c>
      <c r="AP2791" t="inlineStr">
        <is>
          <t>No</t>
        </is>
      </c>
      <c r="AQ2791" t="inlineStr">
        <is>
          <t>Yes</t>
        </is>
      </c>
      <c r="AR2791">
        <f>HYPERLINK("http://catalog.hathitrust.org/Record/000721543","HathiTrust Record")</f>
        <v/>
      </c>
      <c r="AS2791">
        <f>HYPERLINK("https://creighton-primo.hosted.exlibrisgroup.com/primo-explore/search?tab=default_tab&amp;search_scope=EVERYTHING&amp;vid=01CRU&amp;lang=en_US&amp;offset=0&amp;query=any,contains,991004896539702656","Catalog Record")</f>
        <v/>
      </c>
      <c r="AT2791">
        <f>HYPERLINK("http://www.worldcat.org/oclc/5894263","WorldCat Record")</f>
        <v/>
      </c>
      <c r="AU2791" t="inlineStr">
        <is>
          <t>426544029:eng</t>
        </is>
      </c>
      <c r="AV2791" t="inlineStr">
        <is>
          <t>5894263</t>
        </is>
      </c>
      <c r="AW2791" t="inlineStr">
        <is>
          <t>991004896539702656</t>
        </is>
      </c>
      <c r="AX2791" t="inlineStr">
        <is>
          <t>991004896539702656</t>
        </is>
      </c>
      <c r="AY2791" t="inlineStr">
        <is>
          <t>2264323890002656</t>
        </is>
      </c>
      <c r="AZ2791" t="inlineStr">
        <is>
          <t>BOOK</t>
        </is>
      </c>
      <c r="BB2791" t="inlineStr">
        <is>
          <t>9780847662821</t>
        </is>
      </c>
      <c r="BC2791" t="inlineStr">
        <is>
          <t>32285000148014</t>
        </is>
      </c>
      <c r="BD2791" t="inlineStr">
        <is>
          <t>893895608</t>
        </is>
      </c>
    </row>
    <row r="2792">
      <c r="A2792" t="inlineStr">
        <is>
          <t>No</t>
        </is>
      </c>
      <c r="B2792" t="inlineStr">
        <is>
          <t>HQ792.U5 W495 1984</t>
        </is>
      </c>
      <c r="C2792" t="inlineStr">
        <is>
          <t>0                      HQ 0792000U  5                  W  495         1984</t>
        </is>
      </c>
      <c r="D2792" t="inlineStr">
        <is>
          <t>Children without childhood / Marie Winn.</t>
        </is>
      </c>
      <c r="F2792" t="inlineStr">
        <is>
          <t>No</t>
        </is>
      </c>
      <c r="G2792" t="inlineStr">
        <is>
          <t>1</t>
        </is>
      </c>
      <c r="H2792" t="inlineStr">
        <is>
          <t>No</t>
        </is>
      </c>
      <c r="I2792" t="inlineStr">
        <is>
          <t>No</t>
        </is>
      </c>
      <c r="J2792" t="inlineStr">
        <is>
          <t>0</t>
        </is>
      </c>
      <c r="K2792" t="inlineStr">
        <is>
          <t>Winn, Marie.</t>
        </is>
      </c>
      <c r="L2792" t="inlineStr">
        <is>
          <t>Harmondsworth, Middlesex, England ; New York, N.Y. : Penguin, 1984, c1983.</t>
        </is>
      </c>
      <c r="M2792" t="inlineStr">
        <is>
          <t>1984</t>
        </is>
      </c>
      <c r="O2792" t="inlineStr">
        <is>
          <t>eng</t>
        </is>
      </c>
      <c r="P2792" t="inlineStr">
        <is>
          <t>enk</t>
        </is>
      </c>
      <c r="R2792" t="inlineStr">
        <is>
          <t xml:space="preserve">HQ </t>
        </is>
      </c>
      <c r="S2792" t="n">
        <v>5</v>
      </c>
      <c r="T2792" t="n">
        <v>5</v>
      </c>
      <c r="U2792" t="inlineStr">
        <is>
          <t>2001-11-25</t>
        </is>
      </c>
      <c r="V2792" t="inlineStr">
        <is>
          <t>2001-11-25</t>
        </is>
      </c>
      <c r="W2792" t="inlineStr">
        <is>
          <t>1992-11-16</t>
        </is>
      </c>
      <c r="X2792" t="inlineStr">
        <is>
          <t>1992-11-16</t>
        </is>
      </c>
      <c r="Y2792" t="n">
        <v>284</v>
      </c>
      <c r="Z2792" t="n">
        <v>201</v>
      </c>
      <c r="AA2792" t="n">
        <v>1300</v>
      </c>
      <c r="AB2792" t="n">
        <v>1</v>
      </c>
      <c r="AC2792" t="n">
        <v>7</v>
      </c>
      <c r="AD2792" t="n">
        <v>3</v>
      </c>
      <c r="AE2792" t="n">
        <v>28</v>
      </c>
      <c r="AF2792" t="n">
        <v>1</v>
      </c>
      <c r="AG2792" t="n">
        <v>11</v>
      </c>
      <c r="AH2792" t="n">
        <v>0</v>
      </c>
      <c r="AI2792" t="n">
        <v>5</v>
      </c>
      <c r="AJ2792" t="n">
        <v>3</v>
      </c>
      <c r="AK2792" t="n">
        <v>13</v>
      </c>
      <c r="AL2792" t="n">
        <v>0</v>
      </c>
      <c r="AM2792" t="n">
        <v>5</v>
      </c>
      <c r="AN2792" t="n">
        <v>0</v>
      </c>
      <c r="AO2792" t="n">
        <v>0</v>
      </c>
      <c r="AP2792" t="inlineStr">
        <is>
          <t>No</t>
        </is>
      </c>
      <c r="AQ2792" t="inlineStr">
        <is>
          <t>No</t>
        </is>
      </c>
      <c r="AS2792">
        <f>HYPERLINK("https://creighton-primo.hosted.exlibrisgroup.com/primo-explore/search?tab=default_tab&amp;search_scope=EVERYTHING&amp;vid=01CRU&amp;lang=en_US&amp;offset=0&amp;query=any,contains,991000331879702656","Catalog Record")</f>
        <v/>
      </c>
      <c r="AT2792">
        <f>HYPERLINK("http://www.worldcat.org/oclc/10207545","WorldCat Record")</f>
        <v/>
      </c>
      <c r="AU2792" t="inlineStr">
        <is>
          <t>2874038:eng</t>
        </is>
      </c>
      <c r="AV2792" t="inlineStr">
        <is>
          <t>10207545</t>
        </is>
      </c>
      <c r="AW2792" t="inlineStr">
        <is>
          <t>991000331879702656</t>
        </is>
      </c>
      <c r="AX2792" t="inlineStr">
        <is>
          <t>991000331879702656</t>
        </is>
      </c>
      <c r="AY2792" t="inlineStr">
        <is>
          <t>2264972770002656</t>
        </is>
      </c>
      <c r="AZ2792" t="inlineStr">
        <is>
          <t>BOOK</t>
        </is>
      </c>
      <c r="BB2792" t="inlineStr">
        <is>
          <t>9780140071054</t>
        </is>
      </c>
      <c r="BC2792" t="inlineStr">
        <is>
          <t>32285001396190</t>
        </is>
      </c>
      <c r="BD2792" t="inlineStr">
        <is>
          <t>893407096</t>
        </is>
      </c>
    </row>
    <row r="2793">
      <c r="A2793" t="inlineStr">
        <is>
          <t>No</t>
        </is>
      </c>
      <c r="B2793" t="inlineStr">
        <is>
          <t>HQ793 .S428 1989</t>
        </is>
      </c>
      <c r="C2793" t="inlineStr">
        <is>
          <t>0                      HQ 0793000S  428         1989</t>
        </is>
      </c>
      <c r="D2793" t="inlineStr">
        <is>
          <t>The psychosocial worlds of the adolescent : public and private / Vivian Center Seltzer.</t>
        </is>
      </c>
      <c r="F2793" t="inlineStr">
        <is>
          <t>No</t>
        </is>
      </c>
      <c r="G2793" t="inlineStr">
        <is>
          <t>1</t>
        </is>
      </c>
      <c r="H2793" t="inlineStr">
        <is>
          <t>No</t>
        </is>
      </c>
      <c r="I2793" t="inlineStr">
        <is>
          <t>No</t>
        </is>
      </c>
      <c r="J2793" t="inlineStr">
        <is>
          <t>0</t>
        </is>
      </c>
      <c r="K2793" t="inlineStr">
        <is>
          <t>Seltzer, Vivian Center.</t>
        </is>
      </c>
      <c r="L2793" t="inlineStr">
        <is>
          <t>New York, N.Y. : Wiley, c1989.</t>
        </is>
      </c>
      <c r="M2793" t="inlineStr">
        <is>
          <t>1989</t>
        </is>
      </c>
      <c r="O2793" t="inlineStr">
        <is>
          <t>eng</t>
        </is>
      </c>
      <c r="P2793" t="inlineStr">
        <is>
          <t>nyu</t>
        </is>
      </c>
      <c r="Q2793" t="inlineStr">
        <is>
          <t>Wiley series on personality processes</t>
        </is>
      </c>
      <c r="R2793" t="inlineStr">
        <is>
          <t xml:space="preserve">HQ </t>
        </is>
      </c>
      <c r="S2793" t="n">
        <v>13</v>
      </c>
      <c r="T2793" t="n">
        <v>13</v>
      </c>
      <c r="U2793" t="inlineStr">
        <is>
          <t>2004-04-18</t>
        </is>
      </c>
      <c r="V2793" t="inlineStr">
        <is>
          <t>2004-04-18</t>
        </is>
      </c>
      <c r="W2793" t="inlineStr">
        <is>
          <t>1990-05-08</t>
        </is>
      </c>
      <c r="X2793" t="inlineStr">
        <is>
          <t>1990-05-08</t>
        </is>
      </c>
      <c r="Y2793" t="n">
        <v>356</v>
      </c>
      <c r="Z2793" t="n">
        <v>271</v>
      </c>
      <c r="AA2793" t="n">
        <v>271</v>
      </c>
      <c r="AB2793" t="n">
        <v>5</v>
      </c>
      <c r="AC2793" t="n">
        <v>5</v>
      </c>
      <c r="AD2793" t="n">
        <v>17</v>
      </c>
      <c r="AE2793" t="n">
        <v>17</v>
      </c>
      <c r="AF2793" t="n">
        <v>5</v>
      </c>
      <c r="AG2793" t="n">
        <v>5</v>
      </c>
      <c r="AH2793" t="n">
        <v>3</v>
      </c>
      <c r="AI2793" t="n">
        <v>3</v>
      </c>
      <c r="AJ2793" t="n">
        <v>10</v>
      </c>
      <c r="AK2793" t="n">
        <v>10</v>
      </c>
      <c r="AL2793" t="n">
        <v>4</v>
      </c>
      <c r="AM2793" t="n">
        <v>4</v>
      </c>
      <c r="AN2793" t="n">
        <v>0</v>
      </c>
      <c r="AO2793" t="n">
        <v>0</v>
      </c>
      <c r="AP2793" t="inlineStr">
        <is>
          <t>No</t>
        </is>
      </c>
      <c r="AQ2793" t="inlineStr">
        <is>
          <t>No</t>
        </is>
      </c>
      <c r="AS2793">
        <f>HYPERLINK("https://creighton-primo.hosted.exlibrisgroup.com/primo-explore/search?tab=default_tab&amp;search_scope=EVERYTHING&amp;vid=01CRU&amp;lang=en_US&amp;offset=0&amp;query=any,contains,991001462659702656","Catalog Record")</f>
        <v/>
      </c>
      <c r="AT2793">
        <f>HYPERLINK("http://www.worldcat.org/oclc/19457002","WorldCat Record")</f>
        <v/>
      </c>
      <c r="AU2793" t="inlineStr">
        <is>
          <t>836879359:eng</t>
        </is>
      </c>
      <c r="AV2793" t="inlineStr">
        <is>
          <t>19457002</t>
        </is>
      </c>
      <c r="AW2793" t="inlineStr">
        <is>
          <t>991001462659702656</t>
        </is>
      </c>
      <c r="AX2793" t="inlineStr">
        <is>
          <t>991001462659702656</t>
        </is>
      </c>
      <c r="AY2793" t="inlineStr">
        <is>
          <t>2267226850002656</t>
        </is>
      </c>
      <c r="AZ2793" t="inlineStr">
        <is>
          <t>BOOK</t>
        </is>
      </c>
      <c r="BB2793" t="inlineStr">
        <is>
          <t>9780471632580</t>
        </is>
      </c>
      <c r="BC2793" t="inlineStr">
        <is>
          <t>32285000135755</t>
        </is>
      </c>
      <c r="BD2793" t="inlineStr">
        <is>
          <t>893885302</t>
        </is>
      </c>
    </row>
    <row r="2794">
      <c r="A2794" t="inlineStr">
        <is>
          <t>No</t>
        </is>
      </c>
      <c r="B2794" t="inlineStr">
        <is>
          <t>HQ793 .W26</t>
        </is>
      </c>
      <c r="C2794" t="inlineStr">
        <is>
          <t>0                      HQ 0793000W  26</t>
        </is>
      </c>
      <c r="D2794" t="inlineStr">
        <is>
          <t>Woodstock census : the nationwide survey of the sixties generation / Rex Weiner and Deanne Stillman ; research consultant, Linda Z. Waldman.</t>
        </is>
      </c>
      <c r="F2794" t="inlineStr">
        <is>
          <t>No</t>
        </is>
      </c>
      <c r="G2794" t="inlineStr">
        <is>
          <t>1</t>
        </is>
      </c>
      <c r="H2794" t="inlineStr">
        <is>
          <t>No</t>
        </is>
      </c>
      <c r="I2794" t="inlineStr">
        <is>
          <t>No</t>
        </is>
      </c>
      <c r="J2794" t="inlineStr">
        <is>
          <t>0</t>
        </is>
      </c>
      <c r="K2794" t="inlineStr">
        <is>
          <t>Weiner, Rex.</t>
        </is>
      </c>
      <c r="L2794" t="inlineStr">
        <is>
          <t>New York : Viking Press, 1979.</t>
        </is>
      </c>
      <c r="M2794" t="inlineStr">
        <is>
          <t>1979</t>
        </is>
      </c>
      <c r="O2794" t="inlineStr">
        <is>
          <t>eng</t>
        </is>
      </c>
      <c r="P2794" t="inlineStr">
        <is>
          <t>nyu</t>
        </is>
      </c>
      <c r="R2794" t="inlineStr">
        <is>
          <t xml:space="preserve">HQ </t>
        </is>
      </c>
      <c r="S2794" t="n">
        <v>15</v>
      </c>
      <c r="T2794" t="n">
        <v>15</v>
      </c>
      <c r="U2794" t="inlineStr">
        <is>
          <t>2001-05-16</t>
        </is>
      </c>
      <c r="V2794" t="inlineStr">
        <is>
          <t>2001-05-16</t>
        </is>
      </c>
      <c r="W2794" t="inlineStr">
        <is>
          <t>1992-02-17</t>
        </is>
      </c>
      <c r="X2794" t="inlineStr">
        <is>
          <t>1992-02-17</t>
        </is>
      </c>
      <c r="Y2794" t="n">
        <v>695</v>
      </c>
      <c r="Z2794" t="n">
        <v>643</v>
      </c>
      <c r="AA2794" t="n">
        <v>660</v>
      </c>
      <c r="AB2794" t="n">
        <v>5</v>
      </c>
      <c r="AC2794" t="n">
        <v>5</v>
      </c>
      <c r="AD2794" t="n">
        <v>23</v>
      </c>
      <c r="AE2794" t="n">
        <v>23</v>
      </c>
      <c r="AF2794" t="n">
        <v>11</v>
      </c>
      <c r="AG2794" t="n">
        <v>11</v>
      </c>
      <c r="AH2794" t="n">
        <v>4</v>
      </c>
      <c r="AI2794" t="n">
        <v>4</v>
      </c>
      <c r="AJ2794" t="n">
        <v>8</v>
      </c>
      <c r="AK2794" t="n">
        <v>8</v>
      </c>
      <c r="AL2794" t="n">
        <v>3</v>
      </c>
      <c r="AM2794" t="n">
        <v>3</v>
      </c>
      <c r="AN2794" t="n">
        <v>0</v>
      </c>
      <c r="AO2794" t="n">
        <v>0</v>
      </c>
      <c r="AP2794" t="inlineStr">
        <is>
          <t>No</t>
        </is>
      </c>
      <c r="AQ2794" t="inlineStr">
        <is>
          <t>Yes</t>
        </is>
      </c>
      <c r="AR2794">
        <f>HYPERLINK("http://catalog.hathitrust.org/Record/000301563","HathiTrust Record")</f>
        <v/>
      </c>
      <c r="AS2794">
        <f>HYPERLINK("https://creighton-primo.hosted.exlibrisgroup.com/primo-explore/search?tab=default_tab&amp;search_scope=EVERYTHING&amp;vid=01CRU&amp;lang=en_US&amp;offset=0&amp;query=any,contains,991004758059702656","Catalog Record")</f>
        <v/>
      </c>
      <c r="AT2794">
        <f>HYPERLINK("http://www.worldcat.org/oclc/4983057","WorldCat Record")</f>
        <v/>
      </c>
      <c r="AU2794" t="inlineStr">
        <is>
          <t>486365:eng</t>
        </is>
      </c>
      <c r="AV2794" t="inlineStr">
        <is>
          <t>4983057</t>
        </is>
      </c>
      <c r="AW2794" t="inlineStr">
        <is>
          <t>991004758059702656</t>
        </is>
      </c>
      <c r="AX2794" t="inlineStr">
        <is>
          <t>991004758059702656</t>
        </is>
      </c>
      <c r="AY2794" t="inlineStr">
        <is>
          <t>2266119780002656</t>
        </is>
      </c>
      <c r="AZ2794" t="inlineStr">
        <is>
          <t>BOOK</t>
        </is>
      </c>
      <c r="BB2794" t="inlineStr">
        <is>
          <t>9780670782062</t>
        </is>
      </c>
      <c r="BC2794" t="inlineStr">
        <is>
          <t>32285000970946</t>
        </is>
      </c>
      <c r="BD2794" t="inlineStr">
        <is>
          <t>893319591</t>
        </is>
      </c>
    </row>
    <row r="2795">
      <c r="A2795" t="inlineStr">
        <is>
          <t>No</t>
        </is>
      </c>
      <c r="B2795" t="inlineStr">
        <is>
          <t>HQ796 .A246 1983</t>
        </is>
      </c>
      <c r="C2795" t="inlineStr">
        <is>
          <t>0                      HQ 0796000A  246         1983</t>
        </is>
      </c>
      <c r="D2795" t="inlineStr">
        <is>
          <t>Adolescent life experiences / Gerald R. Adams, Thomas Gullotta.</t>
        </is>
      </c>
      <c r="F2795" t="inlineStr">
        <is>
          <t>No</t>
        </is>
      </c>
      <c r="G2795" t="inlineStr">
        <is>
          <t>1</t>
        </is>
      </c>
      <c r="H2795" t="inlineStr">
        <is>
          <t>No</t>
        </is>
      </c>
      <c r="I2795" t="inlineStr">
        <is>
          <t>No</t>
        </is>
      </c>
      <c r="J2795" t="inlineStr">
        <is>
          <t>0</t>
        </is>
      </c>
      <c r="K2795" t="inlineStr">
        <is>
          <t>Adams, Gerald R., 1946-</t>
        </is>
      </c>
      <c r="L2795" t="inlineStr">
        <is>
          <t>Monterey, Calif. : Brooks/Cole Pub. Co., c1983.</t>
        </is>
      </c>
      <c r="M2795" t="inlineStr">
        <is>
          <t>1983</t>
        </is>
      </c>
      <c r="O2795" t="inlineStr">
        <is>
          <t>eng</t>
        </is>
      </c>
      <c r="P2795" t="inlineStr">
        <is>
          <t>cau</t>
        </is>
      </c>
      <c r="R2795" t="inlineStr">
        <is>
          <t xml:space="preserve">HQ </t>
        </is>
      </c>
      <c r="S2795" t="n">
        <v>11</v>
      </c>
      <c r="T2795" t="n">
        <v>11</v>
      </c>
      <c r="U2795" t="inlineStr">
        <is>
          <t>1998-04-13</t>
        </is>
      </c>
      <c r="V2795" t="inlineStr">
        <is>
          <t>1998-04-13</t>
        </is>
      </c>
      <c r="W2795" t="inlineStr">
        <is>
          <t>1990-02-26</t>
        </is>
      </c>
      <c r="X2795" t="inlineStr">
        <is>
          <t>1990-02-26</t>
        </is>
      </c>
      <c r="Y2795" t="n">
        <v>201</v>
      </c>
      <c r="Z2795" t="n">
        <v>160</v>
      </c>
      <c r="AA2795" t="n">
        <v>320</v>
      </c>
      <c r="AB2795" t="n">
        <v>3</v>
      </c>
      <c r="AC2795" t="n">
        <v>5</v>
      </c>
      <c r="AD2795" t="n">
        <v>6</v>
      </c>
      <c r="AE2795" t="n">
        <v>13</v>
      </c>
      <c r="AF2795" t="n">
        <v>2</v>
      </c>
      <c r="AG2795" t="n">
        <v>5</v>
      </c>
      <c r="AH2795" t="n">
        <v>1</v>
      </c>
      <c r="AI2795" t="n">
        <v>2</v>
      </c>
      <c r="AJ2795" t="n">
        <v>2</v>
      </c>
      <c r="AK2795" t="n">
        <v>7</v>
      </c>
      <c r="AL2795" t="n">
        <v>2</v>
      </c>
      <c r="AM2795" t="n">
        <v>3</v>
      </c>
      <c r="AN2795" t="n">
        <v>0</v>
      </c>
      <c r="AO2795" t="n">
        <v>0</v>
      </c>
      <c r="AP2795" t="inlineStr">
        <is>
          <t>No</t>
        </is>
      </c>
      <c r="AQ2795" t="inlineStr">
        <is>
          <t>No</t>
        </is>
      </c>
      <c r="AS2795">
        <f>HYPERLINK("https://creighton-primo.hosted.exlibrisgroup.com/primo-explore/search?tab=default_tab&amp;search_scope=EVERYTHING&amp;vid=01CRU&amp;lang=en_US&amp;offset=0&amp;query=any,contains,991000101499702656","Catalog Record")</f>
        <v/>
      </c>
      <c r="AT2795">
        <f>HYPERLINK("http://www.worldcat.org/oclc/8954062","WorldCat Record")</f>
        <v/>
      </c>
      <c r="AU2795" t="inlineStr">
        <is>
          <t>17156104:eng</t>
        </is>
      </c>
      <c r="AV2795" t="inlineStr">
        <is>
          <t>8954062</t>
        </is>
      </c>
      <c r="AW2795" t="inlineStr">
        <is>
          <t>991000101499702656</t>
        </is>
      </c>
      <c r="AX2795" t="inlineStr">
        <is>
          <t>991000101499702656</t>
        </is>
      </c>
      <c r="AY2795" t="inlineStr">
        <is>
          <t>2271772590002656</t>
        </is>
      </c>
      <c r="AZ2795" t="inlineStr">
        <is>
          <t>BOOK</t>
        </is>
      </c>
      <c r="BB2795" t="inlineStr">
        <is>
          <t>9780534012427</t>
        </is>
      </c>
      <c r="BC2795" t="inlineStr">
        <is>
          <t>32285000059740</t>
        </is>
      </c>
      <c r="BD2795" t="inlineStr">
        <is>
          <t>893783965</t>
        </is>
      </c>
    </row>
    <row r="2796">
      <c r="A2796" t="inlineStr">
        <is>
          <t>No</t>
        </is>
      </c>
      <c r="B2796" t="inlineStr">
        <is>
          <t>HQ796 .A3323 1991</t>
        </is>
      </c>
      <c r="C2796" t="inlineStr">
        <is>
          <t>0                      HQ 0796000A  3323        1991</t>
        </is>
      </c>
      <c r="D2796" t="inlineStr">
        <is>
          <t>Adolescence and poverty : challenge for the 1990s / Peter B. Edelman &amp; Joyce Ladner, editors.</t>
        </is>
      </c>
      <c r="F2796" t="inlineStr">
        <is>
          <t>No</t>
        </is>
      </c>
      <c r="G2796" t="inlineStr">
        <is>
          <t>1</t>
        </is>
      </c>
      <c r="H2796" t="inlineStr">
        <is>
          <t>No</t>
        </is>
      </c>
      <c r="I2796" t="inlineStr">
        <is>
          <t>No</t>
        </is>
      </c>
      <c r="J2796" t="inlineStr">
        <is>
          <t>0</t>
        </is>
      </c>
      <c r="L2796" t="inlineStr">
        <is>
          <t>Washington, D.C. : Center for National Policy Press ; Lanham, MD : Distributed by arrangement with University Press of America, c1991.</t>
        </is>
      </c>
      <c r="M2796" t="inlineStr">
        <is>
          <t>1991</t>
        </is>
      </c>
      <c r="O2796" t="inlineStr">
        <is>
          <t>eng</t>
        </is>
      </c>
      <c r="P2796" t="inlineStr">
        <is>
          <t>dcu</t>
        </is>
      </c>
      <c r="R2796" t="inlineStr">
        <is>
          <t xml:space="preserve">HQ </t>
        </is>
      </c>
      <c r="S2796" t="n">
        <v>30</v>
      </c>
      <c r="T2796" t="n">
        <v>30</v>
      </c>
      <c r="U2796" t="inlineStr">
        <is>
          <t>1995-04-05</t>
        </is>
      </c>
      <c r="V2796" t="inlineStr">
        <is>
          <t>1995-04-05</t>
        </is>
      </c>
      <c r="W2796" t="inlineStr">
        <is>
          <t>1992-01-23</t>
        </is>
      </c>
      <c r="X2796" t="inlineStr">
        <is>
          <t>1992-01-23</t>
        </is>
      </c>
      <c r="Y2796" t="n">
        <v>339</v>
      </c>
      <c r="Z2796" t="n">
        <v>297</v>
      </c>
      <c r="AA2796" t="n">
        <v>306</v>
      </c>
      <c r="AB2796" t="n">
        <v>3</v>
      </c>
      <c r="AC2796" t="n">
        <v>3</v>
      </c>
      <c r="AD2796" t="n">
        <v>19</v>
      </c>
      <c r="AE2796" t="n">
        <v>19</v>
      </c>
      <c r="AF2796" t="n">
        <v>8</v>
      </c>
      <c r="AG2796" t="n">
        <v>8</v>
      </c>
      <c r="AH2796" t="n">
        <v>5</v>
      </c>
      <c r="AI2796" t="n">
        <v>5</v>
      </c>
      <c r="AJ2796" t="n">
        <v>11</v>
      </c>
      <c r="AK2796" t="n">
        <v>11</v>
      </c>
      <c r="AL2796" t="n">
        <v>2</v>
      </c>
      <c r="AM2796" t="n">
        <v>2</v>
      </c>
      <c r="AN2796" t="n">
        <v>0</v>
      </c>
      <c r="AO2796" t="n">
        <v>0</v>
      </c>
      <c r="AP2796" t="inlineStr">
        <is>
          <t>No</t>
        </is>
      </c>
      <c r="AQ2796" t="inlineStr">
        <is>
          <t>Yes</t>
        </is>
      </c>
      <c r="AR2796">
        <f>HYPERLINK("http://catalog.hathitrust.org/Record/002477365","HathiTrust Record")</f>
        <v/>
      </c>
      <c r="AS2796">
        <f>HYPERLINK("https://creighton-primo.hosted.exlibrisgroup.com/primo-explore/search?tab=default_tab&amp;search_scope=EVERYTHING&amp;vid=01CRU&amp;lang=en_US&amp;offset=0&amp;query=any,contains,991001883399702656","Catalog Record")</f>
        <v/>
      </c>
      <c r="AT2796">
        <f>HYPERLINK("http://www.worldcat.org/oclc/23765714","WorldCat Record")</f>
        <v/>
      </c>
      <c r="AU2796" t="inlineStr">
        <is>
          <t>422849160:eng</t>
        </is>
      </c>
      <c r="AV2796" t="inlineStr">
        <is>
          <t>23765714</t>
        </is>
      </c>
      <c r="AW2796" t="inlineStr">
        <is>
          <t>991001883399702656</t>
        </is>
      </c>
      <c r="AX2796" t="inlineStr">
        <is>
          <t>991001883399702656</t>
        </is>
      </c>
      <c r="AY2796" t="inlineStr">
        <is>
          <t>2269100490002656</t>
        </is>
      </c>
      <c r="AZ2796" t="inlineStr">
        <is>
          <t>BOOK</t>
        </is>
      </c>
      <c r="BB2796" t="inlineStr">
        <is>
          <t>9780944237328</t>
        </is>
      </c>
      <c r="BC2796" t="inlineStr">
        <is>
          <t>32285000866029</t>
        </is>
      </c>
      <c r="BD2796" t="inlineStr">
        <is>
          <t>893322323</t>
        </is>
      </c>
    </row>
    <row r="2797">
      <c r="A2797" t="inlineStr">
        <is>
          <t>No</t>
        </is>
      </c>
      <c r="B2797" t="inlineStr">
        <is>
          <t>HQ796 .A333</t>
        </is>
      </c>
      <c r="C2797" t="inlineStr">
        <is>
          <t>0                      HQ 0796000A  333</t>
        </is>
      </c>
      <c r="D2797" t="inlineStr">
        <is>
          <t>Adolescence: transition from childhood to maturity [by] B. Geraldine Lambert [and others]</t>
        </is>
      </c>
      <c r="F2797" t="inlineStr">
        <is>
          <t>No</t>
        </is>
      </c>
      <c r="G2797" t="inlineStr">
        <is>
          <t>1</t>
        </is>
      </c>
      <c r="H2797" t="inlineStr">
        <is>
          <t>No</t>
        </is>
      </c>
      <c r="I2797" t="inlineStr">
        <is>
          <t>No</t>
        </is>
      </c>
      <c r="J2797" t="inlineStr">
        <is>
          <t>0</t>
        </is>
      </c>
      <c r="L2797" t="inlineStr">
        <is>
          <t>Monterey, Calif., Brooks/Cole Pub. Co. [c1972]</t>
        </is>
      </c>
      <c r="M2797" t="inlineStr">
        <is>
          <t>1972</t>
        </is>
      </c>
      <c r="O2797" t="inlineStr">
        <is>
          <t>eng</t>
        </is>
      </c>
      <c r="P2797" t="inlineStr">
        <is>
          <t>cau</t>
        </is>
      </c>
      <c r="R2797" t="inlineStr">
        <is>
          <t xml:space="preserve">HQ </t>
        </is>
      </c>
      <c r="S2797" t="n">
        <v>2</v>
      </c>
      <c r="T2797" t="n">
        <v>2</v>
      </c>
      <c r="U2797" t="inlineStr">
        <is>
          <t>2004-04-18</t>
        </is>
      </c>
      <c r="V2797" t="inlineStr">
        <is>
          <t>2004-04-18</t>
        </is>
      </c>
      <c r="W2797" t="inlineStr">
        <is>
          <t>1997-08-13</t>
        </is>
      </c>
      <c r="X2797" t="inlineStr">
        <is>
          <t>1997-08-13</t>
        </is>
      </c>
      <c r="Y2797" t="n">
        <v>206</v>
      </c>
      <c r="Z2797" t="n">
        <v>162</v>
      </c>
      <c r="AA2797" t="n">
        <v>234</v>
      </c>
      <c r="AB2797" t="n">
        <v>4</v>
      </c>
      <c r="AC2797" t="n">
        <v>4</v>
      </c>
      <c r="AD2797" t="n">
        <v>5</v>
      </c>
      <c r="AE2797" t="n">
        <v>6</v>
      </c>
      <c r="AF2797" t="n">
        <v>1</v>
      </c>
      <c r="AG2797" t="n">
        <v>2</v>
      </c>
      <c r="AH2797" t="n">
        <v>1</v>
      </c>
      <c r="AI2797" t="n">
        <v>1</v>
      </c>
      <c r="AJ2797" t="n">
        <v>1</v>
      </c>
      <c r="AK2797" t="n">
        <v>2</v>
      </c>
      <c r="AL2797" t="n">
        <v>2</v>
      </c>
      <c r="AM2797" t="n">
        <v>2</v>
      </c>
      <c r="AN2797" t="n">
        <v>0</v>
      </c>
      <c r="AO2797" t="n">
        <v>0</v>
      </c>
      <c r="AP2797" t="inlineStr">
        <is>
          <t>No</t>
        </is>
      </c>
      <c r="AQ2797" t="inlineStr">
        <is>
          <t>Yes</t>
        </is>
      </c>
      <c r="AR2797">
        <f>HYPERLINK("http://catalog.hathitrust.org/Record/001110165","HathiTrust Record")</f>
        <v/>
      </c>
      <c r="AS2797">
        <f>HYPERLINK("https://creighton-primo.hosted.exlibrisgroup.com/primo-explore/search?tab=default_tab&amp;search_scope=EVERYTHING&amp;vid=01CRU&amp;lang=en_US&amp;offset=0&amp;query=any,contains,991002935409702656","Catalog Record")</f>
        <v/>
      </c>
      <c r="AT2797">
        <f>HYPERLINK("http://www.worldcat.org/oclc/532366","WorldCat Record")</f>
        <v/>
      </c>
      <c r="AU2797" t="inlineStr">
        <is>
          <t>1548372:eng</t>
        </is>
      </c>
      <c r="AV2797" t="inlineStr">
        <is>
          <t>532366</t>
        </is>
      </c>
      <c r="AW2797" t="inlineStr">
        <is>
          <t>991002935409702656</t>
        </is>
      </c>
      <c r="AX2797" t="inlineStr">
        <is>
          <t>991002935409702656</t>
        </is>
      </c>
      <c r="AY2797" t="inlineStr">
        <is>
          <t>2265907710002656</t>
        </is>
      </c>
      <c r="AZ2797" t="inlineStr">
        <is>
          <t>BOOK</t>
        </is>
      </c>
      <c r="BB2797" t="inlineStr">
        <is>
          <t>9780818500404</t>
        </is>
      </c>
      <c r="BC2797" t="inlineStr">
        <is>
          <t>32285003102075</t>
        </is>
      </c>
      <c r="BD2797" t="inlineStr">
        <is>
          <t>893793127</t>
        </is>
      </c>
    </row>
    <row r="2798">
      <c r="A2798" t="inlineStr">
        <is>
          <t>No</t>
        </is>
      </c>
      <c r="B2798" t="inlineStr">
        <is>
          <t>HQ796 .A3343 1995</t>
        </is>
      </c>
      <c r="C2798" t="inlineStr">
        <is>
          <t>0                      HQ 0796000A  3343        1995</t>
        </is>
      </c>
      <c r="D2798" t="inlineStr">
        <is>
          <t>Adolescent portraits : identity, relationships, and challenges / Andrew Garrod ... [et al.].</t>
        </is>
      </c>
      <c r="F2798" t="inlineStr">
        <is>
          <t>No</t>
        </is>
      </c>
      <c r="G2798" t="inlineStr">
        <is>
          <t>1</t>
        </is>
      </c>
      <c r="H2798" t="inlineStr">
        <is>
          <t>No</t>
        </is>
      </c>
      <c r="I2798" t="inlineStr">
        <is>
          <t>No</t>
        </is>
      </c>
      <c r="J2798" t="inlineStr">
        <is>
          <t>0</t>
        </is>
      </c>
      <c r="L2798" t="inlineStr">
        <is>
          <t>Boston : Allyn and Bacon, c1995.</t>
        </is>
      </c>
      <c r="M2798" t="inlineStr">
        <is>
          <t>1995</t>
        </is>
      </c>
      <c r="N2798" t="inlineStr">
        <is>
          <t>2nd ed.</t>
        </is>
      </c>
      <c r="O2798" t="inlineStr">
        <is>
          <t>eng</t>
        </is>
      </c>
      <c r="P2798" t="inlineStr">
        <is>
          <t>mau</t>
        </is>
      </c>
      <c r="R2798" t="inlineStr">
        <is>
          <t xml:space="preserve">HQ </t>
        </is>
      </c>
      <c r="S2798" t="n">
        <v>16</v>
      </c>
      <c r="T2798" t="n">
        <v>16</v>
      </c>
      <c r="U2798" t="inlineStr">
        <is>
          <t>2008-10-06</t>
        </is>
      </c>
      <c r="V2798" t="inlineStr">
        <is>
          <t>2008-10-06</t>
        </is>
      </c>
      <c r="W2798" t="inlineStr">
        <is>
          <t>1995-04-24</t>
        </is>
      </c>
      <c r="X2798" t="inlineStr">
        <is>
          <t>1995-04-24</t>
        </is>
      </c>
      <c r="Y2798" t="n">
        <v>121</v>
      </c>
      <c r="Z2798" t="n">
        <v>89</v>
      </c>
      <c r="AA2798" t="n">
        <v>464</v>
      </c>
      <c r="AB2798" t="n">
        <v>1</v>
      </c>
      <c r="AC2798" t="n">
        <v>3</v>
      </c>
      <c r="AD2798" t="n">
        <v>6</v>
      </c>
      <c r="AE2798" t="n">
        <v>18</v>
      </c>
      <c r="AF2798" t="n">
        <v>1</v>
      </c>
      <c r="AG2798" t="n">
        <v>7</v>
      </c>
      <c r="AH2798" t="n">
        <v>0</v>
      </c>
      <c r="AI2798" t="n">
        <v>2</v>
      </c>
      <c r="AJ2798" t="n">
        <v>6</v>
      </c>
      <c r="AK2798" t="n">
        <v>12</v>
      </c>
      <c r="AL2798" t="n">
        <v>0</v>
      </c>
      <c r="AM2798" t="n">
        <v>2</v>
      </c>
      <c r="AN2798" t="n">
        <v>0</v>
      </c>
      <c r="AO2798" t="n">
        <v>0</v>
      </c>
      <c r="AP2798" t="inlineStr">
        <is>
          <t>No</t>
        </is>
      </c>
      <c r="AQ2798" t="inlineStr">
        <is>
          <t>No</t>
        </is>
      </c>
      <c r="AS2798">
        <f>HYPERLINK("https://creighton-primo.hosted.exlibrisgroup.com/primo-explore/search?tab=default_tab&amp;search_scope=EVERYTHING&amp;vid=01CRU&amp;lang=en_US&amp;offset=0&amp;query=any,contains,991002393819702656","Catalog Record")</f>
        <v/>
      </c>
      <c r="AT2798">
        <f>HYPERLINK("http://www.worldcat.org/oclc/31077281","WorldCat Record")</f>
        <v/>
      </c>
      <c r="AU2798" t="inlineStr">
        <is>
          <t>796383854:eng</t>
        </is>
      </c>
      <c r="AV2798" t="inlineStr">
        <is>
          <t>31077281</t>
        </is>
      </c>
      <c r="AW2798" t="inlineStr">
        <is>
          <t>991002393819702656</t>
        </is>
      </c>
      <c r="AX2798" t="inlineStr">
        <is>
          <t>991002393819702656</t>
        </is>
      </c>
      <c r="AY2798" t="inlineStr">
        <is>
          <t>2272165460002656</t>
        </is>
      </c>
      <c r="AZ2798" t="inlineStr">
        <is>
          <t>BOOK</t>
        </is>
      </c>
      <c r="BB2798" t="inlineStr">
        <is>
          <t>9780205158232</t>
        </is>
      </c>
      <c r="BC2798" t="inlineStr">
        <is>
          <t>32285002035383</t>
        </is>
      </c>
      <c r="BD2798" t="inlineStr">
        <is>
          <t>893316762</t>
        </is>
      </c>
    </row>
    <row r="2799">
      <c r="A2799" t="inlineStr">
        <is>
          <t>No</t>
        </is>
      </c>
      <c r="B2799" t="inlineStr">
        <is>
          <t>HQ796 .A36 1986</t>
        </is>
      </c>
      <c r="C2799" t="inlineStr">
        <is>
          <t>0                      HQ 0796000A  36          1986</t>
        </is>
      </c>
      <c r="D2799" t="inlineStr">
        <is>
          <t>Adolescents in families / [edited by] Geoffrey K. Leigh, Gary W. Peterson.</t>
        </is>
      </c>
      <c r="F2799" t="inlineStr">
        <is>
          <t>No</t>
        </is>
      </c>
      <c r="G2799" t="inlineStr">
        <is>
          <t>1</t>
        </is>
      </c>
      <c r="H2799" t="inlineStr">
        <is>
          <t>No</t>
        </is>
      </c>
      <c r="I2799" t="inlineStr">
        <is>
          <t>No</t>
        </is>
      </c>
      <c r="J2799" t="inlineStr">
        <is>
          <t>0</t>
        </is>
      </c>
      <c r="L2799" t="inlineStr">
        <is>
          <t>Cincinnati, Ohio : South-Western Pub. Co., c1986.</t>
        </is>
      </c>
      <c r="M2799" t="inlineStr">
        <is>
          <t>1986</t>
        </is>
      </c>
      <c r="O2799" t="inlineStr">
        <is>
          <t>eng</t>
        </is>
      </c>
      <c r="P2799" t="inlineStr">
        <is>
          <t>ohu</t>
        </is>
      </c>
      <c r="R2799" t="inlineStr">
        <is>
          <t xml:space="preserve">HQ </t>
        </is>
      </c>
      <c r="S2799" t="n">
        <v>20</v>
      </c>
      <c r="T2799" t="n">
        <v>20</v>
      </c>
      <c r="U2799" t="inlineStr">
        <is>
          <t>2005-10-25</t>
        </is>
      </c>
      <c r="V2799" t="inlineStr">
        <is>
          <t>2005-10-25</t>
        </is>
      </c>
      <c r="W2799" t="inlineStr">
        <is>
          <t>1992-04-15</t>
        </is>
      </c>
      <c r="X2799" t="inlineStr">
        <is>
          <t>1992-04-15</t>
        </is>
      </c>
      <c r="Y2799" t="n">
        <v>216</v>
      </c>
      <c r="Z2799" t="n">
        <v>191</v>
      </c>
      <c r="AA2799" t="n">
        <v>198</v>
      </c>
      <c r="AB2799" t="n">
        <v>3</v>
      </c>
      <c r="AC2799" t="n">
        <v>3</v>
      </c>
      <c r="AD2799" t="n">
        <v>11</v>
      </c>
      <c r="AE2799" t="n">
        <v>11</v>
      </c>
      <c r="AF2799" t="n">
        <v>2</v>
      </c>
      <c r="AG2799" t="n">
        <v>2</v>
      </c>
      <c r="AH2799" t="n">
        <v>3</v>
      </c>
      <c r="AI2799" t="n">
        <v>3</v>
      </c>
      <c r="AJ2799" t="n">
        <v>7</v>
      </c>
      <c r="AK2799" t="n">
        <v>7</v>
      </c>
      <c r="AL2799" t="n">
        <v>2</v>
      </c>
      <c r="AM2799" t="n">
        <v>2</v>
      </c>
      <c r="AN2799" t="n">
        <v>0</v>
      </c>
      <c r="AO2799" t="n">
        <v>0</v>
      </c>
      <c r="AP2799" t="inlineStr">
        <is>
          <t>No</t>
        </is>
      </c>
      <c r="AQ2799" t="inlineStr">
        <is>
          <t>Yes</t>
        </is>
      </c>
      <c r="AR2799">
        <f>HYPERLINK("http://catalog.hathitrust.org/Record/000445714","HathiTrust Record")</f>
        <v/>
      </c>
      <c r="AS2799">
        <f>HYPERLINK("https://creighton-primo.hosted.exlibrisgroup.com/primo-explore/search?tab=default_tab&amp;search_scope=EVERYTHING&amp;vid=01CRU&amp;lang=en_US&amp;offset=0&amp;query=any,contains,991000825199702656","Catalog Record")</f>
        <v/>
      </c>
      <c r="AT2799">
        <f>HYPERLINK("http://www.worldcat.org/oclc/13419722","WorldCat Record")</f>
        <v/>
      </c>
      <c r="AU2799" t="inlineStr">
        <is>
          <t>428870700:eng</t>
        </is>
      </c>
      <c r="AV2799" t="inlineStr">
        <is>
          <t>13419722</t>
        </is>
      </c>
      <c r="AW2799" t="inlineStr">
        <is>
          <t>991000825199702656</t>
        </is>
      </c>
      <c r="AX2799" t="inlineStr">
        <is>
          <t>991000825199702656</t>
        </is>
      </c>
      <c r="AY2799" t="inlineStr">
        <is>
          <t>2268835600002656</t>
        </is>
      </c>
      <c r="AZ2799" t="inlineStr">
        <is>
          <t>BOOK</t>
        </is>
      </c>
      <c r="BB2799" t="inlineStr">
        <is>
          <t>9780538322102</t>
        </is>
      </c>
      <c r="BC2799" t="inlineStr">
        <is>
          <t>32285001061950</t>
        </is>
      </c>
      <c r="BD2799" t="inlineStr">
        <is>
          <t>893522054</t>
        </is>
      </c>
    </row>
    <row r="2800">
      <c r="A2800" t="inlineStr">
        <is>
          <t>No</t>
        </is>
      </c>
      <c r="B2800" t="inlineStr">
        <is>
          <t>HQ796 .A726 1996</t>
        </is>
      </c>
      <c r="C2800" t="inlineStr">
        <is>
          <t>0                      HQ 0796000A  726         1996</t>
        </is>
      </c>
      <c r="D2800" t="inlineStr">
        <is>
          <t>Metalheads : heavy metal music and adolescent alienation / Jeffrey Jensen Arnett.</t>
        </is>
      </c>
      <c r="F2800" t="inlineStr">
        <is>
          <t>No</t>
        </is>
      </c>
      <c r="G2800" t="inlineStr">
        <is>
          <t>1</t>
        </is>
      </c>
      <c r="H2800" t="inlineStr">
        <is>
          <t>No</t>
        </is>
      </c>
      <c r="I2800" t="inlineStr">
        <is>
          <t>No</t>
        </is>
      </c>
      <c r="J2800" t="inlineStr">
        <is>
          <t>0</t>
        </is>
      </c>
      <c r="K2800" t="inlineStr">
        <is>
          <t>Arnett, Jeffrey Jensen.</t>
        </is>
      </c>
      <c r="L2800" t="inlineStr">
        <is>
          <t>Boulder : WestviewPress, 1996.</t>
        </is>
      </c>
      <c r="M2800" t="inlineStr">
        <is>
          <t>1996</t>
        </is>
      </c>
      <c r="O2800" t="inlineStr">
        <is>
          <t>eng</t>
        </is>
      </c>
      <c r="P2800" t="inlineStr">
        <is>
          <t>cou</t>
        </is>
      </c>
      <c r="R2800" t="inlineStr">
        <is>
          <t xml:space="preserve">HQ </t>
        </is>
      </c>
      <c r="S2800" t="n">
        <v>4</v>
      </c>
      <c r="T2800" t="n">
        <v>4</v>
      </c>
      <c r="U2800" t="inlineStr">
        <is>
          <t>2007-11-14</t>
        </is>
      </c>
      <c r="V2800" t="inlineStr">
        <is>
          <t>2007-11-14</t>
        </is>
      </c>
      <c r="W2800" t="inlineStr">
        <is>
          <t>1996-04-15</t>
        </is>
      </c>
      <c r="X2800" t="inlineStr">
        <is>
          <t>1996-04-15</t>
        </is>
      </c>
      <c r="Y2800" t="n">
        <v>353</v>
      </c>
      <c r="Z2800" t="n">
        <v>289</v>
      </c>
      <c r="AA2800" t="n">
        <v>309</v>
      </c>
      <c r="AB2800" t="n">
        <v>3</v>
      </c>
      <c r="AC2800" t="n">
        <v>3</v>
      </c>
      <c r="AD2800" t="n">
        <v>13</v>
      </c>
      <c r="AE2800" t="n">
        <v>13</v>
      </c>
      <c r="AF2800" t="n">
        <v>6</v>
      </c>
      <c r="AG2800" t="n">
        <v>6</v>
      </c>
      <c r="AH2800" t="n">
        <v>2</v>
      </c>
      <c r="AI2800" t="n">
        <v>2</v>
      </c>
      <c r="AJ2800" t="n">
        <v>9</v>
      </c>
      <c r="AK2800" t="n">
        <v>9</v>
      </c>
      <c r="AL2800" t="n">
        <v>2</v>
      </c>
      <c r="AM2800" t="n">
        <v>2</v>
      </c>
      <c r="AN2800" t="n">
        <v>0</v>
      </c>
      <c r="AO2800" t="n">
        <v>0</v>
      </c>
      <c r="AP2800" t="inlineStr">
        <is>
          <t>No</t>
        </is>
      </c>
      <c r="AQ2800" t="inlineStr">
        <is>
          <t>Yes</t>
        </is>
      </c>
      <c r="AR2800">
        <f>HYPERLINK("http://catalog.hathitrust.org/Record/003041849","HathiTrust Record")</f>
        <v/>
      </c>
      <c r="AS2800">
        <f>HYPERLINK("https://creighton-primo.hosted.exlibrisgroup.com/primo-explore/search?tab=default_tab&amp;search_scope=EVERYTHING&amp;vid=01CRU&amp;lang=en_US&amp;offset=0&amp;query=any,contains,991002566039702656","Catalog Record")</f>
        <v/>
      </c>
      <c r="AT2800">
        <f>HYPERLINK("http://www.worldcat.org/oclc/33358288","WorldCat Record")</f>
        <v/>
      </c>
      <c r="AU2800" t="inlineStr">
        <is>
          <t>837012202:eng</t>
        </is>
      </c>
      <c r="AV2800" t="inlineStr">
        <is>
          <t>33358288</t>
        </is>
      </c>
      <c r="AW2800" t="inlineStr">
        <is>
          <t>991002566039702656</t>
        </is>
      </c>
      <c r="AX2800" t="inlineStr">
        <is>
          <t>991002566039702656</t>
        </is>
      </c>
      <c r="AY2800" t="inlineStr">
        <is>
          <t>2263771250002656</t>
        </is>
      </c>
      <c r="AZ2800" t="inlineStr">
        <is>
          <t>BOOK</t>
        </is>
      </c>
      <c r="BB2800" t="inlineStr">
        <is>
          <t>9780813328126</t>
        </is>
      </c>
      <c r="BC2800" t="inlineStr">
        <is>
          <t>32285002152857</t>
        </is>
      </c>
      <c r="BD2800" t="inlineStr">
        <is>
          <t>893239222</t>
        </is>
      </c>
    </row>
    <row r="2801">
      <c r="A2801" t="inlineStr">
        <is>
          <t>No</t>
        </is>
      </c>
      <c r="B2801" t="inlineStr">
        <is>
          <t>HQ796 .B47 1976</t>
        </is>
      </c>
      <c r="C2801" t="inlineStr">
        <is>
          <t>0                      HQ 0796000B  47          1976</t>
        </is>
      </c>
      <c r="D2801" t="inlineStr">
        <is>
          <t>The gang : a study in adolescent behavior / Herbert A. Bloch &amp; Arthur Niederhoffer.</t>
        </is>
      </c>
      <c r="F2801" t="inlineStr">
        <is>
          <t>No</t>
        </is>
      </c>
      <c r="G2801" t="inlineStr">
        <is>
          <t>1</t>
        </is>
      </c>
      <c r="H2801" t="inlineStr">
        <is>
          <t>No</t>
        </is>
      </c>
      <c r="I2801" t="inlineStr">
        <is>
          <t>No</t>
        </is>
      </c>
      <c r="J2801" t="inlineStr">
        <is>
          <t>0</t>
        </is>
      </c>
      <c r="K2801" t="inlineStr">
        <is>
          <t>Bloch, Herbert Aaron, 1904-1965.</t>
        </is>
      </c>
      <c r="L2801" t="inlineStr">
        <is>
          <t>Westport, Conn. : Greenwood Press, 1976, c1958.</t>
        </is>
      </c>
      <c r="M2801" t="inlineStr">
        <is>
          <t>1976</t>
        </is>
      </c>
      <c r="O2801" t="inlineStr">
        <is>
          <t>eng</t>
        </is>
      </c>
      <c r="P2801" t="inlineStr">
        <is>
          <t>ctu</t>
        </is>
      </c>
      <c r="R2801" t="inlineStr">
        <is>
          <t xml:space="preserve">HQ </t>
        </is>
      </c>
      <c r="S2801" t="n">
        <v>20</v>
      </c>
      <c r="T2801" t="n">
        <v>20</v>
      </c>
      <c r="U2801" t="inlineStr">
        <is>
          <t>1996-12-02</t>
        </is>
      </c>
      <c r="V2801" t="inlineStr">
        <is>
          <t>1996-12-02</t>
        </is>
      </c>
      <c r="W2801" t="inlineStr">
        <is>
          <t>1990-10-26</t>
        </is>
      </c>
      <c r="X2801" t="inlineStr">
        <is>
          <t>1990-10-26</t>
        </is>
      </c>
      <c r="Y2801" t="n">
        <v>126</v>
      </c>
      <c r="Z2801" t="n">
        <v>115</v>
      </c>
      <c r="AA2801" t="n">
        <v>710</v>
      </c>
      <c r="AB2801" t="n">
        <v>2</v>
      </c>
      <c r="AC2801" t="n">
        <v>6</v>
      </c>
      <c r="AD2801" t="n">
        <v>3</v>
      </c>
      <c r="AE2801" t="n">
        <v>33</v>
      </c>
      <c r="AF2801" t="n">
        <v>1</v>
      </c>
      <c r="AG2801" t="n">
        <v>12</v>
      </c>
      <c r="AH2801" t="n">
        <v>0</v>
      </c>
      <c r="AI2801" t="n">
        <v>9</v>
      </c>
      <c r="AJ2801" t="n">
        <v>1</v>
      </c>
      <c r="AK2801" t="n">
        <v>16</v>
      </c>
      <c r="AL2801" t="n">
        <v>1</v>
      </c>
      <c r="AM2801" t="n">
        <v>5</v>
      </c>
      <c r="AN2801" t="n">
        <v>0</v>
      </c>
      <c r="AO2801" t="n">
        <v>1</v>
      </c>
      <c r="AP2801" t="inlineStr">
        <is>
          <t>No</t>
        </is>
      </c>
      <c r="AQ2801" t="inlineStr">
        <is>
          <t>No</t>
        </is>
      </c>
      <c r="AS2801">
        <f>HYPERLINK("https://creighton-primo.hosted.exlibrisgroup.com/primo-explore/search?tab=default_tab&amp;search_scope=EVERYTHING&amp;vid=01CRU&amp;lang=en_US&amp;offset=0&amp;query=any,contains,991004002309702656","Catalog Record")</f>
        <v/>
      </c>
      <c r="AT2801">
        <f>HYPERLINK("http://www.worldcat.org/oclc/2074430","WorldCat Record")</f>
        <v/>
      </c>
      <c r="AU2801" t="inlineStr">
        <is>
          <t>501742:eng</t>
        </is>
      </c>
      <c r="AV2801" t="inlineStr">
        <is>
          <t>2074430</t>
        </is>
      </c>
      <c r="AW2801" t="inlineStr">
        <is>
          <t>991004002309702656</t>
        </is>
      </c>
      <c r="AX2801" t="inlineStr">
        <is>
          <t>991004002309702656</t>
        </is>
      </c>
      <c r="AY2801" t="inlineStr">
        <is>
          <t>2263903300002656</t>
        </is>
      </c>
      <c r="AZ2801" t="inlineStr">
        <is>
          <t>BOOK</t>
        </is>
      </c>
      <c r="BB2801" t="inlineStr">
        <is>
          <t>9780837188652</t>
        </is>
      </c>
      <c r="BC2801" t="inlineStr">
        <is>
          <t>32285000353663</t>
        </is>
      </c>
      <c r="BD2801" t="inlineStr">
        <is>
          <t>893624221</t>
        </is>
      </c>
    </row>
    <row r="2802">
      <c r="A2802" t="inlineStr">
        <is>
          <t>No</t>
        </is>
      </c>
      <c r="B2802" t="inlineStr">
        <is>
          <t>HQ796 .B48</t>
        </is>
      </c>
      <c r="C2802" t="inlineStr">
        <is>
          <t>0                      HQ 0796000B  48</t>
        </is>
      </c>
      <c r="D2802" t="inlineStr">
        <is>
          <t>On adolescence, a psychoanalytic interpretation.</t>
        </is>
      </c>
      <c r="F2802" t="inlineStr">
        <is>
          <t>No</t>
        </is>
      </c>
      <c r="G2802" t="inlineStr">
        <is>
          <t>1</t>
        </is>
      </c>
      <c r="H2802" t="inlineStr">
        <is>
          <t>Yes</t>
        </is>
      </c>
      <c r="I2802" t="inlineStr">
        <is>
          <t>No</t>
        </is>
      </c>
      <c r="J2802" t="inlineStr">
        <is>
          <t>0</t>
        </is>
      </c>
      <c r="K2802" t="inlineStr">
        <is>
          <t>Blos, Peter.</t>
        </is>
      </c>
      <c r="L2802" t="inlineStr">
        <is>
          <t>[New York] Free Press of Glencoe [1962]</t>
        </is>
      </c>
      <c r="M2802" t="inlineStr">
        <is>
          <t>1962</t>
        </is>
      </c>
      <c r="O2802" t="inlineStr">
        <is>
          <t>eng</t>
        </is>
      </c>
      <c r="P2802" t="inlineStr">
        <is>
          <t>nyu</t>
        </is>
      </c>
      <c r="R2802" t="inlineStr">
        <is>
          <t xml:space="preserve">HQ </t>
        </is>
      </c>
      <c r="S2802" t="n">
        <v>0</v>
      </c>
      <c r="T2802" t="n">
        <v>11</v>
      </c>
      <c r="U2802" t="inlineStr">
        <is>
          <t>2001-09-04</t>
        </is>
      </c>
      <c r="V2802" t="inlineStr">
        <is>
          <t>2001-09-04</t>
        </is>
      </c>
      <c r="W2802" t="inlineStr">
        <is>
          <t>1997-08-13</t>
        </is>
      </c>
      <c r="X2802" t="inlineStr">
        <is>
          <t>1997-08-13</t>
        </is>
      </c>
      <c r="Y2802" t="n">
        <v>1011</v>
      </c>
      <c r="Z2802" t="n">
        <v>855</v>
      </c>
      <c r="AA2802" t="n">
        <v>922</v>
      </c>
      <c r="AB2802" t="n">
        <v>7</v>
      </c>
      <c r="AC2802" t="n">
        <v>7</v>
      </c>
      <c r="AD2802" t="n">
        <v>41</v>
      </c>
      <c r="AE2802" t="n">
        <v>41</v>
      </c>
      <c r="AF2802" t="n">
        <v>17</v>
      </c>
      <c r="AG2802" t="n">
        <v>17</v>
      </c>
      <c r="AH2802" t="n">
        <v>7</v>
      </c>
      <c r="AI2802" t="n">
        <v>7</v>
      </c>
      <c r="AJ2802" t="n">
        <v>24</v>
      </c>
      <c r="AK2802" t="n">
        <v>24</v>
      </c>
      <c r="AL2802" t="n">
        <v>4</v>
      </c>
      <c r="AM2802" t="n">
        <v>4</v>
      </c>
      <c r="AN2802" t="n">
        <v>0</v>
      </c>
      <c r="AO2802" t="n">
        <v>0</v>
      </c>
      <c r="AP2802" t="inlineStr">
        <is>
          <t>No</t>
        </is>
      </c>
      <c r="AQ2802" t="inlineStr">
        <is>
          <t>Yes</t>
        </is>
      </c>
      <c r="AR2802">
        <f>HYPERLINK("http://catalog.hathitrust.org/Record/000764514","HathiTrust Record")</f>
        <v/>
      </c>
      <c r="AS2802">
        <f>HYPERLINK("https://creighton-primo.hosted.exlibrisgroup.com/primo-explore/search?tab=default_tab&amp;search_scope=EVERYTHING&amp;vid=01CRU&amp;lang=en_US&amp;offset=0&amp;query=any,contains,991001772859702656","Catalog Record")</f>
        <v/>
      </c>
      <c r="AT2802">
        <f>HYPERLINK("http://www.worldcat.org/oclc/1175425","WorldCat Record")</f>
        <v/>
      </c>
      <c r="AU2802" t="inlineStr">
        <is>
          <t>8912170267:eng</t>
        </is>
      </c>
      <c r="AV2802" t="inlineStr">
        <is>
          <t>1175425</t>
        </is>
      </c>
      <c r="AW2802" t="inlineStr">
        <is>
          <t>991001772859702656</t>
        </is>
      </c>
      <c r="AX2802" t="inlineStr">
        <is>
          <t>991001772859702656</t>
        </is>
      </c>
      <c r="AY2802" t="inlineStr">
        <is>
          <t>2271834410002656</t>
        </is>
      </c>
      <c r="AZ2802" t="inlineStr">
        <is>
          <t>BOOK</t>
        </is>
      </c>
      <c r="BC2802" t="inlineStr">
        <is>
          <t>32285003102141</t>
        </is>
      </c>
      <c r="BD2802" t="inlineStr">
        <is>
          <t>893316053</t>
        </is>
      </c>
    </row>
    <row r="2803">
      <c r="A2803" t="inlineStr">
        <is>
          <t>No</t>
        </is>
      </c>
      <c r="B2803" t="inlineStr">
        <is>
          <t>HQ796 .C4515 1993</t>
        </is>
      </c>
      <c r="C2803" t="inlineStr">
        <is>
          <t>0                      HQ 0796000C  4515        1993</t>
        </is>
      </c>
      <c r="D2803" t="inlineStr">
        <is>
          <t>The Changing contract across generations / Vern L. Bengtson and W. Andrew Achenbaum, editors.</t>
        </is>
      </c>
      <c r="F2803" t="inlineStr">
        <is>
          <t>No</t>
        </is>
      </c>
      <c r="G2803" t="inlineStr">
        <is>
          <t>1</t>
        </is>
      </c>
      <c r="H2803" t="inlineStr">
        <is>
          <t>No</t>
        </is>
      </c>
      <c r="I2803" t="inlineStr">
        <is>
          <t>No</t>
        </is>
      </c>
      <c r="J2803" t="inlineStr">
        <is>
          <t>0</t>
        </is>
      </c>
      <c r="L2803" t="inlineStr">
        <is>
          <t>New York : A. de Gruyter, c1993.</t>
        </is>
      </c>
      <c r="M2803" t="inlineStr">
        <is>
          <t>1993</t>
        </is>
      </c>
      <c r="O2803" t="inlineStr">
        <is>
          <t>eng</t>
        </is>
      </c>
      <c r="P2803" t="inlineStr">
        <is>
          <t>nyu</t>
        </is>
      </c>
      <c r="Q2803" t="inlineStr">
        <is>
          <t>Social institutions and social change</t>
        </is>
      </c>
      <c r="R2803" t="inlineStr">
        <is>
          <t xml:space="preserve">HQ </t>
        </is>
      </c>
      <c r="S2803" t="n">
        <v>14</v>
      </c>
      <c r="T2803" t="n">
        <v>14</v>
      </c>
      <c r="U2803" t="inlineStr">
        <is>
          <t>2002-04-22</t>
        </is>
      </c>
      <c r="V2803" t="inlineStr">
        <is>
          <t>2002-04-22</t>
        </is>
      </c>
      <c r="W2803" t="inlineStr">
        <is>
          <t>1994-10-21</t>
        </is>
      </c>
      <c r="X2803" t="inlineStr">
        <is>
          <t>1994-10-21</t>
        </is>
      </c>
      <c r="Y2803" t="n">
        <v>411</v>
      </c>
      <c r="Z2803" t="n">
        <v>321</v>
      </c>
      <c r="AA2803" t="n">
        <v>326</v>
      </c>
      <c r="AB2803" t="n">
        <v>4</v>
      </c>
      <c r="AC2803" t="n">
        <v>4</v>
      </c>
      <c r="AD2803" t="n">
        <v>19</v>
      </c>
      <c r="AE2803" t="n">
        <v>19</v>
      </c>
      <c r="AF2803" t="n">
        <v>8</v>
      </c>
      <c r="AG2803" t="n">
        <v>8</v>
      </c>
      <c r="AH2803" t="n">
        <v>5</v>
      </c>
      <c r="AI2803" t="n">
        <v>5</v>
      </c>
      <c r="AJ2803" t="n">
        <v>7</v>
      </c>
      <c r="AK2803" t="n">
        <v>7</v>
      </c>
      <c r="AL2803" t="n">
        <v>3</v>
      </c>
      <c r="AM2803" t="n">
        <v>3</v>
      </c>
      <c r="AN2803" t="n">
        <v>0</v>
      </c>
      <c r="AO2803" t="n">
        <v>0</v>
      </c>
      <c r="AP2803" t="inlineStr">
        <is>
          <t>No</t>
        </is>
      </c>
      <c r="AQ2803" t="inlineStr">
        <is>
          <t>No</t>
        </is>
      </c>
      <c r="AS2803">
        <f>HYPERLINK("https://creighton-primo.hosted.exlibrisgroup.com/primo-explore/search?tab=default_tab&amp;search_scope=EVERYTHING&amp;vid=01CRU&amp;lang=en_US&amp;offset=0&amp;query=any,contains,991002103939702656","Catalog Record")</f>
        <v/>
      </c>
      <c r="AT2803">
        <f>HYPERLINK("http://www.worldcat.org/oclc/27010394","WorldCat Record")</f>
        <v/>
      </c>
      <c r="AU2803" t="inlineStr">
        <is>
          <t>351642064:eng</t>
        </is>
      </c>
      <c r="AV2803" t="inlineStr">
        <is>
          <t>27010394</t>
        </is>
      </c>
      <c r="AW2803" t="inlineStr">
        <is>
          <t>991002103939702656</t>
        </is>
      </c>
      <c r="AX2803" t="inlineStr">
        <is>
          <t>991002103939702656</t>
        </is>
      </c>
      <c r="AY2803" t="inlineStr">
        <is>
          <t>2267173230002656</t>
        </is>
      </c>
      <c r="AZ2803" t="inlineStr">
        <is>
          <t>BOOK</t>
        </is>
      </c>
      <c r="BB2803" t="inlineStr">
        <is>
          <t>9780202304595</t>
        </is>
      </c>
      <c r="BC2803" t="inlineStr">
        <is>
          <t>32285001955383</t>
        </is>
      </c>
      <c r="BD2803" t="inlineStr">
        <is>
          <t>893420950</t>
        </is>
      </c>
    </row>
    <row r="2804">
      <c r="A2804" t="inlineStr">
        <is>
          <t>No</t>
        </is>
      </c>
      <c r="B2804" t="inlineStr">
        <is>
          <t>HQ796 .C473 1996</t>
        </is>
      </c>
      <c r="C2804" t="inlineStr">
        <is>
          <t>0                      HQ 0796000C  473         1996</t>
        </is>
      </c>
      <c r="D2804" t="inlineStr">
        <is>
          <t>Right of passage : the heroic journey to adulthood / Nancy Geyer Christopher.</t>
        </is>
      </c>
      <c r="F2804" t="inlineStr">
        <is>
          <t>No</t>
        </is>
      </c>
      <c r="G2804" t="inlineStr">
        <is>
          <t>1</t>
        </is>
      </c>
      <c r="H2804" t="inlineStr">
        <is>
          <t>No</t>
        </is>
      </c>
      <c r="I2804" t="inlineStr">
        <is>
          <t>No</t>
        </is>
      </c>
      <c r="J2804" t="inlineStr">
        <is>
          <t>0</t>
        </is>
      </c>
      <c r="K2804" t="inlineStr">
        <is>
          <t>Christopher, Nancy Geyer.</t>
        </is>
      </c>
      <c r="L2804" t="inlineStr">
        <is>
          <t>Washington, D.C. : Cornell Press, c1996.</t>
        </is>
      </c>
      <c r="M2804" t="inlineStr">
        <is>
          <t>1996</t>
        </is>
      </c>
      <c r="O2804" t="inlineStr">
        <is>
          <t>eng</t>
        </is>
      </c>
      <c r="P2804" t="inlineStr">
        <is>
          <t>dcu</t>
        </is>
      </c>
      <c r="R2804" t="inlineStr">
        <is>
          <t xml:space="preserve">HQ </t>
        </is>
      </c>
      <c r="S2804" t="n">
        <v>13</v>
      </c>
      <c r="T2804" t="n">
        <v>13</v>
      </c>
      <c r="U2804" t="inlineStr">
        <is>
          <t>2003-04-14</t>
        </is>
      </c>
      <c r="V2804" t="inlineStr">
        <is>
          <t>2003-04-14</t>
        </is>
      </c>
      <c r="W2804" t="inlineStr">
        <is>
          <t>1997-01-29</t>
        </is>
      </c>
      <c r="X2804" t="inlineStr">
        <is>
          <t>1997-01-29</t>
        </is>
      </c>
      <c r="Y2804" t="n">
        <v>45</v>
      </c>
      <c r="Z2804" t="n">
        <v>43</v>
      </c>
      <c r="AA2804" t="n">
        <v>48</v>
      </c>
      <c r="AB2804" t="n">
        <v>1</v>
      </c>
      <c r="AC2804" t="n">
        <v>1</v>
      </c>
      <c r="AD2804" t="n">
        <v>2</v>
      </c>
      <c r="AE2804" t="n">
        <v>2</v>
      </c>
      <c r="AF2804" t="n">
        <v>0</v>
      </c>
      <c r="AG2804" t="n">
        <v>0</v>
      </c>
      <c r="AH2804" t="n">
        <v>1</v>
      </c>
      <c r="AI2804" t="n">
        <v>1</v>
      </c>
      <c r="AJ2804" t="n">
        <v>2</v>
      </c>
      <c r="AK2804" t="n">
        <v>2</v>
      </c>
      <c r="AL2804" t="n">
        <v>0</v>
      </c>
      <c r="AM2804" t="n">
        <v>0</v>
      </c>
      <c r="AN2804" t="n">
        <v>0</v>
      </c>
      <c r="AO2804" t="n">
        <v>0</v>
      </c>
      <c r="AP2804" t="inlineStr">
        <is>
          <t>No</t>
        </is>
      </c>
      <c r="AQ2804" t="inlineStr">
        <is>
          <t>No</t>
        </is>
      </c>
      <c r="AS2804">
        <f>HYPERLINK("https://creighton-primo.hosted.exlibrisgroup.com/primo-explore/search?tab=default_tab&amp;search_scope=EVERYTHING&amp;vid=01CRU&amp;lang=en_US&amp;offset=0&amp;query=any,contains,991002760439702656","Catalog Record")</f>
        <v/>
      </c>
      <c r="AT2804">
        <f>HYPERLINK("http://www.worldcat.org/oclc/36211287","WorldCat Record")</f>
        <v/>
      </c>
      <c r="AU2804" t="inlineStr">
        <is>
          <t>10519400126:eng</t>
        </is>
      </c>
      <c r="AV2804" t="inlineStr">
        <is>
          <t>36211287</t>
        </is>
      </c>
      <c r="AW2804" t="inlineStr">
        <is>
          <t>991002760439702656</t>
        </is>
      </c>
      <c r="AX2804" t="inlineStr">
        <is>
          <t>991002760439702656</t>
        </is>
      </c>
      <c r="AY2804" t="inlineStr">
        <is>
          <t>2266097850002656</t>
        </is>
      </c>
      <c r="AZ2804" t="inlineStr">
        <is>
          <t>BOOK</t>
        </is>
      </c>
      <c r="BB2804" t="inlineStr">
        <is>
          <t>9780965271929</t>
        </is>
      </c>
      <c r="BC2804" t="inlineStr">
        <is>
          <t>32285002398567</t>
        </is>
      </c>
      <c r="BD2804" t="inlineStr">
        <is>
          <t>893610256</t>
        </is>
      </c>
    </row>
    <row r="2805">
      <c r="A2805" t="inlineStr">
        <is>
          <t>No</t>
        </is>
      </c>
      <c r="B2805" t="inlineStr">
        <is>
          <t>HQ796 .C75 1979</t>
        </is>
      </c>
      <c r="C2805" t="inlineStr">
        <is>
          <t>0                      HQ 0796000C  75          1979</t>
        </is>
      </c>
      <c r="D2805" t="inlineStr">
        <is>
          <t>Adolescence : generation under pressure / John Conger.</t>
        </is>
      </c>
      <c r="F2805" t="inlineStr">
        <is>
          <t>No</t>
        </is>
      </c>
      <c r="G2805" t="inlineStr">
        <is>
          <t>1</t>
        </is>
      </c>
      <c r="H2805" t="inlineStr">
        <is>
          <t>No</t>
        </is>
      </c>
      <c r="I2805" t="inlineStr">
        <is>
          <t>No</t>
        </is>
      </c>
      <c r="J2805" t="inlineStr">
        <is>
          <t>0</t>
        </is>
      </c>
      <c r="K2805" t="inlineStr">
        <is>
          <t>Conger, John Janeway.</t>
        </is>
      </c>
      <c r="L2805" t="inlineStr">
        <is>
          <t>New York : Harper &amp; Row, c1979.</t>
        </is>
      </c>
      <c r="M2805" t="inlineStr">
        <is>
          <t>1979</t>
        </is>
      </c>
      <c r="O2805" t="inlineStr">
        <is>
          <t>eng</t>
        </is>
      </c>
      <c r="P2805" t="inlineStr">
        <is>
          <t>nyu</t>
        </is>
      </c>
      <c r="Q2805" t="inlineStr">
        <is>
          <t>The Life cycle series</t>
        </is>
      </c>
      <c r="R2805" t="inlineStr">
        <is>
          <t xml:space="preserve">HQ </t>
        </is>
      </c>
      <c r="S2805" t="n">
        <v>11</v>
      </c>
      <c r="T2805" t="n">
        <v>11</v>
      </c>
      <c r="U2805" t="inlineStr">
        <is>
          <t>1998-02-02</t>
        </is>
      </c>
      <c r="V2805" t="inlineStr">
        <is>
          <t>1998-02-02</t>
        </is>
      </c>
      <c r="W2805" t="inlineStr">
        <is>
          <t>1992-04-29</t>
        </is>
      </c>
      <c r="X2805" t="inlineStr">
        <is>
          <t>1992-04-29</t>
        </is>
      </c>
      <c r="Y2805" t="n">
        <v>145</v>
      </c>
      <c r="Z2805" t="n">
        <v>131</v>
      </c>
      <c r="AA2805" t="n">
        <v>180</v>
      </c>
      <c r="AB2805" t="n">
        <v>4</v>
      </c>
      <c r="AC2805" t="n">
        <v>6</v>
      </c>
      <c r="AD2805" t="n">
        <v>5</v>
      </c>
      <c r="AE2805" t="n">
        <v>5</v>
      </c>
      <c r="AF2805" t="n">
        <v>1</v>
      </c>
      <c r="AG2805" t="n">
        <v>1</v>
      </c>
      <c r="AH2805" t="n">
        <v>1</v>
      </c>
      <c r="AI2805" t="n">
        <v>1</v>
      </c>
      <c r="AJ2805" t="n">
        <v>3</v>
      </c>
      <c r="AK2805" t="n">
        <v>3</v>
      </c>
      <c r="AL2805" t="n">
        <v>2</v>
      </c>
      <c r="AM2805" t="n">
        <v>2</v>
      </c>
      <c r="AN2805" t="n">
        <v>0</v>
      </c>
      <c r="AO2805" t="n">
        <v>0</v>
      </c>
      <c r="AP2805" t="inlineStr">
        <is>
          <t>No</t>
        </is>
      </c>
      <c r="AQ2805" t="inlineStr">
        <is>
          <t>Yes</t>
        </is>
      </c>
      <c r="AR2805">
        <f>HYPERLINK("http://catalog.hathitrust.org/Record/000247260","HathiTrust Record")</f>
        <v/>
      </c>
      <c r="AS2805">
        <f>HYPERLINK("https://creighton-primo.hosted.exlibrisgroup.com/primo-explore/search?tab=default_tab&amp;search_scope=EVERYTHING&amp;vid=01CRU&amp;lang=en_US&amp;offset=0&amp;query=any,contains,991004917339702656","Catalog Record")</f>
        <v/>
      </c>
      <c r="AT2805">
        <f>HYPERLINK("http://www.worldcat.org/oclc/6021800","WorldCat Record")</f>
        <v/>
      </c>
      <c r="AU2805" t="inlineStr">
        <is>
          <t>110231674:eng</t>
        </is>
      </c>
      <c r="AV2805" t="inlineStr">
        <is>
          <t>6021800</t>
        </is>
      </c>
      <c r="AW2805" t="inlineStr">
        <is>
          <t>991004917339702656</t>
        </is>
      </c>
      <c r="AX2805" t="inlineStr">
        <is>
          <t>991004917339702656</t>
        </is>
      </c>
      <c r="AY2805" t="inlineStr">
        <is>
          <t>2254875590002656</t>
        </is>
      </c>
      <c r="AZ2805" t="inlineStr">
        <is>
          <t>BOOK</t>
        </is>
      </c>
      <c r="BB2805" t="inlineStr">
        <is>
          <t>9780063847446</t>
        </is>
      </c>
      <c r="BC2805" t="inlineStr">
        <is>
          <t>32285001102994</t>
        </is>
      </c>
      <c r="BD2805" t="inlineStr">
        <is>
          <t>893700821</t>
        </is>
      </c>
    </row>
    <row r="2806">
      <c r="A2806" t="inlineStr">
        <is>
          <t>No</t>
        </is>
      </c>
      <c r="B2806" t="inlineStr">
        <is>
          <t>HQ796 .C76</t>
        </is>
      </c>
      <c r="C2806" t="inlineStr">
        <is>
          <t>0                      HQ 0796000C  76</t>
        </is>
      </c>
      <c r="D2806" t="inlineStr">
        <is>
          <t>Adolescence and youth; psychological development in a changing world.</t>
        </is>
      </c>
      <c r="F2806" t="inlineStr">
        <is>
          <t>No</t>
        </is>
      </c>
      <c r="G2806" t="inlineStr">
        <is>
          <t>1</t>
        </is>
      </c>
      <c r="H2806" t="inlineStr">
        <is>
          <t>No</t>
        </is>
      </c>
      <c r="I2806" t="inlineStr">
        <is>
          <t>No</t>
        </is>
      </c>
      <c r="J2806" t="inlineStr">
        <is>
          <t>0</t>
        </is>
      </c>
      <c r="K2806" t="inlineStr">
        <is>
          <t>Conger, John Janeway.</t>
        </is>
      </c>
      <c r="L2806" t="inlineStr">
        <is>
          <t>New York, Harper &amp; Row [1973]</t>
        </is>
      </c>
      <c r="M2806" t="inlineStr">
        <is>
          <t>1973</t>
        </is>
      </c>
      <c r="O2806" t="inlineStr">
        <is>
          <t>eng</t>
        </is>
      </c>
      <c r="P2806" t="inlineStr">
        <is>
          <t>nyu</t>
        </is>
      </c>
      <c r="R2806" t="inlineStr">
        <is>
          <t xml:space="preserve">HQ </t>
        </is>
      </c>
      <c r="S2806" t="n">
        <v>2</v>
      </c>
      <c r="T2806" t="n">
        <v>2</v>
      </c>
      <c r="U2806" t="inlineStr">
        <is>
          <t>1997-11-11</t>
        </is>
      </c>
      <c r="V2806" t="inlineStr">
        <is>
          <t>1997-11-11</t>
        </is>
      </c>
      <c r="W2806" t="inlineStr">
        <is>
          <t>1997-08-13</t>
        </is>
      </c>
      <c r="X2806" t="inlineStr">
        <is>
          <t>1997-08-13</t>
        </is>
      </c>
      <c r="Y2806" t="n">
        <v>412</v>
      </c>
      <c r="Z2806" t="n">
        <v>282</v>
      </c>
      <c r="AA2806" t="n">
        <v>595</v>
      </c>
      <c r="AB2806" t="n">
        <v>4</v>
      </c>
      <c r="AC2806" t="n">
        <v>6</v>
      </c>
      <c r="AD2806" t="n">
        <v>10</v>
      </c>
      <c r="AE2806" t="n">
        <v>22</v>
      </c>
      <c r="AF2806" t="n">
        <v>4</v>
      </c>
      <c r="AG2806" t="n">
        <v>7</v>
      </c>
      <c r="AH2806" t="n">
        <v>2</v>
      </c>
      <c r="AI2806" t="n">
        <v>5</v>
      </c>
      <c r="AJ2806" t="n">
        <v>4</v>
      </c>
      <c r="AK2806" t="n">
        <v>11</v>
      </c>
      <c r="AL2806" t="n">
        <v>2</v>
      </c>
      <c r="AM2806" t="n">
        <v>4</v>
      </c>
      <c r="AN2806" t="n">
        <v>0</v>
      </c>
      <c r="AO2806" t="n">
        <v>0</v>
      </c>
      <c r="AP2806" t="inlineStr">
        <is>
          <t>No</t>
        </is>
      </c>
      <c r="AQ2806" t="inlineStr">
        <is>
          <t>Yes</t>
        </is>
      </c>
      <c r="AR2806">
        <f>HYPERLINK("http://catalog.hathitrust.org/Record/001108395","HathiTrust Record")</f>
        <v/>
      </c>
      <c r="AS2806">
        <f>HYPERLINK("https://creighton-primo.hosted.exlibrisgroup.com/primo-explore/search?tab=default_tab&amp;search_scope=EVERYTHING&amp;vid=01CRU&amp;lang=en_US&amp;offset=0&amp;query=any,contains,991003155599702656","Catalog Record")</f>
        <v/>
      </c>
      <c r="AT2806">
        <f>HYPERLINK("http://www.worldcat.org/oclc/695119","WorldCat Record")</f>
        <v/>
      </c>
      <c r="AU2806" t="inlineStr">
        <is>
          <t>403543:eng</t>
        </is>
      </c>
      <c r="AV2806" t="inlineStr">
        <is>
          <t>695119</t>
        </is>
      </c>
      <c r="AW2806" t="inlineStr">
        <is>
          <t>991003155599702656</t>
        </is>
      </c>
      <c r="AX2806" t="inlineStr">
        <is>
          <t>991003155599702656</t>
        </is>
      </c>
      <c r="AY2806" t="inlineStr">
        <is>
          <t>2267787220002656</t>
        </is>
      </c>
      <c r="AZ2806" t="inlineStr">
        <is>
          <t>BOOK</t>
        </is>
      </c>
      <c r="BB2806" t="inlineStr">
        <is>
          <t>9780060413613</t>
        </is>
      </c>
      <c r="BC2806" t="inlineStr">
        <is>
          <t>32285003102208</t>
        </is>
      </c>
      <c r="BD2806" t="inlineStr">
        <is>
          <t>893592238</t>
        </is>
      </c>
    </row>
    <row r="2807">
      <c r="A2807" t="inlineStr">
        <is>
          <t>No</t>
        </is>
      </c>
      <c r="B2807" t="inlineStr">
        <is>
          <t>HQ796 .C89 1984</t>
        </is>
      </c>
      <c r="C2807" t="inlineStr">
        <is>
          <t>0                      HQ 0796000C  89          1984</t>
        </is>
      </c>
      <c r="D2807" t="inlineStr">
        <is>
          <t>Being adolescent : conflict and growth in the teenage years / Mihaly Csikszentmihalyi and Reed Larson.</t>
        </is>
      </c>
      <c r="F2807" t="inlineStr">
        <is>
          <t>No</t>
        </is>
      </c>
      <c r="G2807" t="inlineStr">
        <is>
          <t>1</t>
        </is>
      </c>
      <c r="H2807" t="inlineStr">
        <is>
          <t>No</t>
        </is>
      </c>
      <c r="I2807" t="inlineStr">
        <is>
          <t>No</t>
        </is>
      </c>
      <c r="J2807" t="inlineStr">
        <is>
          <t>0</t>
        </is>
      </c>
      <c r="K2807" t="inlineStr">
        <is>
          <t>Csikszentmihalyi, Mihaly.</t>
        </is>
      </c>
      <c r="L2807" t="inlineStr">
        <is>
          <t>New York : Basic Books, c1984.</t>
        </is>
      </c>
      <c r="M2807" t="inlineStr">
        <is>
          <t>1984</t>
        </is>
      </c>
      <c r="O2807" t="inlineStr">
        <is>
          <t>eng</t>
        </is>
      </c>
      <c r="P2807" t="inlineStr">
        <is>
          <t>nyu</t>
        </is>
      </c>
      <c r="R2807" t="inlineStr">
        <is>
          <t xml:space="preserve">HQ </t>
        </is>
      </c>
      <c r="S2807" t="n">
        <v>10</v>
      </c>
      <c r="T2807" t="n">
        <v>10</v>
      </c>
      <c r="U2807" t="inlineStr">
        <is>
          <t>1998-10-23</t>
        </is>
      </c>
      <c r="V2807" t="inlineStr">
        <is>
          <t>1998-10-23</t>
        </is>
      </c>
      <c r="W2807" t="inlineStr">
        <is>
          <t>1991-12-12</t>
        </is>
      </c>
      <c r="X2807" t="inlineStr">
        <is>
          <t>1991-12-12</t>
        </is>
      </c>
      <c r="Y2807" t="n">
        <v>1005</v>
      </c>
      <c r="Z2807" t="n">
        <v>865</v>
      </c>
      <c r="AA2807" t="n">
        <v>874</v>
      </c>
      <c r="AB2807" t="n">
        <v>7</v>
      </c>
      <c r="AC2807" t="n">
        <v>7</v>
      </c>
      <c r="AD2807" t="n">
        <v>28</v>
      </c>
      <c r="AE2807" t="n">
        <v>28</v>
      </c>
      <c r="AF2807" t="n">
        <v>7</v>
      </c>
      <c r="AG2807" t="n">
        <v>7</v>
      </c>
      <c r="AH2807" t="n">
        <v>7</v>
      </c>
      <c r="AI2807" t="n">
        <v>7</v>
      </c>
      <c r="AJ2807" t="n">
        <v>14</v>
      </c>
      <c r="AK2807" t="n">
        <v>14</v>
      </c>
      <c r="AL2807" t="n">
        <v>6</v>
      </c>
      <c r="AM2807" t="n">
        <v>6</v>
      </c>
      <c r="AN2807" t="n">
        <v>0</v>
      </c>
      <c r="AO2807" t="n">
        <v>0</v>
      </c>
      <c r="AP2807" t="inlineStr">
        <is>
          <t>No</t>
        </is>
      </c>
      <c r="AQ2807" t="inlineStr">
        <is>
          <t>No</t>
        </is>
      </c>
      <c r="AS2807">
        <f>HYPERLINK("https://creighton-primo.hosted.exlibrisgroup.com/primo-explore/search?tab=default_tab&amp;search_scope=EVERYTHING&amp;vid=01CRU&amp;lang=en_US&amp;offset=0&amp;query=any,contains,991000342359702656","Catalog Record")</f>
        <v/>
      </c>
      <c r="AT2807">
        <f>HYPERLINK("http://www.worldcat.org/oclc/10274774","WorldCat Record")</f>
        <v/>
      </c>
      <c r="AU2807" t="inlineStr">
        <is>
          <t>3294630:eng</t>
        </is>
      </c>
      <c r="AV2807" t="inlineStr">
        <is>
          <t>10274774</t>
        </is>
      </c>
      <c r="AW2807" t="inlineStr">
        <is>
          <t>991000342359702656</t>
        </is>
      </c>
      <c r="AX2807" t="inlineStr">
        <is>
          <t>991000342359702656</t>
        </is>
      </c>
      <c r="AY2807" t="inlineStr">
        <is>
          <t>2270318610002656</t>
        </is>
      </c>
      <c r="AZ2807" t="inlineStr">
        <is>
          <t>BOOK</t>
        </is>
      </c>
      <c r="BB2807" t="inlineStr">
        <is>
          <t>9780465006465</t>
        </is>
      </c>
      <c r="BC2807" t="inlineStr">
        <is>
          <t>32285000887306</t>
        </is>
      </c>
      <c r="BD2807" t="inlineStr">
        <is>
          <t>893527973</t>
        </is>
      </c>
    </row>
    <row r="2808">
      <c r="A2808" t="inlineStr">
        <is>
          <t>No</t>
        </is>
      </c>
      <c r="B2808" t="inlineStr">
        <is>
          <t>HQ796 .C892 2000</t>
        </is>
      </c>
      <c r="C2808" t="inlineStr">
        <is>
          <t>0                      HQ 0796000C  892         2000</t>
        </is>
      </c>
      <c r="D2808" t="inlineStr">
        <is>
          <t>Becoming adult : how teenagers prepare for the world of work / Mihaly Csikszentmihalyi and Barbara Schneider.</t>
        </is>
      </c>
      <c r="F2808" t="inlineStr">
        <is>
          <t>No</t>
        </is>
      </c>
      <c r="G2808" t="inlineStr">
        <is>
          <t>1</t>
        </is>
      </c>
      <c r="H2808" t="inlineStr">
        <is>
          <t>No</t>
        </is>
      </c>
      <c r="I2808" t="inlineStr">
        <is>
          <t>No</t>
        </is>
      </c>
      <c r="J2808" t="inlineStr">
        <is>
          <t>0</t>
        </is>
      </c>
      <c r="K2808" t="inlineStr">
        <is>
          <t>Csikszentmihalyi, Mihaly.</t>
        </is>
      </c>
      <c r="L2808" t="inlineStr">
        <is>
          <t>New York : Basic Books, c2000.</t>
        </is>
      </c>
      <c r="M2808" t="inlineStr">
        <is>
          <t>2000</t>
        </is>
      </c>
      <c r="N2808" t="inlineStr">
        <is>
          <t>1st ed.</t>
        </is>
      </c>
      <c r="O2808" t="inlineStr">
        <is>
          <t>eng</t>
        </is>
      </c>
      <c r="P2808" t="inlineStr">
        <is>
          <t>nyu</t>
        </is>
      </c>
      <c r="R2808" t="inlineStr">
        <is>
          <t xml:space="preserve">HQ </t>
        </is>
      </c>
      <c r="S2808" t="n">
        <v>5</v>
      </c>
      <c r="T2808" t="n">
        <v>5</v>
      </c>
      <c r="U2808" t="inlineStr">
        <is>
          <t>2002-10-04</t>
        </is>
      </c>
      <c r="V2808" t="inlineStr">
        <is>
          <t>2002-10-04</t>
        </is>
      </c>
      <c r="W2808" t="inlineStr">
        <is>
          <t>2000-09-28</t>
        </is>
      </c>
      <c r="X2808" t="inlineStr">
        <is>
          <t>2000-09-28</t>
        </is>
      </c>
      <c r="Y2808" t="n">
        <v>756</v>
      </c>
      <c r="Z2808" t="n">
        <v>670</v>
      </c>
      <c r="AA2808" t="n">
        <v>689</v>
      </c>
      <c r="AB2808" t="n">
        <v>4</v>
      </c>
      <c r="AC2808" t="n">
        <v>4</v>
      </c>
      <c r="AD2808" t="n">
        <v>21</v>
      </c>
      <c r="AE2808" t="n">
        <v>21</v>
      </c>
      <c r="AF2808" t="n">
        <v>6</v>
      </c>
      <c r="AG2808" t="n">
        <v>6</v>
      </c>
      <c r="AH2808" t="n">
        <v>5</v>
      </c>
      <c r="AI2808" t="n">
        <v>5</v>
      </c>
      <c r="AJ2808" t="n">
        <v>12</v>
      </c>
      <c r="AK2808" t="n">
        <v>12</v>
      </c>
      <c r="AL2808" t="n">
        <v>3</v>
      </c>
      <c r="AM2808" t="n">
        <v>3</v>
      </c>
      <c r="AN2808" t="n">
        <v>0</v>
      </c>
      <c r="AO2808" t="n">
        <v>0</v>
      </c>
      <c r="AP2808" t="inlineStr">
        <is>
          <t>No</t>
        </is>
      </c>
      <c r="AQ2808" t="inlineStr">
        <is>
          <t>No</t>
        </is>
      </c>
      <c r="AS2808">
        <f>HYPERLINK("https://creighton-primo.hosted.exlibrisgroup.com/primo-explore/search?tab=default_tab&amp;search_scope=EVERYTHING&amp;vid=01CRU&amp;lang=en_US&amp;offset=0&amp;query=any,contains,991003267239702656","Catalog Record")</f>
        <v/>
      </c>
      <c r="AT2808">
        <f>HYPERLINK("http://www.worldcat.org/oclc/43634982","WorldCat Record")</f>
        <v/>
      </c>
      <c r="AU2808" t="inlineStr">
        <is>
          <t>44239485:eng</t>
        </is>
      </c>
      <c r="AV2808" t="inlineStr">
        <is>
          <t>43634982</t>
        </is>
      </c>
      <c r="AW2808" t="inlineStr">
        <is>
          <t>991003267239702656</t>
        </is>
      </c>
      <c r="AX2808" t="inlineStr">
        <is>
          <t>991003267239702656</t>
        </is>
      </c>
      <c r="AY2808" t="inlineStr">
        <is>
          <t>2268191560002656</t>
        </is>
      </c>
      <c r="AZ2808" t="inlineStr">
        <is>
          <t>BOOK</t>
        </is>
      </c>
      <c r="BB2808" t="inlineStr">
        <is>
          <t>9780465015405</t>
        </is>
      </c>
      <c r="BC2808" t="inlineStr">
        <is>
          <t>32285003765525</t>
        </is>
      </c>
      <c r="BD2808" t="inlineStr">
        <is>
          <t>893698832</t>
        </is>
      </c>
    </row>
    <row r="2809">
      <c r="A2809" t="inlineStr">
        <is>
          <t>No</t>
        </is>
      </c>
      <c r="B2809" t="inlineStr">
        <is>
          <t>HQ796 .C896 2005</t>
        </is>
      </c>
      <c r="C2809" t="inlineStr">
        <is>
          <t>0                      HQ 0796000C  896         2005</t>
        </is>
      </c>
      <c r="D2809" t="inlineStr">
        <is>
          <t>The road to whatever : middle-class culture and the crisis of adolescence / Elliott Currie.</t>
        </is>
      </c>
      <c r="F2809" t="inlineStr">
        <is>
          <t>No</t>
        </is>
      </c>
      <c r="G2809" t="inlineStr">
        <is>
          <t>1</t>
        </is>
      </c>
      <c r="H2809" t="inlineStr">
        <is>
          <t>No</t>
        </is>
      </c>
      <c r="I2809" t="inlineStr">
        <is>
          <t>No</t>
        </is>
      </c>
      <c r="J2809" t="inlineStr">
        <is>
          <t>0</t>
        </is>
      </c>
      <c r="K2809" t="inlineStr">
        <is>
          <t>Currie, Elliott.</t>
        </is>
      </c>
      <c r="L2809" t="inlineStr">
        <is>
          <t>New York : Metropolitan Books, Henry Holt, 2005.</t>
        </is>
      </c>
      <c r="M2809" t="inlineStr">
        <is>
          <t>2005</t>
        </is>
      </c>
      <c r="N2809" t="inlineStr">
        <is>
          <t>1st ed.</t>
        </is>
      </c>
      <c r="O2809" t="inlineStr">
        <is>
          <t>eng</t>
        </is>
      </c>
      <c r="P2809" t="inlineStr">
        <is>
          <t>nyu</t>
        </is>
      </c>
      <c r="R2809" t="inlineStr">
        <is>
          <t xml:space="preserve">HQ </t>
        </is>
      </c>
      <c r="S2809" t="n">
        <v>9</v>
      </c>
      <c r="T2809" t="n">
        <v>9</v>
      </c>
      <c r="U2809" t="inlineStr">
        <is>
          <t>2010-12-02</t>
        </is>
      </c>
      <c r="V2809" t="inlineStr">
        <is>
          <t>2010-12-02</t>
        </is>
      </c>
      <c r="W2809" t="inlineStr">
        <is>
          <t>2005-02-10</t>
        </is>
      </c>
      <c r="X2809" t="inlineStr">
        <is>
          <t>2005-02-10</t>
        </is>
      </c>
      <c r="Y2809" t="n">
        <v>971</v>
      </c>
      <c r="Z2809" t="n">
        <v>902</v>
      </c>
      <c r="AA2809" t="n">
        <v>987</v>
      </c>
      <c r="AB2809" t="n">
        <v>9</v>
      </c>
      <c r="AC2809" t="n">
        <v>9</v>
      </c>
      <c r="AD2809" t="n">
        <v>36</v>
      </c>
      <c r="AE2809" t="n">
        <v>37</v>
      </c>
      <c r="AF2809" t="n">
        <v>18</v>
      </c>
      <c r="AG2809" t="n">
        <v>19</v>
      </c>
      <c r="AH2809" t="n">
        <v>5</v>
      </c>
      <c r="AI2809" t="n">
        <v>6</v>
      </c>
      <c r="AJ2809" t="n">
        <v>14</v>
      </c>
      <c r="AK2809" t="n">
        <v>14</v>
      </c>
      <c r="AL2809" t="n">
        <v>5</v>
      </c>
      <c r="AM2809" t="n">
        <v>5</v>
      </c>
      <c r="AN2809" t="n">
        <v>0</v>
      </c>
      <c r="AO2809" t="n">
        <v>0</v>
      </c>
      <c r="AP2809" t="inlineStr">
        <is>
          <t>No</t>
        </is>
      </c>
      <c r="AQ2809" t="inlineStr">
        <is>
          <t>No</t>
        </is>
      </c>
      <c r="AS2809">
        <f>HYPERLINK("https://creighton-primo.hosted.exlibrisgroup.com/primo-explore/search?tab=default_tab&amp;search_scope=EVERYTHING&amp;vid=01CRU&amp;lang=en_US&amp;offset=0&amp;query=any,contains,991004458529702656","Catalog Record")</f>
        <v/>
      </c>
      <c r="AT2809">
        <f>HYPERLINK("http://www.worldcat.org/oclc/56685194","WorldCat Record")</f>
        <v/>
      </c>
      <c r="AU2809" t="inlineStr">
        <is>
          <t>853405:eng</t>
        </is>
      </c>
      <c r="AV2809" t="inlineStr">
        <is>
          <t>56685194</t>
        </is>
      </c>
      <c r="AW2809" t="inlineStr">
        <is>
          <t>991004458529702656</t>
        </is>
      </c>
      <c r="AX2809" t="inlineStr">
        <is>
          <t>991004458529702656</t>
        </is>
      </c>
      <c r="AY2809" t="inlineStr">
        <is>
          <t>2272755250002656</t>
        </is>
      </c>
      <c r="AZ2809" t="inlineStr">
        <is>
          <t>BOOK</t>
        </is>
      </c>
      <c r="BB2809" t="inlineStr">
        <is>
          <t>9780805067637</t>
        </is>
      </c>
      <c r="BC2809" t="inlineStr">
        <is>
          <t>32285005025779</t>
        </is>
      </c>
      <c r="BD2809" t="inlineStr">
        <is>
          <t>893442633</t>
        </is>
      </c>
    </row>
    <row r="2810">
      <c r="A2810" t="inlineStr">
        <is>
          <t>No</t>
        </is>
      </c>
      <c r="B2810" t="inlineStr">
        <is>
          <t>HQ796 .D29 1985</t>
        </is>
      </c>
      <c r="C2810" t="inlineStr">
        <is>
          <t>0                      HQ 0796000D  29          1985</t>
        </is>
      </c>
      <c r="D2810" t="inlineStr">
        <is>
          <t>Adolescents : theoretical and helping perspectives / Inger P. Davis.</t>
        </is>
      </c>
      <c r="F2810" t="inlineStr">
        <is>
          <t>No</t>
        </is>
      </c>
      <c r="G2810" t="inlineStr">
        <is>
          <t>1</t>
        </is>
      </c>
      <c r="H2810" t="inlineStr">
        <is>
          <t>No</t>
        </is>
      </c>
      <c r="I2810" t="inlineStr">
        <is>
          <t>No</t>
        </is>
      </c>
      <c r="J2810" t="inlineStr">
        <is>
          <t>0</t>
        </is>
      </c>
      <c r="K2810" t="inlineStr">
        <is>
          <t>Davis, Inger P.</t>
        </is>
      </c>
      <c r="L2810" t="inlineStr">
        <is>
          <t>Boston : Kluwer-Nijhoff ; Hingham, Mass., U.S.A. : Distributors for North America, Kluwer Academic Publishers, c1985.</t>
        </is>
      </c>
      <c r="M2810" t="inlineStr">
        <is>
          <t>1985</t>
        </is>
      </c>
      <c r="O2810" t="inlineStr">
        <is>
          <t>eng</t>
        </is>
      </c>
      <c r="P2810" t="inlineStr">
        <is>
          <t>mau</t>
        </is>
      </c>
      <c r="Q2810" t="inlineStr">
        <is>
          <t>International series in social welfare</t>
        </is>
      </c>
      <c r="R2810" t="inlineStr">
        <is>
          <t xml:space="preserve">HQ </t>
        </is>
      </c>
      <c r="S2810" t="n">
        <v>1</v>
      </c>
      <c r="T2810" t="n">
        <v>1</v>
      </c>
      <c r="U2810" t="inlineStr">
        <is>
          <t>2003-10-12</t>
        </is>
      </c>
      <c r="V2810" t="inlineStr">
        <is>
          <t>2003-10-12</t>
        </is>
      </c>
      <c r="W2810" t="inlineStr">
        <is>
          <t>1992-11-16</t>
        </is>
      </c>
      <c r="X2810" t="inlineStr">
        <is>
          <t>1992-11-16</t>
        </is>
      </c>
      <c r="Y2810" t="n">
        <v>243</v>
      </c>
      <c r="Z2810" t="n">
        <v>198</v>
      </c>
      <c r="AA2810" t="n">
        <v>216</v>
      </c>
      <c r="AB2810" t="n">
        <v>2</v>
      </c>
      <c r="AC2810" t="n">
        <v>2</v>
      </c>
      <c r="AD2810" t="n">
        <v>5</v>
      </c>
      <c r="AE2810" t="n">
        <v>6</v>
      </c>
      <c r="AF2810" t="n">
        <v>1</v>
      </c>
      <c r="AG2810" t="n">
        <v>2</v>
      </c>
      <c r="AH2810" t="n">
        <v>2</v>
      </c>
      <c r="AI2810" t="n">
        <v>2</v>
      </c>
      <c r="AJ2810" t="n">
        <v>2</v>
      </c>
      <c r="AK2810" t="n">
        <v>3</v>
      </c>
      <c r="AL2810" t="n">
        <v>1</v>
      </c>
      <c r="AM2810" t="n">
        <v>1</v>
      </c>
      <c r="AN2810" t="n">
        <v>0</v>
      </c>
      <c r="AO2810" t="n">
        <v>0</v>
      </c>
      <c r="AP2810" t="inlineStr">
        <is>
          <t>No</t>
        </is>
      </c>
      <c r="AQ2810" t="inlineStr">
        <is>
          <t>Yes</t>
        </is>
      </c>
      <c r="AR2810">
        <f>HYPERLINK("http://catalog.hathitrust.org/Record/102069560","HathiTrust Record")</f>
        <v/>
      </c>
      <c r="AS2810">
        <f>HYPERLINK("https://creighton-primo.hosted.exlibrisgroup.com/primo-explore/search?tab=default_tab&amp;search_scope=EVERYTHING&amp;vid=01CRU&amp;lang=en_US&amp;offset=0&amp;query=any,contains,991000501599702656","Catalog Record")</f>
        <v/>
      </c>
      <c r="AT2810">
        <f>HYPERLINK("http://www.worldcat.org/oclc/11186176","WorldCat Record")</f>
        <v/>
      </c>
      <c r="AU2810" t="inlineStr">
        <is>
          <t>294252847:eng</t>
        </is>
      </c>
      <c r="AV2810" t="inlineStr">
        <is>
          <t>11186176</t>
        </is>
      </c>
      <c r="AW2810" t="inlineStr">
        <is>
          <t>991000501599702656</t>
        </is>
      </c>
      <c r="AX2810" t="inlineStr">
        <is>
          <t>991000501599702656</t>
        </is>
      </c>
      <c r="AY2810" t="inlineStr">
        <is>
          <t>2263944490002656</t>
        </is>
      </c>
      <c r="AZ2810" t="inlineStr">
        <is>
          <t>BOOK</t>
        </is>
      </c>
      <c r="BB2810" t="inlineStr">
        <is>
          <t>9780898381658</t>
        </is>
      </c>
      <c r="BC2810" t="inlineStr">
        <is>
          <t>32285001396224</t>
        </is>
      </c>
      <c r="BD2810" t="inlineStr">
        <is>
          <t>893413410</t>
        </is>
      </c>
    </row>
    <row r="2811">
      <c r="A2811" t="inlineStr">
        <is>
          <t>No</t>
        </is>
      </c>
      <c r="B2811" t="inlineStr">
        <is>
          <t>HQ796 .D335 1999</t>
        </is>
      </c>
      <c r="C2811" t="inlineStr">
        <is>
          <t>0                      HQ 0796000D  335         1999</t>
        </is>
      </c>
      <c r="D2811" t="inlineStr">
        <is>
          <t>Youth crisis : growing up in the high-risk society / Nanette J. Davis ; foreword by David Matza.</t>
        </is>
      </c>
      <c r="F2811" t="inlineStr">
        <is>
          <t>No</t>
        </is>
      </c>
      <c r="G2811" t="inlineStr">
        <is>
          <t>1</t>
        </is>
      </c>
      <c r="H2811" t="inlineStr">
        <is>
          <t>No</t>
        </is>
      </c>
      <c r="I2811" t="inlineStr">
        <is>
          <t>No</t>
        </is>
      </c>
      <c r="J2811" t="inlineStr">
        <is>
          <t>0</t>
        </is>
      </c>
      <c r="K2811" t="inlineStr">
        <is>
          <t>Davis, Nanette J.</t>
        </is>
      </c>
      <c r="L2811" t="inlineStr">
        <is>
          <t>Westport, Conn. : Praeger, 1999.</t>
        </is>
      </c>
      <c r="M2811" t="inlineStr">
        <is>
          <t>1999</t>
        </is>
      </c>
      <c r="O2811" t="inlineStr">
        <is>
          <t>eng</t>
        </is>
      </c>
      <c r="P2811" t="inlineStr">
        <is>
          <t>ctu</t>
        </is>
      </c>
      <c r="R2811" t="inlineStr">
        <is>
          <t xml:space="preserve">HQ </t>
        </is>
      </c>
      <c r="S2811" t="n">
        <v>4</v>
      </c>
      <c r="T2811" t="n">
        <v>4</v>
      </c>
      <c r="U2811" t="inlineStr">
        <is>
          <t>2003-10-12</t>
        </is>
      </c>
      <c r="V2811" t="inlineStr">
        <is>
          <t>2003-10-12</t>
        </is>
      </c>
      <c r="W2811" t="inlineStr">
        <is>
          <t>2000-12-06</t>
        </is>
      </c>
      <c r="X2811" t="inlineStr">
        <is>
          <t>2000-12-06</t>
        </is>
      </c>
      <c r="Y2811" t="n">
        <v>618</v>
      </c>
      <c r="Z2811" t="n">
        <v>539</v>
      </c>
      <c r="AA2811" t="n">
        <v>545</v>
      </c>
      <c r="AB2811" t="n">
        <v>4</v>
      </c>
      <c r="AC2811" t="n">
        <v>4</v>
      </c>
      <c r="AD2811" t="n">
        <v>24</v>
      </c>
      <c r="AE2811" t="n">
        <v>24</v>
      </c>
      <c r="AF2811" t="n">
        <v>9</v>
      </c>
      <c r="AG2811" t="n">
        <v>9</v>
      </c>
      <c r="AH2811" t="n">
        <v>7</v>
      </c>
      <c r="AI2811" t="n">
        <v>7</v>
      </c>
      <c r="AJ2811" t="n">
        <v>12</v>
      </c>
      <c r="AK2811" t="n">
        <v>12</v>
      </c>
      <c r="AL2811" t="n">
        <v>3</v>
      </c>
      <c r="AM2811" t="n">
        <v>3</v>
      </c>
      <c r="AN2811" t="n">
        <v>0</v>
      </c>
      <c r="AO2811" t="n">
        <v>0</v>
      </c>
      <c r="AP2811" t="inlineStr">
        <is>
          <t>No</t>
        </is>
      </c>
      <c r="AQ2811" t="inlineStr">
        <is>
          <t>Yes</t>
        </is>
      </c>
      <c r="AR2811">
        <f>HYPERLINK("http://catalog.hathitrust.org/Record/004033885","HathiTrust Record")</f>
        <v/>
      </c>
      <c r="AS2811">
        <f>HYPERLINK("https://creighton-primo.hosted.exlibrisgroup.com/primo-explore/search?tab=default_tab&amp;search_scope=EVERYTHING&amp;vid=01CRU&amp;lang=en_US&amp;offset=0&amp;query=any,contains,991003335399702656","Catalog Record")</f>
        <v/>
      </c>
      <c r="AT2811">
        <f>HYPERLINK("http://www.worldcat.org/oclc/39217502","WorldCat Record")</f>
        <v/>
      </c>
      <c r="AU2811" t="inlineStr">
        <is>
          <t>327223558:eng</t>
        </is>
      </c>
      <c r="AV2811" t="inlineStr">
        <is>
          <t>39217502</t>
        </is>
      </c>
      <c r="AW2811" t="inlineStr">
        <is>
          <t>991003335399702656</t>
        </is>
      </c>
      <c r="AX2811" t="inlineStr">
        <is>
          <t>991003335399702656</t>
        </is>
      </c>
      <c r="AY2811" t="inlineStr">
        <is>
          <t>2257095060002656</t>
        </is>
      </c>
      <c r="AZ2811" t="inlineStr">
        <is>
          <t>BOOK</t>
        </is>
      </c>
      <c r="BB2811" t="inlineStr">
        <is>
          <t>9780275959395</t>
        </is>
      </c>
      <c r="BC2811" t="inlineStr">
        <is>
          <t>32285004275615</t>
        </is>
      </c>
      <c r="BD2811" t="inlineStr">
        <is>
          <t>893505484</t>
        </is>
      </c>
    </row>
    <row r="2812">
      <c r="A2812" t="inlineStr">
        <is>
          <t>No</t>
        </is>
      </c>
      <c r="B2812" t="inlineStr">
        <is>
          <t>HQ796 .E535 1984</t>
        </is>
      </c>
      <c r="C2812" t="inlineStr">
        <is>
          <t>0                      HQ 0796000E  535         1984</t>
        </is>
      </c>
      <c r="D2812" t="inlineStr">
        <is>
          <t>All grown up &amp; no place to go : teenagers in crisis / David Elkind.</t>
        </is>
      </c>
      <c r="F2812" t="inlineStr">
        <is>
          <t>No</t>
        </is>
      </c>
      <c r="G2812" t="inlineStr">
        <is>
          <t>1</t>
        </is>
      </c>
      <c r="H2812" t="inlineStr">
        <is>
          <t>No</t>
        </is>
      </c>
      <c r="I2812" t="inlineStr">
        <is>
          <t>No</t>
        </is>
      </c>
      <c r="J2812" t="inlineStr">
        <is>
          <t>0</t>
        </is>
      </c>
      <c r="K2812" t="inlineStr">
        <is>
          <t>Elkind, David, 1931-</t>
        </is>
      </c>
      <c r="L2812" t="inlineStr">
        <is>
          <t>Reading, Mass. : Addison-Wesley, [1984]</t>
        </is>
      </c>
      <c r="M2812" t="inlineStr">
        <is>
          <t>1984</t>
        </is>
      </c>
      <c r="O2812" t="inlineStr">
        <is>
          <t>eng</t>
        </is>
      </c>
      <c r="P2812" t="inlineStr">
        <is>
          <t>mau</t>
        </is>
      </c>
      <c r="R2812" t="inlineStr">
        <is>
          <t xml:space="preserve">HQ </t>
        </is>
      </c>
      <c r="S2812" t="n">
        <v>10</v>
      </c>
      <c r="T2812" t="n">
        <v>10</v>
      </c>
      <c r="U2812" t="inlineStr">
        <is>
          <t>1998-09-27</t>
        </is>
      </c>
      <c r="V2812" t="inlineStr">
        <is>
          <t>1998-09-27</t>
        </is>
      </c>
      <c r="W2812" t="inlineStr">
        <is>
          <t>1991-09-20</t>
        </is>
      </c>
      <c r="X2812" t="inlineStr">
        <is>
          <t>1991-09-20</t>
        </is>
      </c>
      <c r="Y2812" t="n">
        <v>1378</v>
      </c>
      <c r="Z2812" t="n">
        <v>1249</v>
      </c>
      <c r="AA2812" t="n">
        <v>1584</v>
      </c>
      <c r="AB2812" t="n">
        <v>9</v>
      </c>
      <c r="AC2812" t="n">
        <v>11</v>
      </c>
      <c r="AD2812" t="n">
        <v>24</v>
      </c>
      <c r="AE2812" t="n">
        <v>37</v>
      </c>
      <c r="AF2812" t="n">
        <v>11</v>
      </c>
      <c r="AG2812" t="n">
        <v>17</v>
      </c>
      <c r="AH2812" t="n">
        <v>4</v>
      </c>
      <c r="AI2812" t="n">
        <v>6</v>
      </c>
      <c r="AJ2812" t="n">
        <v>10</v>
      </c>
      <c r="AK2812" t="n">
        <v>17</v>
      </c>
      <c r="AL2812" t="n">
        <v>4</v>
      </c>
      <c r="AM2812" t="n">
        <v>5</v>
      </c>
      <c r="AN2812" t="n">
        <v>0</v>
      </c>
      <c r="AO2812" t="n">
        <v>0</v>
      </c>
      <c r="AP2812" t="inlineStr">
        <is>
          <t>No</t>
        </is>
      </c>
      <c r="AQ2812" t="inlineStr">
        <is>
          <t>Yes</t>
        </is>
      </c>
      <c r="AR2812">
        <f>HYPERLINK("http://catalog.hathitrust.org/Record/000342063","HathiTrust Record")</f>
        <v/>
      </c>
      <c r="AS2812">
        <f>HYPERLINK("https://creighton-primo.hosted.exlibrisgroup.com/primo-explore/search?tab=default_tab&amp;search_scope=EVERYTHING&amp;vid=01CRU&amp;lang=en_US&amp;offset=0&amp;query=any,contains,991000419009702656","Catalog Record")</f>
        <v/>
      </c>
      <c r="AT2812">
        <f>HYPERLINK("http://www.worldcat.org/oclc/10726970","WorldCat Record")</f>
        <v/>
      </c>
      <c r="AU2812" t="inlineStr">
        <is>
          <t>26586255:eng</t>
        </is>
      </c>
      <c r="AV2812" t="inlineStr">
        <is>
          <t>10726970</t>
        </is>
      </c>
      <c r="AW2812" t="inlineStr">
        <is>
          <t>991000419009702656</t>
        </is>
      </c>
      <c r="AX2812" t="inlineStr">
        <is>
          <t>991000419009702656</t>
        </is>
      </c>
      <c r="AY2812" t="inlineStr">
        <is>
          <t>2264135960002656</t>
        </is>
      </c>
      <c r="AZ2812" t="inlineStr">
        <is>
          <t>BOOK</t>
        </is>
      </c>
      <c r="BB2812" t="inlineStr">
        <is>
          <t>9780201113792</t>
        </is>
      </c>
      <c r="BC2812" t="inlineStr">
        <is>
          <t>32285000760990</t>
        </is>
      </c>
      <c r="BD2812" t="inlineStr">
        <is>
          <t>893407160</t>
        </is>
      </c>
    </row>
    <row r="2813">
      <c r="A2813" t="inlineStr">
        <is>
          <t>No</t>
        </is>
      </c>
      <c r="B2813" t="inlineStr">
        <is>
          <t>HQ796 .E885 1984</t>
        </is>
      </c>
      <c r="C2813" t="inlineStr">
        <is>
          <t>0                      HQ 0796000E  885         1984</t>
        </is>
      </c>
      <c r="D2813" t="inlineStr">
        <is>
          <t>Experiencing adolescents : a sourcebook for parents, teachers, and teens / edited by Richard M. Lerner, Nancy L. Galambos.</t>
        </is>
      </c>
      <c r="F2813" t="inlineStr">
        <is>
          <t>No</t>
        </is>
      </c>
      <c r="G2813" t="inlineStr">
        <is>
          <t>1</t>
        </is>
      </c>
      <c r="H2813" t="inlineStr">
        <is>
          <t>No</t>
        </is>
      </c>
      <c r="I2813" t="inlineStr">
        <is>
          <t>No</t>
        </is>
      </c>
      <c r="J2813" t="inlineStr">
        <is>
          <t>0</t>
        </is>
      </c>
      <c r="L2813" t="inlineStr">
        <is>
          <t>New York : Garland Pub., 1984.</t>
        </is>
      </c>
      <c r="M2813" t="inlineStr">
        <is>
          <t>1984</t>
        </is>
      </c>
      <c r="O2813" t="inlineStr">
        <is>
          <t>eng</t>
        </is>
      </c>
      <c r="P2813" t="inlineStr">
        <is>
          <t>nyu</t>
        </is>
      </c>
      <c r="Q2813" t="inlineStr">
        <is>
          <t>Garland reference library of social science ; vol. 201</t>
        </is>
      </c>
      <c r="R2813" t="inlineStr">
        <is>
          <t xml:space="preserve">HQ </t>
        </is>
      </c>
      <c r="S2813" t="n">
        <v>14</v>
      </c>
      <c r="T2813" t="n">
        <v>14</v>
      </c>
      <c r="U2813" t="inlineStr">
        <is>
          <t>2002-07-29</t>
        </is>
      </c>
      <c r="V2813" t="inlineStr">
        <is>
          <t>2002-07-29</t>
        </is>
      </c>
      <c r="W2813" t="inlineStr">
        <is>
          <t>1992-11-16</t>
        </is>
      </c>
      <c r="X2813" t="inlineStr">
        <is>
          <t>1992-11-16</t>
        </is>
      </c>
      <c r="Y2813" t="n">
        <v>371</v>
      </c>
      <c r="Z2813" t="n">
        <v>303</v>
      </c>
      <c r="AA2813" t="n">
        <v>408</v>
      </c>
      <c r="AB2813" t="n">
        <v>2</v>
      </c>
      <c r="AC2813" t="n">
        <v>3</v>
      </c>
      <c r="AD2813" t="n">
        <v>10</v>
      </c>
      <c r="AE2813" t="n">
        <v>14</v>
      </c>
      <c r="AF2813" t="n">
        <v>3</v>
      </c>
      <c r="AG2813" t="n">
        <v>5</v>
      </c>
      <c r="AH2813" t="n">
        <v>2</v>
      </c>
      <c r="AI2813" t="n">
        <v>3</v>
      </c>
      <c r="AJ2813" t="n">
        <v>6</v>
      </c>
      <c r="AK2813" t="n">
        <v>7</v>
      </c>
      <c r="AL2813" t="n">
        <v>1</v>
      </c>
      <c r="AM2813" t="n">
        <v>2</v>
      </c>
      <c r="AN2813" t="n">
        <v>0</v>
      </c>
      <c r="AO2813" t="n">
        <v>0</v>
      </c>
      <c r="AP2813" t="inlineStr">
        <is>
          <t>No</t>
        </is>
      </c>
      <c r="AQ2813" t="inlineStr">
        <is>
          <t>Yes</t>
        </is>
      </c>
      <c r="AR2813">
        <f>HYPERLINK("http://catalog.hathitrust.org/Record/000662390","HathiTrust Record")</f>
        <v/>
      </c>
      <c r="AS2813">
        <f>HYPERLINK("https://creighton-primo.hosted.exlibrisgroup.com/primo-explore/search?tab=default_tab&amp;search_scope=EVERYTHING&amp;vid=01CRU&amp;lang=en_US&amp;offset=0&amp;query=any,contains,991000460719702656","Catalog Record")</f>
        <v/>
      </c>
      <c r="AT2813">
        <f>HYPERLINK("http://www.worldcat.org/oclc/10925489","WorldCat Record")</f>
        <v/>
      </c>
      <c r="AU2813" t="inlineStr">
        <is>
          <t>836670907:eng</t>
        </is>
      </c>
      <c r="AV2813" t="inlineStr">
        <is>
          <t>10925489</t>
        </is>
      </c>
      <c r="AW2813" t="inlineStr">
        <is>
          <t>991000460719702656</t>
        </is>
      </c>
      <c r="AX2813" t="inlineStr">
        <is>
          <t>991000460719702656</t>
        </is>
      </c>
      <c r="AY2813" t="inlineStr">
        <is>
          <t>2271391660002656</t>
        </is>
      </c>
      <c r="AZ2813" t="inlineStr">
        <is>
          <t>BOOK</t>
        </is>
      </c>
      <c r="BB2813" t="inlineStr">
        <is>
          <t>9780824090517</t>
        </is>
      </c>
      <c r="BC2813" t="inlineStr">
        <is>
          <t>32285001396240</t>
        </is>
      </c>
      <c r="BD2813" t="inlineStr">
        <is>
          <t>893333492</t>
        </is>
      </c>
    </row>
    <row r="2814">
      <c r="A2814" t="inlineStr">
        <is>
          <t>No</t>
        </is>
      </c>
      <c r="B2814" t="inlineStr">
        <is>
          <t>HQ796 .F567</t>
        </is>
      </c>
      <c r="C2814" t="inlineStr">
        <is>
          <t>0                      HQ 0796000F  567</t>
        </is>
      </c>
      <c r="D2814" t="inlineStr">
        <is>
          <t>Vanguards and followers : youth in the American tradition / Louis Filler.</t>
        </is>
      </c>
      <c r="F2814" t="inlineStr">
        <is>
          <t>No</t>
        </is>
      </c>
      <c r="G2814" t="inlineStr">
        <is>
          <t>1</t>
        </is>
      </c>
      <c r="H2814" t="inlineStr">
        <is>
          <t>No</t>
        </is>
      </c>
      <c r="I2814" t="inlineStr">
        <is>
          <t>No</t>
        </is>
      </c>
      <c r="J2814" t="inlineStr">
        <is>
          <t>0</t>
        </is>
      </c>
      <c r="K2814" t="inlineStr">
        <is>
          <t>Filler, Louis, 1911-1998.</t>
        </is>
      </c>
      <c r="L2814" t="inlineStr">
        <is>
          <t>Chicago : Nelson-Hall, c1978.</t>
        </is>
      </c>
      <c r="M2814" t="inlineStr">
        <is>
          <t>1978</t>
        </is>
      </c>
      <c r="O2814" t="inlineStr">
        <is>
          <t>eng</t>
        </is>
      </c>
      <c r="P2814" t="inlineStr">
        <is>
          <t>ilu</t>
        </is>
      </c>
      <c r="R2814" t="inlineStr">
        <is>
          <t xml:space="preserve">HQ </t>
        </is>
      </c>
      <c r="S2814" t="n">
        <v>3</v>
      </c>
      <c r="T2814" t="n">
        <v>3</v>
      </c>
      <c r="U2814" t="inlineStr">
        <is>
          <t>1998-12-04</t>
        </is>
      </c>
      <c r="V2814" t="inlineStr">
        <is>
          <t>1998-12-04</t>
        </is>
      </c>
      <c r="W2814" t="inlineStr">
        <is>
          <t>1992-11-16</t>
        </is>
      </c>
      <c r="X2814" t="inlineStr">
        <is>
          <t>1992-11-16</t>
        </is>
      </c>
      <c r="Y2814" t="n">
        <v>390</v>
      </c>
      <c r="Z2814" t="n">
        <v>354</v>
      </c>
      <c r="AA2814" t="n">
        <v>399</v>
      </c>
      <c r="AB2814" t="n">
        <v>3</v>
      </c>
      <c r="AC2814" t="n">
        <v>3</v>
      </c>
      <c r="AD2814" t="n">
        <v>12</v>
      </c>
      <c r="AE2814" t="n">
        <v>16</v>
      </c>
      <c r="AF2814" t="n">
        <v>4</v>
      </c>
      <c r="AG2814" t="n">
        <v>5</v>
      </c>
      <c r="AH2814" t="n">
        <v>2</v>
      </c>
      <c r="AI2814" t="n">
        <v>4</v>
      </c>
      <c r="AJ2814" t="n">
        <v>7</v>
      </c>
      <c r="AK2814" t="n">
        <v>9</v>
      </c>
      <c r="AL2814" t="n">
        <v>1</v>
      </c>
      <c r="AM2814" t="n">
        <v>1</v>
      </c>
      <c r="AN2814" t="n">
        <v>0</v>
      </c>
      <c r="AO2814" t="n">
        <v>0</v>
      </c>
      <c r="AP2814" t="inlineStr">
        <is>
          <t>No</t>
        </is>
      </c>
      <c r="AQ2814" t="inlineStr">
        <is>
          <t>Yes</t>
        </is>
      </c>
      <c r="AR2814">
        <f>HYPERLINK("http://catalog.hathitrust.org/Record/000135277","HathiTrust Record")</f>
        <v/>
      </c>
      <c r="AS2814">
        <f>HYPERLINK("https://creighton-primo.hosted.exlibrisgroup.com/primo-explore/search?tab=default_tab&amp;search_scope=EVERYTHING&amp;vid=01CRU&amp;lang=en_US&amp;offset=0&amp;query=any,contains,991004526479702656","Catalog Record")</f>
        <v/>
      </c>
      <c r="AT2814">
        <f>HYPERLINK("http://www.worldcat.org/oclc/3843615","WorldCat Record")</f>
        <v/>
      </c>
      <c r="AU2814" t="inlineStr">
        <is>
          <t>158962854:eng</t>
        </is>
      </c>
      <c r="AV2814" t="inlineStr">
        <is>
          <t>3843615</t>
        </is>
      </c>
      <c r="AW2814" t="inlineStr">
        <is>
          <t>991004526479702656</t>
        </is>
      </c>
      <c r="AX2814" t="inlineStr">
        <is>
          <t>991004526479702656</t>
        </is>
      </c>
      <c r="AY2814" t="inlineStr">
        <is>
          <t>2264955520002656</t>
        </is>
      </c>
      <c r="AZ2814" t="inlineStr">
        <is>
          <t>BOOK</t>
        </is>
      </c>
      <c r="BB2814" t="inlineStr">
        <is>
          <t>9780882294599</t>
        </is>
      </c>
      <c r="BC2814" t="inlineStr">
        <is>
          <t>32285001396257</t>
        </is>
      </c>
      <c r="BD2814" t="inlineStr">
        <is>
          <t>893263310</t>
        </is>
      </c>
    </row>
    <row r="2815">
      <c r="A2815" t="inlineStr">
        <is>
          <t>No</t>
        </is>
      </c>
      <c r="B2815" t="inlineStr">
        <is>
          <t>HQ796 .G514</t>
        </is>
      </c>
      <c r="C2815" t="inlineStr">
        <is>
          <t>0                      HQ 0796000G  514</t>
        </is>
      </c>
      <c r="D2815" t="inlineStr">
        <is>
          <t>Youth and history; tradition and change in European age relations, 1770-present [by] John R. Gillis.</t>
        </is>
      </c>
      <c r="F2815" t="inlineStr">
        <is>
          <t>No</t>
        </is>
      </c>
      <c r="G2815" t="inlineStr">
        <is>
          <t>1</t>
        </is>
      </c>
      <c r="H2815" t="inlineStr">
        <is>
          <t>No</t>
        </is>
      </c>
      <c r="I2815" t="inlineStr">
        <is>
          <t>No</t>
        </is>
      </c>
      <c r="J2815" t="inlineStr">
        <is>
          <t>0</t>
        </is>
      </c>
      <c r="K2815" t="inlineStr">
        <is>
          <t>Gillis, John R.</t>
        </is>
      </c>
      <c r="L2815" t="inlineStr">
        <is>
          <t>New York, Academic Press [1974]</t>
        </is>
      </c>
      <c r="M2815" t="inlineStr">
        <is>
          <t>1974</t>
        </is>
      </c>
      <c r="O2815" t="inlineStr">
        <is>
          <t>eng</t>
        </is>
      </c>
      <c r="P2815" t="inlineStr">
        <is>
          <t>nyu</t>
        </is>
      </c>
      <c r="Q2815" t="inlineStr">
        <is>
          <t>Studies in social discontinuity</t>
        </is>
      </c>
      <c r="R2815" t="inlineStr">
        <is>
          <t xml:space="preserve">HQ </t>
        </is>
      </c>
      <c r="S2815" t="n">
        <v>1</v>
      </c>
      <c r="T2815" t="n">
        <v>1</v>
      </c>
      <c r="U2815" t="inlineStr">
        <is>
          <t>2001-09-28</t>
        </is>
      </c>
      <c r="V2815" t="inlineStr">
        <is>
          <t>2001-09-28</t>
        </is>
      </c>
      <c r="W2815" t="inlineStr">
        <is>
          <t>1997-08-13</t>
        </is>
      </c>
      <c r="X2815" t="inlineStr">
        <is>
          <t>1997-08-13</t>
        </is>
      </c>
      <c r="Y2815" t="n">
        <v>771</v>
      </c>
      <c r="Z2815" t="n">
        <v>599</v>
      </c>
      <c r="AA2815" t="n">
        <v>743</v>
      </c>
      <c r="AB2815" t="n">
        <v>4</v>
      </c>
      <c r="AC2815" t="n">
        <v>4</v>
      </c>
      <c r="AD2815" t="n">
        <v>30</v>
      </c>
      <c r="AE2815" t="n">
        <v>39</v>
      </c>
      <c r="AF2815" t="n">
        <v>12</v>
      </c>
      <c r="AG2815" t="n">
        <v>19</v>
      </c>
      <c r="AH2815" t="n">
        <v>8</v>
      </c>
      <c r="AI2815" t="n">
        <v>9</v>
      </c>
      <c r="AJ2815" t="n">
        <v>16</v>
      </c>
      <c r="AK2815" t="n">
        <v>20</v>
      </c>
      <c r="AL2815" t="n">
        <v>2</v>
      </c>
      <c r="AM2815" t="n">
        <v>2</v>
      </c>
      <c r="AN2815" t="n">
        <v>0</v>
      </c>
      <c r="AO2815" t="n">
        <v>0</v>
      </c>
      <c r="AP2815" t="inlineStr">
        <is>
          <t>No</t>
        </is>
      </c>
      <c r="AQ2815" t="inlineStr">
        <is>
          <t>No</t>
        </is>
      </c>
      <c r="AS2815">
        <f>HYPERLINK("https://creighton-primo.hosted.exlibrisgroup.com/primo-explore/search?tab=default_tab&amp;search_scope=EVERYTHING&amp;vid=01CRU&amp;lang=en_US&amp;offset=0&amp;query=any,contains,991003352769702656","Catalog Record")</f>
        <v/>
      </c>
      <c r="AT2815">
        <f>HYPERLINK("http://www.worldcat.org/oclc/886166","WorldCat Record")</f>
        <v/>
      </c>
      <c r="AU2815" t="inlineStr">
        <is>
          <t>795024084:eng</t>
        </is>
      </c>
      <c r="AV2815" t="inlineStr">
        <is>
          <t>886166</t>
        </is>
      </c>
      <c r="AW2815" t="inlineStr">
        <is>
          <t>991003352769702656</t>
        </is>
      </c>
      <c r="AX2815" t="inlineStr">
        <is>
          <t>991003352769702656</t>
        </is>
      </c>
      <c r="AY2815" t="inlineStr">
        <is>
          <t>2257243200002656</t>
        </is>
      </c>
      <c r="AZ2815" t="inlineStr">
        <is>
          <t>BOOK</t>
        </is>
      </c>
      <c r="BB2815" t="inlineStr">
        <is>
          <t>9780127852621</t>
        </is>
      </c>
      <c r="BC2815" t="inlineStr">
        <is>
          <t>32285003102240</t>
        </is>
      </c>
      <c r="BD2815" t="inlineStr">
        <is>
          <t>893252292</t>
        </is>
      </c>
    </row>
    <row r="2816">
      <c r="A2816" t="inlineStr">
        <is>
          <t>No</t>
        </is>
      </c>
      <c r="B2816" t="inlineStr">
        <is>
          <t>HQ796 .G75 2002</t>
        </is>
      </c>
      <c r="C2816" t="inlineStr">
        <is>
          <t>0                      HQ 0796000G  75          2002</t>
        </is>
      </c>
      <c r="D2816" t="inlineStr">
        <is>
          <t>Growing up postmodern : neoliberalism and the war on the young / edited by Ronald Strickland.</t>
        </is>
      </c>
      <c r="F2816" t="inlineStr">
        <is>
          <t>No</t>
        </is>
      </c>
      <c r="G2816" t="inlineStr">
        <is>
          <t>1</t>
        </is>
      </c>
      <c r="H2816" t="inlineStr">
        <is>
          <t>No</t>
        </is>
      </c>
      <c r="I2816" t="inlineStr">
        <is>
          <t>No</t>
        </is>
      </c>
      <c r="J2816" t="inlineStr">
        <is>
          <t>0</t>
        </is>
      </c>
      <c r="L2816" t="inlineStr">
        <is>
          <t>Lanham, Md. : Rowman &amp; Littlefield, c2002.</t>
        </is>
      </c>
      <c r="M2816" t="inlineStr">
        <is>
          <t>2002</t>
        </is>
      </c>
      <c r="O2816" t="inlineStr">
        <is>
          <t>eng</t>
        </is>
      </c>
      <c r="P2816" t="inlineStr">
        <is>
          <t>mdu</t>
        </is>
      </c>
      <c r="Q2816" t="inlineStr">
        <is>
          <t>Culture and politics series</t>
        </is>
      </c>
      <c r="R2816" t="inlineStr">
        <is>
          <t xml:space="preserve">HQ </t>
        </is>
      </c>
      <c r="S2816" t="n">
        <v>6</v>
      </c>
      <c r="T2816" t="n">
        <v>6</v>
      </c>
      <c r="U2816" t="inlineStr">
        <is>
          <t>2007-09-07</t>
        </is>
      </c>
      <c r="V2816" t="inlineStr">
        <is>
          <t>2007-09-07</t>
        </is>
      </c>
      <c r="W2816" t="inlineStr">
        <is>
          <t>2002-09-17</t>
        </is>
      </c>
      <c r="X2816" t="inlineStr">
        <is>
          <t>2002-09-17</t>
        </is>
      </c>
      <c r="Y2816" t="n">
        <v>195</v>
      </c>
      <c r="Z2816" t="n">
        <v>169</v>
      </c>
      <c r="AA2816" t="n">
        <v>209</v>
      </c>
      <c r="AB2816" t="n">
        <v>3</v>
      </c>
      <c r="AC2816" t="n">
        <v>3</v>
      </c>
      <c r="AD2816" t="n">
        <v>9</v>
      </c>
      <c r="AE2816" t="n">
        <v>10</v>
      </c>
      <c r="AF2816" t="n">
        <v>1</v>
      </c>
      <c r="AG2816" t="n">
        <v>2</v>
      </c>
      <c r="AH2816" t="n">
        <v>4</v>
      </c>
      <c r="AI2816" t="n">
        <v>5</v>
      </c>
      <c r="AJ2816" t="n">
        <v>4</v>
      </c>
      <c r="AK2816" t="n">
        <v>4</v>
      </c>
      <c r="AL2816" t="n">
        <v>2</v>
      </c>
      <c r="AM2816" t="n">
        <v>2</v>
      </c>
      <c r="AN2816" t="n">
        <v>0</v>
      </c>
      <c r="AO2816" t="n">
        <v>0</v>
      </c>
      <c r="AP2816" t="inlineStr">
        <is>
          <t>No</t>
        </is>
      </c>
      <c r="AQ2816" t="inlineStr">
        <is>
          <t>Yes</t>
        </is>
      </c>
      <c r="AR2816">
        <f>HYPERLINK("http://catalog.hathitrust.org/Record/004259009","HathiTrust Record")</f>
        <v/>
      </c>
      <c r="AS2816">
        <f>HYPERLINK("https://creighton-primo.hosted.exlibrisgroup.com/primo-explore/search?tab=default_tab&amp;search_scope=EVERYTHING&amp;vid=01CRU&amp;lang=en_US&amp;offset=0&amp;query=any,contains,991003862919702656","Catalog Record")</f>
        <v/>
      </c>
      <c r="AT2816">
        <f>HYPERLINK("http://www.worldcat.org/oclc/49672693","WorldCat Record")</f>
        <v/>
      </c>
      <c r="AU2816" t="inlineStr">
        <is>
          <t>102030761:eng</t>
        </is>
      </c>
      <c r="AV2816" t="inlineStr">
        <is>
          <t>49672693</t>
        </is>
      </c>
      <c r="AW2816" t="inlineStr">
        <is>
          <t>991003862919702656</t>
        </is>
      </c>
      <c r="AX2816" t="inlineStr">
        <is>
          <t>991003862919702656</t>
        </is>
      </c>
      <c r="AY2816" t="inlineStr">
        <is>
          <t>2261164650002656</t>
        </is>
      </c>
      <c r="AZ2816" t="inlineStr">
        <is>
          <t>BOOK</t>
        </is>
      </c>
      <c r="BB2816" t="inlineStr">
        <is>
          <t>9780742516502</t>
        </is>
      </c>
      <c r="BC2816" t="inlineStr">
        <is>
          <t>32285004647748</t>
        </is>
      </c>
      <c r="BD2816" t="inlineStr">
        <is>
          <t>893525333</t>
        </is>
      </c>
    </row>
    <row r="2817">
      <c r="A2817" t="inlineStr">
        <is>
          <t>No</t>
        </is>
      </c>
      <c r="B2817" t="inlineStr">
        <is>
          <t>HQ796 .H255 1969</t>
        </is>
      </c>
      <c r="C2817" t="inlineStr">
        <is>
          <t>0                      HQ 0796000H  255         1969</t>
        </is>
      </c>
      <c r="D2817" t="inlineStr">
        <is>
          <t>Adolescence.</t>
        </is>
      </c>
      <c r="F2817" t="inlineStr">
        <is>
          <t>Yes</t>
        </is>
      </c>
      <c r="G2817" t="inlineStr">
        <is>
          <t>1</t>
        </is>
      </c>
      <c r="H2817" t="inlineStr">
        <is>
          <t>Yes</t>
        </is>
      </c>
      <c r="I2817" t="inlineStr">
        <is>
          <t>No</t>
        </is>
      </c>
      <c r="J2817" t="inlineStr">
        <is>
          <t>0</t>
        </is>
      </c>
      <c r="K2817" t="inlineStr">
        <is>
          <t>Hall, G. Stanley (Granville Stanley), 1844-1924.</t>
        </is>
      </c>
      <c r="L2817" t="inlineStr">
        <is>
          <t>New York : Arno Press, 1969.</t>
        </is>
      </c>
      <c r="M2817" t="inlineStr">
        <is>
          <t>1969</t>
        </is>
      </c>
      <c r="O2817" t="inlineStr">
        <is>
          <t>eng</t>
        </is>
      </c>
      <c r="P2817" t="inlineStr">
        <is>
          <t>nyu</t>
        </is>
      </c>
      <c r="Q2817" t="inlineStr">
        <is>
          <t>American education--its men, ideas, and institutions</t>
        </is>
      </c>
      <c r="R2817" t="inlineStr">
        <is>
          <t xml:space="preserve">HQ </t>
        </is>
      </c>
      <c r="S2817" t="n">
        <v>2</v>
      </c>
      <c r="T2817" t="n">
        <v>5</v>
      </c>
      <c r="U2817" t="inlineStr">
        <is>
          <t>2001-07-12</t>
        </is>
      </c>
      <c r="V2817" t="inlineStr">
        <is>
          <t>2001-07-12</t>
        </is>
      </c>
      <c r="W2817" t="inlineStr">
        <is>
          <t>1993-04-29</t>
        </is>
      </c>
      <c r="X2817" t="inlineStr">
        <is>
          <t>1993-04-29</t>
        </is>
      </c>
      <c r="Y2817" t="n">
        <v>211</v>
      </c>
      <c r="Z2817" t="n">
        <v>198</v>
      </c>
      <c r="AA2817" t="n">
        <v>207</v>
      </c>
      <c r="AB2817" t="n">
        <v>5</v>
      </c>
      <c r="AC2817" t="n">
        <v>5</v>
      </c>
      <c r="AD2817" t="n">
        <v>9</v>
      </c>
      <c r="AE2817" t="n">
        <v>9</v>
      </c>
      <c r="AF2817" t="n">
        <v>3</v>
      </c>
      <c r="AG2817" t="n">
        <v>3</v>
      </c>
      <c r="AH2817" t="n">
        <v>1</v>
      </c>
      <c r="AI2817" t="n">
        <v>1</v>
      </c>
      <c r="AJ2817" t="n">
        <v>5</v>
      </c>
      <c r="AK2817" t="n">
        <v>5</v>
      </c>
      <c r="AL2817" t="n">
        <v>3</v>
      </c>
      <c r="AM2817" t="n">
        <v>3</v>
      </c>
      <c r="AN2817" t="n">
        <v>0</v>
      </c>
      <c r="AO2817" t="n">
        <v>0</v>
      </c>
      <c r="AP2817" t="inlineStr">
        <is>
          <t>No</t>
        </is>
      </c>
      <c r="AQ2817" t="inlineStr">
        <is>
          <t>Yes</t>
        </is>
      </c>
      <c r="AR2817">
        <f>HYPERLINK("http://catalog.hathitrust.org/Record/004398936","HathiTrust Record")</f>
        <v/>
      </c>
      <c r="AS2817">
        <f>HYPERLINK("https://creighton-primo.hosted.exlibrisgroup.com/primo-explore/search?tab=default_tab&amp;search_scope=EVERYTHING&amp;vid=01CRU&amp;lang=en_US&amp;offset=0&amp;query=any,contains,991000499849702656","Catalog Record")</f>
        <v/>
      </c>
      <c r="AT2817">
        <f>HYPERLINK("http://www.worldcat.org/oclc/81229","WorldCat Record")</f>
        <v/>
      </c>
      <c r="AU2817" t="inlineStr">
        <is>
          <t>4092419142:eng</t>
        </is>
      </c>
      <c r="AV2817" t="inlineStr">
        <is>
          <t>81229</t>
        </is>
      </c>
      <c r="AW2817" t="inlineStr">
        <is>
          <t>991000499849702656</t>
        </is>
      </c>
      <c r="AX2817" t="inlineStr">
        <is>
          <t>991000499849702656</t>
        </is>
      </c>
      <c r="AY2817" t="inlineStr">
        <is>
          <t>2269793750002656</t>
        </is>
      </c>
      <c r="AZ2817" t="inlineStr">
        <is>
          <t>BOOK</t>
        </is>
      </c>
      <c r="BC2817" t="inlineStr">
        <is>
          <t>32285001630648</t>
        </is>
      </c>
      <c r="BD2817" t="inlineStr">
        <is>
          <t>893432013</t>
        </is>
      </c>
    </row>
    <row r="2818">
      <c r="A2818" t="inlineStr">
        <is>
          <t>No</t>
        </is>
      </c>
      <c r="B2818" t="inlineStr">
        <is>
          <t>HQ796 .H255 1969 V.2</t>
        </is>
      </c>
      <c r="C2818" t="inlineStr">
        <is>
          <t>0                      HQ 0796000H  255         1969                                        V.2</t>
        </is>
      </c>
      <c r="D2818" t="inlineStr">
        <is>
          <t>Adolescence.</t>
        </is>
      </c>
      <c r="E2818" t="inlineStr">
        <is>
          <t>V.2*</t>
        </is>
      </c>
      <c r="F2818" t="inlineStr">
        <is>
          <t>Yes</t>
        </is>
      </c>
      <c r="G2818" t="inlineStr">
        <is>
          <t>1</t>
        </is>
      </c>
      <c r="H2818" t="inlineStr">
        <is>
          <t>No</t>
        </is>
      </c>
      <c r="I2818" t="inlineStr">
        <is>
          <t>No</t>
        </is>
      </c>
      <c r="J2818" t="inlineStr">
        <is>
          <t>0</t>
        </is>
      </c>
      <c r="K2818" t="inlineStr">
        <is>
          <t>Hall, G. Stanley (Granville Stanley), 1844-1924.</t>
        </is>
      </c>
      <c r="L2818" t="inlineStr">
        <is>
          <t>New York : Arno Press, 1969.</t>
        </is>
      </c>
      <c r="M2818" t="inlineStr">
        <is>
          <t>1969</t>
        </is>
      </c>
      <c r="O2818" t="inlineStr">
        <is>
          <t>eng</t>
        </is>
      </c>
      <c r="P2818" t="inlineStr">
        <is>
          <t>nyu</t>
        </is>
      </c>
      <c r="Q2818" t="inlineStr">
        <is>
          <t>American education--its men, ideas, and institutions</t>
        </is>
      </c>
      <c r="R2818" t="inlineStr">
        <is>
          <t xml:space="preserve">HQ </t>
        </is>
      </c>
      <c r="S2818" t="n">
        <v>3</v>
      </c>
      <c r="T2818" t="n">
        <v>5</v>
      </c>
      <c r="U2818" t="inlineStr">
        <is>
          <t>2001-07-12</t>
        </is>
      </c>
      <c r="V2818" t="inlineStr">
        <is>
          <t>2001-07-12</t>
        </is>
      </c>
      <c r="W2818" t="inlineStr">
        <is>
          <t>1993-04-29</t>
        </is>
      </c>
      <c r="X2818" t="inlineStr">
        <is>
          <t>1993-04-29</t>
        </is>
      </c>
      <c r="Y2818" t="n">
        <v>211</v>
      </c>
      <c r="Z2818" t="n">
        <v>198</v>
      </c>
      <c r="AA2818" t="n">
        <v>207</v>
      </c>
      <c r="AB2818" t="n">
        <v>5</v>
      </c>
      <c r="AC2818" t="n">
        <v>5</v>
      </c>
      <c r="AD2818" t="n">
        <v>9</v>
      </c>
      <c r="AE2818" t="n">
        <v>9</v>
      </c>
      <c r="AF2818" t="n">
        <v>3</v>
      </c>
      <c r="AG2818" t="n">
        <v>3</v>
      </c>
      <c r="AH2818" t="n">
        <v>1</v>
      </c>
      <c r="AI2818" t="n">
        <v>1</v>
      </c>
      <c r="AJ2818" t="n">
        <v>5</v>
      </c>
      <c r="AK2818" t="n">
        <v>5</v>
      </c>
      <c r="AL2818" t="n">
        <v>3</v>
      </c>
      <c r="AM2818" t="n">
        <v>3</v>
      </c>
      <c r="AN2818" t="n">
        <v>0</v>
      </c>
      <c r="AO2818" t="n">
        <v>0</v>
      </c>
      <c r="AP2818" t="inlineStr">
        <is>
          <t>No</t>
        </is>
      </c>
      <c r="AQ2818" t="inlineStr">
        <is>
          <t>Yes</t>
        </is>
      </c>
      <c r="AR2818">
        <f>HYPERLINK("http://catalog.hathitrust.org/Record/004398936","HathiTrust Record")</f>
        <v/>
      </c>
      <c r="AS2818">
        <f>HYPERLINK("https://creighton-primo.hosted.exlibrisgroup.com/primo-explore/search?tab=default_tab&amp;search_scope=EVERYTHING&amp;vid=01CRU&amp;lang=en_US&amp;offset=0&amp;query=any,contains,991000499849702656","Catalog Record")</f>
        <v/>
      </c>
      <c r="AT2818">
        <f>HYPERLINK("http://www.worldcat.org/oclc/81229","WorldCat Record")</f>
        <v/>
      </c>
      <c r="AU2818" t="inlineStr">
        <is>
          <t>4092419142:eng</t>
        </is>
      </c>
      <c r="AV2818" t="inlineStr">
        <is>
          <t>81229</t>
        </is>
      </c>
      <c r="AW2818" t="inlineStr">
        <is>
          <t>991000499849702656</t>
        </is>
      </c>
      <c r="AX2818" t="inlineStr">
        <is>
          <t>991000499849702656</t>
        </is>
      </c>
      <c r="AY2818" t="inlineStr">
        <is>
          <t>2269793750002656</t>
        </is>
      </c>
      <c r="AZ2818" t="inlineStr">
        <is>
          <t>BOOK</t>
        </is>
      </c>
      <c r="BC2818" t="inlineStr">
        <is>
          <t>32285001630655</t>
        </is>
      </c>
      <c r="BD2818" t="inlineStr">
        <is>
          <t>893444344</t>
        </is>
      </c>
    </row>
    <row r="2819">
      <c r="A2819" t="inlineStr">
        <is>
          <t>No</t>
        </is>
      </c>
      <c r="B2819" t="inlineStr">
        <is>
          <t>HQ796 .H43 1998</t>
        </is>
      </c>
      <c r="C2819" t="inlineStr">
        <is>
          <t>0                      HQ 0796000H  43          1998</t>
        </is>
      </c>
      <c r="D2819" t="inlineStr">
        <is>
          <t>A tribe apart : a journey into the heart of American adolescence / Patricia Hersch.</t>
        </is>
      </c>
      <c r="F2819" t="inlineStr">
        <is>
          <t>No</t>
        </is>
      </c>
      <c r="G2819" t="inlineStr">
        <is>
          <t>1</t>
        </is>
      </c>
      <c r="H2819" t="inlineStr">
        <is>
          <t>No</t>
        </is>
      </c>
      <c r="I2819" t="inlineStr">
        <is>
          <t>No</t>
        </is>
      </c>
      <c r="J2819" t="inlineStr">
        <is>
          <t>0</t>
        </is>
      </c>
      <c r="K2819" t="inlineStr">
        <is>
          <t>Hersch, Patricia.</t>
        </is>
      </c>
      <c r="L2819" t="inlineStr">
        <is>
          <t>New York : Fawcett Columbine, 1998.</t>
        </is>
      </c>
      <c r="M2819" t="inlineStr">
        <is>
          <t>1998</t>
        </is>
      </c>
      <c r="N2819" t="inlineStr">
        <is>
          <t>1st ed.</t>
        </is>
      </c>
      <c r="O2819" t="inlineStr">
        <is>
          <t>eng</t>
        </is>
      </c>
      <c r="P2819" t="inlineStr">
        <is>
          <t>nyu</t>
        </is>
      </c>
      <c r="R2819" t="inlineStr">
        <is>
          <t xml:space="preserve">HQ </t>
        </is>
      </c>
      <c r="S2819" t="n">
        <v>9</v>
      </c>
      <c r="T2819" t="n">
        <v>9</v>
      </c>
      <c r="U2819" t="inlineStr">
        <is>
          <t>2007-09-18</t>
        </is>
      </c>
      <c r="V2819" t="inlineStr">
        <is>
          <t>2007-09-18</t>
        </is>
      </c>
      <c r="W2819" t="inlineStr">
        <is>
          <t>1998-07-16</t>
        </is>
      </c>
      <c r="X2819" t="inlineStr">
        <is>
          <t>1998-07-16</t>
        </is>
      </c>
      <c r="Y2819" t="n">
        <v>1070</v>
      </c>
      <c r="Z2819" t="n">
        <v>1030</v>
      </c>
      <c r="AA2819" t="n">
        <v>1555</v>
      </c>
      <c r="AB2819" t="n">
        <v>8</v>
      </c>
      <c r="AC2819" t="n">
        <v>13</v>
      </c>
      <c r="AD2819" t="n">
        <v>31</v>
      </c>
      <c r="AE2819" t="n">
        <v>45</v>
      </c>
      <c r="AF2819" t="n">
        <v>12</v>
      </c>
      <c r="AG2819" t="n">
        <v>17</v>
      </c>
      <c r="AH2819" t="n">
        <v>8</v>
      </c>
      <c r="AI2819" t="n">
        <v>9</v>
      </c>
      <c r="AJ2819" t="n">
        <v>13</v>
      </c>
      <c r="AK2819" t="n">
        <v>19</v>
      </c>
      <c r="AL2819" t="n">
        <v>5</v>
      </c>
      <c r="AM2819" t="n">
        <v>9</v>
      </c>
      <c r="AN2819" t="n">
        <v>0</v>
      </c>
      <c r="AO2819" t="n">
        <v>0</v>
      </c>
      <c r="AP2819" t="inlineStr">
        <is>
          <t>No</t>
        </is>
      </c>
      <c r="AQ2819" t="inlineStr">
        <is>
          <t>Yes</t>
        </is>
      </c>
      <c r="AR2819">
        <f>HYPERLINK("http://catalog.hathitrust.org/Record/003970757","HathiTrust Record")</f>
        <v/>
      </c>
      <c r="AS2819">
        <f>HYPERLINK("https://creighton-primo.hosted.exlibrisgroup.com/primo-explore/search?tab=default_tab&amp;search_scope=EVERYTHING&amp;vid=01CRU&amp;lang=en_US&amp;offset=0&amp;query=any,contains,991002867359702656","Catalog Record")</f>
        <v/>
      </c>
      <c r="AT2819">
        <f>HYPERLINK("http://www.worldcat.org/oclc/37801457","WorldCat Record")</f>
        <v/>
      </c>
      <c r="AU2819" t="inlineStr">
        <is>
          <t>546817:eng</t>
        </is>
      </c>
      <c r="AV2819" t="inlineStr">
        <is>
          <t>37801457</t>
        </is>
      </c>
      <c r="AW2819" t="inlineStr">
        <is>
          <t>991002867359702656</t>
        </is>
      </c>
      <c r="AX2819" t="inlineStr">
        <is>
          <t>991002867359702656</t>
        </is>
      </c>
      <c r="AY2819" t="inlineStr">
        <is>
          <t>2256492760002656</t>
        </is>
      </c>
      <c r="AZ2819" t="inlineStr">
        <is>
          <t>BOOK</t>
        </is>
      </c>
      <c r="BB2819" t="inlineStr">
        <is>
          <t>9780449907672</t>
        </is>
      </c>
      <c r="BC2819" t="inlineStr">
        <is>
          <t>32285003432803</t>
        </is>
      </c>
      <c r="BD2819" t="inlineStr">
        <is>
          <t>893780335</t>
        </is>
      </c>
    </row>
    <row r="2820">
      <c r="A2820" t="inlineStr">
        <is>
          <t>No</t>
        </is>
      </c>
      <c r="B2820" t="inlineStr">
        <is>
          <t>HQ796 .I223 1989</t>
        </is>
      </c>
      <c r="C2820" t="inlineStr">
        <is>
          <t>0                      HQ 0796000I  223         1989</t>
        </is>
      </c>
      <c r="D2820" t="inlineStr">
        <is>
          <t>The search for structure : a report on American youth today / Francis A.J. Ianni.</t>
        </is>
      </c>
      <c r="F2820" t="inlineStr">
        <is>
          <t>No</t>
        </is>
      </c>
      <c r="G2820" t="inlineStr">
        <is>
          <t>1</t>
        </is>
      </c>
      <c r="H2820" t="inlineStr">
        <is>
          <t>No</t>
        </is>
      </c>
      <c r="I2820" t="inlineStr">
        <is>
          <t>No</t>
        </is>
      </c>
      <c r="J2820" t="inlineStr">
        <is>
          <t>0</t>
        </is>
      </c>
      <c r="K2820" t="inlineStr">
        <is>
          <t>Ianni, Francis A. J.</t>
        </is>
      </c>
      <c r="L2820" t="inlineStr">
        <is>
          <t>New York : Free Press, c1989.</t>
        </is>
      </c>
      <c r="M2820" t="inlineStr">
        <is>
          <t>1989</t>
        </is>
      </c>
      <c r="O2820" t="inlineStr">
        <is>
          <t>eng</t>
        </is>
      </c>
      <c r="P2820" t="inlineStr">
        <is>
          <t>nyu</t>
        </is>
      </c>
      <c r="R2820" t="inlineStr">
        <is>
          <t xml:space="preserve">HQ </t>
        </is>
      </c>
      <c r="S2820" t="n">
        <v>6</v>
      </c>
      <c r="T2820" t="n">
        <v>6</v>
      </c>
      <c r="U2820" t="inlineStr">
        <is>
          <t>1998-10-28</t>
        </is>
      </c>
      <c r="V2820" t="inlineStr">
        <is>
          <t>1998-10-28</t>
        </is>
      </c>
      <c r="W2820" t="inlineStr">
        <is>
          <t>1992-11-16</t>
        </is>
      </c>
      <c r="X2820" t="inlineStr">
        <is>
          <t>1992-11-16</t>
        </is>
      </c>
      <c r="Y2820" t="n">
        <v>890</v>
      </c>
      <c r="Z2820" t="n">
        <v>814</v>
      </c>
      <c r="AA2820" t="n">
        <v>821</v>
      </c>
      <c r="AB2820" t="n">
        <v>3</v>
      </c>
      <c r="AC2820" t="n">
        <v>3</v>
      </c>
      <c r="AD2820" t="n">
        <v>22</v>
      </c>
      <c r="AE2820" t="n">
        <v>22</v>
      </c>
      <c r="AF2820" t="n">
        <v>8</v>
      </c>
      <c r="AG2820" t="n">
        <v>8</v>
      </c>
      <c r="AH2820" t="n">
        <v>7</v>
      </c>
      <c r="AI2820" t="n">
        <v>7</v>
      </c>
      <c r="AJ2820" t="n">
        <v>13</v>
      </c>
      <c r="AK2820" t="n">
        <v>13</v>
      </c>
      <c r="AL2820" t="n">
        <v>2</v>
      </c>
      <c r="AM2820" t="n">
        <v>2</v>
      </c>
      <c r="AN2820" t="n">
        <v>0</v>
      </c>
      <c r="AO2820" t="n">
        <v>0</v>
      </c>
      <c r="AP2820" t="inlineStr">
        <is>
          <t>No</t>
        </is>
      </c>
      <c r="AQ2820" t="inlineStr">
        <is>
          <t>Yes</t>
        </is>
      </c>
      <c r="AR2820">
        <f>HYPERLINK("http://catalog.hathitrust.org/Record/001090964","HathiTrust Record")</f>
        <v/>
      </c>
      <c r="AS2820">
        <f>HYPERLINK("https://creighton-primo.hosted.exlibrisgroup.com/primo-explore/search?tab=default_tab&amp;search_scope=EVERYTHING&amp;vid=01CRU&amp;lang=en_US&amp;offset=0&amp;query=any,contains,991001374709702656","Catalog Record")</f>
        <v/>
      </c>
      <c r="AT2820">
        <f>HYPERLINK("http://www.worldcat.org/oclc/18590073","WorldCat Record")</f>
        <v/>
      </c>
      <c r="AU2820" t="inlineStr">
        <is>
          <t>18032321:eng</t>
        </is>
      </c>
      <c r="AV2820" t="inlineStr">
        <is>
          <t>18590073</t>
        </is>
      </c>
      <c r="AW2820" t="inlineStr">
        <is>
          <t>991001374709702656</t>
        </is>
      </c>
      <c r="AX2820" t="inlineStr">
        <is>
          <t>991001374709702656</t>
        </is>
      </c>
      <c r="AY2820" t="inlineStr">
        <is>
          <t>2262144290002656</t>
        </is>
      </c>
      <c r="AZ2820" t="inlineStr">
        <is>
          <t>BOOK</t>
        </is>
      </c>
      <c r="BB2820" t="inlineStr">
        <is>
          <t>9780029153604</t>
        </is>
      </c>
      <c r="BC2820" t="inlineStr">
        <is>
          <t>32285001396265</t>
        </is>
      </c>
      <c r="BD2820" t="inlineStr">
        <is>
          <t>893684275</t>
        </is>
      </c>
    </row>
    <row r="2821">
      <c r="A2821" t="inlineStr">
        <is>
          <t>No</t>
        </is>
      </c>
      <c r="B2821" t="inlineStr">
        <is>
          <t>HQ796 .I454</t>
        </is>
      </c>
      <c r="C2821" t="inlineStr">
        <is>
          <t>0                      HQ 0796000I  454</t>
        </is>
      </c>
      <c r="D2821" t="inlineStr">
        <is>
          <t>Adolescents in school and society / Gary M. Ingersoll.</t>
        </is>
      </c>
      <c r="F2821" t="inlineStr">
        <is>
          <t>No</t>
        </is>
      </c>
      <c r="G2821" t="inlineStr">
        <is>
          <t>1</t>
        </is>
      </c>
      <c r="H2821" t="inlineStr">
        <is>
          <t>No</t>
        </is>
      </c>
      <c r="I2821" t="inlineStr">
        <is>
          <t>No</t>
        </is>
      </c>
      <c r="J2821" t="inlineStr">
        <is>
          <t>0</t>
        </is>
      </c>
      <c r="K2821" t="inlineStr">
        <is>
          <t>Ingersoll, Gary M.</t>
        </is>
      </c>
      <c r="L2821" t="inlineStr">
        <is>
          <t>Lexington, Mass. : D.C. Heath, c1982.</t>
        </is>
      </c>
      <c r="M2821" t="inlineStr">
        <is>
          <t>1982</t>
        </is>
      </c>
      <c r="O2821" t="inlineStr">
        <is>
          <t>eng</t>
        </is>
      </c>
      <c r="P2821" t="inlineStr">
        <is>
          <t>mau</t>
        </is>
      </c>
      <c r="R2821" t="inlineStr">
        <is>
          <t xml:space="preserve">HQ </t>
        </is>
      </c>
      <c r="S2821" t="n">
        <v>15</v>
      </c>
      <c r="T2821" t="n">
        <v>15</v>
      </c>
      <c r="U2821" t="inlineStr">
        <is>
          <t>1998-09-11</t>
        </is>
      </c>
      <c r="V2821" t="inlineStr">
        <is>
          <t>1998-09-11</t>
        </is>
      </c>
      <c r="W2821" t="inlineStr">
        <is>
          <t>1992-11-16</t>
        </is>
      </c>
      <c r="X2821" t="inlineStr">
        <is>
          <t>1992-11-16</t>
        </is>
      </c>
      <c r="Y2821" t="n">
        <v>162</v>
      </c>
      <c r="Z2821" t="n">
        <v>139</v>
      </c>
      <c r="AA2821" t="n">
        <v>140</v>
      </c>
      <c r="AB2821" t="n">
        <v>2</v>
      </c>
      <c r="AC2821" t="n">
        <v>2</v>
      </c>
      <c r="AD2821" t="n">
        <v>4</v>
      </c>
      <c r="AE2821" t="n">
        <v>4</v>
      </c>
      <c r="AF2821" t="n">
        <v>1</v>
      </c>
      <c r="AG2821" t="n">
        <v>1</v>
      </c>
      <c r="AH2821" t="n">
        <v>2</v>
      </c>
      <c r="AI2821" t="n">
        <v>2</v>
      </c>
      <c r="AJ2821" t="n">
        <v>2</v>
      </c>
      <c r="AK2821" t="n">
        <v>2</v>
      </c>
      <c r="AL2821" t="n">
        <v>1</v>
      </c>
      <c r="AM2821" t="n">
        <v>1</v>
      </c>
      <c r="AN2821" t="n">
        <v>0</v>
      </c>
      <c r="AO2821" t="n">
        <v>0</v>
      </c>
      <c r="AP2821" t="inlineStr">
        <is>
          <t>No</t>
        </is>
      </c>
      <c r="AQ2821" t="inlineStr">
        <is>
          <t>Yes</t>
        </is>
      </c>
      <c r="AR2821">
        <f>HYPERLINK("http://catalog.hathitrust.org/Record/007470338","HathiTrust Record")</f>
        <v/>
      </c>
      <c r="AS2821">
        <f>HYPERLINK("https://creighton-primo.hosted.exlibrisgroup.com/primo-explore/search?tab=default_tab&amp;search_scope=EVERYTHING&amp;vid=01CRU&amp;lang=en_US&amp;offset=0&amp;query=any,contains,991005241579702656","Catalog Record")</f>
        <v/>
      </c>
      <c r="AT2821">
        <f>HYPERLINK("http://www.worldcat.org/oclc/8429795","WorldCat Record")</f>
        <v/>
      </c>
      <c r="AU2821" t="inlineStr">
        <is>
          <t>31809727:eng</t>
        </is>
      </c>
      <c r="AV2821" t="inlineStr">
        <is>
          <t>8429795</t>
        </is>
      </c>
      <c r="AW2821" t="inlineStr">
        <is>
          <t>991005241579702656</t>
        </is>
      </c>
      <c r="AX2821" t="inlineStr">
        <is>
          <t>991005241579702656</t>
        </is>
      </c>
      <c r="AY2821" t="inlineStr">
        <is>
          <t>2268893750002656</t>
        </is>
      </c>
      <c r="AZ2821" t="inlineStr">
        <is>
          <t>BOOK</t>
        </is>
      </c>
      <c r="BB2821" t="inlineStr">
        <is>
          <t>9780669023251</t>
        </is>
      </c>
      <c r="BC2821" t="inlineStr">
        <is>
          <t>32285001396273</t>
        </is>
      </c>
      <c r="BD2821" t="inlineStr">
        <is>
          <t>893688821</t>
        </is>
      </c>
    </row>
    <row r="2822">
      <c r="A2822" t="inlineStr">
        <is>
          <t>No</t>
        </is>
      </c>
      <c r="B2822" t="inlineStr">
        <is>
          <t>HQ796 .I55 1988</t>
        </is>
      </c>
      <c r="C2822" t="inlineStr">
        <is>
          <t>0                      HQ 0796000I  55          1988</t>
        </is>
      </c>
      <c r="D2822" t="inlineStr">
        <is>
          <t>Gender concepts of Swedish and American youth / Margaret Jean Intons-Peterson.</t>
        </is>
      </c>
      <c r="F2822" t="inlineStr">
        <is>
          <t>No</t>
        </is>
      </c>
      <c r="G2822" t="inlineStr">
        <is>
          <t>1</t>
        </is>
      </c>
      <c r="H2822" t="inlineStr">
        <is>
          <t>No</t>
        </is>
      </c>
      <c r="I2822" t="inlineStr">
        <is>
          <t>No</t>
        </is>
      </c>
      <c r="J2822" t="inlineStr">
        <is>
          <t>0</t>
        </is>
      </c>
      <c r="K2822" t="inlineStr">
        <is>
          <t>Intons-Peterson, Margaret Jean.</t>
        </is>
      </c>
      <c r="L2822" t="inlineStr">
        <is>
          <t>Hillsdale, N.J. : L. Erlbaum Associates, 1988.</t>
        </is>
      </c>
      <c r="M2822" t="inlineStr">
        <is>
          <t>1988</t>
        </is>
      </c>
      <c r="O2822" t="inlineStr">
        <is>
          <t>eng</t>
        </is>
      </c>
      <c r="P2822" t="inlineStr">
        <is>
          <t>nju</t>
        </is>
      </c>
      <c r="R2822" t="inlineStr">
        <is>
          <t xml:space="preserve">HQ </t>
        </is>
      </c>
      <c r="S2822" t="n">
        <v>6</v>
      </c>
      <c r="T2822" t="n">
        <v>6</v>
      </c>
      <c r="U2822" t="inlineStr">
        <is>
          <t>1999-11-03</t>
        </is>
      </c>
      <c r="V2822" t="inlineStr">
        <is>
          <t>1999-11-03</t>
        </is>
      </c>
      <c r="W2822" t="inlineStr">
        <is>
          <t>1991-12-13</t>
        </is>
      </c>
      <c r="X2822" t="inlineStr">
        <is>
          <t>1991-12-13</t>
        </is>
      </c>
      <c r="Y2822" t="n">
        <v>257</v>
      </c>
      <c r="Z2822" t="n">
        <v>216</v>
      </c>
      <c r="AA2822" t="n">
        <v>216</v>
      </c>
      <c r="AB2822" t="n">
        <v>3</v>
      </c>
      <c r="AC2822" t="n">
        <v>3</v>
      </c>
      <c r="AD2822" t="n">
        <v>16</v>
      </c>
      <c r="AE2822" t="n">
        <v>16</v>
      </c>
      <c r="AF2822" t="n">
        <v>4</v>
      </c>
      <c r="AG2822" t="n">
        <v>4</v>
      </c>
      <c r="AH2822" t="n">
        <v>6</v>
      </c>
      <c r="AI2822" t="n">
        <v>6</v>
      </c>
      <c r="AJ2822" t="n">
        <v>10</v>
      </c>
      <c r="AK2822" t="n">
        <v>10</v>
      </c>
      <c r="AL2822" t="n">
        <v>2</v>
      </c>
      <c r="AM2822" t="n">
        <v>2</v>
      </c>
      <c r="AN2822" t="n">
        <v>0</v>
      </c>
      <c r="AO2822" t="n">
        <v>0</v>
      </c>
      <c r="AP2822" t="inlineStr">
        <is>
          <t>No</t>
        </is>
      </c>
      <c r="AQ2822" t="inlineStr">
        <is>
          <t>No</t>
        </is>
      </c>
      <c r="AS2822">
        <f>HYPERLINK("https://creighton-primo.hosted.exlibrisgroup.com/primo-explore/search?tab=default_tab&amp;search_scope=EVERYTHING&amp;vid=01CRU&amp;lang=en_US&amp;offset=0&amp;query=any,contains,991001193639702656","Catalog Record")</f>
        <v/>
      </c>
      <c r="AT2822">
        <f>HYPERLINK("http://www.worldcat.org/oclc/17263368","WorldCat Record")</f>
        <v/>
      </c>
      <c r="AU2822" t="inlineStr">
        <is>
          <t>15606754:eng</t>
        </is>
      </c>
      <c r="AV2822" t="inlineStr">
        <is>
          <t>17263368</t>
        </is>
      </c>
      <c r="AW2822" t="inlineStr">
        <is>
          <t>991001193639702656</t>
        </is>
      </c>
      <c r="AX2822" t="inlineStr">
        <is>
          <t>991001193639702656</t>
        </is>
      </c>
      <c r="AY2822" t="inlineStr">
        <is>
          <t>2266481370002656</t>
        </is>
      </c>
      <c r="AZ2822" t="inlineStr">
        <is>
          <t>BOOK</t>
        </is>
      </c>
      <c r="BB2822" t="inlineStr">
        <is>
          <t>9780805801736</t>
        </is>
      </c>
      <c r="BC2822" t="inlineStr">
        <is>
          <t>32285000890789</t>
        </is>
      </c>
      <c r="BD2822" t="inlineStr">
        <is>
          <t>893346328</t>
        </is>
      </c>
    </row>
    <row r="2823">
      <c r="A2823" t="inlineStr">
        <is>
          <t>No</t>
        </is>
      </c>
      <c r="B2823" t="inlineStr">
        <is>
          <t>HQ796 .J86 1982</t>
        </is>
      </c>
      <c r="C2823" t="inlineStr">
        <is>
          <t>0                      HQ 0796000J  86          1982</t>
        </is>
      </c>
      <c r="D2823" t="inlineStr">
        <is>
          <t>Junior high school transition study / guest editors, John R. Mergendoller and Beatrice A. Ward.</t>
        </is>
      </c>
      <c r="F2823" t="inlineStr">
        <is>
          <t>No</t>
        </is>
      </c>
      <c r="G2823" t="inlineStr">
        <is>
          <t>1</t>
        </is>
      </c>
      <c r="H2823" t="inlineStr">
        <is>
          <t>No</t>
        </is>
      </c>
      <c r="I2823" t="inlineStr">
        <is>
          <t>No</t>
        </is>
      </c>
      <c r="J2823" t="inlineStr">
        <is>
          <t>0</t>
        </is>
      </c>
      <c r="L2823" t="inlineStr">
        <is>
          <t>San Francisco, Calif. : Far West Laboratory for Educational Research and Development, 1982.</t>
        </is>
      </c>
      <c r="M2823" t="inlineStr">
        <is>
          <t>1982</t>
        </is>
      </c>
      <c r="O2823" t="inlineStr">
        <is>
          <t>eng</t>
        </is>
      </c>
      <c r="P2823" t="inlineStr">
        <is>
          <t xml:space="preserve">jo </t>
        </is>
      </c>
      <c r="Q2823" t="inlineStr">
        <is>
          <t>Journal of early adolescence, 0272-4316 ; v. 2, no. 4 (winter 1982)</t>
        </is>
      </c>
      <c r="R2823" t="inlineStr">
        <is>
          <t xml:space="preserve">HQ </t>
        </is>
      </c>
      <c r="S2823" t="n">
        <v>2</v>
      </c>
      <c r="T2823" t="n">
        <v>2</v>
      </c>
      <c r="U2823" t="inlineStr">
        <is>
          <t>1993-04-26</t>
        </is>
      </c>
      <c r="V2823" t="inlineStr">
        <is>
          <t>1993-04-26</t>
        </is>
      </c>
      <c r="W2823" t="inlineStr">
        <is>
          <t>1992-03-31</t>
        </is>
      </c>
      <c r="X2823" t="inlineStr">
        <is>
          <t>1992-03-31</t>
        </is>
      </c>
      <c r="Y2823" t="n">
        <v>2</v>
      </c>
      <c r="Z2823" t="n">
        <v>2</v>
      </c>
      <c r="AA2823" t="n">
        <v>2</v>
      </c>
      <c r="AB2823" t="n">
        <v>1</v>
      </c>
      <c r="AC2823" t="n">
        <v>1</v>
      </c>
      <c r="AD2823" t="n">
        <v>0</v>
      </c>
      <c r="AE2823" t="n">
        <v>0</v>
      </c>
      <c r="AF2823" t="n">
        <v>0</v>
      </c>
      <c r="AG2823" t="n">
        <v>0</v>
      </c>
      <c r="AH2823" t="n">
        <v>0</v>
      </c>
      <c r="AI2823" t="n">
        <v>0</v>
      </c>
      <c r="AJ2823" t="n">
        <v>0</v>
      </c>
      <c r="AK2823" t="n">
        <v>0</v>
      </c>
      <c r="AL2823" t="n">
        <v>0</v>
      </c>
      <c r="AM2823" t="n">
        <v>0</v>
      </c>
      <c r="AN2823" t="n">
        <v>0</v>
      </c>
      <c r="AO2823" t="n">
        <v>0</v>
      </c>
      <c r="AP2823" t="inlineStr">
        <is>
          <t>No</t>
        </is>
      </c>
      <c r="AQ2823" t="inlineStr">
        <is>
          <t>No</t>
        </is>
      </c>
      <c r="AS2823">
        <f>HYPERLINK("https://creighton-primo.hosted.exlibrisgroup.com/primo-explore/search?tab=default_tab&amp;search_scope=EVERYTHING&amp;vid=01CRU&amp;lang=en_US&amp;offset=0&amp;query=any,contains,991000963469702656","Catalog Record")</f>
        <v/>
      </c>
      <c r="AT2823">
        <f>HYPERLINK("http://www.worldcat.org/oclc/14893841","WorldCat Record")</f>
        <v/>
      </c>
      <c r="AU2823" t="inlineStr">
        <is>
          <t>54893217:eng</t>
        </is>
      </c>
      <c r="AV2823" t="inlineStr">
        <is>
          <t>14893841</t>
        </is>
      </c>
      <c r="AW2823" t="inlineStr">
        <is>
          <t>991000963469702656</t>
        </is>
      </c>
      <c r="AX2823" t="inlineStr">
        <is>
          <t>991000963469702656</t>
        </is>
      </c>
      <c r="AY2823" t="inlineStr">
        <is>
          <t>2272413570002656</t>
        </is>
      </c>
      <c r="AZ2823" t="inlineStr">
        <is>
          <t>BOOK</t>
        </is>
      </c>
      <c r="BC2823" t="inlineStr">
        <is>
          <t>32285001032167</t>
        </is>
      </c>
      <c r="BD2823" t="inlineStr">
        <is>
          <t>893791037</t>
        </is>
      </c>
    </row>
    <row r="2824">
      <c r="A2824" t="inlineStr">
        <is>
          <t>No</t>
        </is>
      </c>
      <c r="B2824" t="inlineStr">
        <is>
          <t>HQ796 .K16</t>
        </is>
      </c>
      <c r="C2824" t="inlineStr">
        <is>
          <t>0                      HQ 0796000K  16</t>
        </is>
      </c>
      <c r="D2824" t="inlineStr">
        <is>
          <t>Twelve to sixteen : early adolescence / edited by Jerome Kagan and Robert Coles. Essays by J. M. Tanner [and others]</t>
        </is>
      </c>
      <c r="F2824" t="inlineStr">
        <is>
          <t>No</t>
        </is>
      </c>
      <c r="G2824" t="inlineStr">
        <is>
          <t>1</t>
        </is>
      </c>
      <c r="H2824" t="inlineStr">
        <is>
          <t>Yes</t>
        </is>
      </c>
      <c r="I2824" t="inlineStr">
        <is>
          <t>No</t>
        </is>
      </c>
      <c r="J2824" t="inlineStr">
        <is>
          <t>0</t>
        </is>
      </c>
      <c r="K2824" t="inlineStr">
        <is>
          <t>Kagan, Jerome.</t>
        </is>
      </c>
      <c r="L2824" t="inlineStr">
        <is>
          <t>New York : Norton, [1972]</t>
        </is>
      </c>
      <c r="M2824" t="inlineStr">
        <is>
          <t>1972</t>
        </is>
      </c>
      <c r="O2824" t="inlineStr">
        <is>
          <t>eng</t>
        </is>
      </c>
      <c r="P2824" t="inlineStr">
        <is>
          <t>nyu</t>
        </is>
      </c>
      <c r="R2824" t="inlineStr">
        <is>
          <t xml:space="preserve">HQ </t>
        </is>
      </c>
      <c r="S2824" t="n">
        <v>0</v>
      </c>
      <c r="T2824" t="n">
        <v>4</v>
      </c>
      <c r="V2824" t="inlineStr">
        <is>
          <t>1998-09-18</t>
        </is>
      </c>
      <c r="W2824" t="inlineStr">
        <is>
          <t>1991-02-19</t>
        </is>
      </c>
      <c r="X2824" t="inlineStr">
        <is>
          <t>1991-02-19</t>
        </is>
      </c>
      <c r="Y2824" t="n">
        <v>1146</v>
      </c>
      <c r="Z2824" t="n">
        <v>996</v>
      </c>
      <c r="AA2824" t="n">
        <v>1002</v>
      </c>
      <c r="AB2824" t="n">
        <v>7</v>
      </c>
      <c r="AC2824" t="n">
        <v>7</v>
      </c>
      <c r="AD2824" t="n">
        <v>36</v>
      </c>
      <c r="AE2824" t="n">
        <v>36</v>
      </c>
      <c r="AF2824" t="n">
        <v>17</v>
      </c>
      <c r="AG2824" t="n">
        <v>17</v>
      </c>
      <c r="AH2824" t="n">
        <v>7</v>
      </c>
      <c r="AI2824" t="n">
        <v>7</v>
      </c>
      <c r="AJ2824" t="n">
        <v>17</v>
      </c>
      <c r="AK2824" t="n">
        <v>17</v>
      </c>
      <c r="AL2824" t="n">
        <v>4</v>
      </c>
      <c r="AM2824" t="n">
        <v>4</v>
      </c>
      <c r="AN2824" t="n">
        <v>0</v>
      </c>
      <c r="AO2824" t="n">
        <v>0</v>
      </c>
      <c r="AP2824" t="inlineStr">
        <is>
          <t>No</t>
        </is>
      </c>
      <c r="AQ2824" t="inlineStr">
        <is>
          <t>No</t>
        </is>
      </c>
      <c r="AS2824">
        <f>HYPERLINK("https://creighton-primo.hosted.exlibrisgroup.com/primo-explore/search?tab=default_tab&amp;search_scope=EVERYTHING&amp;vid=01CRU&amp;lang=en_US&amp;offset=0&amp;query=any,contains,991001773029702656","Catalog Record")</f>
        <v/>
      </c>
      <c r="AT2824">
        <f>HYPERLINK("http://www.worldcat.org/oclc/329039","WorldCat Record")</f>
        <v/>
      </c>
      <c r="AU2824" t="inlineStr">
        <is>
          <t>459661:eng</t>
        </is>
      </c>
      <c r="AV2824" t="inlineStr">
        <is>
          <t>329039</t>
        </is>
      </c>
      <c r="AW2824" t="inlineStr">
        <is>
          <t>991001773029702656</t>
        </is>
      </c>
      <c r="AX2824" t="inlineStr">
        <is>
          <t>991001773029702656</t>
        </is>
      </c>
      <c r="AY2824" t="inlineStr">
        <is>
          <t>2267348940002656</t>
        </is>
      </c>
      <c r="AZ2824" t="inlineStr">
        <is>
          <t>BOOK</t>
        </is>
      </c>
      <c r="BB2824" t="inlineStr">
        <is>
          <t>9780393010923</t>
        </is>
      </c>
      <c r="BC2824" t="inlineStr">
        <is>
          <t>32285000497585</t>
        </is>
      </c>
      <c r="BD2824" t="inlineStr">
        <is>
          <t>893439439</t>
        </is>
      </c>
    </row>
    <row r="2825">
      <c r="A2825" t="inlineStr">
        <is>
          <t>No</t>
        </is>
      </c>
      <c r="B2825" t="inlineStr">
        <is>
          <t>HQ796 .K286 1984</t>
        </is>
      </c>
      <c r="C2825" t="inlineStr">
        <is>
          <t>0                      HQ 0796000K  286         1984</t>
        </is>
      </c>
      <c r="D2825" t="inlineStr">
        <is>
          <t>Adolescence, the farewell to childhood / by Louise J. Kaplan.</t>
        </is>
      </c>
      <c r="F2825" t="inlineStr">
        <is>
          <t>No</t>
        </is>
      </c>
      <c r="G2825" t="inlineStr">
        <is>
          <t>1</t>
        </is>
      </c>
      <c r="H2825" t="inlineStr">
        <is>
          <t>No</t>
        </is>
      </c>
      <c r="I2825" t="inlineStr">
        <is>
          <t>No</t>
        </is>
      </c>
      <c r="J2825" t="inlineStr">
        <is>
          <t>0</t>
        </is>
      </c>
      <c r="K2825" t="inlineStr">
        <is>
          <t>Kaplan, Louise J.</t>
        </is>
      </c>
      <c r="L2825" t="inlineStr">
        <is>
          <t>New York : Simon and Schuster, c1984.</t>
        </is>
      </c>
      <c r="M2825" t="inlineStr">
        <is>
          <t>1984</t>
        </is>
      </c>
      <c r="O2825" t="inlineStr">
        <is>
          <t>eng</t>
        </is>
      </c>
      <c r="P2825" t="inlineStr">
        <is>
          <t>nyu</t>
        </is>
      </c>
      <c r="R2825" t="inlineStr">
        <is>
          <t xml:space="preserve">HQ </t>
        </is>
      </c>
      <c r="S2825" t="n">
        <v>6</v>
      </c>
      <c r="T2825" t="n">
        <v>6</v>
      </c>
      <c r="U2825" t="inlineStr">
        <is>
          <t>1995-04-05</t>
        </is>
      </c>
      <c r="V2825" t="inlineStr">
        <is>
          <t>1995-04-05</t>
        </is>
      </c>
      <c r="W2825" t="inlineStr">
        <is>
          <t>1992-11-16</t>
        </is>
      </c>
      <c r="X2825" t="inlineStr">
        <is>
          <t>1992-11-16</t>
        </is>
      </c>
      <c r="Y2825" t="n">
        <v>965</v>
      </c>
      <c r="Z2825" t="n">
        <v>893</v>
      </c>
      <c r="AA2825" t="n">
        <v>964</v>
      </c>
      <c r="AB2825" t="n">
        <v>6</v>
      </c>
      <c r="AC2825" t="n">
        <v>6</v>
      </c>
      <c r="AD2825" t="n">
        <v>24</v>
      </c>
      <c r="AE2825" t="n">
        <v>25</v>
      </c>
      <c r="AF2825" t="n">
        <v>8</v>
      </c>
      <c r="AG2825" t="n">
        <v>8</v>
      </c>
      <c r="AH2825" t="n">
        <v>5</v>
      </c>
      <c r="AI2825" t="n">
        <v>6</v>
      </c>
      <c r="AJ2825" t="n">
        <v>13</v>
      </c>
      <c r="AK2825" t="n">
        <v>14</v>
      </c>
      <c r="AL2825" t="n">
        <v>4</v>
      </c>
      <c r="AM2825" t="n">
        <v>4</v>
      </c>
      <c r="AN2825" t="n">
        <v>0</v>
      </c>
      <c r="AO2825" t="n">
        <v>0</v>
      </c>
      <c r="AP2825" t="inlineStr">
        <is>
          <t>No</t>
        </is>
      </c>
      <c r="AQ2825" t="inlineStr">
        <is>
          <t>No</t>
        </is>
      </c>
      <c r="AS2825">
        <f>HYPERLINK("https://creighton-primo.hosted.exlibrisgroup.com/primo-explore/search?tab=default_tab&amp;search_scope=EVERYTHING&amp;vid=01CRU&amp;lang=en_US&amp;offset=0&amp;query=any,contains,991000418349702656","Catalog Record")</f>
        <v/>
      </c>
      <c r="AT2825">
        <f>HYPERLINK("http://www.worldcat.org/oclc/10726740","WorldCat Record")</f>
        <v/>
      </c>
      <c r="AU2825" t="inlineStr">
        <is>
          <t>3510211:eng</t>
        </is>
      </c>
      <c r="AV2825" t="inlineStr">
        <is>
          <t>10726740</t>
        </is>
      </c>
      <c r="AW2825" t="inlineStr">
        <is>
          <t>991000418349702656</t>
        </is>
      </c>
      <c r="AX2825" t="inlineStr">
        <is>
          <t>991000418349702656</t>
        </is>
      </c>
      <c r="AY2825" t="inlineStr">
        <is>
          <t>2264256260002656</t>
        </is>
      </c>
      <c r="AZ2825" t="inlineStr">
        <is>
          <t>BOOK</t>
        </is>
      </c>
      <c r="BB2825" t="inlineStr">
        <is>
          <t>9780671453954</t>
        </is>
      </c>
      <c r="BC2825" t="inlineStr">
        <is>
          <t>32285001396281</t>
        </is>
      </c>
      <c r="BD2825" t="inlineStr">
        <is>
          <t>893431929</t>
        </is>
      </c>
    </row>
    <row r="2826">
      <c r="A2826" t="inlineStr">
        <is>
          <t>No</t>
        </is>
      </c>
      <c r="B2826" t="inlineStr">
        <is>
          <t>HQ796 .K397</t>
        </is>
      </c>
      <c r="C2826" t="inlineStr">
        <is>
          <t>0                      HQ 0796000K  397</t>
        </is>
      </c>
      <c r="D2826" t="inlineStr">
        <is>
          <t>Rites of passage : adolescence in America, 1790 to the present / Joseph F. Kett.</t>
        </is>
      </c>
      <c r="F2826" t="inlineStr">
        <is>
          <t>No</t>
        </is>
      </c>
      <c r="G2826" t="inlineStr">
        <is>
          <t>1</t>
        </is>
      </c>
      <c r="H2826" t="inlineStr">
        <is>
          <t>No</t>
        </is>
      </c>
      <c r="I2826" t="inlineStr">
        <is>
          <t>No</t>
        </is>
      </c>
      <c r="J2826" t="inlineStr">
        <is>
          <t>0</t>
        </is>
      </c>
      <c r="K2826" t="inlineStr">
        <is>
          <t>Kett, Joseph F.</t>
        </is>
      </c>
      <c r="L2826" t="inlineStr">
        <is>
          <t>New York : Basic Books, c1977.</t>
        </is>
      </c>
      <c r="M2826" t="inlineStr">
        <is>
          <t>1977</t>
        </is>
      </c>
      <c r="O2826" t="inlineStr">
        <is>
          <t>eng</t>
        </is>
      </c>
      <c r="P2826" t="inlineStr">
        <is>
          <t>nyu</t>
        </is>
      </c>
      <c r="R2826" t="inlineStr">
        <is>
          <t xml:space="preserve">HQ </t>
        </is>
      </c>
      <c r="S2826" t="n">
        <v>7</v>
      </c>
      <c r="T2826" t="n">
        <v>7</v>
      </c>
      <c r="U2826" t="inlineStr">
        <is>
          <t>2006-01-19</t>
        </is>
      </c>
      <c r="V2826" t="inlineStr">
        <is>
          <t>2006-01-19</t>
        </is>
      </c>
      <c r="W2826" t="inlineStr">
        <is>
          <t>1997-08-13</t>
        </is>
      </c>
      <c r="X2826" t="inlineStr">
        <is>
          <t>1997-08-13</t>
        </is>
      </c>
      <c r="Y2826" t="n">
        <v>1382</v>
      </c>
      <c r="Z2826" t="n">
        <v>1245</v>
      </c>
      <c r="AA2826" t="n">
        <v>1335</v>
      </c>
      <c r="AB2826" t="n">
        <v>8</v>
      </c>
      <c r="AC2826" t="n">
        <v>8</v>
      </c>
      <c r="AD2826" t="n">
        <v>42</v>
      </c>
      <c r="AE2826" t="n">
        <v>43</v>
      </c>
      <c r="AF2826" t="n">
        <v>17</v>
      </c>
      <c r="AG2826" t="n">
        <v>18</v>
      </c>
      <c r="AH2826" t="n">
        <v>11</v>
      </c>
      <c r="AI2826" t="n">
        <v>11</v>
      </c>
      <c r="AJ2826" t="n">
        <v>20</v>
      </c>
      <c r="AK2826" t="n">
        <v>21</v>
      </c>
      <c r="AL2826" t="n">
        <v>5</v>
      </c>
      <c r="AM2826" t="n">
        <v>5</v>
      </c>
      <c r="AN2826" t="n">
        <v>0</v>
      </c>
      <c r="AO2826" t="n">
        <v>0</v>
      </c>
      <c r="AP2826" t="inlineStr">
        <is>
          <t>No</t>
        </is>
      </c>
      <c r="AQ2826" t="inlineStr">
        <is>
          <t>Yes</t>
        </is>
      </c>
      <c r="AR2826">
        <f>HYPERLINK("http://catalog.hathitrust.org/Record/000737590","HathiTrust Record")</f>
        <v/>
      </c>
      <c r="AS2826">
        <f>HYPERLINK("https://creighton-primo.hosted.exlibrisgroup.com/primo-explore/search?tab=default_tab&amp;search_scope=EVERYTHING&amp;vid=01CRU&amp;lang=en_US&amp;offset=0&amp;query=any,contains,991004176069702656","Catalog Record")</f>
        <v/>
      </c>
      <c r="AT2826">
        <f>HYPERLINK("http://www.worldcat.org/oclc/2597103","WorldCat Record")</f>
        <v/>
      </c>
      <c r="AU2826" t="inlineStr">
        <is>
          <t>889411763:eng</t>
        </is>
      </c>
      <c r="AV2826" t="inlineStr">
        <is>
          <t>2597103</t>
        </is>
      </c>
      <c r="AW2826" t="inlineStr">
        <is>
          <t>991004176069702656</t>
        </is>
      </c>
      <c r="AX2826" t="inlineStr">
        <is>
          <t>991004176069702656</t>
        </is>
      </c>
      <c r="AY2826" t="inlineStr">
        <is>
          <t>2268734470002656</t>
        </is>
      </c>
      <c r="AZ2826" t="inlineStr">
        <is>
          <t>BOOK</t>
        </is>
      </c>
      <c r="BB2826" t="inlineStr">
        <is>
          <t>9780465070435</t>
        </is>
      </c>
      <c r="BC2826" t="inlineStr">
        <is>
          <t>32285003102372</t>
        </is>
      </c>
      <c r="BD2826" t="inlineStr">
        <is>
          <t>893411213</t>
        </is>
      </c>
    </row>
    <row r="2827">
      <c r="A2827" t="inlineStr">
        <is>
          <t>No</t>
        </is>
      </c>
      <c r="B2827" t="inlineStr">
        <is>
          <t>HQ796 .L356</t>
        </is>
      </c>
      <c r="C2827" t="inlineStr">
        <is>
          <t>0                      HQ 0796000L  356</t>
        </is>
      </c>
      <c r="D2827" t="inlineStr">
        <is>
          <t>Adolescents / Guy R. Lefrancois.</t>
        </is>
      </c>
      <c r="F2827" t="inlineStr">
        <is>
          <t>No</t>
        </is>
      </c>
      <c r="G2827" t="inlineStr">
        <is>
          <t>1</t>
        </is>
      </c>
      <c r="H2827" t="inlineStr">
        <is>
          <t>No</t>
        </is>
      </c>
      <c r="I2827" t="inlineStr">
        <is>
          <t>No</t>
        </is>
      </c>
      <c r="J2827" t="inlineStr">
        <is>
          <t>0</t>
        </is>
      </c>
      <c r="K2827" t="inlineStr">
        <is>
          <t>Lefrançois, Guy R.</t>
        </is>
      </c>
      <c r="L2827" t="inlineStr">
        <is>
          <t>Belmont, Calif. : Wadsworth Pub. Co., c1976.</t>
        </is>
      </c>
      <c r="M2827" t="inlineStr">
        <is>
          <t>1976</t>
        </is>
      </c>
      <c r="O2827" t="inlineStr">
        <is>
          <t>eng</t>
        </is>
      </c>
      <c r="P2827" t="inlineStr">
        <is>
          <t>cau</t>
        </is>
      </c>
      <c r="R2827" t="inlineStr">
        <is>
          <t xml:space="preserve">HQ </t>
        </is>
      </c>
      <c r="S2827" t="n">
        <v>4</v>
      </c>
      <c r="T2827" t="n">
        <v>4</v>
      </c>
      <c r="U2827" t="inlineStr">
        <is>
          <t>1994-10-30</t>
        </is>
      </c>
      <c r="V2827" t="inlineStr">
        <is>
          <t>1994-10-30</t>
        </is>
      </c>
      <c r="W2827" t="inlineStr">
        <is>
          <t>1992-01-03</t>
        </is>
      </c>
      <c r="X2827" t="inlineStr">
        <is>
          <t>1992-01-03</t>
        </is>
      </c>
      <c r="Y2827" t="n">
        <v>239</v>
      </c>
      <c r="Z2827" t="n">
        <v>182</v>
      </c>
      <c r="AA2827" t="n">
        <v>283</v>
      </c>
      <c r="AB2827" t="n">
        <v>3</v>
      </c>
      <c r="AC2827" t="n">
        <v>3</v>
      </c>
      <c r="AD2827" t="n">
        <v>6</v>
      </c>
      <c r="AE2827" t="n">
        <v>9</v>
      </c>
      <c r="AF2827" t="n">
        <v>2</v>
      </c>
      <c r="AG2827" t="n">
        <v>4</v>
      </c>
      <c r="AH2827" t="n">
        <v>1</v>
      </c>
      <c r="AI2827" t="n">
        <v>2</v>
      </c>
      <c r="AJ2827" t="n">
        <v>4</v>
      </c>
      <c r="AK2827" t="n">
        <v>5</v>
      </c>
      <c r="AL2827" t="n">
        <v>1</v>
      </c>
      <c r="AM2827" t="n">
        <v>1</v>
      </c>
      <c r="AN2827" t="n">
        <v>0</v>
      </c>
      <c r="AO2827" t="n">
        <v>0</v>
      </c>
      <c r="AP2827" t="inlineStr">
        <is>
          <t>No</t>
        </is>
      </c>
      <c r="AQ2827" t="inlineStr">
        <is>
          <t>No</t>
        </is>
      </c>
      <c r="AS2827">
        <f>HYPERLINK("https://creighton-primo.hosted.exlibrisgroup.com/primo-explore/search?tab=default_tab&amp;search_scope=EVERYTHING&amp;vid=01CRU&amp;lang=en_US&amp;offset=0&amp;query=any,contains,991004055269702656","Catalog Record")</f>
        <v/>
      </c>
      <c r="AT2827">
        <f>HYPERLINK("http://www.worldcat.org/oclc/2224763","WorldCat Record")</f>
        <v/>
      </c>
      <c r="AU2827" t="inlineStr">
        <is>
          <t>3769059652:eng</t>
        </is>
      </c>
      <c r="AV2827" t="inlineStr">
        <is>
          <t>2224763</t>
        </is>
      </c>
      <c r="AW2827" t="inlineStr">
        <is>
          <t>991004055269702656</t>
        </is>
      </c>
      <c r="AX2827" t="inlineStr">
        <is>
          <t>991004055269702656</t>
        </is>
      </c>
      <c r="AY2827" t="inlineStr">
        <is>
          <t>2258770130002656</t>
        </is>
      </c>
      <c r="AZ2827" t="inlineStr">
        <is>
          <t>BOOK</t>
        </is>
      </c>
      <c r="BB2827" t="inlineStr">
        <is>
          <t>9780534004330</t>
        </is>
      </c>
      <c r="BC2827" t="inlineStr">
        <is>
          <t>32285000882661</t>
        </is>
      </c>
      <c r="BD2827" t="inlineStr">
        <is>
          <t>893343411</t>
        </is>
      </c>
    </row>
    <row r="2828">
      <c r="A2828" t="inlineStr">
        <is>
          <t>No</t>
        </is>
      </c>
      <c r="B2828" t="inlineStr">
        <is>
          <t>HQ796 .L38</t>
        </is>
      </c>
      <c r="C2828" t="inlineStr">
        <is>
          <t>0                      HQ 0796000L  38</t>
        </is>
      </c>
      <c r="D2828" t="inlineStr">
        <is>
          <t>Adolescent development : a life-span perspective / Richard M. Lerner, Graham B. Spanier.</t>
        </is>
      </c>
      <c r="F2828" t="inlineStr">
        <is>
          <t>No</t>
        </is>
      </c>
      <c r="G2828" t="inlineStr">
        <is>
          <t>1</t>
        </is>
      </c>
      <c r="H2828" t="inlineStr">
        <is>
          <t>No</t>
        </is>
      </c>
      <c r="I2828" t="inlineStr">
        <is>
          <t>No</t>
        </is>
      </c>
      <c r="J2828" t="inlineStr">
        <is>
          <t>0</t>
        </is>
      </c>
      <c r="K2828" t="inlineStr">
        <is>
          <t>Lerner, Richard M.</t>
        </is>
      </c>
      <c r="L2828" t="inlineStr">
        <is>
          <t>New York : McGraw-Hill, c1980.</t>
        </is>
      </c>
      <c r="M2828" t="inlineStr">
        <is>
          <t>1980</t>
        </is>
      </c>
      <c r="N2828" t="inlineStr">
        <is>
          <t>1st ed.</t>
        </is>
      </c>
      <c r="O2828" t="inlineStr">
        <is>
          <t>eng</t>
        </is>
      </c>
      <c r="P2828" t="inlineStr">
        <is>
          <t>nyu</t>
        </is>
      </c>
      <c r="R2828" t="inlineStr">
        <is>
          <t xml:space="preserve">HQ </t>
        </is>
      </c>
      <c r="S2828" t="n">
        <v>16</v>
      </c>
      <c r="T2828" t="n">
        <v>16</v>
      </c>
      <c r="U2828" t="inlineStr">
        <is>
          <t>2002-07-17</t>
        </is>
      </c>
      <c r="V2828" t="inlineStr">
        <is>
          <t>2002-07-17</t>
        </is>
      </c>
      <c r="W2828" t="inlineStr">
        <is>
          <t>1991-11-19</t>
        </is>
      </c>
      <c r="X2828" t="inlineStr">
        <is>
          <t>1991-11-19</t>
        </is>
      </c>
      <c r="Y2828" t="n">
        <v>300</v>
      </c>
      <c r="Z2828" t="n">
        <v>198</v>
      </c>
      <c r="AA2828" t="n">
        <v>200</v>
      </c>
      <c r="AB2828" t="n">
        <v>4</v>
      </c>
      <c r="AC2828" t="n">
        <v>4</v>
      </c>
      <c r="AD2828" t="n">
        <v>7</v>
      </c>
      <c r="AE2828" t="n">
        <v>7</v>
      </c>
      <c r="AF2828" t="n">
        <v>4</v>
      </c>
      <c r="AG2828" t="n">
        <v>4</v>
      </c>
      <c r="AH2828" t="n">
        <v>2</v>
      </c>
      <c r="AI2828" t="n">
        <v>2</v>
      </c>
      <c r="AJ2828" t="n">
        <v>4</v>
      </c>
      <c r="AK2828" t="n">
        <v>4</v>
      </c>
      <c r="AL2828" t="n">
        <v>1</v>
      </c>
      <c r="AM2828" t="n">
        <v>1</v>
      </c>
      <c r="AN2828" t="n">
        <v>0</v>
      </c>
      <c r="AO2828" t="n">
        <v>0</v>
      </c>
      <c r="AP2828" t="inlineStr">
        <is>
          <t>No</t>
        </is>
      </c>
      <c r="AQ2828" t="inlineStr">
        <is>
          <t>Yes</t>
        </is>
      </c>
      <c r="AR2828">
        <f>HYPERLINK("http://catalog.hathitrust.org/Record/000031740","HathiTrust Record")</f>
        <v/>
      </c>
      <c r="AS2828">
        <f>HYPERLINK("https://creighton-primo.hosted.exlibrisgroup.com/primo-explore/search?tab=default_tab&amp;search_scope=EVERYTHING&amp;vid=01CRU&amp;lang=en_US&amp;offset=0&amp;query=any,contains,991004831169702656","Catalog Record")</f>
        <v/>
      </c>
      <c r="AT2828">
        <f>HYPERLINK("http://www.worldcat.org/oclc/5410816","WorldCat Record")</f>
        <v/>
      </c>
      <c r="AU2828" t="inlineStr">
        <is>
          <t>15085929:eng</t>
        </is>
      </c>
      <c r="AV2828" t="inlineStr">
        <is>
          <t>5410816</t>
        </is>
      </c>
      <c r="AW2828" t="inlineStr">
        <is>
          <t>991004831169702656</t>
        </is>
      </c>
      <c r="AX2828" t="inlineStr">
        <is>
          <t>991004831169702656</t>
        </is>
      </c>
      <c r="AY2828" t="inlineStr">
        <is>
          <t>2260435810002656</t>
        </is>
      </c>
      <c r="AZ2828" t="inlineStr">
        <is>
          <t>BOOK</t>
        </is>
      </c>
      <c r="BC2828" t="inlineStr">
        <is>
          <t>32285000841089</t>
        </is>
      </c>
      <c r="BD2828" t="inlineStr">
        <is>
          <t>893260222</t>
        </is>
      </c>
    </row>
    <row r="2829">
      <c r="A2829" t="inlineStr">
        <is>
          <t>No</t>
        </is>
      </c>
      <c r="B2829" t="inlineStr">
        <is>
          <t>HQ796 .L382 1995</t>
        </is>
      </c>
      <c r="C2829" t="inlineStr">
        <is>
          <t>0                      HQ 0796000L  382         1995</t>
        </is>
      </c>
      <c r="D2829" t="inlineStr">
        <is>
          <t>America's youth in crisis : challenges and options for programs and policies / Richard M. Lerner.</t>
        </is>
      </c>
      <c r="F2829" t="inlineStr">
        <is>
          <t>No</t>
        </is>
      </c>
      <c r="G2829" t="inlineStr">
        <is>
          <t>1</t>
        </is>
      </c>
      <c r="H2829" t="inlineStr">
        <is>
          <t>No</t>
        </is>
      </c>
      <c r="I2829" t="inlineStr">
        <is>
          <t>No</t>
        </is>
      </c>
      <c r="J2829" t="inlineStr">
        <is>
          <t>0</t>
        </is>
      </c>
      <c r="K2829" t="inlineStr">
        <is>
          <t>Lerner, Richard M.</t>
        </is>
      </c>
      <c r="L2829" t="inlineStr">
        <is>
          <t>Thousand Oaks, Calif. : Sage Publications, c1995.</t>
        </is>
      </c>
      <c r="M2829" t="inlineStr">
        <is>
          <t>1995</t>
        </is>
      </c>
      <c r="O2829" t="inlineStr">
        <is>
          <t>eng</t>
        </is>
      </c>
      <c r="P2829" t="inlineStr">
        <is>
          <t>cau</t>
        </is>
      </c>
      <c r="R2829" t="inlineStr">
        <is>
          <t xml:space="preserve">HQ </t>
        </is>
      </c>
      <c r="S2829" t="n">
        <v>11</v>
      </c>
      <c r="T2829" t="n">
        <v>11</v>
      </c>
      <c r="U2829" t="inlineStr">
        <is>
          <t>2001-11-09</t>
        </is>
      </c>
      <c r="V2829" t="inlineStr">
        <is>
          <t>2001-11-09</t>
        </is>
      </c>
      <c r="W2829" t="inlineStr">
        <is>
          <t>1995-04-03</t>
        </is>
      </c>
      <c r="X2829" t="inlineStr">
        <is>
          <t>1995-04-03</t>
        </is>
      </c>
      <c r="Y2829" t="n">
        <v>439</v>
      </c>
      <c r="Z2829" t="n">
        <v>387</v>
      </c>
      <c r="AA2829" t="n">
        <v>459</v>
      </c>
      <c r="AB2829" t="n">
        <v>6</v>
      </c>
      <c r="AC2829" t="n">
        <v>6</v>
      </c>
      <c r="AD2829" t="n">
        <v>26</v>
      </c>
      <c r="AE2829" t="n">
        <v>28</v>
      </c>
      <c r="AF2829" t="n">
        <v>8</v>
      </c>
      <c r="AG2829" t="n">
        <v>9</v>
      </c>
      <c r="AH2829" t="n">
        <v>5</v>
      </c>
      <c r="AI2829" t="n">
        <v>7</v>
      </c>
      <c r="AJ2829" t="n">
        <v>13</v>
      </c>
      <c r="AK2829" t="n">
        <v>13</v>
      </c>
      <c r="AL2829" t="n">
        <v>5</v>
      </c>
      <c r="AM2829" t="n">
        <v>5</v>
      </c>
      <c r="AN2829" t="n">
        <v>1</v>
      </c>
      <c r="AO2829" t="n">
        <v>1</v>
      </c>
      <c r="AP2829" t="inlineStr">
        <is>
          <t>No</t>
        </is>
      </c>
      <c r="AQ2829" t="inlineStr">
        <is>
          <t>Yes</t>
        </is>
      </c>
      <c r="AR2829">
        <f>HYPERLINK("http://catalog.hathitrust.org/Record/002916459","HathiTrust Record")</f>
        <v/>
      </c>
      <c r="AS2829">
        <f>HYPERLINK("https://creighton-primo.hosted.exlibrisgroup.com/primo-explore/search?tab=default_tab&amp;search_scope=EVERYTHING&amp;vid=01CRU&amp;lang=en_US&amp;offset=0&amp;query=any,contains,991002393249702656","Catalog Record")</f>
        <v/>
      </c>
      <c r="AT2829">
        <f>HYPERLINK("http://www.worldcat.org/oclc/31076486","WorldCat Record")</f>
        <v/>
      </c>
      <c r="AU2829" t="inlineStr">
        <is>
          <t>836947774:eng</t>
        </is>
      </c>
      <c r="AV2829" t="inlineStr">
        <is>
          <t>31076486</t>
        </is>
      </c>
      <c r="AW2829" t="inlineStr">
        <is>
          <t>991002393249702656</t>
        </is>
      </c>
      <c r="AX2829" t="inlineStr">
        <is>
          <t>991002393249702656</t>
        </is>
      </c>
      <c r="AY2829" t="inlineStr">
        <is>
          <t>2271766720002656</t>
        </is>
      </c>
      <c r="AZ2829" t="inlineStr">
        <is>
          <t>BOOK</t>
        </is>
      </c>
      <c r="BB2829" t="inlineStr">
        <is>
          <t>9780803970687</t>
        </is>
      </c>
      <c r="BC2829" t="inlineStr">
        <is>
          <t>32285002015930</t>
        </is>
      </c>
      <c r="BD2829" t="inlineStr">
        <is>
          <t>893879859</t>
        </is>
      </c>
    </row>
    <row r="2830">
      <c r="A2830" t="inlineStr">
        <is>
          <t>No</t>
        </is>
      </c>
      <c r="B2830" t="inlineStr">
        <is>
          <t>HQ796 .L79 1984</t>
        </is>
      </c>
      <c r="C2830" t="inlineStr">
        <is>
          <t>0                      HQ 0796000L  79          1984</t>
        </is>
      </c>
      <c r="D2830" t="inlineStr">
        <is>
          <t>Adolescent sex roles and social change / Lloyd B. Lueptow.</t>
        </is>
      </c>
      <c r="F2830" t="inlineStr">
        <is>
          <t>No</t>
        </is>
      </c>
      <c r="G2830" t="inlineStr">
        <is>
          <t>1</t>
        </is>
      </c>
      <c r="H2830" t="inlineStr">
        <is>
          <t>No</t>
        </is>
      </c>
      <c r="I2830" t="inlineStr">
        <is>
          <t>No</t>
        </is>
      </c>
      <c r="J2830" t="inlineStr">
        <is>
          <t>0</t>
        </is>
      </c>
      <c r="K2830" t="inlineStr">
        <is>
          <t>Lueptow, Lloyd B.</t>
        </is>
      </c>
      <c r="L2830" t="inlineStr">
        <is>
          <t>New York : Columbia University Press, 1984.</t>
        </is>
      </c>
      <c r="M2830" t="inlineStr">
        <is>
          <t>1984</t>
        </is>
      </c>
      <c r="O2830" t="inlineStr">
        <is>
          <t>eng</t>
        </is>
      </c>
      <c r="P2830" t="inlineStr">
        <is>
          <t>nyu</t>
        </is>
      </c>
      <c r="R2830" t="inlineStr">
        <is>
          <t xml:space="preserve">HQ </t>
        </is>
      </c>
      <c r="S2830" t="n">
        <v>14</v>
      </c>
      <c r="T2830" t="n">
        <v>14</v>
      </c>
      <c r="U2830" t="inlineStr">
        <is>
          <t>2009-10-28</t>
        </is>
      </c>
      <c r="V2830" t="inlineStr">
        <is>
          <t>2009-10-28</t>
        </is>
      </c>
      <c r="W2830" t="inlineStr">
        <is>
          <t>1992-04-16</t>
        </is>
      </c>
      <c r="X2830" t="inlineStr">
        <is>
          <t>1992-04-16</t>
        </is>
      </c>
      <c r="Y2830" t="n">
        <v>496</v>
      </c>
      <c r="Z2830" t="n">
        <v>417</v>
      </c>
      <c r="AA2830" t="n">
        <v>423</v>
      </c>
      <c r="AB2830" t="n">
        <v>4</v>
      </c>
      <c r="AC2830" t="n">
        <v>4</v>
      </c>
      <c r="AD2830" t="n">
        <v>17</v>
      </c>
      <c r="AE2830" t="n">
        <v>17</v>
      </c>
      <c r="AF2830" t="n">
        <v>4</v>
      </c>
      <c r="AG2830" t="n">
        <v>4</v>
      </c>
      <c r="AH2830" t="n">
        <v>6</v>
      </c>
      <c r="AI2830" t="n">
        <v>6</v>
      </c>
      <c r="AJ2830" t="n">
        <v>8</v>
      </c>
      <c r="AK2830" t="n">
        <v>8</v>
      </c>
      <c r="AL2830" t="n">
        <v>3</v>
      </c>
      <c r="AM2830" t="n">
        <v>3</v>
      </c>
      <c r="AN2830" t="n">
        <v>0</v>
      </c>
      <c r="AO2830" t="n">
        <v>0</v>
      </c>
      <c r="AP2830" t="inlineStr">
        <is>
          <t>No</t>
        </is>
      </c>
      <c r="AQ2830" t="inlineStr">
        <is>
          <t>No</t>
        </is>
      </c>
      <c r="AS2830">
        <f>HYPERLINK("https://creighton-primo.hosted.exlibrisgroup.com/primo-explore/search?tab=default_tab&amp;search_scope=EVERYTHING&amp;vid=01CRU&amp;lang=en_US&amp;offset=0&amp;query=any,contains,991000243659702656","Catalog Record")</f>
        <v/>
      </c>
      <c r="AT2830">
        <f>HYPERLINK("http://www.worldcat.org/oclc/9686621","WorldCat Record")</f>
        <v/>
      </c>
      <c r="AU2830" t="inlineStr">
        <is>
          <t>43783202:eng</t>
        </is>
      </c>
      <c r="AV2830" t="inlineStr">
        <is>
          <t>9686621</t>
        </is>
      </c>
      <c r="AW2830" t="inlineStr">
        <is>
          <t>991000243659702656</t>
        </is>
      </c>
      <c r="AX2830" t="inlineStr">
        <is>
          <t>991000243659702656</t>
        </is>
      </c>
      <c r="AY2830" t="inlineStr">
        <is>
          <t>2263897360002656</t>
        </is>
      </c>
      <c r="AZ2830" t="inlineStr">
        <is>
          <t>BOOK</t>
        </is>
      </c>
      <c r="BB2830" t="inlineStr">
        <is>
          <t>9780231057127</t>
        </is>
      </c>
      <c r="BC2830" t="inlineStr">
        <is>
          <t>32285001044642</t>
        </is>
      </c>
      <c r="BD2830" t="inlineStr">
        <is>
          <t>893708238</t>
        </is>
      </c>
    </row>
    <row r="2831">
      <c r="A2831" t="inlineStr">
        <is>
          <t>No</t>
        </is>
      </c>
      <c r="B2831" t="inlineStr">
        <is>
          <t>HQ796 .M348</t>
        </is>
      </c>
      <c r="C2831" t="inlineStr">
        <is>
          <t>0                      HQ 0796000M  348</t>
        </is>
      </c>
      <c r="D2831" t="inlineStr">
        <is>
          <t>Adolescence today : sex roles and the search for identity / David R. Matteson.</t>
        </is>
      </c>
      <c r="F2831" t="inlineStr">
        <is>
          <t>No</t>
        </is>
      </c>
      <c r="G2831" t="inlineStr">
        <is>
          <t>1</t>
        </is>
      </c>
      <c r="H2831" t="inlineStr">
        <is>
          <t>No</t>
        </is>
      </c>
      <c r="I2831" t="inlineStr">
        <is>
          <t>No</t>
        </is>
      </c>
      <c r="J2831" t="inlineStr">
        <is>
          <t>0</t>
        </is>
      </c>
      <c r="K2831" t="inlineStr">
        <is>
          <t>Matteson, David R.</t>
        </is>
      </c>
      <c r="L2831" t="inlineStr">
        <is>
          <t>Homewood, Ill. : Dorsey Press, 1975.</t>
        </is>
      </c>
      <c r="M2831" t="inlineStr">
        <is>
          <t>1975</t>
        </is>
      </c>
      <c r="O2831" t="inlineStr">
        <is>
          <t>eng</t>
        </is>
      </c>
      <c r="P2831" t="inlineStr">
        <is>
          <t>ilu</t>
        </is>
      </c>
      <c r="Q2831" t="inlineStr">
        <is>
          <t>The Dorsey series in psychology</t>
        </is>
      </c>
      <c r="R2831" t="inlineStr">
        <is>
          <t xml:space="preserve">HQ </t>
        </is>
      </c>
      <c r="S2831" t="n">
        <v>7</v>
      </c>
      <c r="T2831" t="n">
        <v>7</v>
      </c>
      <c r="U2831" t="inlineStr">
        <is>
          <t>1998-11-21</t>
        </is>
      </c>
      <c r="V2831" t="inlineStr">
        <is>
          <t>1998-11-21</t>
        </is>
      </c>
      <c r="W2831" t="inlineStr">
        <is>
          <t>1995-05-06</t>
        </is>
      </c>
      <c r="X2831" t="inlineStr">
        <is>
          <t>1995-05-06</t>
        </is>
      </c>
      <c r="Y2831" t="n">
        <v>359</v>
      </c>
      <c r="Z2831" t="n">
        <v>281</v>
      </c>
      <c r="AA2831" t="n">
        <v>287</v>
      </c>
      <c r="AB2831" t="n">
        <v>3</v>
      </c>
      <c r="AC2831" t="n">
        <v>3</v>
      </c>
      <c r="AD2831" t="n">
        <v>15</v>
      </c>
      <c r="AE2831" t="n">
        <v>15</v>
      </c>
      <c r="AF2831" t="n">
        <v>6</v>
      </c>
      <c r="AG2831" t="n">
        <v>6</v>
      </c>
      <c r="AH2831" t="n">
        <v>3</v>
      </c>
      <c r="AI2831" t="n">
        <v>3</v>
      </c>
      <c r="AJ2831" t="n">
        <v>10</v>
      </c>
      <c r="AK2831" t="n">
        <v>10</v>
      </c>
      <c r="AL2831" t="n">
        <v>1</v>
      </c>
      <c r="AM2831" t="n">
        <v>1</v>
      </c>
      <c r="AN2831" t="n">
        <v>0</v>
      </c>
      <c r="AO2831" t="n">
        <v>0</v>
      </c>
      <c r="AP2831" t="inlineStr">
        <is>
          <t>No</t>
        </is>
      </c>
      <c r="AQ2831" t="inlineStr">
        <is>
          <t>Yes</t>
        </is>
      </c>
      <c r="AR2831">
        <f>HYPERLINK("http://catalog.hathitrust.org/Record/000030444","HathiTrust Record")</f>
        <v/>
      </c>
      <c r="AS2831">
        <f>HYPERLINK("https://creighton-primo.hosted.exlibrisgroup.com/primo-explore/search?tab=default_tab&amp;search_scope=EVERYTHING&amp;vid=01CRU&amp;lang=en_US&amp;offset=0&amp;query=any,contains,991003771339702656","Catalog Record")</f>
        <v/>
      </c>
      <c r="AT2831">
        <f>HYPERLINK("http://www.worldcat.org/oclc/1471896","WorldCat Record")</f>
        <v/>
      </c>
      <c r="AU2831" t="inlineStr">
        <is>
          <t>905409432:eng</t>
        </is>
      </c>
      <c r="AV2831" t="inlineStr">
        <is>
          <t>1471896</t>
        </is>
      </c>
      <c r="AW2831" t="inlineStr">
        <is>
          <t>991003771339702656</t>
        </is>
      </c>
      <c r="AX2831" t="inlineStr">
        <is>
          <t>991003771339702656</t>
        </is>
      </c>
      <c r="AY2831" t="inlineStr">
        <is>
          <t>2255548470002656</t>
        </is>
      </c>
      <c r="AZ2831" t="inlineStr">
        <is>
          <t>BOOK</t>
        </is>
      </c>
      <c r="BB2831" t="inlineStr">
        <is>
          <t>9780256017311</t>
        </is>
      </c>
      <c r="BC2831" t="inlineStr">
        <is>
          <t>32285002032448</t>
        </is>
      </c>
      <c r="BD2831" t="inlineStr">
        <is>
          <t>893617726</t>
        </is>
      </c>
    </row>
    <row r="2832">
      <c r="A2832" t="inlineStr">
        <is>
          <t>No</t>
        </is>
      </c>
      <c r="B2832" t="inlineStr">
        <is>
          <t>HQ796 .N565</t>
        </is>
      </c>
      <c r="C2832" t="inlineStr">
        <is>
          <t>0                      HQ 0796000N  565</t>
        </is>
      </c>
      <c r="D2832" t="inlineStr">
        <is>
          <t>The private life of the American teenager : the Norman/Harris report / Jane Norman and Myron W. Harris.</t>
        </is>
      </c>
      <c r="F2832" t="inlineStr">
        <is>
          <t>No</t>
        </is>
      </c>
      <c r="G2832" t="inlineStr">
        <is>
          <t>1</t>
        </is>
      </c>
      <c r="H2832" t="inlineStr">
        <is>
          <t>No</t>
        </is>
      </c>
      <c r="I2832" t="inlineStr">
        <is>
          <t>No</t>
        </is>
      </c>
      <c r="J2832" t="inlineStr">
        <is>
          <t>0</t>
        </is>
      </c>
      <c r="K2832" t="inlineStr">
        <is>
          <t>Norman, Jane, 1935-</t>
        </is>
      </c>
      <c r="L2832" t="inlineStr">
        <is>
          <t>New York : Rawson, Wade, c1981.</t>
        </is>
      </c>
      <c r="M2832" t="inlineStr">
        <is>
          <t>1981</t>
        </is>
      </c>
      <c r="O2832" t="inlineStr">
        <is>
          <t>eng</t>
        </is>
      </c>
      <c r="P2832" t="inlineStr">
        <is>
          <t>nyu</t>
        </is>
      </c>
      <c r="R2832" t="inlineStr">
        <is>
          <t xml:space="preserve">HQ </t>
        </is>
      </c>
      <c r="S2832" t="n">
        <v>5</v>
      </c>
      <c r="T2832" t="n">
        <v>5</v>
      </c>
      <c r="U2832" t="inlineStr">
        <is>
          <t>1999-11-14</t>
        </is>
      </c>
      <c r="V2832" t="inlineStr">
        <is>
          <t>1999-11-14</t>
        </is>
      </c>
      <c r="W2832" t="inlineStr">
        <is>
          <t>1990-03-22</t>
        </is>
      </c>
      <c r="X2832" t="inlineStr">
        <is>
          <t>1990-03-22</t>
        </is>
      </c>
      <c r="Y2832" t="n">
        <v>687</v>
      </c>
      <c r="Z2832" t="n">
        <v>649</v>
      </c>
      <c r="AA2832" t="n">
        <v>650</v>
      </c>
      <c r="AB2832" t="n">
        <v>6</v>
      </c>
      <c r="AC2832" t="n">
        <v>6</v>
      </c>
      <c r="AD2832" t="n">
        <v>9</v>
      </c>
      <c r="AE2832" t="n">
        <v>9</v>
      </c>
      <c r="AF2832" t="n">
        <v>5</v>
      </c>
      <c r="AG2832" t="n">
        <v>5</v>
      </c>
      <c r="AH2832" t="n">
        <v>1</v>
      </c>
      <c r="AI2832" t="n">
        <v>1</v>
      </c>
      <c r="AJ2832" t="n">
        <v>4</v>
      </c>
      <c r="AK2832" t="n">
        <v>4</v>
      </c>
      <c r="AL2832" t="n">
        <v>1</v>
      </c>
      <c r="AM2832" t="n">
        <v>1</v>
      </c>
      <c r="AN2832" t="n">
        <v>0</v>
      </c>
      <c r="AO2832" t="n">
        <v>0</v>
      </c>
      <c r="AP2832" t="inlineStr">
        <is>
          <t>No</t>
        </is>
      </c>
      <c r="AQ2832" t="inlineStr">
        <is>
          <t>Yes</t>
        </is>
      </c>
      <c r="AR2832">
        <f>HYPERLINK("http://catalog.hathitrust.org/Record/000102462","HathiTrust Record")</f>
        <v/>
      </c>
      <c r="AS2832">
        <f>HYPERLINK("https://creighton-primo.hosted.exlibrisgroup.com/primo-explore/search?tab=default_tab&amp;search_scope=EVERYTHING&amp;vid=01CRU&amp;lang=en_US&amp;offset=0&amp;query=any,contains,991005113179702656","Catalog Record")</f>
        <v/>
      </c>
      <c r="AT2832">
        <f>HYPERLINK("http://www.worldcat.org/oclc/7459916","WorldCat Record")</f>
        <v/>
      </c>
      <c r="AU2832" t="inlineStr">
        <is>
          <t>27240898:eng</t>
        </is>
      </c>
      <c r="AV2832" t="inlineStr">
        <is>
          <t>7459916</t>
        </is>
      </c>
      <c r="AW2832" t="inlineStr">
        <is>
          <t>991005113179702656</t>
        </is>
      </c>
      <c r="AX2832" t="inlineStr">
        <is>
          <t>991005113179702656</t>
        </is>
      </c>
      <c r="AY2832" t="inlineStr">
        <is>
          <t>2256462470002656</t>
        </is>
      </c>
      <c r="AZ2832" t="inlineStr">
        <is>
          <t>BOOK</t>
        </is>
      </c>
      <c r="BB2832" t="inlineStr">
        <is>
          <t>9780892561414</t>
        </is>
      </c>
      <c r="BC2832" t="inlineStr">
        <is>
          <t>32285000095108</t>
        </is>
      </c>
      <c r="BD2832" t="inlineStr">
        <is>
          <t>893254482</t>
        </is>
      </c>
    </row>
    <row r="2833">
      <c r="A2833" t="inlineStr">
        <is>
          <t>No</t>
        </is>
      </c>
      <c r="B2833" t="inlineStr">
        <is>
          <t>HQ796 .P75</t>
        </is>
      </c>
      <c r="C2833" t="inlineStr">
        <is>
          <t>0                      HQ 0796000P  75</t>
        </is>
      </c>
      <c r="D2833" t="inlineStr">
        <is>
          <t>Problems of runaway youth / [edited by] John G. Cull, Richard E. Hardy.</t>
        </is>
      </c>
      <c r="F2833" t="inlineStr">
        <is>
          <t>No</t>
        </is>
      </c>
      <c r="G2833" t="inlineStr">
        <is>
          <t>1</t>
        </is>
      </c>
      <c r="H2833" t="inlineStr">
        <is>
          <t>No</t>
        </is>
      </c>
      <c r="I2833" t="inlineStr">
        <is>
          <t>No</t>
        </is>
      </c>
      <c r="J2833" t="inlineStr">
        <is>
          <t>0</t>
        </is>
      </c>
      <c r="L2833" t="inlineStr">
        <is>
          <t>Springfield, Ill. : Thomas, c1976.</t>
        </is>
      </c>
      <c r="M2833" t="inlineStr">
        <is>
          <t>1976</t>
        </is>
      </c>
      <c r="O2833" t="inlineStr">
        <is>
          <t>eng</t>
        </is>
      </c>
      <c r="P2833" t="inlineStr">
        <is>
          <t>ilu</t>
        </is>
      </c>
      <c r="Q2833" t="inlineStr">
        <is>
          <t>American lecture series ; publication no. 985</t>
        </is>
      </c>
      <c r="R2833" t="inlineStr">
        <is>
          <t xml:space="preserve">HQ </t>
        </is>
      </c>
      <c r="S2833" t="n">
        <v>4</v>
      </c>
      <c r="T2833" t="n">
        <v>4</v>
      </c>
      <c r="U2833" t="inlineStr">
        <is>
          <t>2001-02-23</t>
        </is>
      </c>
      <c r="V2833" t="inlineStr">
        <is>
          <t>2001-02-23</t>
        </is>
      </c>
      <c r="W2833" t="inlineStr">
        <is>
          <t>1993-11-29</t>
        </is>
      </c>
      <c r="X2833" t="inlineStr">
        <is>
          <t>1993-11-29</t>
        </is>
      </c>
      <c r="Y2833" t="n">
        <v>276</v>
      </c>
      <c r="Z2833" t="n">
        <v>232</v>
      </c>
      <c r="AA2833" t="n">
        <v>235</v>
      </c>
      <c r="AB2833" t="n">
        <v>1</v>
      </c>
      <c r="AC2833" t="n">
        <v>1</v>
      </c>
      <c r="AD2833" t="n">
        <v>7</v>
      </c>
      <c r="AE2833" t="n">
        <v>7</v>
      </c>
      <c r="AF2833" t="n">
        <v>1</v>
      </c>
      <c r="AG2833" t="n">
        <v>1</v>
      </c>
      <c r="AH2833" t="n">
        <v>2</v>
      </c>
      <c r="AI2833" t="n">
        <v>2</v>
      </c>
      <c r="AJ2833" t="n">
        <v>3</v>
      </c>
      <c r="AK2833" t="n">
        <v>3</v>
      </c>
      <c r="AL2833" t="n">
        <v>0</v>
      </c>
      <c r="AM2833" t="n">
        <v>0</v>
      </c>
      <c r="AN2833" t="n">
        <v>2</v>
      </c>
      <c r="AO2833" t="n">
        <v>2</v>
      </c>
      <c r="AP2833" t="inlineStr">
        <is>
          <t>No</t>
        </is>
      </c>
      <c r="AQ2833" t="inlineStr">
        <is>
          <t>Yes</t>
        </is>
      </c>
      <c r="AR2833">
        <f>HYPERLINK("http://catalog.hathitrust.org/Record/000020728","HathiTrust Record")</f>
        <v/>
      </c>
      <c r="AS2833">
        <f>HYPERLINK("https://creighton-primo.hosted.exlibrisgroup.com/primo-explore/search?tab=default_tab&amp;search_scope=EVERYTHING&amp;vid=01CRU&amp;lang=en_US&amp;offset=0&amp;query=any,contains,991003628179702656","Catalog Record")</f>
        <v/>
      </c>
      <c r="AT2833">
        <f>HYPERLINK("http://www.worldcat.org/oclc/1218524","WorldCat Record")</f>
        <v/>
      </c>
      <c r="AU2833" t="inlineStr">
        <is>
          <t>423038893:eng</t>
        </is>
      </c>
      <c r="AV2833" t="inlineStr">
        <is>
          <t>1218524</t>
        </is>
      </c>
      <c r="AW2833" t="inlineStr">
        <is>
          <t>991003628179702656</t>
        </is>
      </c>
      <c r="AX2833" t="inlineStr">
        <is>
          <t>991003628179702656</t>
        </is>
      </c>
      <c r="AY2833" t="inlineStr">
        <is>
          <t>2271759460002656</t>
        </is>
      </c>
      <c r="AZ2833" t="inlineStr">
        <is>
          <t>BOOK</t>
        </is>
      </c>
      <c r="BB2833" t="inlineStr">
        <is>
          <t>9780398034252</t>
        </is>
      </c>
      <c r="BC2833" t="inlineStr">
        <is>
          <t>32285001813947</t>
        </is>
      </c>
      <c r="BD2833" t="inlineStr">
        <is>
          <t>893605012</t>
        </is>
      </c>
    </row>
    <row r="2834">
      <c r="A2834" t="inlineStr">
        <is>
          <t>No</t>
        </is>
      </c>
      <c r="B2834" t="inlineStr">
        <is>
          <t>HQ796 .R543 1984</t>
        </is>
      </c>
      <c r="C2834" t="inlineStr">
        <is>
          <t>0                      HQ 0796000R  543         1984</t>
        </is>
      </c>
      <c r="D2834" t="inlineStr">
        <is>
          <t>The adolescent : development, relationships, and culture / F. Philip Rice.</t>
        </is>
      </c>
      <c r="F2834" t="inlineStr">
        <is>
          <t>No</t>
        </is>
      </c>
      <c r="G2834" t="inlineStr">
        <is>
          <t>1</t>
        </is>
      </c>
      <c r="H2834" t="inlineStr">
        <is>
          <t>No</t>
        </is>
      </c>
      <c r="I2834" t="inlineStr">
        <is>
          <t>No</t>
        </is>
      </c>
      <c r="J2834" t="inlineStr">
        <is>
          <t>0</t>
        </is>
      </c>
      <c r="K2834" t="inlineStr">
        <is>
          <t>Rice, F. Philip.</t>
        </is>
      </c>
      <c r="L2834" t="inlineStr">
        <is>
          <t>Boston : Allyn and Bacon, c1984.</t>
        </is>
      </c>
      <c r="M2834" t="inlineStr">
        <is>
          <t>1984</t>
        </is>
      </c>
      <c r="N2834" t="inlineStr">
        <is>
          <t>4th ed.</t>
        </is>
      </c>
      <c r="O2834" t="inlineStr">
        <is>
          <t>eng</t>
        </is>
      </c>
      <c r="P2834" t="inlineStr">
        <is>
          <t>mau</t>
        </is>
      </c>
      <c r="R2834" t="inlineStr">
        <is>
          <t xml:space="preserve">HQ </t>
        </is>
      </c>
      <c r="S2834" t="n">
        <v>28</v>
      </c>
      <c r="T2834" t="n">
        <v>28</v>
      </c>
      <c r="U2834" t="inlineStr">
        <is>
          <t>1999-09-28</t>
        </is>
      </c>
      <c r="V2834" t="inlineStr">
        <is>
          <t>1999-09-28</t>
        </is>
      </c>
      <c r="W2834" t="inlineStr">
        <is>
          <t>1990-04-26</t>
        </is>
      </c>
      <c r="X2834" t="inlineStr">
        <is>
          <t>1990-04-26</t>
        </is>
      </c>
      <c r="Y2834" t="n">
        <v>118</v>
      </c>
      <c r="Z2834" t="n">
        <v>79</v>
      </c>
      <c r="AA2834" t="n">
        <v>854</v>
      </c>
      <c r="AB2834" t="n">
        <v>1</v>
      </c>
      <c r="AC2834" t="n">
        <v>2</v>
      </c>
      <c r="AD2834" t="n">
        <v>1</v>
      </c>
      <c r="AE2834" t="n">
        <v>20</v>
      </c>
      <c r="AF2834" t="n">
        <v>0</v>
      </c>
      <c r="AG2834" t="n">
        <v>8</v>
      </c>
      <c r="AH2834" t="n">
        <v>0</v>
      </c>
      <c r="AI2834" t="n">
        <v>5</v>
      </c>
      <c r="AJ2834" t="n">
        <v>1</v>
      </c>
      <c r="AK2834" t="n">
        <v>12</v>
      </c>
      <c r="AL2834" t="n">
        <v>0</v>
      </c>
      <c r="AM2834" t="n">
        <v>1</v>
      </c>
      <c r="AN2834" t="n">
        <v>0</v>
      </c>
      <c r="AO2834" t="n">
        <v>0</v>
      </c>
      <c r="AP2834" t="inlineStr">
        <is>
          <t>No</t>
        </is>
      </c>
      <c r="AQ2834" t="inlineStr">
        <is>
          <t>No</t>
        </is>
      </c>
      <c r="AS2834">
        <f>HYPERLINK("https://creighton-primo.hosted.exlibrisgroup.com/primo-explore/search?tab=default_tab&amp;search_scope=EVERYTHING&amp;vid=01CRU&amp;lang=en_US&amp;offset=0&amp;query=any,contains,991000477749702656","Catalog Record")</f>
        <v/>
      </c>
      <c r="AT2834">
        <f>HYPERLINK("http://www.worldcat.org/oclc/11040237","WorldCat Record")</f>
        <v/>
      </c>
      <c r="AU2834" t="inlineStr">
        <is>
          <t>221594:eng</t>
        </is>
      </c>
      <c r="AV2834" t="inlineStr">
        <is>
          <t>11040237</t>
        </is>
      </c>
      <c r="AW2834" t="inlineStr">
        <is>
          <t>991000477749702656</t>
        </is>
      </c>
      <c r="AX2834" t="inlineStr">
        <is>
          <t>991000477749702656</t>
        </is>
      </c>
      <c r="AY2834" t="inlineStr">
        <is>
          <t>2258102810002656</t>
        </is>
      </c>
      <c r="AZ2834" t="inlineStr">
        <is>
          <t>BOOK</t>
        </is>
      </c>
      <c r="BB2834" t="inlineStr">
        <is>
          <t>9780205081233</t>
        </is>
      </c>
      <c r="BC2834" t="inlineStr">
        <is>
          <t>32285000134543</t>
        </is>
      </c>
      <c r="BD2834" t="inlineStr">
        <is>
          <t>893890723</t>
        </is>
      </c>
    </row>
    <row r="2835">
      <c r="A2835" t="inlineStr">
        <is>
          <t>No</t>
        </is>
      </c>
      <c r="B2835" t="inlineStr">
        <is>
          <t>HQ796 .R63 1977</t>
        </is>
      </c>
      <c r="C2835" t="inlineStr">
        <is>
          <t>0                      HQ 0796000R  63          1977</t>
        </is>
      </c>
      <c r="D2835" t="inlineStr">
        <is>
          <t>The psychology of adolescence / Dorothy Rogers.</t>
        </is>
      </c>
      <c r="F2835" t="inlineStr">
        <is>
          <t>No</t>
        </is>
      </c>
      <c r="G2835" t="inlineStr">
        <is>
          <t>1</t>
        </is>
      </c>
      <c r="H2835" t="inlineStr">
        <is>
          <t>No</t>
        </is>
      </c>
      <c r="I2835" t="inlineStr">
        <is>
          <t>No</t>
        </is>
      </c>
      <c r="J2835" t="inlineStr">
        <is>
          <t>0</t>
        </is>
      </c>
      <c r="K2835" t="inlineStr">
        <is>
          <t>Rogers, Dorothy, 1914-1986.</t>
        </is>
      </c>
      <c r="L2835" t="inlineStr">
        <is>
          <t>Englewood Cliffs, N.J. : Prentice-Hall, c1977.</t>
        </is>
      </c>
      <c r="M2835" t="inlineStr">
        <is>
          <t>1977</t>
        </is>
      </c>
      <c r="N2835" t="inlineStr">
        <is>
          <t>3d ed.</t>
        </is>
      </c>
      <c r="O2835" t="inlineStr">
        <is>
          <t>eng</t>
        </is>
      </c>
      <c r="P2835" t="inlineStr">
        <is>
          <t>nju</t>
        </is>
      </c>
      <c r="R2835" t="inlineStr">
        <is>
          <t xml:space="preserve">HQ </t>
        </is>
      </c>
      <c r="S2835" t="n">
        <v>7</v>
      </c>
      <c r="T2835" t="n">
        <v>7</v>
      </c>
      <c r="U2835" t="inlineStr">
        <is>
          <t>2003-04-14</t>
        </is>
      </c>
      <c r="V2835" t="inlineStr">
        <is>
          <t>2003-04-14</t>
        </is>
      </c>
      <c r="W2835" t="inlineStr">
        <is>
          <t>1992-04-30</t>
        </is>
      </c>
      <c r="X2835" t="inlineStr">
        <is>
          <t>1992-04-30</t>
        </is>
      </c>
      <c r="Y2835" t="n">
        <v>173</v>
      </c>
      <c r="Z2835" t="n">
        <v>140</v>
      </c>
      <c r="AA2835" t="n">
        <v>488</v>
      </c>
      <c r="AB2835" t="n">
        <v>3</v>
      </c>
      <c r="AC2835" t="n">
        <v>5</v>
      </c>
      <c r="AD2835" t="n">
        <v>4</v>
      </c>
      <c r="AE2835" t="n">
        <v>19</v>
      </c>
      <c r="AF2835" t="n">
        <v>0</v>
      </c>
      <c r="AG2835" t="n">
        <v>4</v>
      </c>
      <c r="AH2835" t="n">
        <v>1</v>
      </c>
      <c r="AI2835" t="n">
        <v>4</v>
      </c>
      <c r="AJ2835" t="n">
        <v>3</v>
      </c>
      <c r="AK2835" t="n">
        <v>10</v>
      </c>
      <c r="AL2835" t="n">
        <v>1</v>
      </c>
      <c r="AM2835" t="n">
        <v>3</v>
      </c>
      <c r="AN2835" t="n">
        <v>0</v>
      </c>
      <c r="AO2835" t="n">
        <v>0</v>
      </c>
      <c r="AP2835" t="inlineStr">
        <is>
          <t>No</t>
        </is>
      </c>
      <c r="AQ2835" t="inlineStr">
        <is>
          <t>Yes</t>
        </is>
      </c>
      <c r="AR2835">
        <f>HYPERLINK("http://catalog.hathitrust.org/Record/102035621","HathiTrust Record")</f>
        <v/>
      </c>
      <c r="AS2835">
        <f>HYPERLINK("https://creighton-primo.hosted.exlibrisgroup.com/primo-explore/search?tab=default_tab&amp;search_scope=EVERYTHING&amp;vid=01CRU&amp;lang=en_US&amp;offset=0&amp;query=any,contains,991004213029702656","Catalog Record")</f>
        <v/>
      </c>
      <c r="AT2835">
        <f>HYPERLINK("http://www.worldcat.org/oclc/2689795","WorldCat Record")</f>
        <v/>
      </c>
      <c r="AU2835" t="inlineStr">
        <is>
          <t>3943338643:eng</t>
        </is>
      </c>
      <c r="AV2835" t="inlineStr">
        <is>
          <t>2689795</t>
        </is>
      </c>
      <c r="AW2835" t="inlineStr">
        <is>
          <t>991004213029702656</t>
        </is>
      </c>
      <c r="AX2835" t="inlineStr">
        <is>
          <t>991004213029702656</t>
        </is>
      </c>
      <c r="AY2835" t="inlineStr">
        <is>
          <t>2259937940002656</t>
        </is>
      </c>
      <c r="AZ2835" t="inlineStr">
        <is>
          <t>BOOK</t>
        </is>
      </c>
      <c r="BB2835" t="inlineStr">
        <is>
          <t>9780137348978</t>
        </is>
      </c>
      <c r="BC2835" t="inlineStr">
        <is>
          <t>32285001096170</t>
        </is>
      </c>
      <c r="BD2835" t="inlineStr">
        <is>
          <t>893519381</t>
        </is>
      </c>
    </row>
    <row r="2836">
      <c r="A2836" t="inlineStr">
        <is>
          <t>No</t>
        </is>
      </c>
      <c r="B2836" t="inlineStr">
        <is>
          <t>HQ796 .R86 1980</t>
        </is>
      </c>
      <c r="C2836" t="inlineStr">
        <is>
          <t>0                      HQ 0796000R  86          1980</t>
        </is>
      </c>
      <c r="D2836" t="inlineStr">
        <is>
          <t>Runaways / edited by F. Ivan Nye and Craig Edelbrock.</t>
        </is>
      </c>
      <c r="F2836" t="inlineStr">
        <is>
          <t>No</t>
        </is>
      </c>
      <c r="G2836" t="inlineStr">
        <is>
          <t>1</t>
        </is>
      </c>
      <c r="H2836" t="inlineStr">
        <is>
          <t>No</t>
        </is>
      </c>
      <c r="I2836" t="inlineStr">
        <is>
          <t>No</t>
        </is>
      </c>
      <c r="J2836" t="inlineStr">
        <is>
          <t>0</t>
        </is>
      </c>
      <c r="L2836" t="inlineStr">
        <is>
          <t>Beverly Hills, Calif. : Sage Publications, c1980.</t>
        </is>
      </c>
      <c r="M2836" t="inlineStr">
        <is>
          <t>1980</t>
        </is>
      </c>
      <c r="O2836" t="inlineStr">
        <is>
          <t>eng</t>
        </is>
      </c>
      <c r="P2836" t="inlineStr">
        <is>
          <t>cau</t>
        </is>
      </c>
      <c r="Q2836" t="inlineStr">
        <is>
          <t>Journal of family issues ; v. 1, no. 2</t>
        </is>
      </c>
      <c r="R2836" t="inlineStr">
        <is>
          <t xml:space="preserve">HQ </t>
        </is>
      </c>
      <c r="S2836" t="n">
        <v>2</v>
      </c>
      <c r="T2836" t="n">
        <v>2</v>
      </c>
      <c r="U2836" t="inlineStr">
        <is>
          <t>1997-06-27</t>
        </is>
      </c>
      <c r="V2836" t="inlineStr">
        <is>
          <t>1997-06-27</t>
        </is>
      </c>
      <c r="W2836" t="inlineStr">
        <is>
          <t>1991-12-09</t>
        </is>
      </c>
      <c r="X2836" t="inlineStr">
        <is>
          <t>1991-12-09</t>
        </is>
      </c>
      <c r="Y2836" t="n">
        <v>14</v>
      </c>
      <c r="Z2836" t="n">
        <v>12</v>
      </c>
      <c r="AA2836" t="n">
        <v>12</v>
      </c>
      <c r="AB2836" t="n">
        <v>1</v>
      </c>
      <c r="AC2836" t="n">
        <v>1</v>
      </c>
      <c r="AD2836" t="n">
        <v>0</v>
      </c>
      <c r="AE2836" t="n">
        <v>0</v>
      </c>
      <c r="AF2836" t="n">
        <v>0</v>
      </c>
      <c r="AG2836" t="n">
        <v>0</v>
      </c>
      <c r="AH2836" t="n">
        <v>0</v>
      </c>
      <c r="AI2836" t="n">
        <v>0</v>
      </c>
      <c r="AJ2836" t="n">
        <v>0</v>
      </c>
      <c r="AK2836" t="n">
        <v>0</v>
      </c>
      <c r="AL2836" t="n">
        <v>0</v>
      </c>
      <c r="AM2836" t="n">
        <v>0</v>
      </c>
      <c r="AN2836" t="n">
        <v>0</v>
      </c>
      <c r="AO2836" t="n">
        <v>0</v>
      </c>
      <c r="AP2836" t="inlineStr">
        <is>
          <t>No</t>
        </is>
      </c>
      <c r="AQ2836" t="inlineStr">
        <is>
          <t>No</t>
        </is>
      </c>
      <c r="AS2836">
        <f>HYPERLINK("https://creighton-primo.hosted.exlibrisgroup.com/primo-explore/search?tab=default_tab&amp;search_scope=EVERYTHING&amp;vid=01CRU&amp;lang=en_US&amp;offset=0&amp;query=any,contains,991005200999702656","Catalog Record")</f>
        <v/>
      </c>
      <c r="AT2836">
        <f>HYPERLINK("http://www.worldcat.org/oclc/8077441","WorldCat Record")</f>
        <v/>
      </c>
      <c r="AU2836" t="inlineStr">
        <is>
          <t>3945093828:eng</t>
        </is>
      </c>
      <c r="AV2836" t="inlineStr">
        <is>
          <t>8077441</t>
        </is>
      </c>
      <c r="AW2836" t="inlineStr">
        <is>
          <t>991005200999702656</t>
        </is>
      </c>
      <c r="AX2836" t="inlineStr">
        <is>
          <t>991005200999702656</t>
        </is>
      </c>
      <c r="AY2836" t="inlineStr">
        <is>
          <t>2259195310002656</t>
        </is>
      </c>
      <c r="AZ2836" t="inlineStr">
        <is>
          <t>BOOK</t>
        </is>
      </c>
      <c r="BC2836" t="inlineStr">
        <is>
          <t>32285000838796</t>
        </is>
      </c>
      <c r="BD2836" t="inlineStr">
        <is>
          <t>893701191</t>
        </is>
      </c>
    </row>
    <row r="2837">
      <c r="A2837" t="inlineStr">
        <is>
          <t>No</t>
        </is>
      </c>
      <c r="B2837" t="inlineStr">
        <is>
          <t>HQ796 .S4116 1989</t>
        </is>
      </c>
      <c r="C2837" t="inlineStr">
        <is>
          <t>0                      HQ 0796000S  4116        1989</t>
        </is>
      </c>
      <c r="D2837" t="inlineStr">
        <is>
          <t>Early adolescence and the search for self : a developmental perspective / Douglas Schave &amp; Barbara Schave.</t>
        </is>
      </c>
      <c r="F2837" t="inlineStr">
        <is>
          <t>No</t>
        </is>
      </c>
      <c r="G2837" t="inlineStr">
        <is>
          <t>1</t>
        </is>
      </c>
      <c r="H2837" t="inlineStr">
        <is>
          <t>No</t>
        </is>
      </c>
      <c r="I2837" t="inlineStr">
        <is>
          <t>No</t>
        </is>
      </c>
      <c r="J2837" t="inlineStr">
        <is>
          <t>0</t>
        </is>
      </c>
      <c r="K2837" t="inlineStr">
        <is>
          <t>Schave, Douglas.</t>
        </is>
      </c>
      <c r="L2837" t="inlineStr">
        <is>
          <t>New York : Praeger, 1989.</t>
        </is>
      </c>
      <c r="M2837" t="inlineStr">
        <is>
          <t>1989</t>
        </is>
      </c>
      <c r="O2837" t="inlineStr">
        <is>
          <t>eng</t>
        </is>
      </c>
      <c r="P2837" t="inlineStr">
        <is>
          <t>nyu</t>
        </is>
      </c>
      <c r="R2837" t="inlineStr">
        <is>
          <t xml:space="preserve">HQ </t>
        </is>
      </c>
      <c r="S2837" t="n">
        <v>10</v>
      </c>
      <c r="T2837" t="n">
        <v>10</v>
      </c>
      <c r="U2837" t="inlineStr">
        <is>
          <t>2009-10-28</t>
        </is>
      </c>
      <c r="V2837" t="inlineStr">
        <is>
          <t>2009-10-28</t>
        </is>
      </c>
      <c r="W2837" t="inlineStr">
        <is>
          <t>1992-11-16</t>
        </is>
      </c>
      <c r="X2837" t="inlineStr">
        <is>
          <t>1992-11-16</t>
        </is>
      </c>
      <c r="Y2837" t="n">
        <v>482</v>
      </c>
      <c r="Z2837" t="n">
        <v>414</v>
      </c>
      <c r="AA2837" t="n">
        <v>763</v>
      </c>
      <c r="AB2837" t="n">
        <v>4</v>
      </c>
      <c r="AC2837" t="n">
        <v>5</v>
      </c>
      <c r="AD2837" t="n">
        <v>19</v>
      </c>
      <c r="AE2837" t="n">
        <v>23</v>
      </c>
      <c r="AF2837" t="n">
        <v>8</v>
      </c>
      <c r="AG2837" t="n">
        <v>10</v>
      </c>
      <c r="AH2837" t="n">
        <v>4</v>
      </c>
      <c r="AI2837" t="n">
        <v>4</v>
      </c>
      <c r="AJ2837" t="n">
        <v>9</v>
      </c>
      <c r="AK2837" t="n">
        <v>11</v>
      </c>
      <c r="AL2837" t="n">
        <v>3</v>
      </c>
      <c r="AM2837" t="n">
        <v>4</v>
      </c>
      <c r="AN2837" t="n">
        <v>0</v>
      </c>
      <c r="AO2837" t="n">
        <v>0</v>
      </c>
      <c r="AP2837" t="inlineStr">
        <is>
          <t>No</t>
        </is>
      </c>
      <c r="AQ2837" t="inlineStr">
        <is>
          <t>Yes</t>
        </is>
      </c>
      <c r="AR2837">
        <f>HYPERLINK("http://catalog.hathitrust.org/Record/001536251","HathiTrust Record")</f>
        <v/>
      </c>
      <c r="AS2837">
        <f>HYPERLINK("https://creighton-primo.hosted.exlibrisgroup.com/primo-explore/search?tab=default_tab&amp;search_scope=EVERYTHING&amp;vid=01CRU&amp;lang=en_US&amp;offset=0&amp;query=any,contains,991001351949702656","Catalog Record")</f>
        <v/>
      </c>
      <c r="AT2837">
        <f>HYPERLINK("http://www.worldcat.org/oclc/18442479","WorldCat Record")</f>
        <v/>
      </c>
      <c r="AU2837" t="inlineStr">
        <is>
          <t>254943630:eng</t>
        </is>
      </c>
      <c r="AV2837" t="inlineStr">
        <is>
          <t>18442479</t>
        </is>
      </c>
      <c r="AW2837" t="inlineStr">
        <is>
          <t>991001351949702656</t>
        </is>
      </c>
      <c r="AX2837" t="inlineStr">
        <is>
          <t>991001351949702656</t>
        </is>
      </c>
      <c r="AY2837" t="inlineStr">
        <is>
          <t>2269521940002656</t>
        </is>
      </c>
      <c r="AZ2837" t="inlineStr">
        <is>
          <t>BOOK</t>
        </is>
      </c>
      <c r="BB2837" t="inlineStr">
        <is>
          <t>9780275927653</t>
        </is>
      </c>
      <c r="BC2837" t="inlineStr">
        <is>
          <t>32285001396364</t>
        </is>
      </c>
      <c r="BD2837" t="inlineStr">
        <is>
          <t>893778735</t>
        </is>
      </c>
    </row>
    <row r="2838">
      <c r="A2838" t="inlineStr">
        <is>
          <t>No</t>
        </is>
      </c>
      <c r="B2838" t="inlineStr">
        <is>
          <t>HQ796 .S4138 1984</t>
        </is>
      </c>
      <c r="C2838" t="inlineStr">
        <is>
          <t>0                      HQ 0796000S  4138        1984</t>
        </is>
      </c>
      <c r="D2838" t="inlineStr">
        <is>
          <t>Life skills counseling with adolescents / Steven Paul Schinke and Lewayne D. Gilchrist.</t>
        </is>
      </c>
      <c r="F2838" t="inlineStr">
        <is>
          <t>No</t>
        </is>
      </c>
      <c r="G2838" t="inlineStr">
        <is>
          <t>1</t>
        </is>
      </c>
      <c r="H2838" t="inlineStr">
        <is>
          <t>No</t>
        </is>
      </c>
      <c r="I2838" t="inlineStr">
        <is>
          <t>No</t>
        </is>
      </c>
      <c r="J2838" t="inlineStr">
        <is>
          <t>0</t>
        </is>
      </c>
      <c r="K2838" t="inlineStr">
        <is>
          <t>Schinke, Steven Paul.</t>
        </is>
      </c>
      <c r="L2838" t="inlineStr">
        <is>
          <t>Baltimore, Md. : University Park Press, c1984.</t>
        </is>
      </c>
      <c r="M2838" t="inlineStr">
        <is>
          <t>1983</t>
        </is>
      </c>
      <c r="O2838" t="inlineStr">
        <is>
          <t>eng</t>
        </is>
      </c>
      <c r="P2838" t="inlineStr">
        <is>
          <t>mdu</t>
        </is>
      </c>
      <c r="R2838" t="inlineStr">
        <is>
          <t xml:space="preserve">HQ </t>
        </is>
      </c>
      <c r="S2838" t="n">
        <v>7</v>
      </c>
      <c r="T2838" t="n">
        <v>7</v>
      </c>
      <c r="U2838" t="inlineStr">
        <is>
          <t>2008-10-06</t>
        </is>
      </c>
      <c r="V2838" t="inlineStr">
        <is>
          <t>2008-10-06</t>
        </is>
      </c>
      <c r="W2838" t="inlineStr">
        <is>
          <t>1992-11-16</t>
        </is>
      </c>
      <c r="X2838" t="inlineStr">
        <is>
          <t>1992-11-16</t>
        </is>
      </c>
      <c r="Y2838" t="n">
        <v>259</v>
      </c>
      <c r="Z2838" t="n">
        <v>220</v>
      </c>
      <c r="AA2838" t="n">
        <v>243</v>
      </c>
      <c r="AB2838" t="n">
        <v>3</v>
      </c>
      <c r="AC2838" t="n">
        <v>3</v>
      </c>
      <c r="AD2838" t="n">
        <v>11</v>
      </c>
      <c r="AE2838" t="n">
        <v>13</v>
      </c>
      <c r="AF2838" t="n">
        <v>3</v>
      </c>
      <c r="AG2838" t="n">
        <v>5</v>
      </c>
      <c r="AH2838" t="n">
        <v>1</v>
      </c>
      <c r="AI2838" t="n">
        <v>2</v>
      </c>
      <c r="AJ2838" t="n">
        <v>8</v>
      </c>
      <c r="AK2838" t="n">
        <v>9</v>
      </c>
      <c r="AL2838" t="n">
        <v>2</v>
      </c>
      <c r="AM2838" t="n">
        <v>2</v>
      </c>
      <c r="AN2838" t="n">
        <v>0</v>
      </c>
      <c r="AO2838" t="n">
        <v>0</v>
      </c>
      <c r="AP2838" t="inlineStr">
        <is>
          <t>No</t>
        </is>
      </c>
      <c r="AQ2838" t="inlineStr">
        <is>
          <t>No</t>
        </is>
      </c>
      <c r="AS2838">
        <f>HYPERLINK("https://creighton-primo.hosted.exlibrisgroup.com/primo-explore/search?tab=default_tab&amp;search_scope=EVERYTHING&amp;vid=01CRU&amp;lang=en_US&amp;offset=0&amp;query=any,contains,991000253989702656","Catalog Record")</f>
        <v/>
      </c>
      <c r="AT2838">
        <f>HYPERLINK("http://www.worldcat.org/oclc/9762153","WorldCat Record")</f>
        <v/>
      </c>
      <c r="AU2838" t="inlineStr">
        <is>
          <t>15451183:eng</t>
        </is>
      </c>
      <c r="AV2838" t="inlineStr">
        <is>
          <t>9762153</t>
        </is>
      </c>
      <c r="AW2838" t="inlineStr">
        <is>
          <t>991000253989702656</t>
        </is>
      </c>
      <c r="AX2838" t="inlineStr">
        <is>
          <t>991000253989702656</t>
        </is>
      </c>
      <c r="AY2838" t="inlineStr">
        <is>
          <t>2260211020002656</t>
        </is>
      </c>
      <c r="AZ2838" t="inlineStr">
        <is>
          <t>BOOK</t>
        </is>
      </c>
      <c r="BB2838" t="inlineStr">
        <is>
          <t>9780839117957</t>
        </is>
      </c>
      <c r="BC2838" t="inlineStr">
        <is>
          <t>32285001396372</t>
        </is>
      </c>
      <c r="BD2838" t="inlineStr">
        <is>
          <t>893419327</t>
        </is>
      </c>
    </row>
    <row r="2839">
      <c r="A2839" t="inlineStr">
        <is>
          <t>No</t>
        </is>
      </c>
      <c r="B2839" t="inlineStr">
        <is>
          <t>HQ796 .S474 1987</t>
        </is>
      </c>
      <c r="C2839" t="inlineStr">
        <is>
          <t>0                      HQ 0796000S  474         1987</t>
        </is>
      </c>
      <c r="D2839" t="inlineStr">
        <is>
          <t>Moving into adolescence : the impact of pubertal change and school context / Roberta G. Simmons and Dale A. Blyth.</t>
        </is>
      </c>
      <c r="F2839" t="inlineStr">
        <is>
          <t>No</t>
        </is>
      </c>
      <c r="G2839" t="inlineStr">
        <is>
          <t>1</t>
        </is>
      </c>
      <c r="H2839" t="inlineStr">
        <is>
          <t>No</t>
        </is>
      </c>
      <c r="I2839" t="inlineStr">
        <is>
          <t>No</t>
        </is>
      </c>
      <c r="J2839" t="inlineStr">
        <is>
          <t>0</t>
        </is>
      </c>
      <c r="K2839" t="inlineStr">
        <is>
          <t>Simmons, Roberta G.</t>
        </is>
      </c>
      <c r="L2839" t="inlineStr">
        <is>
          <t>New York : A. de Gruyter, 1987.</t>
        </is>
      </c>
      <c r="M2839" t="inlineStr">
        <is>
          <t>1987</t>
        </is>
      </c>
      <c r="O2839" t="inlineStr">
        <is>
          <t>eng</t>
        </is>
      </c>
      <c r="P2839" t="inlineStr">
        <is>
          <t>nyu</t>
        </is>
      </c>
      <c r="Q2839" t="inlineStr">
        <is>
          <t>Social institutions and social change</t>
        </is>
      </c>
      <c r="R2839" t="inlineStr">
        <is>
          <t xml:space="preserve">HQ </t>
        </is>
      </c>
      <c r="S2839" t="n">
        <v>11</v>
      </c>
      <c r="T2839" t="n">
        <v>11</v>
      </c>
      <c r="U2839" t="inlineStr">
        <is>
          <t>1997-06-18</t>
        </is>
      </c>
      <c r="V2839" t="inlineStr">
        <is>
          <t>1997-06-18</t>
        </is>
      </c>
      <c r="W2839" t="inlineStr">
        <is>
          <t>1992-11-16</t>
        </is>
      </c>
      <c r="X2839" t="inlineStr">
        <is>
          <t>1992-11-16</t>
        </is>
      </c>
      <c r="Y2839" t="n">
        <v>710</v>
      </c>
      <c r="Z2839" t="n">
        <v>620</v>
      </c>
      <c r="AA2839" t="n">
        <v>655</v>
      </c>
      <c r="AB2839" t="n">
        <v>6</v>
      </c>
      <c r="AC2839" t="n">
        <v>6</v>
      </c>
      <c r="AD2839" t="n">
        <v>32</v>
      </c>
      <c r="AE2839" t="n">
        <v>32</v>
      </c>
      <c r="AF2839" t="n">
        <v>15</v>
      </c>
      <c r="AG2839" t="n">
        <v>15</v>
      </c>
      <c r="AH2839" t="n">
        <v>5</v>
      </c>
      <c r="AI2839" t="n">
        <v>5</v>
      </c>
      <c r="AJ2839" t="n">
        <v>16</v>
      </c>
      <c r="AK2839" t="n">
        <v>16</v>
      </c>
      <c r="AL2839" t="n">
        <v>5</v>
      </c>
      <c r="AM2839" t="n">
        <v>5</v>
      </c>
      <c r="AN2839" t="n">
        <v>0</v>
      </c>
      <c r="AO2839" t="n">
        <v>0</v>
      </c>
      <c r="AP2839" t="inlineStr">
        <is>
          <t>No</t>
        </is>
      </c>
      <c r="AQ2839" t="inlineStr">
        <is>
          <t>No</t>
        </is>
      </c>
      <c r="AS2839">
        <f>HYPERLINK("https://creighton-primo.hosted.exlibrisgroup.com/primo-explore/search?tab=default_tab&amp;search_scope=EVERYTHING&amp;vid=01CRU&amp;lang=en_US&amp;offset=0&amp;query=any,contains,991000971739702656","Catalog Record")</f>
        <v/>
      </c>
      <c r="AT2839">
        <f>HYPERLINK("http://www.worldcat.org/oclc/14964514","WorldCat Record")</f>
        <v/>
      </c>
      <c r="AU2839" t="inlineStr">
        <is>
          <t>866258048:eng</t>
        </is>
      </c>
      <c r="AV2839" t="inlineStr">
        <is>
          <t>14964514</t>
        </is>
      </c>
      <c r="AW2839" t="inlineStr">
        <is>
          <t>991000971739702656</t>
        </is>
      </c>
      <c r="AX2839" t="inlineStr">
        <is>
          <t>991000971739702656</t>
        </is>
      </c>
      <c r="AY2839" t="inlineStr">
        <is>
          <t>2266536170002656</t>
        </is>
      </c>
      <c r="AZ2839" t="inlineStr">
        <is>
          <t>BOOK</t>
        </is>
      </c>
      <c r="BB2839" t="inlineStr">
        <is>
          <t>9780202303284</t>
        </is>
      </c>
      <c r="BC2839" t="inlineStr">
        <is>
          <t>32285001396380</t>
        </is>
      </c>
      <c r="BD2839" t="inlineStr">
        <is>
          <t>893683907</t>
        </is>
      </c>
    </row>
    <row r="2840">
      <c r="A2840" t="inlineStr">
        <is>
          <t>No</t>
        </is>
      </c>
      <c r="B2840" t="inlineStr">
        <is>
          <t>HQ796 .S5632 2001</t>
        </is>
      </c>
      <c r="C2840" t="inlineStr">
        <is>
          <t>0                      HQ 0796000S  5632        2001</t>
        </is>
      </c>
      <c r="D2840" t="inlineStr">
        <is>
          <t>Social awakening : adolescent behavior as adulthood aproaches / Robert T. Michael, editor.</t>
        </is>
      </c>
      <c r="F2840" t="inlineStr">
        <is>
          <t>No</t>
        </is>
      </c>
      <c r="G2840" t="inlineStr">
        <is>
          <t>1</t>
        </is>
      </c>
      <c r="H2840" t="inlineStr">
        <is>
          <t>No</t>
        </is>
      </c>
      <c r="I2840" t="inlineStr">
        <is>
          <t>No</t>
        </is>
      </c>
      <c r="J2840" t="inlineStr">
        <is>
          <t>0</t>
        </is>
      </c>
      <c r="L2840" t="inlineStr">
        <is>
          <t>New York : Russell Sage, c2001.</t>
        </is>
      </c>
      <c r="M2840" t="inlineStr">
        <is>
          <t>2001</t>
        </is>
      </c>
      <c r="O2840" t="inlineStr">
        <is>
          <t>eng</t>
        </is>
      </c>
      <c r="P2840" t="inlineStr">
        <is>
          <t>nyu</t>
        </is>
      </c>
      <c r="R2840" t="inlineStr">
        <is>
          <t xml:space="preserve">HQ </t>
        </is>
      </c>
      <c r="S2840" t="n">
        <v>4</v>
      </c>
      <c r="T2840" t="n">
        <v>4</v>
      </c>
      <c r="U2840" t="inlineStr">
        <is>
          <t>2010-10-10</t>
        </is>
      </c>
      <c r="V2840" t="inlineStr">
        <is>
          <t>2010-10-10</t>
        </is>
      </c>
      <c r="W2840" t="inlineStr">
        <is>
          <t>2001-10-23</t>
        </is>
      </c>
      <c r="X2840" t="inlineStr">
        <is>
          <t>2001-10-23</t>
        </is>
      </c>
      <c r="Y2840" t="n">
        <v>504</v>
      </c>
      <c r="Z2840" t="n">
        <v>452</v>
      </c>
      <c r="AA2840" t="n">
        <v>495</v>
      </c>
      <c r="AB2840" t="n">
        <v>6</v>
      </c>
      <c r="AC2840" t="n">
        <v>6</v>
      </c>
      <c r="AD2840" t="n">
        <v>26</v>
      </c>
      <c r="AE2840" t="n">
        <v>28</v>
      </c>
      <c r="AF2840" t="n">
        <v>9</v>
      </c>
      <c r="AG2840" t="n">
        <v>11</v>
      </c>
      <c r="AH2840" t="n">
        <v>6</v>
      </c>
      <c r="AI2840" t="n">
        <v>7</v>
      </c>
      <c r="AJ2840" t="n">
        <v>11</v>
      </c>
      <c r="AK2840" t="n">
        <v>11</v>
      </c>
      <c r="AL2840" t="n">
        <v>5</v>
      </c>
      <c r="AM2840" t="n">
        <v>5</v>
      </c>
      <c r="AN2840" t="n">
        <v>0</v>
      </c>
      <c r="AO2840" t="n">
        <v>0</v>
      </c>
      <c r="AP2840" t="inlineStr">
        <is>
          <t>No</t>
        </is>
      </c>
      <c r="AQ2840" t="inlineStr">
        <is>
          <t>No</t>
        </is>
      </c>
      <c r="AS2840">
        <f>HYPERLINK("https://creighton-primo.hosted.exlibrisgroup.com/primo-explore/search?tab=default_tab&amp;search_scope=EVERYTHING&amp;vid=01CRU&amp;lang=en_US&amp;offset=0&amp;query=any,contains,991003622959702656","Catalog Record")</f>
        <v/>
      </c>
      <c r="AT2840">
        <f>HYPERLINK("http://www.worldcat.org/oclc/46314716","WorldCat Record")</f>
        <v/>
      </c>
      <c r="AU2840" t="inlineStr">
        <is>
          <t>373724452:eng</t>
        </is>
      </c>
      <c r="AV2840" t="inlineStr">
        <is>
          <t>46314716</t>
        </is>
      </c>
      <c r="AW2840" t="inlineStr">
        <is>
          <t>991003622959702656</t>
        </is>
      </c>
      <c r="AX2840" t="inlineStr">
        <is>
          <t>991003622959702656</t>
        </is>
      </c>
      <c r="AY2840" t="inlineStr">
        <is>
          <t>2258607690002656</t>
        </is>
      </c>
      <c r="AZ2840" t="inlineStr">
        <is>
          <t>BOOK</t>
        </is>
      </c>
      <c r="BB2840" t="inlineStr">
        <is>
          <t>9780871546166</t>
        </is>
      </c>
      <c r="BC2840" t="inlineStr">
        <is>
          <t>32285004399431</t>
        </is>
      </c>
      <c r="BD2840" t="inlineStr">
        <is>
          <t>893699206</t>
        </is>
      </c>
    </row>
    <row r="2841">
      <c r="A2841" t="inlineStr">
        <is>
          <t>No</t>
        </is>
      </c>
      <c r="B2841" t="inlineStr">
        <is>
          <t>HQ796 .S564 1996</t>
        </is>
      </c>
      <c r="C2841" t="inlineStr">
        <is>
          <t>0                      HQ 0796000S  564         1996</t>
        </is>
      </c>
      <c r="D2841" t="inlineStr">
        <is>
          <t>Social problems and social contexts in adolescence : perspectives across boundaries / Klaus Hurrelmann and Stephen F. Hamilton, editors.</t>
        </is>
      </c>
      <c r="F2841" t="inlineStr">
        <is>
          <t>No</t>
        </is>
      </c>
      <c r="G2841" t="inlineStr">
        <is>
          <t>1</t>
        </is>
      </c>
      <c r="H2841" t="inlineStr">
        <is>
          <t>No</t>
        </is>
      </c>
      <c r="I2841" t="inlineStr">
        <is>
          <t>No</t>
        </is>
      </c>
      <c r="J2841" t="inlineStr">
        <is>
          <t>0</t>
        </is>
      </c>
      <c r="L2841" t="inlineStr">
        <is>
          <t>New York : Aldine de Gruyter, c1996.</t>
        </is>
      </c>
      <c r="M2841" t="inlineStr">
        <is>
          <t>1996</t>
        </is>
      </c>
      <c r="O2841" t="inlineStr">
        <is>
          <t>eng</t>
        </is>
      </c>
      <c r="P2841" t="inlineStr">
        <is>
          <t>nyu</t>
        </is>
      </c>
      <c r="R2841" t="inlineStr">
        <is>
          <t xml:space="preserve">HQ </t>
        </is>
      </c>
      <c r="S2841" t="n">
        <v>18</v>
      </c>
      <c r="T2841" t="n">
        <v>18</v>
      </c>
      <c r="U2841" t="inlineStr">
        <is>
          <t>2004-03-17</t>
        </is>
      </c>
      <c r="V2841" t="inlineStr">
        <is>
          <t>2004-03-17</t>
        </is>
      </c>
      <c r="W2841" t="inlineStr">
        <is>
          <t>1996-06-06</t>
        </is>
      </c>
      <c r="X2841" t="inlineStr">
        <is>
          <t>1996-06-06</t>
        </is>
      </c>
      <c r="Y2841" t="n">
        <v>315</v>
      </c>
      <c r="Z2841" t="n">
        <v>245</v>
      </c>
      <c r="AA2841" t="n">
        <v>245</v>
      </c>
      <c r="AB2841" t="n">
        <v>3</v>
      </c>
      <c r="AC2841" t="n">
        <v>3</v>
      </c>
      <c r="AD2841" t="n">
        <v>18</v>
      </c>
      <c r="AE2841" t="n">
        <v>18</v>
      </c>
      <c r="AF2841" t="n">
        <v>7</v>
      </c>
      <c r="AG2841" t="n">
        <v>7</v>
      </c>
      <c r="AH2841" t="n">
        <v>3</v>
      </c>
      <c r="AI2841" t="n">
        <v>3</v>
      </c>
      <c r="AJ2841" t="n">
        <v>12</v>
      </c>
      <c r="AK2841" t="n">
        <v>12</v>
      </c>
      <c r="AL2841" t="n">
        <v>2</v>
      </c>
      <c r="AM2841" t="n">
        <v>2</v>
      </c>
      <c r="AN2841" t="n">
        <v>0</v>
      </c>
      <c r="AO2841" t="n">
        <v>0</v>
      </c>
      <c r="AP2841" t="inlineStr">
        <is>
          <t>No</t>
        </is>
      </c>
      <c r="AQ2841" t="inlineStr">
        <is>
          <t>No</t>
        </is>
      </c>
      <c r="AS2841">
        <f>HYPERLINK("https://creighton-primo.hosted.exlibrisgroup.com/primo-explore/search?tab=default_tab&amp;search_scope=EVERYTHING&amp;vid=01CRU&amp;lang=en_US&amp;offset=0&amp;query=any,contains,991002609589702656","Catalog Record")</f>
        <v/>
      </c>
      <c r="AT2841">
        <f>HYPERLINK("http://www.worldcat.org/oclc/34190931","WorldCat Record")</f>
        <v/>
      </c>
      <c r="AU2841" t="inlineStr">
        <is>
          <t>891466114:eng</t>
        </is>
      </c>
      <c r="AV2841" t="inlineStr">
        <is>
          <t>34190931</t>
        </is>
      </c>
      <c r="AW2841" t="inlineStr">
        <is>
          <t>991002609589702656</t>
        </is>
      </c>
      <c r="AX2841" t="inlineStr">
        <is>
          <t>991002609589702656</t>
        </is>
      </c>
      <c r="AY2841" t="inlineStr">
        <is>
          <t>2256337450002656</t>
        </is>
      </c>
      <c r="AZ2841" t="inlineStr">
        <is>
          <t>BOOK</t>
        </is>
      </c>
      <c r="BB2841" t="inlineStr">
        <is>
          <t>9780202361017</t>
        </is>
      </c>
      <c r="BC2841" t="inlineStr">
        <is>
          <t>32285002189172</t>
        </is>
      </c>
      <c r="BD2841" t="inlineStr">
        <is>
          <t>893610049</t>
        </is>
      </c>
    </row>
    <row r="2842">
      <c r="A2842" t="inlineStr">
        <is>
          <t>No</t>
        </is>
      </c>
      <c r="B2842" t="inlineStr">
        <is>
          <t>HQ796 .S822 2001</t>
        </is>
      </c>
      <c r="C2842" t="inlineStr">
        <is>
          <t>0                      HQ 0796000S  822         2001</t>
        </is>
      </c>
      <c r="D2842" t="inlineStr">
        <is>
          <t>Manufacturing hope and despair : the school and kin support networks of U.S.-Mexican youth / Ricardo D. Stanton-Salazar.</t>
        </is>
      </c>
      <c r="F2842" t="inlineStr">
        <is>
          <t>No</t>
        </is>
      </c>
      <c r="G2842" t="inlineStr">
        <is>
          <t>1</t>
        </is>
      </c>
      <c r="H2842" t="inlineStr">
        <is>
          <t>No</t>
        </is>
      </c>
      <c r="I2842" t="inlineStr">
        <is>
          <t>No</t>
        </is>
      </c>
      <c r="J2842" t="inlineStr">
        <is>
          <t>0</t>
        </is>
      </c>
      <c r="K2842" t="inlineStr">
        <is>
          <t>Stanton-Salazar, Ricardo D.</t>
        </is>
      </c>
      <c r="L2842" t="inlineStr">
        <is>
          <t>New York: Teachers College Press, c2001.</t>
        </is>
      </c>
      <c r="M2842" t="inlineStr">
        <is>
          <t>2001</t>
        </is>
      </c>
      <c r="O2842" t="inlineStr">
        <is>
          <t>eng</t>
        </is>
      </c>
      <c r="P2842" t="inlineStr">
        <is>
          <t>nyu</t>
        </is>
      </c>
      <c r="Q2842" t="inlineStr">
        <is>
          <t>Sociology of education series</t>
        </is>
      </c>
      <c r="R2842" t="inlineStr">
        <is>
          <t xml:space="preserve">HQ </t>
        </is>
      </c>
      <c r="S2842" t="n">
        <v>1</v>
      </c>
      <c r="T2842" t="n">
        <v>1</v>
      </c>
      <c r="U2842" t="inlineStr">
        <is>
          <t>2001-11-14</t>
        </is>
      </c>
      <c r="V2842" t="inlineStr">
        <is>
          <t>2001-11-14</t>
        </is>
      </c>
      <c r="W2842" t="inlineStr">
        <is>
          <t>2001-11-13</t>
        </is>
      </c>
      <c r="X2842" t="inlineStr">
        <is>
          <t>2001-11-13</t>
        </is>
      </c>
      <c r="Y2842" t="n">
        <v>516</v>
      </c>
      <c r="Z2842" t="n">
        <v>489</v>
      </c>
      <c r="AA2842" t="n">
        <v>500</v>
      </c>
      <c r="AB2842" t="n">
        <v>4</v>
      </c>
      <c r="AC2842" t="n">
        <v>4</v>
      </c>
      <c r="AD2842" t="n">
        <v>26</v>
      </c>
      <c r="AE2842" t="n">
        <v>26</v>
      </c>
      <c r="AF2842" t="n">
        <v>10</v>
      </c>
      <c r="AG2842" t="n">
        <v>10</v>
      </c>
      <c r="AH2842" t="n">
        <v>5</v>
      </c>
      <c r="AI2842" t="n">
        <v>5</v>
      </c>
      <c r="AJ2842" t="n">
        <v>14</v>
      </c>
      <c r="AK2842" t="n">
        <v>14</v>
      </c>
      <c r="AL2842" t="n">
        <v>3</v>
      </c>
      <c r="AM2842" t="n">
        <v>3</v>
      </c>
      <c r="AN2842" t="n">
        <v>0</v>
      </c>
      <c r="AO2842" t="n">
        <v>0</v>
      </c>
      <c r="AP2842" t="inlineStr">
        <is>
          <t>No</t>
        </is>
      </c>
      <c r="AQ2842" t="inlineStr">
        <is>
          <t>No</t>
        </is>
      </c>
      <c r="AS2842">
        <f>HYPERLINK("https://creighton-primo.hosted.exlibrisgroup.com/primo-explore/search?tab=default_tab&amp;search_scope=EVERYTHING&amp;vid=01CRU&amp;lang=en_US&amp;offset=0&amp;query=any,contains,991003656229702656","Catalog Record")</f>
        <v/>
      </c>
      <c r="AT2842">
        <f>HYPERLINK("http://www.worldcat.org/oclc/46472234","WorldCat Record")</f>
        <v/>
      </c>
      <c r="AU2842" t="inlineStr">
        <is>
          <t>309119678:eng</t>
        </is>
      </c>
      <c r="AV2842" t="inlineStr">
        <is>
          <t>46472234</t>
        </is>
      </c>
      <c r="AW2842" t="inlineStr">
        <is>
          <t>991003656229702656</t>
        </is>
      </c>
      <c r="AX2842" t="inlineStr">
        <is>
          <t>991003656229702656</t>
        </is>
      </c>
      <c r="AY2842" t="inlineStr">
        <is>
          <t>2262668600002656</t>
        </is>
      </c>
      <c r="AZ2842" t="inlineStr">
        <is>
          <t>BOOK</t>
        </is>
      </c>
      <c r="BB2842" t="inlineStr">
        <is>
          <t>9780807741085</t>
        </is>
      </c>
      <c r="BC2842" t="inlineStr">
        <is>
          <t>32285004410493</t>
        </is>
      </c>
      <c r="BD2842" t="inlineStr">
        <is>
          <t>893336765</t>
        </is>
      </c>
    </row>
    <row r="2843">
      <c r="A2843" t="inlineStr">
        <is>
          <t>No</t>
        </is>
      </c>
      <c r="B2843" t="inlineStr">
        <is>
          <t>HQ796 .S82685 2006</t>
        </is>
      </c>
      <c r="C2843" t="inlineStr">
        <is>
          <t>0                      HQ 0796000S  82685       2006</t>
        </is>
      </c>
      <c r="D2843" t="inlineStr">
        <is>
          <t>Kids these days : facts and fictions about today's youth / Karen Sternheimer.</t>
        </is>
      </c>
      <c r="F2843" t="inlineStr">
        <is>
          <t>No</t>
        </is>
      </c>
      <c r="G2843" t="inlineStr">
        <is>
          <t>1</t>
        </is>
      </c>
      <c r="H2843" t="inlineStr">
        <is>
          <t>No</t>
        </is>
      </c>
      <c r="I2843" t="inlineStr">
        <is>
          <t>No</t>
        </is>
      </c>
      <c r="J2843" t="inlineStr">
        <is>
          <t>0</t>
        </is>
      </c>
      <c r="K2843" t="inlineStr">
        <is>
          <t>Sternheimer, Karen.</t>
        </is>
      </c>
      <c r="L2843" t="inlineStr">
        <is>
          <t>Lanham, Md. : Rowman &amp; Littlefield, c2006.</t>
        </is>
      </c>
      <c r="M2843" t="inlineStr">
        <is>
          <t>2006</t>
        </is>
      </c>
      <c r="O2843" t="inlineStr">
        <is>
          <t>eng</t>
        </is>
      </c>
      <c r="P2843" t="inlineStr">
        <is>
          <t>mdu</t>
        </is>
      </c>
      <c r="R2843" t="inlineStr">
        <is>
          <t xml:space="preserve">HQ </t>
        </is>
      </c>
      <c r="S2843" t="n">
        <v>1</v>
      </c>
      <c r="T2843" t="n">
        <v>1</v>
      </c>
      <c r="U2843" t="inlineStr">
        <is>
          <t>2006-07-25</t>
        </is>
      </c>
      <c r="V2843" t="inlineStr">
        <is>
          <t>2006-07-25</t>
        </is>
      </c>
      <c r="W2843" t="inlineStr">
        <is>
          <t>2006-07-25</t>
        </is>
      </c>
      <c r="X2843" t="inlineStr">
        <is>
          <t>2006-07-25</t>
        </is>
      </c>
      <c r="Y2843" t="n">
        <v>551</v>
      </c>
      <c r="Z2843" t="n">
        <v>496</v>
      </c>
      <c r="AA2843" t="n">
        <v>521</v>
      </c>
      <c r="AB2843" t="n">
        <v>7</v>
      </c>
      <c r="AC2843" t="n">
        <v>7</v>
      </c>
      <c r="AD2843" t="n">
        <v>21</v>
      </c>
      <c r="AE2843" t="n">
        <v>22</v>
      </c>
      <c r="AF2843" t="n">
        <v>9</v>
      </c>
      <c r="AG2843" t="n">
        <v>10</v>
      </c>
      <c r="AH2843" t="n">
        <v>3</v>
      </c>
      <c r="AI2843" t="n">
        <v>4</v>
      </c>
      <c r="AJ2843" t="n">
        <v>8</v>
      </c>
      <c r="AK2843" t="n">
        <v>8</v>
      </c>
      <c r="AL2843" t="n">
        <v>6</v>
      </c>
      <c r="AM2843" t="n">
        <v>6</v>
      </c>
      <c r="AN2843" t="n">
        <v>0</v>
      </c>
      <c r="AO2843" t="n">
        <v>0</v>
      </c>
      <c r="AP2843" t="inlineStr">
        <is>
          <t>No</t>
        </is>
      </c>
      <c r="AQ2843" t="inlineStr">
        <is>
          <t>Yes</t>
        </is>
      </c>
      <c r="AR2843">
        <f>HYPERLINK("http://catalog.hathitrust.org/Record/005234572","HathiTrust Record")</f>
        <v/>
      </c>
      <c r="AS2843">
        <f>HYPERLINK("https://creighton-primo.hosted.exlibrisgroup.com/primo-explore/search?tab=default_tab&amp;search_scope=EVERYTHING&amp;vid=01CRU&amp;lang=en_US&amp;offset=0&amp;query=any,contains,991004858999702656","Catalog Record")</f>
        <v/>
      </c>
      <c r="AT2843">
        <f>HYPERLINK("http://www.worldcat.org/oclc/62782103","WorldCat Record")</f>
        <v/>
      </c>
      <c r="AU2843" t="inlineStr">
        <is>
          <t>47093997:eng</t>
        </is>
      </c>
      <c r="AV2843" t="inlineStr">
        <is>
          <t>62782103</t>
        </is>
      </c>
      <c r="AW2843" t="inlineStr">
        <is>
          <t>991004858999702656</t>
        </is>
      </c>
      <c r="AX2843" t="inlineStr">
        <is>
          <t>991004858999702656</t>
        </is>
      </c>
      <c r="AY2843" t="inlineStr">
        <is>
          <t>2261502730002656</t>
        </is>
      </c>
      <c r="AZ2843" t="inlineStr">
        <is>
          <t>BOOK</t>
        </is>
      </c>
      <c r="BB2843" t="inlineStr">
        <is>
          <t>9780742546677</t>
        </is>
      </c>
      <c r="BC2843" t="inlineStr">
        <is>
          <t>32285005198014</t>
        </is>
      </c>
      <c r="BD2843" t="inlineStr">
        <is>
          <t>893905109</t>
        </is>
      </c>
    </row>
    <row r="2844">
      <c r="A2844" t="inlineStr">
        <is>
          <t>No</t>
        </is>
      </c>
      <c r="B2844" t="inlineStr">
        <is>
          <t>HQ796 .S828</t>
        </is>
      </c>
      <c r="C2844" t="inlineStr">
        <is>
          <t>0                      HQ 0796000S  828</t>
        </is>
      </c>
      <c r="D2844" t="inlineStr">
        <is>
          <t>Youth : myths and realities / [by] Richard R. Stevic [and] Robert H. Rossberg.</t>
        </is>
      </c>
      <c r="F2844" t="inlineStr">
        <is>
          <t>No</t>
        </is>
      </c>
      <c r="G2844" t="inlineStr">
        <is>
          <t>1</t>
        </is>
      </c>
      <c r="H2844" t="inlineStr">
        <is>
          <t>No</t>
        </is>
      </c>
      <c r="I2844" t="inlineStr">
        <is>
          <t>No</t>
        </is>
      </c>
      <c r="J2844" t="inlineStr">
        <is>
          <t>0</t>
        </is>
      </c>
      <c r="K2844" t="inlineStr">
        <is>
          <t>Stevic, Richard R.</t>
        </is>
      </c>
      <c r="L2844" t="inlineStr">
        <is>
          <t>Columbus, Ohio : Merrill, [1972]</t>
        </is>
      </c>
      <c r="M2844" t="inlineStr">
        <is>
          <t>1972</t>
        </is>
      </c>
      <c r="O2844" t="inlineStr">
        <is>
          <t>eng</t>
        </is>
      </c>
      <c r="P2844" t="inlineStr">
        <is>
          <t>ohu</t>
        </is>
      </c>
      <c r="Q2844" t="inlineStr">
        <is>
          <t>Counseling youth series</t>
        </is>
      </c>
      <c r="R2844" t="inlineStr">
        <is>
          <t xml:space="preserve">HQ </t>
        </is>
      </c>
      <c r="S2844" t="n">
        <v>2</v>
      </c>
      <c r="T2844" t="n">
        <v>2</v>
      </c>
      <c r="U2844" t="inlineStr">
        <is>
          <t>1996-03-21</t>
        </is>
      </c>
      <c r="V2844" t="inlineStr">
        <is>
          <t>1996-03-21</t>
        </is>
      </c>
      <c r="W2844" t="inlineStr">
        <is>
          <t>1992-01-03</t>
        </is>
      </c>
      <c r="X2844" t="inlineStr">
        <is>
          <t>1992-01-03</t>
        </is>
      </c>
      <c r="Y2844" t="n">
        <v>118</v>
      </c>
      <c r="Z2844" t="n">
        <v>101</v>
      </c>
      <c r="AA2844" t="n">
        <v>102</v>
      </c>
      <c r="AB2844" t="n">
        <v>1</v>
      </c>
      <c r="AC2844" t="n">
        <v>1</v>
      </c>
      <c r="AD2844" t="n">
        <v>5</v>
      </c>
      <c r="AE2844" t="n">
        <v>5</v>
      </c>
      <c r="AF2844" t="n">
        <v>2</v>
      </c>
      <c r="AG2844" t="n">
        <v>2</v>
      </c>
      <c r="AH2844" t="n">
        <v>2</v>
      </c>
      <c r="AI2844" t="n">
        <v>2</v>
      </c>
      <c r="AJ2844" t="n">
        <v>3</v>
      </c>
      <c r="AK2844" t="n">
        <v>3</v>
      </c>
      <c r="AL2844" t="n">
        <v>0</v>
      </c>
      <c r="AM2844" t="n">
        <v>0</v>
      </c>
      <c r="AN2844" t="n">
        <v>0</v>
      </c>
      <c r="AO2844" t="n">
        <v>0</v>
      </c>
      <c r="AP2844" t="inlineStr">
        <is>
          <t>No</t>
        </is>
      </c>
      <c r="AQ2844" t="inlineStr">
        <is>
          <t>Yes</t>
        </is>
      </c>
      <c r="AR2844">
        <f>HYPERLINK("http://catalog.hathitrust.org/Record/004398991","HathiTrust Record")</f>
        <v/>
      </c>
      <c r="AS2844">
        <f>HYPERLINK("https://creighton-primo.hosted.exlibrisgroup.com/primo-explore/search?tab=default_tab&amp;search_scope=EVERYTHING&amp;vid=01CRU&amp;lang=en_US&amp;offset=0&amp;query=any,contains,991002616489702656","Catalog Record")</f>
        <v/>
      </c>
      <c r="AT2844">
        <f>HYPERLINK("http://www.worldcat.org/oclc/379480","WorldCat Record")</f>
        <v/>
      </c>
      <c r="AU2844" t="inlineStr">
        <is>
          <t>1482065:eng</t>
        </is>
      </c>
      <c r="AV2844" t="inlineStr">
        <is>
          <t>379480</t>
        </is>
      </c>
      <c r="AW2844" t="inlineStr">
        <is>
          <t>991002616489702656</t>
        </is>
      </c>
      <c r="AX2844" t="inlineStr">
        <is>
          <t>991002616489702656</t>
        </is>
      </c>
      <c r="AY2844" t="inlineStr">
        <is>
          <t>2265102510002656</t>
        </is>
      </c>
      <c r="AZ2844" t="inlineStr">
        <is>
          <t>BOOK</t>
        </is>
      </c>
      <c r="BB2844" t="inlineStr">
        <is>
          <t>9780675090896</t>
        </is>
      </c>
      <c r="BC2844" t="inlineStr">
        <is>
          <t>32285000882646</t>
        </is>
      </c>
      <c r="BD2844" t="inlineStr">
        <is>
          <t>893239284</t>
        </is>
      </c>
    </row>
    <row r="2845">
      <c r="A2845" t="inlineStr">
        <is>
          <t>No</t>
        </is>
      </c>
      <c r="B2845" t="inlineStr">
        <is>
          <t>HQ796 .W32</t>
        </is>
      </c>
      <c r="C2845" t="inlineStr">
        <is>
          <t>0                      HQ 0796000W  32</t>
        </is>
      </c>
      <c r="D2845" t="inlineStr">
        <is>
          <t>The adolescent years.</t>
        </is>
      </c>
      <c r="F2845" t="inlineStr">
        <is>
          <t>No</t>
        </is>
      </c>
      <c r="G2845" t="inlineStr">
        <is>
          <t>1</t>
        </is>
      </c>
      <c r="H2845" t="inlineStr">
        <is>
          <t>No</t>
        </is>
      </c>
      <c r="I2845" t="inlineStr">
        <is>
          <t>No</t>
        </is>
      </c>
      <c r="J2845" t="inlineStr">
        <is>
          <t>0</t>
        </is>
      </c>
      <c r="K2845" t="inlineStr">
        <is>
          <t>Wattenberg, William W. (William Wolff), 1911-1993.</t>
        </is>
      </c>
      <c r="L2845" t="inlineStr">
        <is>
          <t>New York, Harcourt, Brace [1955]</t>
        </is>
      </c>
      <c r="M2845" t="inlineStr">
        <is>
          <t>1955</t>
        </is>
      </c>
      <c r="O2845" t="inlineStr">
        <is>
          <t>eng</t>
        </is>
      </c>
      <c r="P2845" t="inlineStr">
        <is>
          <t>nyu</t>
        </is>
      </c>
      <c r="R2845" t="inlineStr">
        <is>
          <t xml:space="preserve">HQ </t>
        </is>
      </c>
      <c r="S2845" t="n">
        <v>4</v>
      </c>
      <c r="T2845" t="n">
        <v>4</v>
      </c>
      <c r="U2845" t="inlineStr">
        <is>
          <t>1995-04-05</t>
        </is>
      </c>
      <c r="V2845" t="inlineStr">
        <is>
          <t>1995-04-05</t>
        </is>
      </c>
      <c r="W2845" t="inlineStr">
        <is>
          <t>1992-04-28</t>
        </is>
      </c>
      <c r="X2845" t="inlineStr">
        <is>
          <t>1992-04-28</t>
        </is>
      </c>
      <c r="Y2845" t="n">
        <v>530</v>
      </c>
      <c r="Z2845" t="n">
        <v>457</v>
      </c>
      <c r="AA2845" t="n">
        <v>650</v>
      </c>
      <c r="AB2845" t="n">
        <v>5</v>
      </c>
      <c r="AC2845" t="n">
        <v>5</v>
      </c>
      <c r="AD2845" t="n">
        <v>22</v>
      </c>
      <c r="AE2845" t="n">
        <v>30</v>
      </c>
      <c r="AF2845" t="n">
        <v>9</v>
      </c>
      <c r="AG2845" t="n">
        <v>12</v>
      </c>
      <c r="AH2845" t="n">
        <v>2</v>
      </c>
      <c r="AI2845" t="n">
        <v>6</v>
      </c>
      <c r="AJ2845" t="n">
        <v>10</v>
      </c>
      <c r="AK2845" t="n">
        <v>15</v>
      </c>
      <c r="AL2845" t="n">
        <v>4</v>
      </c>
      <c r="AM2845" t="n">
        <v>4</v>
      </c>
      <c r="AN2845" t="n">
        <v>0</v>
      </c>
      <c r="AO2845" t="n">
        <v>0</v>
      </c>
      <c r="AP2845" t="inlineStr">
        <is>
          <t>No</t>
        </is>
      </c>
      <c r="AQ2845" t="inlineStr">
        <is>
          <t>Yes</t>
        </is>
      </c>
      <c r="AR2845">
        <f>HYPERLINK("http://catalog.hathitrust.org/Record/001110200","HathiTrust Record")</f>
        <v/>
      </c>
      <c r="AS2845">
        <f>HYPERLINK("https://creighton-primo.hosted.exlibrisgroup.com/primo-explore/search?tab=default_tab&amp;search_scope=EVERYTHING&amp;vid=01CRU&amp;lang=en_US&amp;offset=0&amp;query=any,contains,991004142849702656","Catalog Record")</f>
        <v/>
      </c>
      <c r="AT2845">
        <f>HYPERLINK("http://www.worldcat.org/oclc/2503794","WorldCat Record")</f>
        <v/>
      </c>
      <c r="AU2845" t="inlineStr">
        <is>
          <t>375408526:eng</t>
        </is>
      </c>
      <c r="AV2845" t="inlineStr">
        <is>
          <t>2503794</t>
        </is>
      </c>
      <c r="AW2845" t="inlineStr">
        <is>
          <t>991004142849702656</t>
        </is>
      </c>
      <c r="AX2845" t="inlineStr">
        <is>
          <t>991004142849702656</t>
        </is>
      </c>
      <c r="AY2845" t="inlineStr">
        <is>
          <t>2259486570002656</t>
        </is>
      </c>
      <c r="AZ2845" t="inlineStr">
        <is>
          <t>BOOK</t>
        </is>
      </c>
      <c r="BC2845" t="inlineStr">
        <is>
          <t>32285001095685</t>
        </is>
      </c>
      <c r="BD2845" t="inlineStr">
        <is>
          <t>893806716</t>
        </is>
      </c>
    </row>
    <row r="2846">
      <c r="A2846" t="inlineStr">
        <is>
          <t>No</t>
        </is>
      </c>
      <c r="B2846" t="inlineStr">
        <is>
          <t>HQ796 .W4963 1988</t>
        </is>
      </c>
      <c r="C2846" t="inlineStr">
        <is>
          <t>0                      HQ 0796000W  4963        1988</t>
        </is>
      </c>
      <c r="D2846" t="inlineStr">
        <is>
          <t>The forgotten half : pathways to success for America's youth and young families : final report / Youth and America's Future, The William T. Grant Foundation Commission on Work, Family and Citizenship.</t>
        </is>
      </c>
      <c r="F2846" t="inlineStr">
        <is>
          <t>No</t>
        </is>
      </c>
      <c r="G2846" t="inlineStr">
        <is>
          <t>1</t>
        </is>
      </c>
      <c r="H2846" t="inlineStr">
        <is>
          <t>No</t>
        </is>
      </c>
      <c r="I2846" t="inlineStr">
        <is>
          <t>No</t>
        </is>
      </c>
      <c r="J2846" t="inlineStr">
        <is>
          <t>0</t>
        </is>
      </c>
      <c r="K2846" t="inlineStr">
        <is>
          <t>William T. Grant Foundation. Commission on Work, Family, and Citizenship.</t>
        </is>
      </c>
      <c r="L2846" t="inlineStr">
        <is>
          <t>Washington, D.C. (1001 Connecticut Ave., N.W., Suite 301, Washington DC 20036-5541) : The Commission, [1988]</t>
        </is>
      </c>
      <c r="M2846" t="inlineStr">
        <is>
          <t>1988</t>
        </is>
      </c>
      <c r="O2846" t="inlineStr">
        <is>
          <t>eng</t>
        </is>
      </c>
      <c r="P2846" t="inlineStr">
        <is>
          <t>dcu</t>
        </is>
      </c>
      <c r="R2846" t="inlineStr">
        <is>
          <t xml:space="preserve">HQ </t>
        </is>
      </c>
      <c r="S2846" t="n">
        <v>7</v>
      </c>
      <c r="T2846" t="n">
        <v>7</v>
      </c>
      <c r="U2846" t="inlineStr">
        <is>
          <t>1998-10-16</t>
        </is>
      </c>
      <c r="V2846" t="inlineStr">
        <is>
          <t>1998-10-16</t>
        </is>
      </c>
      <c r="W2846" t="inlineStr">
        <is>
          <t>1992-06-10</t>
        </is>
      </c>
      <c r="X2846" t="inlineStr">
        <is>
          <t>1992-06-10</t>
        </is>
      </c>
      <c r="Y2846" t="n">
        <v>435</v>
      </c>
      <c r="Z2846" t="n">
        <v>426</v>
      </c>
      <c r="AA2846" t="n">
        <v>463</v>
      </c>
      <c r="AB2846" t="n">
        <v>5</v>
      </c>
      <c r="AC2846" t="n">
        <v>6</v>
      </c>
      <c r="AD2846" t="n">
        <v>22</v>
      </c>
      <c r="AE2846" t="n">
        <v>23</v>
      </c>
      <c r="AF2846" t="n">
        <v>9</v>
      </c>
      <c r="AG2846" t="n">
        <v>9</v>
      </c>
      <c r="AH2846" t="n">
        <v>5</v>
      </c>
      <c r="AI2846" t="n">
        <v>6</v>
      </c>
      <c r="AJ2846" t="n">
        <v>11</v>
      </c>
      <c r="AK2846" t="n">
        <v>12</v>
      </c>
      <c r="AL2846" t="n">
        <v>3</v>
      </c>
      <c r="AM2846" t="n">
        <v>3</v>
      </c>
      <c r="AN2846" t="n">
        <v>1</v>
      </c>
      <c r="AO2846" t="n">
        <v>1</v>
      </c>
      <c r="AP2846" t="inlineStr">
        <is>
          <t>No</t>
        </is>
      </c>
      <c r="AQ2846" t="inlineStr">
        <is>
          <t>Yes</t>
        </is>
      </c>
      <c r="AR2846">
        <f>HYPERLINK("http://catalog.hathitrust.org/Record/001083360","HathiTrust Record")</f>
        <v/>
      </c>
      <c r="AS2846">
        <f>HYPERLINK("https://creighton-primo.hosted.exlibrisgroup.com/primo-explore/search?tab=default_tab&amp;search_scope=EVERYTHING&amp;vid=01CRU&amp;lang=en_US&amp;offset=0&amp;query=any,contains,991001761059702656","Catalog Record")</f>
        <v/>
      </c>
      <c r="AT2846">
        <f>HYPERLINK("http://www.worldcat.org/oclc/22274856","WorldCat Record")</f>
        <v/>
      </c>
      <c r="AU2846" t="inlineStr">
        <is>
          <t>22279609:eng</t>
        </is>
      </c>
      <c r="AV2846" t="inlineStr">
        <is>
          <t>22274856</t>
        </is>
      </c>
      <c r="AW2846" t="inlineStr">
        <is>
          <t>991001761059702656</t>
        </is>
      </c>
      <c r="AX2846" t="inlineStr">
        <is>
          <t>991001761059702656</t>
        </is>
      </c>
      <c r="AY2846" t="inlineStr">
        <is>
          <t>2264121920002656</t>
        </is>
      </c>
      <c r="AZ2846" t="inlineStr">
        <is>
          <t>BOOK</t>
        </is>
      </c>
      <c r="BC2846" t="inlineStr">
        <is>
          <t>32285001141596</t>
        </is>
      </c>
      <c r="BD2846" t="inlineStr">
        <is>
          <t>893891810</t>
        </is>
      </c>
    </row>
    <row r="2847">
      <c r="A2847" t="inlineStr">
        <is>
          <t>No</t>
        </is>
      </c>
      <c r="B2847" t="inlineStr">
        <is>
          <t>HQ796 .W6</t>
        </is>
      </c>
      <c r="C2847" t="inlineStr">
        <is>
          <t>0                      HQ 0796000W  6</t>
        </is>
      </c>
      <c r="D2847" t="inlineStr">
        <is>
          <t>Voices from the love generation / edited and with an introd. and epilogue by Leonard Wolf. In collaboration with Deborah Wolf.</t>
        </is>
      </c>
      <c r="F2847" t="inlineStr">
        <is>
          <t>No</t>
        </is>
      </c>
      <c r="G2847" t="inlineStr">
        <is>
          <t>1</t>
        </is>
      </c>
      <c r="H2847" t="inlineStr">
        <is>
          <t>No</t>
        </is>
      </c>
      <c r="I2847" t="inlineStr">
        <is>
          <t>No</t>
        </is>
      </c>
      <c r="J2847" t="inlineStr">
        <is>
          <t>0</t>
        </is>
      </c>
      <c r="K2847" t="inlineStr">
        <is>
          <t>Wolf, Leonard.</t>
        </is>
      </c>
      <c r="L2847" t="inlineStr">
        <is>
          <t>Boston, : Little, Brown, [1968]</t>
        </is>
      </c>
      <c r="M2847" t="inlineStr">
        <is>
          <t>1968</t>
        </is>
      </c>
      <c r="N2847" t="inlineStr">
        <is>
          <t>[1st ed.]</t>
        </is>
      </c>
      <c r="O2847" t="inlineStr">
        <is>
          <t>eng</t>
        </is>
      </c>
      <c r="P2847" t="inlineStr">
        <is>
          <t>mau</t>
        </is>
      </c>
      <c r="R2847" t="inlineStr">
        <is>
          <t xml:space="preserve">HQ </t>
        </is>
      </c>
      <c r="S2847" t="n">
        <v>11</v>
      </c>
      <c r="T2847" t="n">
        <v>11</v>
      </c>
      <c r="U2847" t="inlineStr">
        <is>
          <t>2001-02-19</t>
        </is>
      </c>
      <c r="V2847" t="inlineStr">
        <is>
          <t>2001-02-19</t>
        </is>
      </c>
      <c r="W2847" t="inlineStr">
        <is>
          <t>1994-03-11</t>
        </is>
      </c>
      <c r="X2847" t="inlineStr">
        <is>
          <t>1994-03-11</t>
        </is>
      </c>
      <c r="Y2847" t="n">
        <v>542</v>
      </c>
      <c r="Z2847" t="n">
        <v>489</v>
      </c>
      <c r="AA2847" t="n">
        <v>497</v>
      </c>
      <c r="AB2847" t="n">
        <v>4</v>
      </c>
      <c r="AC2847" t="n">
        <v>4</v>
      </c>
      <c r="AD2847" t="n">
        <v>17</v>
      </c>
      <c r="AE2847" t="n">
        <v>17</v>
      </c>
      <c r="AF2847" t="n">
        <v>5</v>
      </c>
      <c r="AG2847" t="n">
        <v>5</v>
      </c>
      <c r="AH2847" t="n">
        <v>2</v>
      </c>
      <c r="AI2847" t="n">
        <v>2</v>
      </c>
      <c r="AJ2847" t="n">
        <v>12</v>
      </c>
      <c r="AK2847" t="n">
        <v>12</v>
      </c>
      <c r="AL2847" t="n">
        <v>2</v>
      </c>
      <c r="AM2847" t="n">
        <v>2</v>
      </c>
      <c r="AN2847" t="n">
        <v>0</v>
      </c>
      <c r="AO2847" t="n">
        <v>0</v>
      </c>
      <c r="AP2847" t="inlineStr">
        <is>
          <t>No</t>
        </is>
      </c>
      <c r="AQ2847" t="inlineStr">
        <is>
          <t>Yes</t>
        </is>
      </c>
      <c r="AR2847">
        <f>HYPERLINK("http://catalog.hathitrust.org/Record/000978298","HathiTrust Record")</f>
        <v/>
      </c>
      <c r="AS2847">
        <f>HYPERLINK("https://creighton-primo.hosted.exlibrisgroup.com/primo-explore/search?tab=default_tab&amp;search_scope=EVERYTHING&amp;vid=01CRU&amp;lang=en_US&amp;offset=0&amp;query=any,contains,991002042069702656","Catalog Record")</f>
        <v/>
      </c>
      <c r="AT2847">
        <f>HYPERLINK("http://www.worldcat.org/oclc/261090","WorldCat Record")</f>
        <v/>
      </c>
      <c r="AU2847" t="inlineStr">
        <is>
          <t>1369574:eng</t>
        </is>
      </c>
      <c r="AV2847" t="inlineStr">
        <is>
          <t>261090</t>
        </is>
      </c>
      <c r="AW2847" t="inlineStr">
        <is>
          <t>991002042069702656</t>
        </is>
      </c>
      <c r="AX2847" t="inlineStr">
        <is>
          <t>991002042069702656</t>
        </is>
      </c>
      <c r="AY2847" t="inlineStr">
        <is>
          <t>2263014730002656</t>
        </is>
      </c>
      <c r="AZ2847" t="inlineStr">
        <is>
          <t>BOOK</t>
        </is>
      </c>
      <c r="BC2847" t="inlineStr">
        <is>
          <t>32285001844637</t>
        </is>
      </c>
      <c r="BD2847" t="inlineStr">
        <is>
          <t>893226391</t>
        </is>
      </c>
    </row>
    <row r="2848">
      <c r="A2848" t="inlineStr">
        <is>
          <t>No</t>
        </is>
      </c>
      <c r="B2848" t="inlineStr">
        <is>
          <t>HQ796 .W636 2006</t>
        </is>
      </c>
      <c r="C2848" t="inlineStr">
        <is>
          <t>0                      HQ 0796000W  636         2006</t>
        </is>
      </c>
      <c r="D2848" t="inlineStr">
        <is>
          <t>Straightedge youth : complexity and contradictions of a subculture / Robert T. Wood.</t>
        </is>
      </c>
      <c r="F2848" t="inlineStr">
        <is>
          <t>No</t>
        </is>
      </c>
      <c r="G2848" t="inlineStr">
        <is>
          <t>1</t>
        </is>
      </c>
      <c r="H2848" t="inlineStr">
        <is>
          <t>No</t>
        </is>
      </c>
      <c r="I2848" t="inlineStr">
        <is>
          <t>No</t>
        </is>
      </c>
      <c r="J2848" t="inlineStr">
        <is>
          <t>0</t>
        </is>
      </c>
      <c r="K2848" t="inlineStr">
        <is>
          <t>Wood, Robert T., 1972-</t>
        </is>
      </c>
      <c r="L2848" t="inlineStr">
        <is>
          <t>Syracuse, N.Y. : Syracuse University Press, 2006.</t>
        </is>
      </c>
      <c r="M2848" t="inlineStr">
        <is>
          <t>2006</t>
        </is>
      </c>
      <c r="N2848" t="inlineStr">
        <is>
          <t>1st ed.</t>
        </is>
      </c>
      <c r="O2848" t="inlineStr">
        <is>
          <t>eng</t>
        </is>
      </c>
      <c r="P2848" t="inlineStr">
        <is>
          <t>nyu</t>
        </is>
      </c>
      <c r="R2848" t="inlineStr">
        <is>
          <t xml:space="preserve">HQ </t>
        </is>
      </c>
      <c r="S2848" t="n">
        <v>1</v>
      </c>
      <c r="T2848" t="n">
        <v>1</v>
      </c>
      <c r="U2848" t="inlineStr">
        <is>
          <t>2006-12-05</t>
        </is>
      </c>
      <c r="V2848" t="inlineStr">
        <is>
          <t>2006-12-05</t>
        </is>
      </c>
      <c r="W2848" t="inlineStr">
        <is>
          <t>2006-12-05</t>
        </is>
      </c>
      <c r="X2848" t="inlineStr">
        <is>
          <t>2006-12-05</t>
        </is>
      </c>
      <c r="Y2848" t="n">
        <v>468</v>
      </c>
      <c r="Z2848" t="n">
        <v>396</v>
      </c>
      <c r="AA2848" t="n">
        <v>399</v>
      </c>
      <c r="AB2848" t="n">
        <v>3</v>
      </c>
      <c r="AC2848" t="n">
        <v>3</v>
      </c>
      <c r="AD2848" t="n">
        <v>20</v>
      </c>
      <c r="AE2848" t="n">
        <v>20</v>
      </c>
      <c r="AF2848" t="n">
        <v>8</v>
      </c>
      <c r="AG2848" t="n">
        <v>8</v>
      </c>
      <c r="AH2848" t="n">
        <v>4</v>
      </c>
      <c r="AI2848" t="n">
        <v>4</v>
      </c>
      <c r="AJ2848" t="n">
        <v>12</v>
      </c>
      <c r="AK2848" t="n">
        <v>12</v>
      </c>
      <c r="AL2848" t="n">
        <v>2</v>
      </c>
      <c r="AM2848" t="n">
        <v>2</v>
      </c>
      <c r="AN2848" t="n">
        <v>0</v>
      </c>
      <c r="AO2848" t="n">
        <v>0</v>
      </c>
      <c r="AP2848" t="inlineStr">
        <is>
          <t>No</t>
        </is>
      </c>
      <c r="AQ2848" t="inlineStr">
        <is>
          <t>Yes</t>
        </is>
      </c>
      <c r="AR2848">
        <f>HYPERLINK("http://catalog.hathitrust.org/Record/005397772","HathiTrust Record")</f>
        <v/>
      </c>
      <c r="AS2848">
        <f>HYPERLINK("https://creighton-primo.hosted.exlibrisgroup.com/primo-explore/search?tab=default_tab&amp;search_scope=EVERYTHING&amp;vid=01CRU&amp;lang=en_US&amp;offset=0&amp;query=any,contains,991004938279702656","Catalog Record")</f>
        <v/>
      </c>
      <c r="AT2848">
        <f>HYPERLINK("http://www.worldcat.org/oclc/70265457","WorldCat Record")</f>
        <v/>
      </c>
      <c r="AU2848" t="inlineStr">
        <is>
          <t>57477124:eng</t>
        </is>
      </c>
      <c r="AV2848" t="inlineStr">
        <is>
          <t>70265457</t>
        </is>
      </c>
      <c r="AW2848" t="inlineStr">
        <is>
          <t>991004938279702656</t>
        </is>
      </c>
      <c r="AX2848" t="inlineStr">
        <is>
          <t>991004938279702656</t>
        </is>
      </c>
      <c r="AY2848" t="inlineStr">
        <is>
          <t>2260587110002656</t>
        </is>
      </c>
      <c r="AZ2848" t="inlineStr">
        <is>
          <t>BOOK</t>
        </is>
      </c>
      <c r="BB2848" t="inlineStr">
        <is>
          <t>9780815631279</t>
        </is>
      </c>
      <c r="BC2848" t="inlineStr">
        <is>
          <t>32285005265136</t>
        </is>
      </c>
      <c r="BD2848" t="inlineStr">
        <is>
          <t>893594258</t>
        </is>
      </c>
    </row>
    <row r="2849">
      <c r="A2849" t="inlineStr">
        <is>
          <t>No</t>
        </is>
      </c>
      <c r="B2849" t="inlineStr">
        <is>
          <t>HQ797 .A36 2004</t>
        </is>
      </c>
      <c r="C2849" t="inlineStr">
        <is>
          <t>0                      HQ 0797000A  36          2004</t>
        </is>
      </c>
      <c r="D2849" t="inlineStr">
        <is>
          <t>Adolescent boys : exploring diverse cultures of boyhood / edited by Niobe Way and Judy Y. Chu ; foreword by Michael Kimmel.</t>
        </is>
      </c>
      <c r="F2849" t="inlineStr">
        <is>
          <t>No</t>
        </is>
      </c>
      <c r="G2849" t="inlineStr">
        <is>
          <t>1</t>
        </is>
      </c>
      <c r="H2849" t="inlineStr">
        <is>
          <t>No</t>
        </is>
      </c>
      <c r="I2849" t="inlineStr">
        <is>
          <t>No</t>
        </is>
      </c>
      <c r="J2849" t="inlineStr">
        <is>
          <t>0</t>
        </is>
      </c>
      <c r="L2849" t="inlineStr">
        <is>
          <t>New York : New York University Press, c2004.</t>
        </is>
      </c>
      <c r="M2849" t="inlineStr">
        <is>
          <t>2004</t>
        </is>
      </c>
      <c r="O2849" t="inlineStr">
        <is>
          <t>eng</t>
        </is>
      </c>
      <c r="P2849" t="inlineStr">
        <is>
          <t>nyu</t>
        </is>
      </c>
      <c r="R2849" t="inlineStr">
        <is>
          <t xml:space="preserve">HQ </t>
        </is>
      </c>
      <c r="S2849" t="n">
        <v>8</v>
      </c>
      <c r="T2849" t="n">
        <v>8</v>
      </c>
      <c r="U2849" t="inlineStr">
        <is>
          <t>2008-06-22</t>
        </is>
      </c>
      <c r="V2849" t="inlineStr">
        <is>
          <t>2008-06-22</t>
        </is>
      </c>
      <c r="W2849" t="inlineStr">
        <is>
          <t>2005-01-10</t>
        </is>
      </c>
      <c r="X2849" t="inlineStr">
        <is>
          <t>2005-01-10</t>
        </is>
      </c>
      <c r="Y2849" t="n">
        <v>651</v>
      </c>
      <c r="Z2849" t="n">
        <v>572</v>
      </c>
      <c r="AA2849" t="n">
        <v>615</v>
      </c>
      <c r="AB2849" t="n">
        <v>3</v>
      </c>
      <c r="AC2849" t="n">
        <v>4</v>
      </c>
      <c r="AD2849" t="n">
        <v>27</v>
      </c>
      <c r="AE2849" t="n">
        <v>30</v>
      </c>
      <c r="AF2849" t="n">
        <v>10</v>
      </c>
      <c r="AG2849" t="n">
        <v>12</v>
      </c>
      <c r="AH2849" t="n">
        <v>6</v>
      </c>
      <c r="AI2849" t="n">
        <v>7</v>
      </c>
      <c r="AJ2849" t="n">
        <v>13</v>
      </c>
      <c r="AK2849" t="n">
        <v>13</v>
      </c>
      <c r="AL2849" t="n">
        <v>2</v>
      </c>
      <c r="AM2849" t="n">
        <v>3</v>
      </c>
      <c r="AN2849" t="n">
        <v>0</v>
      </c>
      <c r="AO2849" t="n">
        <v>0</v>
      </c>
      <c r="AP2849" t="inlineStr">
        <is>
          <t>No</t>
        </is>
      </c>
      <c r="AQ2849" t="inlineStr">
        <is>
          <t>Yes</t>
        </is>
      </c>
      <c r="AR2849">
        <f>HYPERLINK("http://catalog.hathitrust.org/Record/004367252","HathiTrust Record")</f>
        <v/>
      </c>
      <c r="AS2849">
        <f>HYPERLINK("https://creighton-primo.hosted.exlibrisgroup.com/primo-explore/search?tab=default_tab&amp;search_scope=EVERYTHING&amp;vid=01CRU&amp;lang=en_US&amp;offset=0&amp;query=any,contains,991004426419702656","Catalog Record")</f>
        <v/>
      </c>
      <c r="AT2849">
        <f>HYPERLINK("http://www.worldcat.org/oclc/52942854","WorldCat Record")</f>
        <v/>
      </c>
      <c r="AU2849" t="inlineStr">
        <is>
          <t>791912595:eng</t>
        </is>
      </c>
      <c r="AV2849" t="inlineStr">
        <is>
          <t>52942854</t>
        </is>
      </c>
      <c r="AW2849" t="inlineStr">
        <is>
          <t>991004426419702656</t>
        </is>
      </c>
      <c r="AX2849" t="inlineStr">
        <is>
          <t>991004426419702656</t>
        </is>
      </c>
      <c r="AY2849" t="inlineStr">
        <is>
          <t>2270620750002656</t>
        </is>
      </c>
      <c r="AZ2849" t="inlineStr">
        <is>
          <t>BOOK</t>
        </is>
      </c>
      <c r="BB2849" t="inlineStr">
        <is>
          <t>9780814793848</t>
        </is>
      </c>
      <c r="BC2849" t="inlineStr">
        <is>
          <t>32285005020416</t>
        </is>
      </c>
      <c r="BD2849" t="inlineStr">
        <is>
          <t>893436277</t>
        </is>
      </c>
    </row>
    <row r="2850">
      <c r="A2850" t="inlineStr">
        <is>
          <t>No</t>
        </is>
      </c>
      <c r="B2850" t="inlineStr">
        <is>
          <t>HQ797 .S6 2000</t>
        </is>
      </c>
      <c r="C2850" t="inlineStr">
        <is>
          <t>0                      HQ 0797000S  6           2000</t>
        </is>
      </c>
      <c r="D2850" t="inlineStr">
        <is>
          <t>The war against boys : how misguided feminism is harming our young men / Christina Hoff Sommers.</t>
        </is>
      </c>
      <c r="F2850" t="inlineStr">
        <is>
          <t>No</t>
        </is>
      </c>
      <c r="G2850" t="inlineStr">
        <is>
          <t>1</t>
        </is>
      </c>
      <c r="H2850" t="inlineStr">
        <is>
          <t>No</t>
        </is>
      </c>
      <c r="I2850" t="inlineStr">
        <is>
          <t>No</t>
        </is>
      </c>
      <c r="J2850" t="inlineStr">
        <is>
          <t>0</t>
        </is>
      </c>
      <c r="K2850" t="inlineStr">
        <is>
          <t>Sommers, Christina Hoff.</t>
        </is>
      </c>
      <c r="L2850" t="inlineStr">
        <is>
          <t>New York : Simon &amp; Schuster, c2000.</t>
        </is>
      </c>
      <c r="M2850" t="inlineStr">
        <is>
          <t>2000</t>
        </is>
      </c>
      <c r="O2850" t="inlineStr">
        <is>
          <t>eng</t>
        </is>
      </c>
      <c r="P2850" t="inlineStr">
        <is>
          <t>nyu</t>
        </is>
      </c>
      <c r="R2850" t="inlineStr">
        <is>
          <t xml:space="preserve">HQ </t>
        </is>
      </c>
      <c r="S2850" t="n">
        <v>17</v>
      </c>
      <c r="T2850" t="n">
        <v>17</v>
      </c>
      <c r="U2850" t="inlineStr">
        <is>
          <t>2006-09-06</t>
        </is>
      </c>
      <c r="V2850" t="inlineStr">
        <is>
          <t>2006-09-06</t>
        </is>
      </c>
      <c r="W2850" t="inlineStr">
        <is>
          <t>2001-01-08</t>
        </is>
      </c>
      <c r="X2850" t="inlineStr">
        <is>
          <t>2001-01-08</t>
        </is>
      </c>
      <c r="Y2850" t="n">
        <v>1503</v>
      </c>
      <c r="Z2850" t="n">
        <v>1366</v>
      </c>
      <c r="AA2850" t="n">
        <v>1476</v>
      </c>
      <c r="AB2850" t="n">
        <v>16</v>
      </c>
      <c r="AC2850" t="n">
        <v>16</v>
      </c>
      <c r="AD2850" t="n">
        <v>37</v>
      </c>
      <c r="AE2850" t="n">
        <v>39</v>
      </c>
      <c r="AF2850" t="n">
        <v>11</v>
      </c>
      <c r="AG2850" t="n">
        <v>13</v>
      </c>
      <c r="AH2850" t="n">
        <v>5</v>
      </c>
      <c r="AI2850" t="n">
        <v>5</v>
      </c>
      <c r="AJ2850" t="n">
        <v>17</v>
      </c>
      <c r="AK2850" t="n">
        <v>18</v>
      </c>
      <c r="AL2850" t="n">
        <v>11</v>
      </c>
      <c r="AM2850" t="n">
        <v>11</v>
      </c>
      <c r="AN2850" t="n">
        <v>0</v>
      </c>
      <c r="AO2850" t="n">
        <v>0</v>
      </c>
      <c r="AP2850" t="inlineStr">
        <is>
          <t>No</t>
        </is>
      </c>
      <c r="AQ2850" t="inlineStr">
        <is>
          <t>Yes</t>
        </is>
      </c>
      <c r="AR2850">
        <f>HYPERLINK("http://catalog.hathitrust.org/Record/004102359","HathiTrust Record")</f>
        <v/>
      </c>
      <c r="AS2850">
        <f>HYPERLINK("https://creighton-primo.hosted.exlibrisgroup.com/primo-explore/search?tab=default_tab&amp;search_scope=EVERYTHING&amp;vid=01CRU&amp;lang=en_US&amp;offset=0&amp;query=any,contains,991003246009702656","Catalog Record")</f>
        <v/>
      </c>
      <c r="AT2850">
        <f>HYPERLINK("http://www.worldcat.org/oclc/43641283","WorldCat Record")</f>
        <v/>
      </c>
      <c r="AU2850" t="inlineStr">
        <is>
          <t>1983842:eng</t>
        </is>
      </c>
      <c r="AV2850" t="inlineStr">
        <is>
          <t>43641283</t>
        </is>
      </c>
      <c r="AW2850" t="inlineStr">
        <is>
          <t>991003246009702656</t>
        </is>
      </c>
      <c r="AX2850" t="inlineStr">
        <is>
          <t>991003246009702656</t>
        </is>
      </c>
      <c r="AY2850" t="inlineStr">
        <is>
          <t>2268017270002656</t>
        </is>
      </c>
      <c r="AZ2850" t="inlineStr">
        <is>
          <t>BOOK</t>
        </is>
      </c>
      <c r="BB2850" t="inlineStr">
        <is>
          <t>9780684849560</t>
        </is>
      </c>
      <c r="BC2850" t="inlineStr">
        <is>
          <t>32285004280193</t>
        </is>
      </c>
      <c r="BD2850" t="inlineStr">
        <is>
          <t>893227855</t>
        </is>
      </c>
    </row>
    <row r="2851">
      <c r="A2851" t="inlineStr">
        <is>
          <t>No</t>
        </is>
      </c>
      <c r="B2851" t="inlineStr">
        <is>
          <t>HQ798 .A735 1990</t>
        </is>
      </c>
      <c r="C2851" t="inlineStr">
        <is>
          <t>0                      HQ 0798000A  735         1990</t>
        </is>
      </c>
      <c r="D2851" t="inlineStr">
        <is>
          <t>Altered loves : mothers and daughters during adolescence / Terri Apter.</t>
        </is>
      </c>
      <c r="F2851" t="inlineStr">
        <is>
          <t>No</t>
        </is>
      </c>
      <c r="G2851" t="inlineStr">
        <is>
          <t>1</t>
        </is>
      </c>
      <c r="H2851" t="inlineStr">
        <is>
          <t>No</t>
        </is>
      </c>
      <c r="I2851" t="inlineStr">
        <is>
          <t>No</t>
        </is>
      </c>
      <c r="J2851" t="inlineStr">
        <is>
          <t>0</t>
        </is>
      </c>
      <c r="K2851" t="inlineStr">
        <is>
          <t>Apter, T. E.</t>
        </is>
      </c>
      <c r="L2851" t="inlineStr">
        <is>
          <t>New York : St. Martin's Press, 1990.</t>
        </is>
      </c>
      <c r="M2851" t="inlineStr">
        <is>
          <t>1990</t>
        </is>
      </c>
      <c r="O2851" t="inlineStr">
        <is>
          <t>eng</t>
        </is>
      </c>
      <c r="P2851" t="inlineStr">
        <is>
          <t>nyu</t>
        </is>
      </c>
      <c r="R2851" t="inlineStr">
        <is>
          <t xml:space="preserve">HQ </t>
        </is>
      </c>
      <c r="S2851" t="n">
        <v>9</v>
      </c>
      <c r="T2851" t="n">
        <v>9</v>
      </c>
      <c r="U2851" t="inlineStr">
        <is>
          <t>2007-03-07</t>
        </is>
      </c>
      <c r="V2851" t="inlineStr">
        <is>
          <t>2007-03-07</t>
        </is>
      </c>
      <c r="W2851" t="inlineStr">
        <is>
          <t>1991-06-06</t>
        </is>
      </c>
      <c r="X2851" t="inlineStr">
        <is>
          <t>1991-06-06</t>
        </is>
      </c>
      <c r="Y2851" t="n">
        <v>537</v>
      </c>
      <c r="Z2851" t="n">
        <v>481</v>
      </c>
      <c r="AA2851" t="n">
        <v>578</v>
      </c>
      <c r="AB2851" t="n">
        <v>3</v>
      </c>
      <c r="AC2851" t="n">
        <v>3</v>
      </c>
      <c r="AD2851" t="n">
        <v>15</v>
      </c>
      <c r="AE2851" t="n">
        <v>17</v>
      </c>
      <c r="AF2851" t="n">
        <v>5</v>
      </c>
      <c r="AG2851" t="n">
        <v>5</v>
      </c>
      <c r="AH2851" t="n">
        <v>3</v>
      </c>
      <c r="AI2851" t="n">
        <v>3</v>
      </c>
      <c r="AJ2851" t="n">
        <v>11</v>
      </c>
      <c r="AK2851" t="n">
        <v>13</v>
      </c>
      <c r="AL2851" t="n">
        <v>1</v>
      </c>
      <c r="AM2851" t="n">
        <v>1</v>
      </c>
      <c r="AN2851" t="n">
        <v>0</v>
      </c>
      <c r="AO2851" t="n">
        <v>0</v>
      </c>
      <c r="AP2851" t="inlineStr">
        <is>
          <t>No</t>
        </is>
      </c>
      <c r="AQ2851" t="inlineStr">
        <is>
          <t>No</t>
        </is>
      </c>
      <c r="AS2851">
        <f>HYPERLINK("https://creighton-primo.hosted.exlibrisgroup.com/primo-explore/search?tab=default_tab&amp;search_scope=EVERYTHING&amp;vid=01CRU&amp;lang=en_US&amp;offset=0&amp;query=any,contains,991001620489702656","Catalog Record")</f>
        <v/>
      </c>
      <c r="AT2851">
        <f>HYPERLINK("http://www.worldcat.org/oclc/20823485","WorldCat Record")</f>
        <v/>
      </c>
      <c r="AU2851" t="inlineStr">
        <is>
          <t>21796392:eng</t>
        </is>
      </c>
      <c r="AV2851" t="inlineStr">
        <is>
          <t>20823485</t>
        </is>
      </c>
      <c r="AW2851" t="inlineStr">
        <is>
          <t>991001620489702656</t>
        </is>
      </c>
      <c r="AX2851" t="inlineStr">
        <is>
          <t>991001620489702656</t>
        </is>
      </c>
      <c r="AY2851" t="inlineStr">
        <is>
          <t>2263897840002656</t>
        </is>
      </c>
      <c r="AZ2851" t="inlineStr">
        <is>
          <t>BOOK</t>
        </is>
      </c>
      <c r="BB2851" t="inlineStr">
        <is>
          <t>9780312045340</t>
        </is>
      </c>
      <c r="BC2851" t="inlineStr">
        <is>
          <t>32285000593847</t>
        </is>
      </c>
      <c r="BD2851" t="inlineStr">
        <is>
          <t>893797675</t>
        </is>
      </c>
    </row>
    <row r="2852">
      <c r="A2852" t="inlineStr">
        <is>
          <t>No</t>
        </is>
      </c>
      <c r="B2852" t="inlineStr">
        <is>
          <t>HQ798 .B66 1992</t>
        </is>
      </c>
      <c r="C2852" t="inlineStr">
        <is>
          <t>0                      HQ 0798000B  66          1992</t>
        </is>
      </c>
      <c r="D2852" t="inlineStr">
        <is>
          <t>Young, white, and miserable : growing up female in the fifties / Wini Breines.</t>
        </is>
      </c>
      <c r="F2852" t="inlineStr">
        <is>
          <t>No</t>
        </is>
      </c>
      <c r="G2852" t="inlineStr">
        <is>
          <t>1</t>
        </is>
      </c>
      <c r="H2852" t="inlineStr">
        <is>
          <t>No</t>
        </is>
      </c>
      <c r="I2852" t="inlineStr">
        <is>
          <t>No</t>
        </is>
      </c>
      <c r="J2852" t="inlineStr">
        <is>
          <t>0</t>
        </is>
      </c>
      <c r="K2852" t="inlineStr">
        <is>
          <t>Breines, Wini.</t>
        </is>
      </c>
      <c r="L2852" t="inlineStr">
        <is>
          <t>Boston : Beacon Press, c1992.</t>
        </is>
      </c>
      <c r="M2852" t="inlineStr">
        <is>
          <t>1992</t>
        </is>
      </c>
      <c r="O2852" t="inlineStr">
        <is>
          <t>eng</t>
        </is>
      </c>
      <c r="P2852" t="inlineStr">
        <is>
          <t>mau</t>
        </is>
      </c>
      <c r="R2852" t="inlineStr">
        <is>
          <t xml:space="preserve">HQ </t>
        </is>
      </c>
      <c r="S2852" t="n">
        <v>6</v>
      </c>
      <c r="T2852" t="n">
        <v>6</v>
      </c>
      <c r="U2852" t="inlineStr">
        <is>
          <t>2010-06-07</t>
        </is>
      </c>
      <c r="V2852" t="inlineStr">
        <is>
          <t>2010-06-07</t>
        </is>
      </c>
      <c r="W2852" t="inlineStr">
        <is>
          <t>1992-12-08</t>
        </is>
      </c>
      <c r="X2852" t="inlineStr">
        <is>
          <t>1992-12-08</t>
        </is>
      </c>
      <c r="Y2852" t="n">
        <v>724</v>
      </c>
      <c r="Z2852" t="n">
        <v>625</v>
      </c>
      <c r="AA2852" t="n">
        <v>730</v>
      </c>
      <c r="AB2852" t="n">
        <v>5</v>
      </c>
      <c r="AC2852" t="n">
        <v>5</v>
      </c>
      <c r="AD2852" t="n">
        <v>32</v>
      </c>
      <c r="AE2852" t="n">
        <v>36</v>
      </c>
      <c r="AF2852" t="n">
        <v>14</v>
      </c>
      <c r="AG2852" t="n">
        <v>15</v>
      </c>
      <c r="AH2852" t="n">
        <v>8</v>
      </c>
      <c r="AI2852" t="n">
        <v>9</v>
      </c>
      <c r="AJ2852" t="n">
        <v>16</v>
      </c>
      <c r="AK2852" t="n">
        <v>19</v>
      </c>
      <c r="AL2852" t="n">
        <v>4</v>
      </c>
      <c r="AM2852" t="n">
        <v>4</v>
      </c>
      <c r="AN2852" t="n">
        <v>0</v>
      </c>
      <c r="AO2852" t="n">
        <v>0</v>
      </c>
      <c r="AP2852" t="inlineStr">
        <is>
          <t>No</t>
        </is>
      </c>
      <c r="AQ2852" t="inlineStr">
        <is>
          <t>No</t>
        </is>
      </c>
      <c r="AS2852">
        <f>HYPERLINK("https://creighton-primo.hosted.exlibrisgroup.com/primo-explore/search?tab=default_tab&amp;search_scope=EVERYTHING&amp;vid=01CRU&amp;lang=en_US&amp;offset=0&amp;query=any,contains,991001930549702656","Catalog Record")</f>
        <v/>
      </c>
      <c r="AT2852">
        <f>HYPERLINK("http://www.worldcat.org/oclc/24376633","WorldCat Record")</f>
        <v/>
      </c>
      <c r="AU2852" t="inlineStr">
        <is>
          <t>890813359:eng</t>
        </is>
      </c>
      <c r="AV2852" t="inlineStr">
        <is>
          <t>24376633</t>
        </is>
      </c>
      <c r="AW2852" t="inlineStr">
        <is>
          <t>991001930549702656</t>
        </is>
      </c>
      <c r="AX2852" t="inlineStr">
        <is>
          <t>991001930549702656</t>
        </is>
      </c>
      <c r="AY2852" t="inlineStr">
        <is>
          <t>2262532520002656</t>
        </is>
      </c>
      <c r="AZ2852" t="inlineStr">
        <is>
          <t>BOOK</t>
        </is>
      </c>
      <c r="BB2852" t="inlineStr">
        <is>
          <t>9780807075029</t>
        </is>
      </c>
      <c r="BC2852" t="inlineStr">
        <is>
          <t>32285001401644</t>
        </is>
      </c>
      <c r="BD2852" t="inlineStr">
        <is>
          <t>893872905</t>
        </is>
      </c>
    </row>
    <row r="2853">
      <c r="A2853" t="inlineStr">
        <is>
          <t>No</t>
        </is>
      </c>
      <c r="B2853" t="inlineStr">
        <is>
          <t>HQ798 .C544</t>
        </is>
      </c>
      <c r="C2853" t="inlineStr">
        <is>
          <t>0                      HQ 0798000C  544</t>
        </is>
      </c>
      <c r="D2853" t="inlineStr">
        <is>
          <t>Daughters : from infancy to independence / Stella Chess and Jane Whitbread.</t>
        </is>
      </c>
      <c r="F2853" t="inlineStr">
        <is>
          <t>No</t>
        </is>
      </c>
      <c r="G2853" t="inlineStr">
        <is>
          <t>1</t>
        </is>
      </c>
      <c r="H2853" t="inlineStr">
        <is>
          <t>No</t>
        </is>
      </c>
      <c r="I2853" t="inlineStr">
        <is>
          <t>No</t>
        </is>
      </c>
      <c r="J2853" t="inlineStr">
        <is>
          <t>0</t>
        </is>
      </c>
      <c r="K2853" t="inlineStr">
        <is>
          <t>Chess, Stella.</t>
        </is>
      </c>
      <c r="L2853" t="inlineStr">
        <is>
          <t>Garden City, N.Y. : Doubleday, c1978.</t>
        </is>
      </c>
      <c r="M2853" t="inlineStr">
        <is>
          <t>1978</t>
        </is>
      </c>
      <c r="N2853" t="inlineStr">
        <is>
          <t>1st ed.</t>
        </is>
      </c>
      <c r="O2853" t="inlineStr">
        <is>
          <t>eng</t>
        </is>
      </c>
      <c r="P2853" t="inlineStr">
        <is>
          <t>nyu</t>
        </is>
      </c>
      <c r="R2853" t="inlineStr">
        <is>
          <t xml:space="preserve">HQ </t>
        </is>
      </c>
      <c r="S2853" t="n">
        <v>6</v>
      </c>
      <c r="T2853" t="n">
        <v>6</v>
      </c>
      <c r="U2853" t="inlineStr">
        <is>
          <t>1996-04-14</t>
        </is>
      </c>
      <c r="V2853" t="inlineStr">
        <is>
          <t>1996-04-14</t>
        </is>
      </c>
      <c r="W2853" t="inlineStr">
        <is>
          <t>1992-11-16</t>
        </is>
      </c>
      <c r="X2853" t="inlineStr">
        <is>
          <t>1992-11-16</t>
        </is>
      </c>
      <c r="Y2853" t="n">
        <v>402</v>
      </c>
      <c r="Z2853" t="n">
        <v>380</v>
      </c>
      <c r="AA2853" t="n">
        <v>434</v>
      </c>
      <c r="AB2853" t="n">
        <v>3</v>
      </c>
      <c r="AC2853" t="n">
        <v>4</v>
      </c>
      <c r="AD2853" t="n">
        <v>5</v>
      </c>
      <c r="AE2853" t="n">
        <v>9</v>
      </c>
      <c r="AF2853" t="n">
        <v>1</v>
      </c>
      <c r="AG2853" t="n">
        <v>2</v>
      </c>
      <c r="AH2853" t="n">
        <v>1</v>
      </c>
      <c r="AI2853" t="n">
        <v>2</v>
      </c>
      <c r="AJ2853" t="n">
        <v>2</v>
      </c>
      <c r="AK2853" t="n">
        <v>3</v>
      </c>
      <c r="AL2853" t="n">
        <v>1</v>
      </c>
      <c r="AM2853" t="n">
        <v>2</v>
      </c>
      <c r="AN2853" t="n">
        <v>0</v>
      </c>
      <c r="AO2853" t="n">
        <v>0</v>
      </c>
      <c r="AP2853" t="inlineStr">
        <is>
          <t>No</t>
        </is>
      </c>
      <c r="AQ2853" t="inlineStr">
        <is>
          <t>No</t>
        </is>
      </c>
      <c r="AS2853">
        <f>HYPERLINK("https://creighton-primo.hosted.exlibrisgroup.com/primo-explore/search?tab=default_tab&amp;search_scope=EVERYTHING&amp;vid=01CRU&amp;lang=en_US&amp;offset=0&amp;query=any,contains,991004477239702656","Catalog Record")</f>
        <v/>
      </c>
      <c r="AT2853">
        <f>HYPERLINK("http://www.worldcat.org/oclc/3609860","WorldCat Record")</f>
        <v/>
      </c>
      <c r="AU2853" t="inlineStr">
        <is>
          <t>11179756:eng</t>
        </is>
      </c>
      <c r="AV2853" t="inlineStr">
        <is>
          <t>3609860</t>
        </is>
      </c>
      <c r="AW2853" t="inlineStr">
        <is>
          <t>991004477239702656</t>
        </is>
      </c>
      <c r="AX2853" t="inlineStr">
        <is>
          <t>991004477239702656</t>
        </is>
      </c>
      <c r="AY2853" t="inlineStr">
        <is>
          <t>2271791460002656</t>
        </is>
      </c>
      <c r="AZ2853" t="inlineStr">
        <is>
          <t>BOOK</t>
        </is>
      </c>
      <c r="BB2853" t="inlineStr">
        <is>
          <t>9780385116022</t>
        </is>
      </c>
      <c r="BC2853" t="inlineStr">
        <is>
          <t>32285001396398</t>
        </is>
      </c>
      <c r="BD2853" t="inlineStr">
        <is>
          <t>893506896</t>
        </is>
      </c>
    </row>
    <row r="2854">
      <c r="A2854" t="inlineStr">
        <is>
          <t>No</t>
        </is>
      </c>
      <c r="B2854" t="inlineStr">
        <is>
          <t>HQ798 .C5644 2005</t>
        </is>
      </c>
      <c r="C2854" t="inlineStr">
        <is>
          <t>0                      HQ 0798000C  5644        2005</t>
        </is>
      </c>
      <c r="D2854" t="inlineStr">
        <is>
          <t>Without apology : girls, women, and the desire to fight / Leah Hager Cohen.</t>
        </is>
      </c>
      <c r="F2854" t="inlineStr">
        <is>
          <t>No</t>
        </is>
      </c>
      <c r="G2854" t="inlineStr">
        <is>
          <t>1</t>
        </is>
      </c>
      <c r="H2854" t="inlineStr">
        <is>
          <t>No</t>
        </is>
      </c>
      <c r="I2854" t="inlineStr">
        <is>
          <t>No</t>
        </is>
      </c>
      <c r="J2854" t="inlineStr">
        <is>
          <t>0</t>
        </is>
      </c>
      <c r="K2854" t="inlineStr">
        <is>
          <t>Cohen, Leah Hager.</t>
        </is>
      </c>
      <c r="L2854" t="inlineStr">
        <is>
          <t>New York : Random House, c2005.</t>
        </is>
      </c>
      <c r="M2854" t="inlineStr">
        <is>
          <t>2005</t>
        </is>
      </c>
      <c r="N2854" t="inlineStr">
        <is>
          <t>1st ed.</t>
        </is>
      </c>
      <c r="O2854" t="inlineStr">
        <is>
          <t>eng</t>
        </is>
      </c>
      <c r="P2854" t="inlineStr">
        <is>
          <t>nyu</t>
        </is>
      </c>
      <c r="R2854" t="inlineStr">
        <is>
          <t xml:space="preserve">HQ </t>
        </is>
      </c>
      <c r="S2854" t="n">
        <v>2</v>
      </c>
      <c r="T2854" t="n">
        <v>2</v>
      </c>
      <c r="U2854" t="inlineStr">
        <is>
          <t>2006-07-12</t>
        </is>
      </c>
      <c r="V2854" t="inlineStr">
        <is>
          <t>2006-07-12</t>
        </is>
      </c>
      <c r="W2854" t="inlineStr">
        <is>
          <t>2005-08-01</t>
        </is>
      </c>
      <c r="X2854" t="inlineStr">
        <is>
          <t>2005-08-01</t>
        </is>
      </c>
      <c r="Y2854" t="n">
        <v>722</v>
      </c>
      <c r="Z2854" t="n">
        <v>676</v>
      </c>
      <c r="AA2854" t="n">
        <v>680</v>
      </c>
      <c r="AB2854" t="n">
        <v>6</v>
      </c>
      <c r="AC2854" t="n">
        <v>6</v>
      </c>
      <c r="AD2854" t="n">
        <v>22</v>
      </c>
      <c r="AE2854" t="n">
        <v>22</v>
      </c>
      <c r="AF2854" t="n">
        <v>9</v>
      </c>
      <c r="AG2854" t="n">
        <v>9</v>
      </c>
      <c r="AH2854" t="n">
        <v>4</v>
      </c>
      <c r="AI2854" t="n">
        <v>4</v>
      </c>
      <c r="AJ2854" t="n">
        <v>10</v>
      </c>
      <c r="AK2854" t="n">
        <v>10</v>
      </c>
      <c r="AL2854" t="n">
        <v>5</v>
      </c>
      <c r="AM2854" t="n">
        <v>5</v>
      </c>
      <c r="AN2854" t="n">
        <v>0</v>
      </c>
      <c r="AO2854" t="n">
        <v>0</v>
      </c>
      <c r="AP2854" t="inlineStr">
        <is>
          <t>No</t>
        </is>
      </c>
      <c r="AQ2854" t="inlineStr">
        <is>
          <t>Yes</t>
        </is>
      </c>
      <c r="AR2854">
        <f>HYPERLINK("http://catalog.hathitrust.org/Record/004947782","HathiTrust Record")</f>
        <v/>
      </c>
      <c r="AS2854">
        <f>HYPERLINK("https://creighton-primo.hosted.exlibrisgroup.com/primo-explore/search?tab=default_tab&amp;search_scope=EVERYTHING&amp;vid=01CRU&amp;lang=en_US&amp;offset=0&amp;query=any,contains,991004600559702656","Catalog Record")</f>
        <v/>
      </c>
      <c r="AT2854">
        <f>HYPERLINK("http://www.worldcat.org/oclc/55208312","WorldCat Record")</f>
        <v/>
      </c>
      <c r="AU2854" t="inlineStr">
        <is>
          <t>3943476953:eng</t>
        </is>
      </c>
      <c r="AV2854" t="inlineStr">
        <is>
          <t>55208312</t>
        </is>
      </c>
      <c r="AW2854" t="inlineStr">
        <is>
          <t>991004600559702656</t>
        </is>
      </c>
      <c r="AX2854" t="inlineStr">
        <is>
          <t>991004600559702656</t>
        </is>
      </c>
      <c r="AY2854" t="inlineStr">
        <is>
          <t>2267874690002656</t>
        </is>
      </c>
      <c r="AZ2854" t="inlineStr">
        <is>
          <t>BOOK</t>
        </is>
      </c>
      <c r="BB2854" t="inlineStr">
        <is>
          <t>9781400061570</t>
        </is>
      </c>
      <c r="BC2854" t="inlineStr">
        <is>
          <t>32285005098636</t>
        </is>
      </c>
      <c r="BD2854" t="inlineStr">
        <is>
          <t>893430251</t>
        </is>
      </c>
    </row>
    <row r="2855">
      <c r="A2855" t="inlineStr">
        <is>
          <t>No</t>
        </is>
      </c>
      <c r="B2855" t="inlineStr">
        <is>
          <t>HQ798 .C56443 2005</t>
        </is>
      </c>
      <c r="C2855" t="inlineStr">
        <is>
          <t>0                      HQ 0798000C  56443       2005</t>
        </is>
      </c>
      <c r="D2855" t="inlineStr">
        <is>
          <t>Stressed-out girls : helping them thrive in the age of pressure / Roni Cohen-Sandler.</t>
        </is>
      </c>
      <c r="F2855" t="inlineStr">
        <is>
          <t>No</t>
        </is>
      </c>
      <c r="G2855" t="inlineStr">
        <is>
          <t>1</t>
        </is>
      </c>
      <c r="H2855" t="inlineStr">
        <is>
          <t>No</t>
        </is>
      </c>
      <c r="I2855" t="inlineStr">
        <is>
          <t>No</t>
        </is>
      </c>
      <c r="J2855" t="inlineStr">
        <is>
          <t>0</t>
        </is>
      </c>
      <c r="K2855" t="inlineStr">
        <is>
          <t>Cohen-Sandler, Roni.</t>
        </is>
      </c>
      <c r="L2855" t="inlineStr">
        <is>
          <t>New York : Viking, 2005.</t>
        </is>
      </c>
      <c r="M2855" t="inlineStr">
        <is>
          <t>2005</t>
        </is>
      </c>
      <c r="O2855" t="inlineStr">
        <is>
          <t>eng</t>
        </is>
      </c>
      <c r="P2855" t="inlineStr">
        <is>
          <t>nyu</t>
        </is>
      </c>
      <c r="R2855" t="inlineStr">
        <is>
          <t xml:space="preserve">HQ </t>
        </is>
      </c>
      <c r="S2855" t="n">
        <v>8</v>
      </c>
      <c r="T2855" t="n">
        <v>8</v>
      </c>
      <c r="U2855" t="inlineStr">
        <is>
          <t>2009-11-19</t>
        </is>
      </c>
      <c r="V2855" t="inlineStr">
        <is>
          <t>2009-11-19</t>
        </is>
      </c>
      <c r="W2855" t="inlineStr">
        <is>
          <t>2005-11-17</t>
        </is>
      </c>
      <c r="X2855" t="inlineStr">
        <is>
          <t>2005-11-17</t>
        </is>
      </c>
      <c r="Y2855" t="n">
        <v>752</v>
      </c>
      <c r="Z2855" t="n">
        <v>714</v>
      </c>
      <c r="AA2855" t="n">
        <v>780</v>
      </c>
      <c r="AB2855" t="n">
        <v>3</v>
      </c>
      <c r="AC2855" t="n">
        <v>4</v>
      </c>
      <c r="AD2855" t="n">
        <v>4</v>
      </c>
      <c r="AE2855" t="n">
        <v>5</v>
      </c>
      <c r="AF2855" t="n">
        <v>3</v>
      </c>
      <c r="AG2855" t="n">
        <v>3</v>
      </c>
      <c r="AH2855" t="n">
        <v>1</v>
      </c>
      <c r="AI2855" t="n">
        <v>1</v>
      </c>
      <c r="AJ2855" t="n">
        <v>2</v>
      </c>
      <c r="AK2855" t="n">
        <v>2</v>
      </c>
      <c r="AL2855" t="n">
        <v>0</v>
      </c>
      <c r="AM2855" t="n">
        <v>1</v>
      </c>
      <c r="AN2855" t="n">
        <v>0</v>
      </c>
      <c r="AO2855" t="n">
        <v>0</v>
      </c>
      <c r="AP2855" t="inlineStr">
        <is>
          <t>No</t>
        </is>
      </c>
      <c r="AQ2855" t="inlineStr">
        <is>
          <t>No</t>
        </is>
      </c>
      <c r="AS2855">
        <f>HYPERLINK("https://creighton-primo.hosted.exlibrisgroup.com/primo-explore/search?tab=default_tab&amp;search_scope=EVERYTHING&amp;vid=01CRU&amp;lang=en_US&amp;offset=0&amp;query=any,contains,991004630939702656","Catalog Record")</f>
        <v/>
      </c>
      <c r="AT2855">
        <f>HYPERLINK("http://www.worldcat.org/oclc/57965841","WorldCat Record")</f>
        <v/>
      </c>
      <c r="AU2855" t="inlineStr">
        <is>
          <t>12287490:eng</t>
        </is>
      </c>
      <c r="AV2855" t="inlineStr">
        <is>
          <t>57965841</t>
        </is>
      </c>
      <c r="AW2855" t="inlineStr">
        <is>
          <t>991004630939702656</t>
        </is>
      </c>
      <c r="AX2855" t="inlineStr">
        <is>
          <t>991004630939702656</t>
        </is>
      </c>
      <c r="AY2855" t="inlineStr">
        <is>
          <t>2260969660002656</t>
        </is>
      </c>
      <c r="AZ2855" t="inlineStr">
        <is>
          <t>BOOK</t>
        </is>
      </c>
      <c r="BB2855" t="inlineStr">
        <is>
          <t>9780670034383</t>
        </is>
      </c>
      <c r="BC2855" t="inlineStr">
        <is>
          <t>32285005148050</t>
        </is>
      </c>
      <c r="BD2855" t="inlineStr">
        <is>
          <t>893241669</t>
        </is>
      </c>
    </row>
    <row r="2856">
      <c r="A2856" t="inlineStr">
        <is>
          <t>No</t>
        </is>
      </c>
      <c r="B2856" t="inlineStr">
        <is>
          <t>HQ798 .K39 2005</t>
        </is>
      </c>
      <c r="C2856" t="inlineStr">
        <is>
          <t>0                      HQ 0798000K  39          2005</t>
        </is>
      </c>
      <c r="D2856" t="inlineStr">
        <is>
          <t>Developing a sense of self : a workbook of tenets &amp; tactics for adolescent girls / by Dorothy A. Kelly.</t>
        </is>
      </c>
      <c r="F2856" t="inlineStr">
        <is>
          <t>No</t>
        </is>
      </c>
      <c r="G2856" t="inlineStr">
        <is>
          <t>1</t>
        </is>
      </c>
      <c r="H2856" t="inlineStr">
        <is>
          <t>No</t>
        </is>
      </c>
      <c r="I2856" t="inlineStr">
        <is>
          <t>No</t>
        </is>
      </c>
      <c r="J2856" t="inlineStr">
        <is>
          <t>0</t>
        </is>
      </c>
      <c r="K2856" t="inlineStr">
        <is>
          <t>Kelly, Dorothy A.</t>
        </is>
      </c>
      <c r="L2856" t="inlineStr">
        <is>
          <t>Washington, DC : NASW Press, c2005.</t>
        </is>
      </c>
      <c r="M2856" t="inlineStr">
        <is>
          <t>2005</t>
        </is>
      </c>
      <c r="O2856" t="inlineStr">
        <is>
          <t>eng</t>
        </is>
      </c>
      <c r="P2856" t="inlineStr">
        <is>
          <t>dcu</t>
        </is>
      </c>
      <c r="R2856" t="inlineStr">
        <is>
          <t xml:space="preserve">HQ </t>
        </is>
      </c>
      <c r="S2856" t="n">
        <v>2</v>
      </c>
      <c r="T2856" t="n">
        <v>2</v>
      </c>
      <c r="U2856" t="inlineStr">
        <is>
          <t>2008-01-08</t>
        </is>
      </c>
      <c r="V2856" t="inlineStr">
        <is>
          <t>2008-01-08</t>
        </is>
      </c>
      <c r="W2856" t="inlineStr">
        <is>
          <t>2007-03-14</t>
        </is>
      </c>
      <c r="X2856" t="inlineStr">
        <is>
          <t>2007-03-14</t>
        </is>
      </c>
      <c r="Y2856" t="n">
        <v>129</v>
      </c>
      <c r="Z2856" t="n">
        <v>117</v>
      </c>
      <c r="AA2856" t="n">
        <v>123</v>
      </c>
      <c r="AB2856" t="n">
        <v>2</v>
      </c>
      <c r="AC2856" t="n">
        <v>2</v>
      </c>
      <c r="AD2856" t="n">
        <v>5</v>
      </c>
      <c r="AE2856" t="n">
        <v>5</v>
      </c>
      <c r="AF2856" t="n">
        <v>1</v>
      </c>
      <c r="AG2856" t="n">
        <v>1</v>
      </c>
      <c r="AH2856" t="n">
        <v>3</v>
      </c>
      <c r="AI2856" t="n">
        <v>3</v>
      </c>
      <c r="AJ2856" t="n">
        <v>1</v>
      </c>
      <c r="AK2856" t="n">
        <v>1</v>
      </c>
      <c r="AL2856" t="n">
        <v>1</v>
      </c>
      <c r="AM2856" t="n">
        <v>1</v>
      </c>
      <c r="AN2856" t="n">
        <v>0</v>
      </c>
      <c r="AO2856" t="n">
        <v>0</v>
      </c>
      <c r="AP2856" t="inlineStr">
        <is>
          <t>No</t>
        </is>
      </c>
      <c r="AQ2856" t="inlineStr">
        <is>
          <t>No</t>
        </is>
      </c>
      <c r="AS2856">
        <f>HYPERLINK("https://creighton-primo.hosted.exlibrisgroup.com/primo-explore/search?tab=default_tab&amp;search_scope=EVERYTHING&amp;vid=01CRU&amp;lang=en_US&amp;offset=0&amp;query=any,contains,991005035689702656","Catalog Record")</f>
        <v/>
      </c>
      <c r="AT2856">
        <f>HYPERLINK("http://www.worldcat.org/oclc/62341990","WorldCat Record")</f>
        <v/>
      </c>
      <c r="AU2856" t="inlineStr">
        <is>
          <t>905876484:eng</t>
        </is>
      </c>
      <c r="AV2856" t="inlineStr">
        <is>
          <t>62341990</t>
        </is>
      </c>
      <c r="AW2856" t="inlineStr">
        <is>
          <t>991005035689702656</t>
        </is>
      </c>
      <c r="AX2856" t="inlineStr">
        <is>
          <t>991005035689702656</t>
        </is>
      </c>
      <c r="AY2856" t="inlineStr">
        <is>
          <t>2259840530002656</t>
        </is>
      </c>
      <c r="AZ2856" t="inlineStr">
        <is>
          <t>BOOK</t>
        </is>
      </c>
      <c r="BB2856" t="inlineStr">
        <is>
          <t>9780871013668</t>
        </is>
      </c>
      <c r="BC2856" t="inlineStr">
        <is>
          <t>32285005281505</t>
        </is>
      </c>
      <c r="BD2856" t="inlineStr">
        <is>
          <t>893443302</t>
        </is>
      </c>
    </row>
    <row r="2857">
      <c r="A2857" t="inlineStr">
        <is>
          <t>No</t>
        </is>
      </c>
      <c r="B2857" t="inlineStr">
        <is>
          <t>HQ798 .L96</t>
        </is>
      </c>
      <c r="C2857" t="inlineStr">
        <is>
          <t>0                      HQ 0798000L  96</t>
        </is>
      </c>
      <c r="D2857" t="inlineStr">
        <is>
          <t>Daughters and parents : past, present, and future / David B. Lynn.</t>
        </is>
      </c>
      <c r="F2857" t="inlineStr">
        <is>
          <t>No</t>
        </is>
      </c>
      <c r="G2857" t="inlineStr">
        <is>
          <t>1</t>
        </is>
      </c>
      <c r="H2857" t="inlineStr">
        <is>
          <t>No</t>
        </is>
      </c>
      <c r="I2857" t="inlineStr">
        <is>
          <t>No</t>
        </is>
      </c>
      <c r="J2857" t="inlineStr">
        <is>
          <t>0</t>
        </is>
      </c>
      <c r="K2857" t="inlineStr">
        <is>
          <t>Lynn, David B. (David Brandon), 1925-</t>
        </is>
      </c>
      <c r="L2857" t="inlineStr">
        <is>
          <t>Monterey, Calif. : Brooks/Cole Pub. Co., c1979.</t>
        </is>
      </c>
      <c r="M2857" t="inlineStr">
        <is>
          <t>1979</t>
        </is>
      </c>
      <c r="O2857" t="inlineStr">
        <is>
          <t>eng</t>
        </is>
      </c>
      <c r="P2857" t="inlineStr">
        <is>
          <t>cau</t>
        </is>
      </c>
      <c r="R2857" t="inlineStr">
        <is>
          <t xml:space="preserve">HQ </t>
        </is>
      </c>
      <c r="S2857" t="n">
        <v>4</v>
      </c>
      <c r="T2857" t="n">
        <v>4</v>
      </c>
      <c r="U2857" t="inlineStr">
        <is>
          <t>1999-06-22</t>
        </is>
      </c>
      <c r="V2857" t="inlineStr">
        <is>
          <t>1999-06-22</t>
        </is>
      </c>
      <c r="W2857" t="inlineStr">
        <is>
          <t>1992-11-16</t>
        </is>
      </c>
      <c r="X2857" t="inlineStr">
        <is>
          <t>1992-11-16</t>
        </is>
      </c>
      <c r="Y2857" t="n">
        <v>222</v>
      </c>
      <c r="Z2857" t="n">
        <v>185</v>
      </c>
      <c r="AA2857" t="n">
        <v>186</v>
      </c>
      <c r="AB2857" t="n">
        <v>4</v>
      </c>
      <c r="AC2857" t="n">
        <v>4</v>
      </c>
      <c r="AD2857" t="n">
        <v>9</v>
      </c>
      <c r="AE2857" t="n">
        <v>9</v>
      </c>
      <c r="AF2857" t="n">
        <v>2</v>
      </c>
      <c r="AG2857" t="n">
        <v>2</v>
      </c>
      <c r="AH2857" t="n">
        <v>1</v>
      </c>
      <c r="AI2857" t="n">
        <v>1</v>
      </c>
      <c r="AJ2857" t="n">
        <v>6</v>
      </c>
      <c r="AK2857" t="n">
        <v>6</v>
      </c>
      <c r="AL2857" t="n">
        <v>2</v>
      </c>
      <c r="AM2857" t="n">
        <v>2</v>
      </c>
      <c r="AN2857" t="n">
        <v>0</v>
      </c>
      <c r="AO2857" t="n">
        <v>0</v>
      </c>
      <c r="AP2857" t="inlineStr">
        <is>
          <t>No</t>
        </is>
      </c>
      <c r="AQ2857" t="inlineStr">
        <is>
          <t>Yes</t>
        </is>
      </c>
      <c r="AR2857">
        <f>HYPERLINK("http://catalog.hathitrust.org/Record/007476597","HathiTrust Record")</f>
        <v/>
      </c>
      <c r="AS2857">
        <f>HYPERLINK("https://creighton-primo.hosted.exlibrisgroup.com/primo-explore/search?tab=default_tab&amp;search_scope=EVERYTHING&amp;vid=01CRU&amp;lang=en_US&amp;offset=0&amp;query=any,contains,991004649609702656","Catalog Record")</f>
        <v/>
      </c>
      <c r="AT2857">
        <f>HYPERLINK("http://www.worldcat.org/oclc/4493377","WorldCat Record")</f>
        <v/>
      </c>
      <c r="AU2857" t="inlineStr">
        <is>
          <t>370197373:eng</t>
        </is>
      </c>
      <c r="AV2857" t="inlineStr">
        <is>
          <t>4493377</t>
        </is>
      </c>
      <c r="AW2857" t="inlineStr">
        <is>
          <t>991004649609702656</t>
        </is>
      </c>
      <c r="AX2857" t="inlineStr">
        <is>
          <t>991004649609702656</t>
        </is>
      </c>
      <c r="AY2857" t="inlineStr">
        <is>
          <t>2262972660002656</t>
        </is>
      </c>
      <c r="AZ2857" t="inlineStr">
        <is>
          <t>BOOK</t>
        </is>
      </c>
      <c r="BB2857" t="inlineStr">
        <is>
          <t>9780818503337</t>
        </is>
      </c>
      <c r="BC2857" t="inlineStr">
        <is>
          <t>32285001396406</t>
        </is>
      </c>
      <c r="BD2857" t="inlineStr">
        <is>
          <t>893263362</t>
        </is>
      </c>
    </row>
    <row r="2858">
      <c r="A2858" t="inlineStr">
        <is>
          <t>No</t>
        </is>
      </c>
      <c r="B2858" t="inlineStr">
        <is>
          <t>HQ798 .M296 1990</t>
        </is>
      </c>
      <c r="C2858" t="inlineStr">
        <is>
          <t>0                      HQ 0798000M  296         1990</t>
        </is>
      </c>
      <c r="D2858" t="inlineStr">
        <is>
          <t>Making connections : the relational worlds of adolescent girls at Emma Willard School / edited by Carol Gilligan, Nona P. Lyons, and Trudy J. Hanmer.</t>
        </is>
      </c>
      <c r="F2858" t="inlineStr">
        <is>
          <t>No</t>
        </is>
      </c>
      <c r="G2858" t="inlineStr">
        <is>
          <t>1</t>
        </is>
      </c>
      <c r="H2858" t="inlineStr">
        <is>
          <t>No</t>
        </is>
      </c>
      <c r="I2858" t="inlineStr">
        <is>
          <t>No</t>
        </is>
      </c>
      <c r="J2858" t="inlineStr">
        <is>
          <t>0</t>
        </is>
      </c>
      <c r="L2858" t="inlineStr">
        <is>
          <t>Cambridge, Mass. : Harvard University Press, 1990.</t>
        </is>
      </c>
      <c r="M2858" t="inlineStr">
        <is>
          <t>1990</t>
        </is>
      </c>
      <c r="O2858" t="inlineStr">
        <is>
          <t>eng</t>
        </is>
      </c>
      <c r="P2858" t="inlineStr">
        <is>
          <t>mau</t>
        </is>
      </c>
      <c r="R2858" t="inlineStr">
        <is>
          <t xml:space="preserve">HQ </t>
        </is>
      </c>
      <c r="S2858" t="n">
        <v>24</v>
      </c>
      <c r="T2858" t="n">
        <v>24</v>
      </c>
      <c r="U2858" t="inlineStr">
        <is>
          <t>2009-12-02</t>
        </is>
      </c>
      <c r="V2858" t="inlineStr">
        <is>
          <t>2009-12-02</t>
        </is>
      </c>
      <c r="W2858" t="inlineStr">
        <is>
          <t>1991-01-17</t>
        </is>
      </c>
      <c r="X2858" t="inlineStr">
        <is>
          <t>1991-01-17</t>
        </is>
      </c>
      <c r="Y2858" t="n">
        <v>894</v>
      </c>
      <c r="Z2858" t="n">
        <v>751</v>
      </c>
      <c r="AA2858" t="n">
        <v>861</v>
      </c>
      <c r="AB2858" t="n">
        <v>7</v>
      </c>
      <c r="AC2858" t="n">
        <v>7</v>
      </c>
      <c r="AD2858" t="n">
        <v>37</v>
      </c>
      <c r="AE2858" t="n">
        <v>39</v>
      </c>
      <c r="AF2858" t="n">
        <v>14</v>
      </c>
      <c r="AG2858" t="n">
        <v>16</v>
      </c>
      <c r="AH2858" t="n">
        <v>7</v>
      </c>
      <c r="AI2858" t="n">
        <v>7</v>
      </c>
      <c r="AJ2858" t="n">
        <v>19</v>
      </c>
      <c r="AK2858" t="n">
        <v>19</v>
      </c>
      <c r="AL2858" t="n">
        <v>6</v>
      </c>
      <c r="AM2858" t="n">
        <v>6</v>
      </c>
      <c r="AN2858" t="n">
        <v>1</v>
      </c>
      <c r="AO2858" t="n">
        <v>1</v>
      </c>
      <c r="AP2858" t="inlineStr">
        <is>
          <t>No</t>
        </is>
      </c>
      <c r="AQ2858" t="inlineStr">
        <is>
          <t>Yes</t>
        </is>
      </c>
      <c r="AR2858">
        <f>HYPERLINK("http://catalog.hathitrust.org/Record/002205438","HathiTrust Record")</f>
        <v/>
      </c>
      <c r="AS2858">
        <f>HYPERLINK("https://creighton-primo.hosted.exlibrisgroup.com/primo-explore/search?tab=default_tab&amp;search_scope=EVERYTHING&amp;vid=01CRU&amp;lang=en_US&amp;offset=0&amp;query=any,contains,991001645159702656","Catalog Record")</f>
        <v/>
      </c>
      <c r="AT2858">
        <f>HYPERLINK("http://www.worldcat.org/oclc/21042985","WorldCat Record")</f>
        <v/>
      </c>
      <c r="AU2858" t="inlineStr">
        <is>
          <t>836840127:eng</t>
        </is>
      </c>
      <c r="AV2858" t="inlineStr">
        <is>
          <t>21042985</t>
        </is>
      </c>
      <c r="AW2858" t="inlineStr">
        <is>
          <t>991001645159702656</t>
        </is>
      </c>
      <c r="AX2858" t="inlineStr">
        <is>
          <t>991001645159702656</t>
        </is>
      </c>
      <c r="AY2858" t="inlineStr">
        <is>
          <t>2269316980002656</t>
        </is>
      </c>
      <c r="AZ2858" t="inlineStr">
        <is>
          <t>BOOK</t>
        </is>
      </c>
      <c r="BB2858" t="inlineStr">
        <is>
          <t>9780674540415</t>
        </is>
      </c>
      <c r="BC2858" t="inlineStr">
        <is>
          <t>32285000408830</t>
        </is>
      </c>
      <c r="BD2858" t="inlineStr">
        <is>
          <t>893503557</t>
        </is>
      </c>
    </row>
    <row r="2859">
      <c r="A2859" t="inlineStr">
        <is>
          <t>No</t>
        </is>
      </c>
      <c r="B2859" t="inlineStr">
        <is>
          <t>HQ798 .M434 1994</t>
        </is>
      </c>
      <c r="C2859" t="inlineStr">
        <is>
          <t>0                      HQ 0798000M  434         1994</t>
        </is>
      </c>
      <c r="D2859" t="inlineStr">
        <is>
          <t>The difference : growing up female in America / Judy Mann.</t>
        </is>
      </c>
      <c r="F2859" t="inlineStr">
        <is>
          <t>No</t>
        </is>
      </c>
      <c r="G2859" t="inlineStr">
        <is>
          <t>1</t>
        </is>
      </c>
      <c r="H2859" t="inlineStr">
        <is>
          <t>No</t>
        </is>
      </c>
      <c r="I2859" t="inlineStr">
        <is>
          <t>No</t>
        </is>
      </c>
      <c r="J2859" t="inlineStr">
        <is>
          <t>0</t>
        </is>
      </c>
      <c r="K2859" t="inlineStr">
        <is>
          <t>Mann, Judy (Judy W.)</t>
        </is>
      </c>
      <c r="L2859" t="inlineStr">
        <is>
          <t>New York, N.Y. : Warner Books, c1994.</t>
        </is>
      </c>
      <c r="M2859" t="inlineStr">
        <is>
          <t>1994</t>
        </is>
      </c>
      <c r="O2859" t="inlineStr">
        <is>
          <t>eng</t>
        </is>
      </c>
      <c r="P2859" t="inlineStr">
        <is>
          <t>nyu</t>
        </is>
      </c>
      <c r="R2859" t="inlineStr">
        <is>
          <t xml:space="preserve">HQ </t>
        </is>
      </c>
      <c r="S2859" t="n">
        <v>5</v>
      </c>
      <c r="T2859" t="n">
        <v>5</v>
      </c>
      <c r="U2859" t="inlineStr">
        <is>
          <t>2005-09-19</t>
        </is>
      </c>
      <c r="V2859" t="inlineStr">
        <is>
          <t>2005-09-19</t>
        </is>
      </c>
      <c r="W2859" t="inlineStr">
        <is>
          <t>1994-09-29</t>
        </is>
      </c>
      <c r="X2859" t="inlineStr">
        <is>
          <t>1994-09-29</t>
        </is>
      </c>
      <c r="Y2859" t="n">
        <v>778</v>
      </c>
      <c r="Z2859" t="n">
        <v>741</v>
      </c>
      <c r="AA2859" t="n">
        <v>746</v>
      </c>
      <c r="AB2859" t="n">
        <v>6</v>
      </c>
      <c r="AC2859" t="n">
        <v>6</v>
      </c>
      <c r="AD2859" t="n">
        <v>23</v>
      </c>
      <c r="AE2859" t="n">
        <v>23</v>
      </c>
      <c r="AF2859" t="n">
        <v>6</v>
      </c>
      <c r="AG2859" t="n">
        <v>6</v>
      </c>
      <c r="AH2859" t="n">
        <v>5</v>
      </c>
      <c r="AI2859" t="n">
        <v>5</v>
      </c>
      <c r="AJ2859" t="n">
        <v>14</v>
      </c>
      <c r="AK2859" t="n">
        <v>14</v>
      </c>
      <c r="AL2859" t="n">
        <v>4</v>
      </c>
      <c r="AM2859" t="n">
        <v>4</v>
      </c>
      <c r="AN2859" t="n">
        <v>0</v>
      </c>
      <c r="AO2859" t="n">
        <v>0</v>
      </c>
      <c r="AP2859" t="inlineStr">
        <is>
          <t>No</t>
        </is>
      </c>
      <c r="AQ2859" t="inlineStr">
        <is>
          <t>No</t>
        </is>
      </c>
      <c r="AS2859">
        <f>HYPERLINK("https://creighton-primo.hosted.exlibrisgroup.com/primo-explore/search?tab=default_tab&amp;search_scope=EVERYTHING&amp;vid=01CRU&amp;lang=en_US&amp;offset=0&amp;query=any,contains,991002300489702656","Catalog Record")</f>
        <v/>
      </c>
      <c r="AT2859">
        <f>HYPERLINK("http://www.worldcat.org/oclc/29845767","WorldCat Record")</f>
        <v/>
      </c>
      <c r="AU2859" t="inlineStr">
        <is>
          <t>20916716:eng</t>
        </is>
      </c>
      <c r="AV2859" t="inlineStr">
        <is>
          <t>29845767</t>
        </is>
      </c>
      <c r="AW2859" t="inlineStr">
        <is>
          <t>991002300489702656</t>
        </is>
      </c>
      <c r="AX2859" t="inlineStr">
        <is>
          <t>991002300489702656</t>
        </is>
      </c>
      <c r="AY2859" t="inlineStr">
        <is>
          <t>2265557490002656</t>
        </is>
      </c>
      <c r="AZ2859" t="inlineStr">
        <is>
          <t>BOOK</t>
        </is>
      </c>
      <c r="BB2859" t="inlineStr">
        <is>
          <t>9780446517072</t>
        </is>
      </c>
      <c r="BC2859" t="inlineStr">
        <is>
          <t>32285001947646</t>
        </is>
      </c>
      <c r="BD2859" t="inlineStr">
        <is>
          <t>893440000</t>
        </is>
      </c>
    </row>
    <row r="2860">
      <c r="A2860" t="inlineStr">
        <is>
          <t>No</t>
        </is>
      </c>
      <c r="B2860" t="inlineStr">
        <is>
          <t>HQ798 .S328 2004</t>
        </is>
      </c>
      <c r="C2860" t="inlineStr">
        <is>
          <t>0                      HQ 0798000S  328         2004</t>
        </is>
      </c>
      <c r="D2860" t="inlineStr">
        <is>
          <t>Some wore bobby sox : the emergence of teenage girls' culture, 1920-1945 / Kelly Schrum.</t>
        </is>
      </c>
      <c r="F2860" t="inlineStr">
        <is>
          <t>No</t>
        </is>
      </c>
      <c r="G2860" t="inlineStr">
        <is>
          <t>1</t>
        </is>
      </c>
      <c r="H2860" t="inlineStr">
        <is>
          <t>No</t>
        </is>
      </c>
      <c r="I2860" t="inlineStr">
        <is>
          <t>No</t>
        </is>
      </c>
      <c r="J2860" t="inlineStr">
        <is>
          <t>0</t>
        </is>
      </c>
      <c r="K2860" t="inlineStr">
        <is>
          <t>Schrum, Kelly.</t>
        </is>
      </c>
      <c r="L2860" t="inlineStr">
        <is>
          <t>New York : Palgrave Macmillan, 2004.</t>
        </is>
      </c>
      <c r="M2860" t="inlineStr">
        <is>
          <t>2004</t>
        </is>
      </c>
      <c r="N2860" t="inlineStr">
        <is>
          <t>1st ed.</t>
        </is>
      </c>
      <c r="O2860" t="inlineStr">
        <is>
          <t>eng</t>
        </is>
      </c>
      <c r="P2860" t="inlineStr">
        <is>
          <t>nyu</t>
        </is>
      </c>
      <c r="Q2860" t="inlineStr">
        <is>
          <t>Girls' history &amp; culture book series</t>
        </is>
      </c>
      <c r="R2860" t="inlineStr">
        <is>
          <t xml:space="preserve">HQ </t>
        </is>
      </c>
      <c r="S2860" t="n">
        <v>2</v>
      </c>
      <c r="T2860" t="n">
        <v>2</v>
      </c>
      <c r="U2860" t="inlineStr">
        <is>
          <t>2005-03-01</t>
        </is>
      </c>
      <c r="V2860" t="inlineStr">
        <is>
          <t>2005-03-01</t>
        </is>
      </c>
      <c r="W2860" t="inlineStr">
        <is>
          <t>2004-08-30</t>
        </is>
      </c>
      <c r="X2860" t="inlineStr">
        <is>
          <t>2004-08-30</t>
        </is>
      </c>
      <c r="Y2860" t="n">
        <v>852</v>
      </c>
      <c r="Z2860" t="n">
        <v>768</v>
      </c>
      <c r="AA2860" t="n">
        <v>779</v>
      </c>
      <c r="AB2860" t="n">
        <v>6</v>
      </c>
      <c r="AC2860" t="n">
        <v>6</v>
      </c>
      <c r="AD2860" t="n">
        <v>35</v>
      </c>
      <c r="AE2860" t="n">
        <v>35</v>
      </c>
      <c r="AF2860" t="n">
        <v>13</v>
      </c>
      <c r="AG2860" t="n">
        <v>13</v>
      </c>
      <c r="AH2860" t="n">
        <v>8</v>
      </c>
      <c r="AI2860" t="n">
        <v>8</v>
      </c>
      <c r="AJ2860" t="n">
        <v>19</v>
      </c>
      <c r="AK2860" t="n">
        <v>19</v>
      </c>
      <c r="AL2860" t="n">
        <v>5</v>
      </c>
      <c r="AM2860" t="n">
        <v>5</v>
      </c>
      <c r="AN2860" t="n">
        <v>0</v>
      </c>
      <c r="AO2860" t="n">
        <v>0</v>
      </c>
      <c r="AP2860" t="inlineStr">
        <is>
          <t>No</t>
        </is>
      </c>
      <c r="AQ2860" t="inlineStr">
        <is>
          <t>No</t>
        </is>
      </c>
      <c r="AS2860">
        <f>HYPERLINK("https://creighton-primo.hosted.exlibrisgroup.com/primo-explore/search?tab=default_tab&amp;search_scope=EVERYTHING&amp;vid=01CRU&amp;lang=en_US&amp;offset=0&amp;query=any,contains,991004331029702656","Catalog Record")</f>
        <v/>
      </c>
      <c r="AT2860">
        <f>HYPERLINK("http://www.worldcat.org/oclc/53315505","WorldCat Record")</f>
        <v/>
      </c>
      <c r="AU2860" t="inlineStr">
        <is>
          <t>2979580:eng</t>
        </is>
      </c>
      <c r="AV2860" t="inlineStr">
        <is>
          <t>53315505</t>
        </is>
      </c>
      <c r="AW2860" t="inlineStr">
        <is>
          <t>991004331029702656</t>
        </is>
      </c>
      <c r="AX2860" t="inlineStr">
        <is>
          <t>991004331029702656</t>
        </is>
      </c>
      <c r="AY2860" t="inlineStr">
        <is>
          <t>2259140880002656</t>
        </is>
      </c>
      <c r="AZ2860" t="inlineStr">
        <is>
          <t>BOOK</t>
        </is>
      </c>
      <c r="BB2860" t="inlineStr">
        <is>
          <t>9781403961761</t>
        </is>
      </c>
      <c r="BC2860" t="inlineStr">
        <is>
          <t>32285004984075</t>
        </is>
      </c>
      <c r="BD2860" t="inlineStr">
        <is>
          <t>893241281</t>
        </is>
      </c>
    </row>
    <row r="2861">
      <c r="A2861" t="inlineStr">
        <is>
          <t>No</t>
        </is>
      </c>
      <c r="B2861" t="inlineStr">
        <is>
          <t>HQ799.15 .A678 2001</t>
        </is>
      </c>
      <c r="C2861" t="inlineStr">
        <is>
          <t>0                      HQ 0799150A  678         2001</t>
        </is>
      </c>
      <c r="D2861" t="inlineStr">
        <is>
          <t>The myth of maturity : what teenagers need from parents to become adults / Terri Apter.</t>
        </is>
      </c>
      <c r="F2861" t="inlineStr">
        <is>
          <t>No</t>
        </is>
      </c>
      <c r="G2861" t="inlineStr">
        <is>
          <t>1</t>
        </is>
      </c>
      <c r="H2861" t="inlineStr">
        <is>
          <t>No</t>
        </is>
      </c>
      <c r="I2861" t="inlineStr">
        <is>
          <t>No</t>
        </is>
      </c>
      <c r="J2861" t="inlineStr">
        <is>
          <t>0</t>
        </is>
      </c>
      <c r="K2861" t="inlineStr">
        <is>
          <t>Apter, T. E.</t>
        </is>
      </c>
      <c r="L2861" t="inlineStr">
        <is>
          <t>New York : Norton, c2001.</t>
        </is>
      </c>
      <c r="M2861" t="inlineStr">
        <is>
          <t>2001</t>
        </is>
      </c>
      <c r="N2861" t="inlineStr">
        <is>
          <t>1st ed.</t>
        </is>
      </c>
      <c r="O2861" t="inlineStr">
        <is>
          <t>eng</t>
        </is>
      </c>
      <c r="P2861" t="inlineStr">
        <is>
          <t>nyu</t>
        </is>
      </c>
      <c r="R2861" t="inlineStr">
        <is>
          <t xml:space="preserve">HQ </t>
        </is>
      </c>
      <c r="S2861" t="n">
        <v>3</v>
      </c>
      <c r="T2861" t="n">
        <v>3</v>
      </c>
      <c r="U2861" t="inlineStr">
        <is>
          <t>2005-03-07</t>
        </is>
      </c>
      <c r="V2861" t="inlineStr">
        <is>
          <t>2005-03-07</t>
        </is>
      </c>
      <c r="W2861" t="inlineStr">
        <is>
          <t>2001-09-05</t>
        </is>
      </c>
      <c r="X2861" t="inlineStr">
        <is>
          <t>2001-09-05</t>
        </is>
      </c>
      <c r="Y2861" t="n">
        <v>769</v>
      </c>
      <c r="Z2861" t="n">
        <v>695</v>
      </c>
      <c r="AA2861" t="n">
        <v>749</v>
      </c>
      <c r="AB2861" t="n">
        <v>3</v>
      </c>
      <c r="AC2861" t="n">
        <v>4</v>
      </c>
      <c r="AD2861" t="n">
        <v>10</v>
      </c>
      <c r="AE2861" t="n">
        <v>12</v>
      </c>
      <c r="AF2861" t="n">
        <v>3</v>
      </c>
      <c r="AG2861" t="n">
        <v>4</v>
      </c>
      <c r="AH2861" t="n">
        <v>2</v>
      </c>
      <c r="AI2861" t="n">
        <v>2</v>
      </c>
      <c r="AJ2861" t="n">
        <v>4</v>
      </c>
      <c r="AK2861" t="n">
        <v>4</v>
      </c>
      <c r="AL2861" t="n">
        <v>2</v>
      </c>
      <c r="AM2861" t="n">
        <v>3</v>
      </c>
      <c r="AN2861" t="n">
        <v>0</v>
      </c>
      <c r="AO2861" t="n">
        <v>0</v>
      </c>
      <c r="AP2861" t="inlineStr">
        <is>
          <t>No</t>
        </is>
      </c>
      <c r="AQ2861" t="inlineStr">
        <is>
          <t>No</t>
        </is>
      </c>
      <c r="AS2861">
        <f>HYPERLINK("https://creighton-primo.hosted.exlibrisgroup.com/primo-explore/search?tab=default_tab&amp;search_scope=EVERYTHING&amp;vid=01CRU&amp;lang=en_US&amp;offset=0&amp;query=any,contains,991003585649702656","Catalog Record")</f>
        <v/>
      </c>
      <c r="AT2861">
        <f>HYPERLINK("http://www.worldcat.org/oclc/45620671","WorldCat Record")</f>
        <v/>
      </c>
      <c r="AU2861" t="inlineStr">
        <is>
          <t>6346319:eng</t>
        </is>
      </c>
      <c r="AV2861" t="inlineStr">
        <is>
          <t>45620671</t>
        </is>
      </c>
      <c r="AW2861" t="inlineStr">
        <is>
          <t>991003585649702656</t>
        </is>
      </c>
      <c r="AX2861" t="inlineStr">
        <is>
          <t>991003585649702656</t>
        </is>
      </c>
      <c r="AY2861" t="inlineStr">
        <is>
          <t>2263427660002656</t>
        </is>
      </c>
      <c r="AZ2861" t="inlineStr">
        <is>
          <t>BOOK</t>
        </is>
      </c>
      <c r="BB2861" t="inlineStr">
        <is>
          <t>9780393049428</t>
        </is>
      </c>
      <c r="BC2861" t="inlineStr">
        <is>
          <t>32285004384714</t>
        </is>
      </c>
      <c r="BD2861" t="inlineStr">
        <is>
          <t>893787497</t>
        </is>
      </c>
    </row>
    <row r="2862">
      <c r="A2862" t="inlineStr">
        <is>
          <t>No</t>
        </is>
      </c>
      <c r="B2862" t="inlineStr">
        <is>
          <t>HQ799.15 .L37 1994</t>
        </is>
      </c>
      <c r="C2862" t="inlineStr">
        <is>
          <t>0                      HQ 0799150L  37          1994</t>
        </is>
      </c>
      <c r="D2862" t="inlineStr">
        <is>
          <t>Divergent realities : the emotional lives of mothers, fathers, and adolescents / Reed Larson and Maryse H. Richards.</t>
        </is>
      </c>
      <c r="F2862" t="inlineStr">
        <is>
          <t>No</t>
        </is>
      </c>
      <c r="G2862" t="inlineStr">
        <is>
          <t>1</t>
        </is>
      </c>
      <c r="H2862" t="inlineStr">
        <is>
          <t>No</t>
        </is>
      </c>
      <c r="I2862" t="inlineStr">
        <is>
          <t>No</t>
        </is>
      </c>
      <c r="J2862" t="inlineStr">
        <is>
          <t>0</t>
        </is>
      </c>
      <c r="K2862" t="inlineStr">
        <is>
          <t>Larson, Reed, 1950-</t>
        </is>
      </c>
      <c r="L2862" t="inlineStr">
        <is>
          <t>New York : BasicBooks, c1994.</t>
        </is>
      </c>
      <c r="M2862" t="inlineStr">
        <is>
          <t>1994</t>
        </is>
      </c>
      <c r="O2862" t="inlineStr">
        <is>
          <t>eng</t>
        </is>
      </c>
      <c r="P2862" t="inlineStr">
        <is>
          <t>nyu</t>
        </is>
      </c>
      <c r="R2862" t="inlineStr">
        <is>
          <t xml:space="preserve">HQ </t>
        </is>
      </c>
      <c r="S2862" t="n">
        <v>3</v>
      </c>
      <c r="T2862" t="n">
        <v>3</v>
      </c>
      <c r="U2862" t="inlineStr">
        <is>
          <t>2007-09-24</t>
        </is>
      </c>
      <c r="V2862" t="inlineStr">
        <is>
          <t>2007-09-24</t>
        </is>
      </c>
      <c r="W2862" t="inlineStr">
        <is>
          <t>1995-04-18</t>
        </is>
      </c>
      <c r="X2862" t="inlineStr">
        <is>
          <t>1995-04-18</t>
        </is>
      </c>
      <c r="Y2862" t="n">
        <v>599</v>
      </c>
      <c r="Z2862" t="n">
        <v>537</v>
      </c>
      <c r="AA2862" t="n">
        <v>544</v>
      </c>
      <c r="AB2862" t="n">
        <v>8</v>
      </c>
      <c r="AC2862" t="n">
        <v>8</v>
      </c>
      <c r="AD2862" t="n">
        <v>33</v>
      </c>
      <c r="AE2862" t="n">
        <v>33</v>
      </c>
      <c r="AF2862" t="n">
        <v>10</v>
      </c>
      <c r="AG2862" t="n">
        <v>10</v>
      </c>
      <c r="AH2862" t="n">
        <v>8</v>
      </c>
      <c r="AI2862" t="n">
        <v>8</v>
      </c>
      <c r="AJ2862" t="n">
        <v>17</v>
      </c>
      <c r="AK2862" t="n">
        <v>17</v>
      </c>
      <c r="AL2862" t="n">
        <v>7</v>
      </c>
      <c r="AM2862" t="n">
        <v>7</v>
      </c>
      <c r="AN2862" t="n">
        <v>0</v>
      </c>
      <c r="AO2862" t="n">
        <v>0</v>
      </c>
      <c r="AP2862" t="inlineStr">
        <is>
          <t>No</t>
        </is>
      </c>
      <c r="AQ2862" t="inlineStr">
        <is>
          <t>Yes</t>
        </is>
      </c>
      <c r="AR2862">
        <f>HYPERLINK("http://catalog.hathitrust.org/Record/002873149","HathiTrust Record")</f>
        <v/>
      </c>
      <c r="AS2862">
        <f>HYPERLINK("https://creighton-primo.hosted.exlibrisgroup.com/primo-explore/search?tab=default_tab&amp;search_scope=EVERYTHING&amp;vid=01CRU&amp;lang=en_US&amp;offset=0&amp;query=any,contains,991002280329702656","Catalog Record")</f>
        <v/>
      </c>
      <c r="AT2862">
        <f>HYPERLINK("http://www.worldcat.org/oclc/29564956","WorldCat Record")</f>
        <v/>
      </c>
      <c r="AU2862" t="inlineStr">
        <is>
          <t>311900433:eng</t>
        </is>
      </c>
      <c r="AV2862" t="inlineStr">
        <is>
          <t>29564956</t>
        </is>
      </c>
      <c r="AW2862" t="inlineStr">
        <is>
          <t>991002280329702656</t>
        </is>
      </c>
      <c r="AX2862" t="inlineStr">
        <is>
          <t>991002280329702656</t>
        </is>
      </c>
      <c r="AY2862" t="inlineStr">
        <is>
          <t>2257090610002656</t>
        </is>
      </c>
      <c r="AZ2862" t="inlineStr">
        <is>
          <t>BOOK</t>
        </is>
      </c>
      <c r="BB2862" t="inlineStr">
        <is>
          <t>9780465016624</t>
        </is>
      </c>
      <c r="BC2862" t="inlineStr">
        <is>
          <t>32285002019270</t>
        </is>
      </c>
      <c r="BD2862" t="inlineStr">
        <is>
          <t>893232775</t>
        </is>
      </c>
    </row>
    <row r="2863">
      <c r="A2863" t="inlineStr">
        <is>
          <t>No</t>
        </is>
      </c>
      <c r="B2863" t="inlineStr">
        <is>
          <t>HQ799.15 .R56 1999</t>
        </is>
      </c>
      <c r="C2863" t="inlineStr">
        <is>
          <t>0                      HQ 0799150R  56          1999</t>
        </is>
      </c>
      <c r="D2863" t="inlineStr">
        <is>
          <t>See Jane win : the Rimm report on how 1,000 girls became successful women / Sylvia Rimm with Sara Rimm-Kaufman and Ilonna Rimm.</t>
        </is>
      </c>
      <c r="F2863" t="inlineStr">
        <is>
          <t>No</t>
        </is>
      </c>
      <c r="G2863" t="inlineStr">
        <is>
          <t>1</t>
        </is>
      </c>
      <c r="H2863" t="inlineStr">
        <is>
          <t>No</t>
        </is>
      </c>
      <c r="I2863" t="inlineStr">
        <is>
          <t>No</t>
        </is>
      </c>
      <c r="J2863" t="inlineStr">
        <is>
          <t>0</t>
        </is>
      </c>
      <c r="K2863" t="inlineStr">
        <is>
          <t>Rimm, Sylvia B., 1935-</t>
        </is>
      </c>
      <c r="L2863" t="inlineStr">
        <is>
          <t>New York : Crown, c1999.</t>
        </is>
      </c>
      <c r="M2863" t="inlineStr">
        <is>
          <t>1999</t>
        </is>
      </c>
      <c r="N2863" t="inlineStr">
        <is>
          <t>1st ed.</t>
        </is>
      </c>
      <c r="O2863" t="inlineStr">
        <is>
          <t>eng</t>
        </is>
      </c>
      <c r="P2863" t="inlineStr">
        <is>
          <t>nyu</t>
        </is>
      </c>
      <c r="R2863" t="inlineStr">
        <is>
          <t xml:space="preserve">HQ </t>
        </is>
      </c>
      <c r="S2863" t="n">
        <v>3</v>
      </c>
      <c r="T2863" t="n">
        <v>3</v>
      </c>
      <c r="U2863" t="inlineStr">
        <is>
          <t>2009-06-16</t>
        </is>
      </c>
      <c r="V2863" t="inlineStr">
        <is>
          <t>2009-06-16</t>
        </is>
      </c>
      <c r="W2863" t="inlineStr">
        <is>
          <t>1999-09-09</t>
        </is>
      </c>
      <c r="X2863" t="inlineStr">
        <is>
          <t>1999-09-09</t>
        </is>
      </c>
      <c r="Y2863" t="n">
        <v>1058</v>
      </c>
      <c r="Z2863" t="n">
        <v>1013</v>
      </c>
      <c r="AA2863" t="n">
        <v>1128</v>
      </c>
      <c r="AB2863" t="n">
        <v>8</v>
      </c>
      <c r="AC2863" t="n">
        <v>10</v>
      </c>
      <c r="AD2863" t="n">
        <v>15</v>
      </c>
      <c r="AE2863" t="n">
        <v>19</v>
      </c>
      <c r="AF2863" t="n">
        <v>6</v>
      </c>
      <c r="AG2863" t="n">
        <v>6</v>
      </c>
      <c r="AH2863" t="n">
        <v>3</v>
      </c>
      <c r="AI2863" t="n">
        <v>4</v>
      </c>
      <c r="AJ2863" t="n">
        <v>3</v>
      </c>
      <c r="AK2863" t="n">
        <v>5</v>
      </c>
      <c r="AL2863" t="n">
        <v>4</v>
      </c>
      <c r="AM2863" t="n">
        <v>5</v>
      </c>
      <c r="AN2863" t="n">
        <v>1</v>
      </c>
      <c r="AO2863" t="n">
        <v>1</v>
      </c>
      <c r="AP2863" t="inlineStr">
        <is>
          <t>No</t>
        </is>
      </c>
      <c r="AQ2863" t="inlineStr">
        <is>
          <t>Yes</t>
        </is>
      </c>
      <c r="AR2863">
        <f>HYPERLINK("http://catalog.hathitrust.org/Record/004575363","HathiTrust Record")</f>
        <v/>
      </c>
      <c r="AS2863">
        <f>HYPERLINK("https://creighton-primo.hosted.exlibrisgroup.com/primo-explore/search?tab=default_tab&amp;search_scope=EVERYTHING&amp;vid=01CRU&amp;lang=en_US&amp;offset=0&amp;query=any,contains,991002997669702656","Catalog Record")</f>
        <v/>
      </c>
      <c r="AT2863">
        <f>HYPERLINK("http://www.worldcat.org/oclc/40545435","WorldCat Record")</f>
        <v/>
      </c>
      <c r="AU2863" t="inlineStr">
        <is>
          <t>793856223:eng</t>
        </is>
      </c>
      <c r="AV2863" t="inlineStr">
        <is>
          <t>40545435</t>
        </is>
      </c>
      <c r="AW2863" t="inlineStr">
        <is>
          <t>991002997669702656</t>
        </is>
      </c>
      <c r="AX2863" t="inlineStr">
        <is>
          <t>991002997669702656</t>
        </is>
      </c>
      <c r="AY2863" t="inlineStr">
        <is>
          <t>2265614450002656</t>
        </is>
      </c>
      <c r="AZ2863" t="inlineStr">
        <is>
          <t>BOOK</t>
        </is>
      </c>
      <c r="BB2863" t="inlineStr">
        <is>
          <t>9780517706664</t>
        </is>
      </c>
      <c r="BC2863" t="inlineStr">
        <is>
          <t>32285003587374</t>
        </is>
      </c>
      <c r="BD2863" t="inlineStr">
        <is>
          <t>893511461</t>
        </is>
      </c>
    </row>
    <row r="2864">
      <c r="A2864" t="inlineStr">
        <is>
          <t>No</t>
        </is>
      </c>
      <c r="B2864" t="inlineStr">
        <is>
          <t>HQ799.2.I5 T37 2001</t>
        </is>
      </c>
      <c r="C2864" t="inlineStr">
        <is>
          <t>0                      HQ 0799200I  5                  T  37          2001</t>
        </is>
      </c>
      <c r="D2864" t="inlineStr">
        <is>
          <t>Katie.com : my story / Katherine Tarbox.</t>
        </is>
      </c>
      <c r="F2864" t="inlineStr">
        <is>
          <t>No</t>
        </is>
      </c>
      <c r="G2864" t="inlineStr">
        <is>
          <t>1</t>
        </is>
      </c>
      <c r="H2864" t="inlineStr">
        <is>
          <t>No</t>
        </is>
      </c>
      <c r="I2864" t="inlineStr">
        <is>
          <t>No</t>
        </is>
      </c>
      <c r="J2864" t="inlineStr">
        <is>
          <t>0</t>
        </is>
      </c>
      <c r="K2864" t="inlineStr">
        <is>
          <t>Tarbox, Katherine.</t>
        </is>
      </c>
      <c r="L2864" t="inlineStr">
        <is>
          <t>New York : Penguin, 2001, c2000.</t>
        </is>
      </c>
      <c r="M2864" t="inlineStr">
        <is>
          <t>2001</t>
        </is>
      </c>
      <c r="O2864" t="inlineStr">
        <is>
          <t>eng</t>
        </is>
      </c>
      <c r="P2864" t="inlineStr">
        <is>
          <t>nyu</t>
        </is>
      </c>
      <c r="R2864" t="inlineStr">
        <is>
          <t xml:space="preserve">HQ </t>
        </is>
      </c>
      <c r="S2864" t="n">
        <v>11</v>
      </c>
      <c r="T2864" t="n">
        <v>11</v>
      </c>
      <c r="U2864" t="inlineStr">
        <is>
          <t>2007-02-19</t>
        </is>
      </c>
      <c r="V2864" t="inlineStr">
        <is>
          <t>2007-02-19</t>
        </is>
      </c>
      <c r="W2864" t="inlineStr">
        <is>
          <t>2002-09-27</t>
        </is>
      </c>
      <c r="X2864" t="inlineStr">
        <is>
          <t>2002-09-27</t>
        </is>
      </c>
      <c r="Y2864" t="n">
        <v>198</v>
      </c>
      <c r="Z2864" t="n">
        <v>190</v>
      </c>
      <c r="AA2864" t="n">
        <v>853</v>
      </c>
      <c r="AB2864" t="n">
        <v>2</v>
      </c>
      <c r="AC2864" t="n">
        <v>13</v>
      </c>
      <c r="AD2864" t="n">
        <v>2</v>
      </c>
      <c r="AE2864" t="n">
        <v>8</v>
      </c>
      <c r="AF2864" t="n">
        <v>1</v>
      </c>
      <c r="AG2864" t="n">
        <v>2</v>
      </c>
      <c r="AH2864" t="n">
        <v>0</v>
      </c>
      <c r="AI2864" t="n">
        <v>1</v>
      </c>
      <c r="AJ2864" t="n">
        <v>0</v>
      </c>
      <c r="AK2864" t="n">
        <v>4</v>
      </c>
      <c r="AL2864" t="n">
        <v>1</v>
      </c>
      <c r="AM2864" t="n">
        <v>3</v>
      </c>
      <c r="AN2864" t="n">
        <v>0</v>
      </c>
      <c r="AO2864" t="n">
        <v>0</v>
      </c>
      <c r="AP2864" t="inlineStr">
        <is>
          <t>No</t>
        </is>
      </c>
      <c r="AQ2864" t="inlineStr">
        <is>
          <t>No</t>
        </is>
      </c>
      <c r="AS2864">
        <f>HYPERLINK("https://creighton-primo.hosted.exlibrisgroup.com/primo-explore/search?tab=default_tab&amp;search_scope=EVERYTHING&amp;vid=01CRU&amp;lang=en_US&amp;offset=0&amp;query=any,contains,991003899749702656","Catalog Record")</f>
        <v/>
      </c>
      <c r="AT2864">
        <f>HYPERLINK("http://www.worldcat.org/oclc/47090637","WorldCat Record")</f>
        <v/>
      </c>
      <c r="AU2864" t="inlineStr">
        <is>
          <t>3943422642:eng</t>
        </is>
      </c>
      <c r="AV2864" t="inlineStr">
        <is>
          <t>47090637</t>
        </is>
      </c>
      <c r="AW2864" t="inlineStr">
        <is>
          <t>991003899749702656</t>
        </is>
      </c>
      <c r="AX2864" t="inlineStr">
        <is>
          <t>991003899749702656</t>
        </is>
      </c>
      <c r="AY2864" t="inlineStr">
        <is>
          <t>2272499640002656</t>
        </is>
      </c>
      <c r="AZ2864" t="inlineStr">
        <is>
          <t>BOOK</t>
        </is>
      </c>
      <c r="BB2864" t="inlineStr">
        <is>
          <t>9780452282537</t>
        </is>
      </c>
      <c r="BC2864" t="inlineStr">
        <is>
          <t>32285004653944</t>
        </is>
      </c>
      <c r="BD2864" t="inlineStr">
        <is>
          <t>893525397</t>
        </is>
      </c>
    </row>
    <row r="2865">
      <c r="A2865" t="inlineStr">
        <is>
          <t>No</t>
        </is>
      </c>
      <c r="B2865" t="inlineStr">
        <is>
          <t>HQ799.2.M3 H68</t>
        </is>
      </c>
      <c r="C2865" t="inlineStr">
        <is>
          <t>0                      HQ 0799200M  3                  H  68</t>
        </is>
      </c>
      <c r="D2865" t="inlineStr">
        <is>
          <t>Only human : teenage pregnancy and parenthood / Marion Howard.</t>
        </is>
      </c>
      <c r="F2865" t="inlineStr">
        <is>
          <t>No</t>
        </is>
      </c>
      <c r="G2865" t="inlineStr">
        <is>
          <t>1</t>
        </is>
      </c>
      <c r="H2865" t="inlineStr">
        <is>
          <t>No</t>
        </is>
      </c>
      <c r="I2865" t="inlineStr">
        <is>
          <t>No</t>
        </is>
      </c>
      <c r="J2865" t="inlineStr">
        <is>
          <t>0</t>
        </is>
      </c>
      <c r="K2865" t="inlineStr">
        <is>
          <t>Howard, Marion, 1936-</t>
        </is>
      </c>
      <c r="L2865" t="inlineStr">
        <is>
          <t>New York : Seabury Press, [1975]</t>
        </is>
      </c>
      <c r="M2865" t="inlineStr">
        <is>
          <t>1975</t>
        </is>
      </c>
      <c r="O2865" t="inlineStr">
        <is>
          <t>eng</t>
        </is>
      </c>
      <c r="P2865" t="inlineStr">
        <is>
          <t>nyu</t>
        </is>
      </c>
      <c r="Q2865" t="inlineStr">
        <is>
          <t>A Continuum book</t>
        </is>
      </c>
      <c r="R2865" t="inlineStr">
        <is>
          <t xml:space="preserve">HQ </t>
        </is>
      </c>
      <c r="S2865" t="n">
        <v>4</v>
      </c>
      <c r="T2865" t="n">
        <v>4</v>
      </c>
      <c r="U2865" t="inlineStr">
        <is>
          <t>1997-11-03</t>
        </is>
      </c>
      <c r="V2865" t="inlineStr">
        <is>
          <t>1997-11-03</t>
        </is>
      </c>
      <c r="W2865" t="inlineStr">
        <is>
          <t>1997-08-14</t>
        </is>
      </c>
      <c r="X2865" t="inlineStr">
        <is>
          <t>1997-08-14</t>
        </is>
      </c>
      <c r="Y2865" t="n">
        <v>497</v>
      </c>
      <c r="Z2865" t="n">
        <v>455</v>
      </c>
      <c r="AA2865" t="n">
        <v>485</v>
      </c>
      <c r="AB2865" t="n">
        <v>7</v>
      </c>
      <c r="AC2865" t="n">
        <v>7</v>
      </c>
      <c r="AD2865" t="n">
        <v>10</v>
      </c>
      <c r="AE2865" t="n">
        <v>10</v>
      </c>
      <c r="AF2865" t="n">
        <v>2</v>
      </c>
      <c r="AG2865" t="n">
        <v>2</v>
      </c>
      <c r="AH2865" t="n">
        <v>2</v>
      </c>
      <c r="AI2865" t="n">
        <v>2</v>
      </c>
      <c r="AJ2865" t="n">
        <v>7</v>
      </c>
      <c r="AK2865" t="n">
        <v>7</v>
      </c>
      <c r="AL2865" t="n">
        <v>2</v>
      </c>
      <c r="AM2865" t="n">
        <v>2</v>
      </c>
      <c r="AN2865" t="n">
        <v>0</v>
      </c>
      <c r="AO2865" t="n">
        <v>0</v>
      </c>
      <c r="AP2865" t="inlineStr">
        <is>
          <t>No</t>
        </is>
      </c>
      <c r="AQ2865" t="inlineStr">
        <is>
          <t>Yes</t>
        </is>
      </c>
      <c r="AR2865">
        <f>HYPERLINK("http://catalog.hathitrust.org/Record/000017126","HathiTrust Record")</f>
        <v/>
      </c>
      <c r="AS2865">
        <f>HYPERLINK("https://creighton-primo.hosted.exlibrisgroup.com/primo-explore/search?tab=default_tab&amp;search_scope=EVERYTHING&amp;vid=01CRU&amp;lang=en_US&amp;offset=0&amp;query=any,contains,991003804019702656","Catalog Record")</f>
        <v/>
      </c>
      <c r="AT2865">
        <f>HYPERLINK("http://www.worldcat.org/oclc/1529436","WorldCat Record")</f>
        <v/>
      </c>
      <c r="AU2865" t="inlineStr">
        <is>
          <t>2392594:eng</t>
        </is>
      </c>
      <c r="AV2865" t="inlineStr">
        <is>
          <t>1529436</t>
        </is>
      </c>
      <c r="AW2865" t="inlineStr">
        <is>
          <t>991003804019702656</t>
        </is>
      </c>
      <c r="AX2865" t="inlineStr">
        <is>
          <t>991003804019702656</t>
        </is>
      </c>
      <c r="AY2865" t="inlineStr">
        <is>
          <t>2256817970002656</t>
        </is>
      </c>
      <c r="AZ2865" t="inlineStr">
        <is>
          <t>BOOK</t>
        </is>
      </c>
      <c r="BB2865" t="inlineStr">
        <is>
          <t>9780816492657</t>
        </is>
      </c>
      <c r="BC2865" t="inlineStr">
        <is>
          <t>32285003102828</t>
        </is>
      </c>
      <c r="BD2865" t="inlineStr">
        <is>
          <t>893416818</t>
        </is>
      </c>
    </row>
    <row r="2866">
      <c r="A2866" t="inlineStr">
        <is>
          <t>No</t>
        </is>
      </c>
      <c r="B2866" t="inlineStr">
        <is>
          <t>HQ799.2.M3 W44</t>
        </is>
      </c>
      <c r="C2866" t="inlineStr">
        <is>
          <t>0                      HQ 0799200M  3                  W  44</t>
        </is>
      </c>
      <c r="D2866" t="inlineStr">
        <is>
          <t>Teenage marriages : a demographic analysis / John R. Weeks.</t>
        </is>
      </c>
      <c r="F2866" t="inlineStr">
        <is>
          <t>No</t>
        </is>
      </c>
      <c r="G2866" t="inlineStr">
        <is>
          <t>1</t>
        </is>
      </c>
      <c r="H2866" t="inlineStr">
        <is>
          <t>No</t>
        </is>
      </c>
      <c r="I2866" t="inlineStr">
        <is>
          <t>No</t>
        </is>
      </c>
      <c r="J2866" t="inlineStr">
        <is>
          <t>0</t>
        </is>
      </c>
      <c r="K2866" t="inlineStr">
        <is>
          <t>Weeks, John Robert, 1944-</t>
        </is>
      </c>
      <c r="L2866" t="inlineStr">
        <is>
          <t>Westport, Conn. : Greenwood Press, 1976.</t>
        </is>
      </c>
      <c r="M2866" t="inlineStr">
        <is>
          <t>1976</t>
        </is>
      </c>
      <c r="O2866" t="inlineStr">
        <is>
          <t>eng</t>
        </is>
      </c>
      <c r="P2866" t="inlineStr">
        <is>
          <t>ctu</t>
        </is>
      </c>
      <c r="Q2866" t="inlineStr">
        <is>
          <t>Studies in population and urban demography ; no. 2</t>
        </is>
      </c>
      <c r="R2866" t="inlineStr">
        <is>
          <t xml:space="preserve">HQ </t>
        </is>
      </c>
      <c r="S2866" t="n">
        <v>7</v>
      </c>
      <c r="T2866" t="n">
        <v>7</v>
      </c>
      <c r="U2866" t="inlineStr">
        <is>
          <t>1998-12-01</t>
        </is>
      </c>
      <c r="V2866" t="inlineStr">
        <is>
          <t>1998-12-01</t>
        </is>
      </c>
      <c r="W2866" t="inlineStr">
        <is>
          <t>1992-02-24</t>
        </is>
      </c>
      <c r="X2866" t="inlineStr">
        <is>
          <t>1992-02-24</t>
        </is>
      </c>
      <c r="Y2866" t="n">
        <v>436</v>
      </c>
      <c r="Z2866" t="n">
        <v>366</v>
      </c>
      <c r="AA2866" t="n">
        <v>384</v>
      </c>
      <c r="AB2866" t="n">
        <v>4</v>
      </c>
      <c r="AC2866" t="n">
        <v>4</v>
      </c>
      <c r="AD2866" t="n">
        <v>13</v>
      </c>
      <c r="AE2866" t="n">
        <v>13</v>
      </c>
      <c r="AF2866" t="n">
        <v>2</v>
      </c>
      <c r="AG2866" t="n">
        <v>2</v>
      </c>
      <c r="AH2866" t="n">
        <v>5</v>
      </c>
      <c r="AI2866" t="n">
        <v>5</v>
      </c>
      <c r="AJ2866" t="n">
        <v>8</v>
      </c>
      <c r="AK2866" t="n">
        <v>8</v>
      </c>
      <c r="AL2866" t="n">
        <v>2</v>
      </c>
      <c r="AM2866" t="n">
        <v>2</v>
      </c>
      <c r="AN2866" t="n">
        <v>0</v>
      </c>
      <c r="AO2866" t="n">
        <v>0</v>
      </c>
      <c r="AP2866" t="inlineStr">
        <is>
          <t>No</t>
        </is>
      </c>
      <c r="AQ2866" t="inlineStr">
        <is>
          <t>Yes</t>
        </is>
      </c>
      <c r="AR2866">
        <f>HYPERLINK("http://catalog.hathitrust.org/Record/000728919","HathiTrust Record")</f>
        <v/>
      </c>
      <c r="AS2866">
        <f>HYPERLINK("https://creighton-primo.hosted.exlibrisgroup.com/primo-explore/search?tab=default_tab&amp;search_scope=EVERYTHING&amp;vid=01CRU&amp;lang=en_US&amp;offset=0&amp;query=any,contains,991004075349702656","Catalog Record")</f>
        <v/>
      </c>
      <c r="AT2866">
        <f>HYPERLINK("http://www.worldcat.org/oclc/2317923","WorldCat Record")</f>
        <v/>
      </c>
      <c r="AU2866" t="inlineStr">
        <is>
          <t>501757:eng</t>
        </is>
      </c>
      <c r="AV2866" t="inlineStr">
        <is>
          <t>2317923</t>
        </is>
      </c>
      <c r="AW2866" t="inlineStr">
        <is>
          <t>991004075349702656</t>
        </is>
      </c>
      <c r="AX2866" t="inlineStr">
        <is>
          <t>991004075349702656</t>
        </is>
      </c>
      <c r="AY2866" t="inlineStr">
        <is>
          <t>2264200840002656</t>
        </is>
      </c>
      <c r="AZ2866" t="inlineStr">
        <is>
          <t>BOOK</t>
        </is>
      </c>
      <c r="BB2866" t="inlineStr">
        <is>
          <t>9780837188980</t>
        </is>
      </c>
      <c r="BC2866" t="inlineStr">
        <is>
          <t>32285000975150</t>
        </is>
      </c>
      <c r="BD2866" t="inlineStr">
        <is>
          <t>893318770</t>
        </is>
      </c>
    </row>
    <row r="2867">
      <c r="A2867" t="inlineStr">
        <is>
          <t>No</t>
        </is>
      </c>
      <c r="B2867" t="inlineStr">
        <is>
          <t>HQ799.2.M35 D36 1991</t>
        </is>
      </c>
      <c r="C2867" t="inlineStr">
        <is>
          <t>0                      HQ 0799200M  35                 D  36          1991</t>
        </is>
      </c>
      <c r="D2867" t="inlineStr">
        <is>
          <t>Dancing in the dark : youth, popular culture, and the electronic media / by Quentin J. Schultze ... [et al.].</t>
        </is>
      </c>
      <c r="F2867" t="inlineStr">
        <is>
          <t>No</t>
        </is>
      </c>
      <c r="G2867" t="inlineStr">
        <is>
          <t>1</t>
        </is>
      </c>
      <c r="H2867" t="inlineStr">
        <is>
          <t>No</t>
        </is>
      </c>
      <c r="I2867" t="inlineStr">
        <is>
          <t>No</t>
        </is>
      </c>
      <c r="J2867" t="inlineStr">
        <is>
          <t>0</t>
        </is>
      </c>
      <c r="L2867" t="inlineStr">
        <is>
          <t>Grand Rapids, Mich. : W.B. Eerdmans Pub. Co., c1991.</t>
        </is>
      </c>
      <c r="M2867" t="inlineStr">
        <is>
          <t>1991</t>
        </is>
      </c>
      <c r="O2867" t="inlineStr">
        <is>
          <t>eng</t>
        </is>
      </c>
      <c r="P2867" t="inlineStr">
        <is>
          <t>miu</t>
        </is>
      </c>
      <c r="R2867" t="inlineStr">
        <is>
          <t xml:space="preserve">HQ </t>
        </is>
      </c>
      <c r="S2867" t="n">
        <v>8</v>
      </c>
      <c r="T2867" t="n">
        <v>8</v>
      </c>
      <c r="U2867" t="inlineStr">
        <is>
          <t>2001-11-20</t>
        </is>
      </c>
      <c r="V2867" t="inlineStr">
        <is>
          <t>2001-11-20</t>
        </is>
      </c>
      <c r="W2867" t="inlineStr">
        <is>
          <t>1991-04-29</t>
        </is>
      </c>
      <c r="X2867" t="inlineStr">
        <is>
          <t>1991-04-29</t>
        </is>
      </c>
      <c r="Y2867" t="n">
        <v>680</v>
      </c>
      <c r="Z2867" t="n">
        <v>597</v>
      </c>
      <c r="AA2867" t="n">
        <v>616</v>
      </c>
      <c r="AB2867" t="n">
        <v>5</v>
      </c>
      <c r="AC2867" t="n">
        <v>5</v>
      </c>
      <c r="AD2867" t="n">
        <v>18</v>
      </c>
      <c r="AE2867" t="n">
        <v>18</v>
      </c>
      <c r="AF2867" t="n">
        <v>10</v>
      </c>
      <c r="AG2867" t="n">
        <v>10</v>
      </c>
      <c r="AH2867" t="n">
        <v>3</v>
      </c>
      <c r="AI2867" t="n">
        <v>3</v>
      </c>
      <c r="AJ2867" t="n">
        <v>9</v>
      </c>
      <c r="AK2867" t="n">
        <v>9</v>
      </c>
      <c r="AL2867" t="n">
        <v>2</v>
      </c>
      <c r="AM2867" t="n">
        <v>2</v>
      </c>
      <c r="AN2867" t="n">
        <v>0</v>
      </c>
      <c r="AO2867" t="n">
        <v>0</v>
      </c>
      <c r="AP2867" t="inlineStr">
        <is>
          <t>No</t>
        </is>
      </c>
      <c r="AQ2867" t="inlineStr">
        <is>
          <t>No</t>
        </is>
      </c>
      <c r="AS2867">
        <f>HYPERLINK("https://creighton-primo.hosted.exlibrisgroup.com/primo-explore/search?tab=default_tab&amp;search_scope=EVERYTHING&amp;vid=01CRU&amp;lang=en_US&amp;offset=0&amp;query=any,contains,991001765309702656","Catalog Record")</f>
        <v/>
      </c>
      <c r="AT2867">
        <f>HYPERLINK("http://www.worldcat.org/oclc/22308128","WorldCat Record")</f>
        <v/>
      </c>
      <c r="AU2867" t="inlineStr">
        <is>
          <t>906819741:eng</t>
        </is>
      </c>
      <c r="AV2867" t="inlineStr">
        <is>
          <t>22308128</t>
        </is>
      </c>
      <c r="AW2867" t="inlineStr">
        <is>
          <t>991001765309702656</t>
        </is>
      </c>
      <c r="AX2867" t="inlineStr">
        <is>
          <t>991001765309702656</t>
        </is>
      </c>
      <c r="AY2867" t="inlineStr">
        <is>
          <t>2259215400002656</t>
        </is>
      </c>
      <c r="AZ2867" t="inlineStr">
        <is>
          <t>BOOK</t>
        </is>
      </c>
      <c r="BB2867" t="inlineStr">
        <is>
          <t>9780802805300</t>
        </is>
      </c>
      <c r="BC2867" t="inlineStr">
        <is>
          <t>32285000569607</t>
        </is>
      </c>
      <c r="BD2867" t="inlineStr">
        <is>
          <t>893426834</t>
        </is>
      </c>
    </row>
    <row r="2868">
      <c r="A2868" t="inlineStr">
        <is>
          <t>No</t>
        </is>
      </c>
      <c r="B2868" t="inlineStr">
        <is>
          <t>HQ799.2.M35 M37</t>
        </is>
      </c>
      <c r="C2868" t="inlineStr">
        <is>
          <t>0                      HQ 0799200M  35                 M  37</t>
        </is>
      </c>
      <c r="D2868" t="inlineStr">
        <is>
          <t>Mass communications and youth : some current perspectives / edited by F. Gerald Kline and Peter Clarke.</t>
        </is>
      </c>
      <c r="F2868" t="inlineStr">
        <is>
          <t>No</t>
        </is>
      </c>
      <c r="G2868" t="inlineStr">
        <is>
          <t>1</t>
        </is>
      </c>
      <c r="H2868" t="inlineStr">
        <is>
          <t>No</t>
        </is>
      </c>
      <c r="I2868" t="inlineStr">
        <is>
          <t>No</t>
        </is>
      </c>
      <c r="J2868" t="inlineStr">
        <is>
          <t>0</t>
        </is>
      </c>
      <c r="L2868" t="inlineStr">
        <is>
          <t>Beverly Hills, Sage Publications [c1971]</t>
        </is>
      </c>
      <c r="M2868" t="inlineStr">
        <is>
          <t>1971</t>
        </is>
      </c>
      <c r="O2868" t="inlineStr">
        <is>
          <t>eng</t>
        </is>
      </c>
      <c r="P2868" t="inlineStr">
        <is>
          <t>cau</t>
        </is>
      </c>
      <c r="Q2868" t="inlineStr">
        <is>
          <t>Sage contemporary social science issues ; 5</t>
        </is>
      </c>
      <c r="R2868" t="inlineStr">
        <is>
          <t xml:space="preserve">HQ </t>
        </is>
      </c>
      <c r="S2868" t="n">
        <v>6</v>
      </c>
      <c r="T2868" t="n">
        <v>6</v>
      </c>
      <c r="U2868" t="inlineStr">
        <is>
          <t>2008-09-29</t>
        </is>
      </c>
      <c r="V2868" t="inlineStr">
        <is>
          <t>2008-09-29</t>
        </is>
      </c>
      <c r="W2868" t="inlineStr">
        <is>
          <t>1997-08-08</t>
        </is>
      </c>
      <c r="X2868" t="inlineStr">
        <is>
          <t>1997-08-08</t>
        </is>
      </c>
      <c r="Y2868" t="n">
        <v>323</v>
      </c>
      <c r="Z2868" t="n">
        <v>244</v>
      </c>
      <c r="AA2868" t="n">
        <v>256</v>
      </c>
      <c r="AB2868" t="n">
        <v>5</v>
      </c>
      <c r="AC2868" t="n">
        <v>5</v>
      </c>
      <c r="AD2868" t="n">
        <v>16</v>
      </c>
      <c r="AE2868" t="n">
        <v>16</v>
      </c>
      <c r="AF2868" t="n">
        <v>9</v>
      </c>
      <c r="AG2868" t="n">
        <v>9</v>
      </c>
      <c r="AH2868" t="n">
        <v>2</v>
      </c>
      <c r="AI2868" t="n">
        <v>2</v>
      </c>
      <c r="AJ2868" t="n">
        <v>5</v>
      </c>
      <c r="AK2868" t="n">
        <v>5</v>
      </c>
      <c r="AL2868" t="n">
        <v>3</v>
      </c>
      <c r="AM2868" t="n">
        <v>3</v>
      </c>
      <c r="AN2868" t="n">
        <v>0</v>
      </c>
      <c r="AO2868" t="n">
        <v>0</v>
      </c>
      <c r="AP2868" t="inlineStr">
        <is>
          <t>No</t>
        </is>
      </c>
      <c r="AQ2868" t="inlineStr">
        <is>
          <t>Yes</t>
        </is>
      </c>
      <c r="AR2868">
        <f>HYPERLINK("http://catalog.hathitrust.org/Record/102058217","HathiTrust Record")</f>
        <v/>
      </c>
      <c r="AS2868">
        <f>HYPERLINK("https://creighton-primo.hosted.exlibrisgroup.com/primo-explore/search?tab=default_tab&amp;search_scope=EVERYTHING&amp;vid=01CRU&amp;lang=en_US&amp;offset=0&amp;query=any,contains,991003715449702656","Catalog Record")</f>
        <v/>
      </c>
      <c r="AT2868">
        <f>HYPERLINK("http://www.worldcat.org/oclc/1359821","WorldCat Record")</f>
        <v/>
      </c>
      <c r="AU2868" t="inlineStr">
        <is>
          <t>578566:eng</t>
        </is>
      </c>
      <c r="AV2868" t="inlineStr">
        <is>
          <t>1359821</t>
        </is>
      </c>
      <c r="AW2868" t="inlineStr">
        <is>
          <t>991003715449702656</t>
        </is>
      </c>
      <c r="AX2868" t="inlineStr">
        <is>
          <t>991003715449702656</t>
        </is>
      </c>
      <c r="AY2868" t="inlineStr">
        <is>
          <t>2268912930002656</t>
        </is>
      </c>
      <c r="AZ2868" t="inlineStr">
        <is>
          <t>BOOK</t>
        </is>
      </c>
      <c r="BB2868" t="inlineStr">
        <is>
          <t>9780803903357</t>
        </is>
      </c>
      <c r="BC2868" t="inlineStr">
        <is>
          <t>32285003031951</t>
        </is>
      </c>
      <c r="BD2868" t="inlineStr">
        <is>
          <t>893605120</t>
        </is>
      </c>
    </row>
    <row r="2869">
      <c r="A2869" t="inlineStr">
        <is>
          <t>No</t>
        </is>
      </c>
      <c r="B2869" t="inlineStr">
        <is>
          <t>HQ799.2.M35 S84 2003</t>
        </is>
      </c>
      <c r="C2869" t="inlineStr">
        <is>
          <t>0                      HQ 0799200M  35                 S  84          2003</t>
        </is>
      </c>
      <c r="D2869" t="inlineStr">
        <is>
          <t>It's not the media : the truth about pop culture's influence on children / Karen Sternheimer.</t>
        </is>
      </c>
      <c r="F2869" t="inlineStr">
        <is>
          <t>No</t>
        </is>
      </c>
      <c r="G2869" t="inlineStr">
        <is>
          <t>1</t>
        </is>
      </c>
      <c r="H2869" t="inlineStr">
        <is>
          <t>No</t>
        </is>
      </c>
      <c r="I2869" t="inlineStr">
        <is>
          <t>No</t>
        </is>
      </c>
      <c r="J2869" t="inlineStr">
        <is>
          <t>0</t>
        </is>
      </c>
      <c r="K2869" t="inlineStr">
        <is>
          <t>Sternheimer, Karen.</t>
        </is>
      </c>
      <c r="L2869" t="inlineStr">
        <is>
          <t>Boulder, Colo. : Westview Press, c2003.</t>
        </is>
      </c>
      <c r="M2869" t="inlineStr">
        <is>
          <t>2003</t>
        </is>
      </c>
      <c r="O2869" t="inlineStr">
        <is>
          <t>eng</t>
        </is>
      </c>
      <c r="P2869" t="inlineStr">
        <is>
          <t>cou</t>
        </is>
      </c>
      <c r="R2869" t="inlineStr">
        <is>
          <t xml:space="preserve">HQ </t>
        </is>
      </c>
      <c r="S2869" t="n">
        <v>8</v>
      </c>
      <c r="T2869" t="n">
        <v>8</v>
      </c>
      <c r="U2869" t="inlineStr">
        <is>
          <t>2010-02-24</t>
        </is>
      </c>
      <c r="V2869" t="inlineStr">
        <is>
          <t>2010-02-24</t>
        </is>
      </c>
      <c r="W2869" t="inlineStr">
        <is>
          <t>2003-12-10</t>
        </is>
      </c>
      <c r="X2869" t="inlineStr">
        <is>
          <t>2003-12-10</t>
        </is>
      </c>
      <c r="Y2869" t="n">
        <v>875</v>
      </c>
      <c r="Z2869" t="n">
        <v>766</v>
      </c>
      <c r="AA2869" t="n">
        <v>772</v>
      </c>
      <c r="AB2869" t="n">
        <v>4</v>
      </c>
      <c r="AC2869" t="n">
        <v>4</v>
      </c>
      <c r="AD2869" t="n">
        <v>32</v>
      </c>
      <c r="AE2869" t="n">
        <v>32</v>
      </c>
      <c r="AF2869" t="n">
        <v>13</v>
      </c>
      <c r="AG2869" t="n">
        <v>13</v>
      </c>
      <c r="AH2869" t="n">
        <v>9</v>
      </c>
      <c r="AI2869" t="n">
        <v>9</v>
      </c>
      <c r="AJ2869" t="n">
        <v>14</v>
      </c>
      <c r="AK2869" t="n">
        <v>14</v>
      </c>
      <c r="AL2869" t="n">
        <v>3</v>
      </c>
      <c r="AM2869" t="n">
        <v>3</v>
      </c>
      <c r="AN2869" t="n">
        <v>0</v>
      </c>
      <c r="AO2869" t="n">
        <v>0</v>
      </c>
      <c r="AP2869" t="inlineStr">
        <is>
          <t>No</t>
        </is>
      </c>
      <c r="AQ2869" t="inlineStr">
        <is>
          <t>No</t>
        </is>
      </c>
      <c r="AS2869">
        <f>HYPERLINK("https://creighton-primo.hosted.exlibrisgroup.com/primo-explore/search?tab=default_tab&amp;search_scope=EVERYTHING&amp;vid=01CRU&amp;lang=en_US&amp;offset=0&amp;query=any,contains,991004179189702656","Catalog Record")</f>
        <v/>
      </c>
      <c r="AT2869">
        <f>HYPERLINK("http://www.worldcat.org/oclc/52518856","WorldCat Record")</f>
        <v/>
      </c>
      <c r="AU2869" t="inlineStr">
        <is>
          <t>839793728:eng</t>
        </is>
      </c>
      <c r="AV2869" t="inlineStr">
        <is>
          <t>52518856</t>
        </is>
      </c>
      <c r="AW2869" t="inlineStr">
        <is>
          <t>991004179189702656</t>
        </is>
      </c>
      <c r="AX2869" t="inlineStr">
        <is>
          <t>991004179189702656</t>
        </is>
      </c>
      <c r="AY2869" t="inlineStr">
        <is>
          <t>2261773690002656</t>
        </is>
      </c>
      <c r="AZ2869" t="inlineStr">
        <is>
          <t>BOOK</t>
        </is>
      </c>
      <c r="BB2869" t="inlineStr">
        <is>
          <t>9780813341385</t>
        </is>
      </c>
      <c r="BC2869" t="inlineStr">
        <is>
          <t>32285004845656</t>
        </is>
      </c>
      <c r="BD2869" t="inlineStr">
        <is>
          <t>893241120</t>
        </is>
      </c>
    </row>
    <row r="2870">
      <c r="A2870" t="inlineStr">
        <is>
          <t>No</t>
        </is>
      </c>
      <c r="B2870" t="inlineStr">
        <is>
          <t>HQ799.2.T4 B44</t>
        </is>
      </c>
      <c r="C2870" t="inlineStr">
        <is>
          <t>0                      HQ 0799200T  4                  B  44</t>
        </is>
      </c>
      <c r="D2870" t="inlineStr">
        <is>
          <t>Television violence and the adolescent boy / William A. Belson.</t>
        </is>
      </c>
      <c r="F2870" t="inlineStr">
        <is>
          <t>No</t>
        </is>
      </c>
      <c r="G2870" t="inlineStr">
        <is>
          <t>1</t>
        </is>
      </c>
      <c r="H2870" t="inlineStr">
        <is>
          <t>No</t>
        </is>
      </c>
      <c r="I2870" t="inlineStr">
        <is>
          <t>No</t>
        </is>
      </c>
      <c r="J2870" t="inlineStr">
        <is>
          <t>0</t>
        </is>
      </c>
      <c r="K2870" t="inlineStr">
        <is>
          <t>Belson, William A.</t>
        </is>
      </c>
      <c r="L2870" t="inlineStr">
        <is>
          <t>Farnborough, Hants. : Saxon House, 1978.</t>
        </is>
      </c>
      <c r="M2870" t="inlineStr">
        <is>
          <t>1978</t>
        </is>
      </c>
      <c r="O2870" t="inlineStr">
        <is>
          <t>eng</t>
        </is>
      </c>
      <c r="P2870" t="inlineStr">
        <is>
          <t>enk</t>
        </is>
      </c>
      <c r="R2870" t="inlineStr">
        <is>
          <t xml:space="preserve">HQ </t>
        </is>
      </c>
      <c r="S2870" t="n">
        <v>23</v>
      </c>
      <c r="T2870" t="n">
        <v>23</v>
      </c>
      <c r="U2870" t="inlineStr">
        <is>
          <t>2005-04-26</t>
        </is>
      </c>
      <c r="V2870" t="inlineStr">
        <is>
          <t>2005-04-26</t>
        </is>
      </c>
      <c r="W2870" t="inlineStr">
        <is>
          <t>1992-03-17</t>
        </is>
      </c>
      <c r="X2870" t="inlineStr">
        <is>
          <t>1992-03-17</t>
        </is>
      </c>
      <c r="Y2870" t="n">
        <v>690</v>
      </c>
      <c r="Z2870" t="n">
        <v>465</v>
      </c>
      <c r="AA2870" t="n">
        <v>470</v>
      </c>
      <c r="AB2870" t="n">
        <v>3</v>
      </c>
      <c r="AC2870" t="n">
        <v>3</v>
      </c>
      <c r="AD2870" t="n">
        <v>22</v>
      </c>
      <c r="AE2870" t="n">
        <v>22</v>
      </c>
      <c r="AF2870" t="n">
        <v>9</v>
      </c>
      <c r="AG2870" t="n">
        <v>9</v>
      </c>
      <c r="AH2870" t="n">
        <v>3</v>
      </c>
      <c r="AI2870" t="n">
        <v>3</v>
      </c>
      <c r="AJ2870" t="n">
        <v>13</v>
      </c>
      <c r="AK2870" t="n">
        <v>13</v>
      </c>
      <c r="AL2870" t="n">
        <v>1</v>
      </c>
      <c r="AM2870" t="n">
        <v>1</v>
      </c>
      <c r="AN2870" t="n">
        <v>1</v>
      </c>
      <c r="AO2870" t="n">
        <v>1</v>
      </c>
      <c r="AP2870" t="inlineStr">
        <is>
          <t>No</t>
        </is>
      </c>
      <c r="AQ2870" t="inlineStr">
        <is>
          <t>Yes</t>
        </is>
      </c>
      <c r="AR2870">
        <f>HYPERLINK("http://catalog.hathitrust.org/Record/000106040","HathiTrust Record")</f>
        <v/>
      </c>
      <c r="AS2870">
        <f>HYPERLINK("https://creighton-primo.hosted.exlibrisgroup.com/primo-explore/search?tab=default_tab&amp;search_scope=EVERYTHING&amp;vid=01CRU&amp;lang=en_US&amp;offset=0&amp;query=any,contains,991004765919702656","Catalog Record")</f>
        <v/>
      </c>
      <c r="AT2870">
        <f>HYPERLINK("http://www.worldcat.org/oclc/5029263","WorldCat Record")</f>
        <v/>
      </c>
      <c r="AU2870" t="inlineStr">
        <is>
          <t>9356230:eng</t>
        </is>
      </c>
      <c r="AV2870" t="inlineStr">
        <is>
          <t>5029263</t>
        </is>
      </c>
      <c r="AW2870" t="inlineStr">
        <is>
          <t>991004765919702656</t>
        </is>
      </c>
      <c r="AX2870" t="inlineStr">
        <is>
          <t>991004765919702656</t>
        </is>
      </c>
      <c r="AY2870" t="inlineStr">
        <is>
          <t>2271543150002656</t>
        </is>
      </c>
      <c r="AZ2870" t="inlineStr">
        <is>
          <t>BOOK</t>
        </is>
      </c>
      <c r="BB2870" t="inlineStr">
        <is>
          <t>9780566002113</t>
        </is>
      </c>
      <c r="BC2870" t="inlineStr">
        <is>
          <t>32285000529445</t>
        </is>
      </c>
      <c r="BD2870" t="inlineStr">
        <is>
          <t>893500926</t>
        </is>
      </c>
    </row>
    <row r="2871">
      <c r="A2871" t="inlineStr">
        <is>
          <t>No</t>
        </is>
      </c>
      <c r="B2871" t="inlineStr">
        <is>
          <t>HQ799.2.T4 F57 2002</t>
        </is>
      </c>
      <c r="C2871" t="inlineStr">
        <is>
          <t>0                      HQ 0799200T  4                  F  57          2002</t>
        </is>
      </c>
      <c r="D2871" t="inlineStr">
        <is>
          <t>Growing up with television : everyday learning among young adolescents / JoEllen Fisherkeller.</t>
        </is>
      </c>
      <c r="F2871" t="inlineStr">
        <is>
          <t>No</t>
        </is>
      </c>
      <c r="G2871" t="inlineStr">
        <is>
          <t>1</t>
        </is>
      </c>
      <c r="H2871" t="inlineStr">
        <is>
          <t>No</t>
        </is>
      </c>
      <c r="I2871" t="inlineStr">
        <is>
          <t>No</t>
        </is>
      </c>
      <c r="J2871" t="inlineStr">
        <is>
          <t>0</t>
        </is>
      </c>
      <c r="K2871" t="inlineStr">
        <is>
          <t>Fisherkeller, JoEllen, 1952-</t>
        </is>
      </c>
      <c r="L2871" t="inlineStr">
        <is>
          <t>Philadelphia, PA : Temple University Press, 2002.</t>
        </is>
      </c>
      <c r="M2871" t="inlineStr">
        <is>
          <t>2002</t>
        </is>
      </c>
      <c r="O2871" t="inlineStr">
        <is>
          <t>eng</t>
        </is>
      </c>
      <c r="P2871" t="inlineStr">
        <is>
          <t>pau</t>
        </is>
      </c>
      <c r="R2871" t="inlineStr">
        <is>
          <t xml:space="preserve">HQ </t>
        </is>
      </c>
      <c r="S2871" t="n">
        <v>6</v>
      </c>
      <c r="T2871" t="n">
        <v>6</v>
      </c>
      <c r="U2871" t="inlineStr">
        <is>
          <t>2010-06-17</t>
        </is>
      </c>
      <c r="V2871" t="inlineStr">
        <is>
          <t>2010-06-17</t>
        </is>
      </c>
      <c r="W2871" t="inlineStr">
        <is>
          <t>2002-10-08</t>
        </is>
      </c>
      <c r="X2871" t="inlineStr">
        <is>
          <t>2002-10-08</t>
        </is>
      </c>
      <c r="Y2871" t="n">
        <v>966</v>
      </c>
      <c r="Z2871" t="n">
        <v>868</v>
      </c>
      <c r="AA2871" t="n">
        <v>1195</v>
      </c>
      <c r="AB2871" t="n">
        <v>7</v>
      </c>
      <c r="AC2871" t="n">
        <v>10</v>
      </c>
      <c r="AD2871" t="n">
        <v>40</v>
      </c>
      <c r="AE2871" t="n">
        <v>52</v>
      </c>
      <c r="AF2871" t="n">
        <v>20</v>
      </c>
      <c r="AG2871" t="n">
        <v>24</v>
      </c>
      <c r="AH2871" t="n">
        <v>7</v>
      </c>
      <c r="AI2871" t="n">
        <v>9</v>
      </c>
      <c r="AJ2871" t="n">
        <v>17</v>
      </c>
      <c r="AK2871" t="n">
        <v>21</v>
      </c>
      <c r="AL2871" t="n">
        <v>6</v>
      </c>
      <c r="AM2871" t="n">
        <v>9</v>
      </c>
      <c r="AN2871" t="n">
        <v>0</v>
      </c>
      <c r="AO2871" t="n">
        <v>1</v>
      </c>
      <c r="AP2871" t="inlineStr">
        <is>
          <t>No</t>
        </is>
      </c>
      <c r="AQ2871" t="inlineStr">
        <is>
          <t>No</t>
        </is>
      </c>
      <c r="AS2871">
        <f>HYPERLINK("https://creighton-primo.hosted.exlibrisgroup.com/primo-explore/search?tab=default_tab&amp;search_scope=EVERYTHING&amp;vid=01CRU&amp;lang=en_US&amp;offset=0&amp;query=any,contains,991003877889702656","Catalog Record")</f>
        <v/>
      </c>
      <c r="AT2871">
        <f>HYPERLINK("http://www.worldcat.org/oclc/48222707","WorldCat Record")</f>
        <v/>
      </c>
      <c r="AU2871" t="inlineStr">
        <is>
          <t>802814793:eng</t>
        </is>
      </c>
      <c r="AV2871" t="inlineStr">
        <is>
          <t>48222707</t>
        </is>
      </c>
      <c r="AW2871" t="inlineStr">
        <is>
          <t>991003877889702656</t>
        </is>
      </c>
      <c r="AX2871" t="inlineStr">
        <is>
          <t>991003877889702656</t>
        </is>
      </c>
      <c r="AY2871" t="inlineStr">
        <is>
          <t>2256681830002656</t>
        </is>
      </c>
      <c r="AZ2871" t="inlineStr">
        <is>
          <t>BOOK</t>
        </is>
      </c>
      <c r="BB2871" t="inlineStr">
        <is>
          <t>9781566399524</t>
        </is>
      </c>
      <c r="BC2871" t="inlineStr">
        <is>
          <t>32285004653431</t>
        </is>
      </c>
      <c r="BD2871" t="inlineStr">
        <is>
          <t>893435570</t>
        </is>
      </c>
    </row>
    <row r="2872">
      <c r="A2872" t="inlineStr">
        <is>
          <t>No</t>
        </is>
      </c>
      <c r="B2872" t="inlineStr">
        <is>
          <t>HQ799.2.T4 H68 1977</t>
        </is>
      </c>
      <c r="C2872" t="inlineStr">
        <is>
          <t>0                      HQ 0799200T  4                  H  68          1977</t>
        </is>
      </c>
      <c r="D2872" t="inlineStr">
        <is>
          <t>Television and children / Michael J. A. Howe.</t>
        </is>
      </c>
      <c r="F2872" t="inlineStr">
        <is>
          <t>No</t>
        </is>
      </c>
      <c r="G2872" t="inlineStr">
        <is>
          <t>1</t>
        </is>
      </c>
      <c r="H2872" t="inlineStr">
        <is>
          <t>No</t>
        </is>
      </c>
      <c r="I2872" t="inlineStr">
        <is>
          <t>No</t>
        </is>
      </c>
      <c r="J2872" t="inlineStr">
        <is>
          <t>0</t>
        </is>
      </c>
      <c r="K2872" t="inlineStr">
        <is>
          <t>Howe, Michael J. A., 1940-</t>
        </is>
      </c>
      <c r="L2872" t="inlineStr">
        <is>
          <t>Hamden, Conn. : Linnet Books, 1977.</t>
        </is>
      </c>
      <c r="M2872" t="inlineStr">
        <is>
          <t>1977</t>
        </is>
      </c>
      <c r="O2872" t="inlineStr">
        <is>
          <t>eng</t>
        </is>
      </c>
      <c r="P2872" t="inlineStr">
        <is>
          <t>ctu</t>
        </is>
      </c>
      <c r="R2872" t="inlineStr">
        <is>
          <t xml:space="preserve">HQ </t>
        </is>
      </c>
      <c r="S2872" t="n">
        <v>23</v>
      </c>
      <c r="T2872" t="n">
        <v>23</v>
      </c>
      <c r="U2872" t="inlineStr">
        <is>
          <t>2008-09-29</t>
        </is>
      </c>
      <c r="V2872" t="inlineStr">
        <is>
          <t>2008-09-29</t>
        </is>
      </c>
      <c r="W2872" t="inlineStr">
        <is>
          <t>1991-01-10</t>
        </is>
      </c>
      <c r="X2872" t="inlineStr">
        <is>
          <t>1991-01-10</t>
        </is>
      </c>
      <c r="Y2872" t="n">
        <v>333</v>
      </c>
      <c r="Z2872" t="n">
        <v>295</v>
      </c>
      <c r="AA2872" t="n">
        <v>613</v>
      </c>
      <c r="AB2872" t="n">
        <v>2</v>
      </c>
      <c r="AC2872" t="n">
        <v>3</v>
      </c>
      <c r="AD2872" t="n">
        <v>8</v>
      </c>
      <c r="AE2872" t="n">
        <v>23</v>
      </c>
      <c r="AF2872" t="n">
        <v>4</v>
      </c>
      <c r="AG2872" t="n">
        <v>12</v>
      </c>
      <c r="AH2872" t="n">
        <v>4</v>
      </c>
      <c r="AI2872" t="n">
        <v>6</v>
      </c>
      <c r="AJ2872" t="n">
        <v>3</v>
      </c>
      <c r="AK2872" t="n">
        <v>9</v>
      </c>
      <c r="AL2872" t="n">
        <v>0</v>
      </c>
      <c r="AM2872" t="n">
        <v>1</v>
      </c>
      <c r="AN2872" t="n">
        <v>0</v>
      </c>
      <c r="AO2872" t="n">
        <v>0</v>
      </c>
      <c r="AP2872" t="inlineStr">
        <is>
          <t>No</t>
        </is>
      </c>
      <c r="AQ2872" t="inlineStr">
        <is>
          <t>Yes</t>
        </is>
      </c>
      <c r="AR2872">
        <f>HYPERLINK("http://catalog.hathitrust.org/Record/009907371","HathiTrust Record")</f>
        <v/>
      </c>
      <c r="AS2872">
        <f>HYPERLINK("https://creighton-primo.hosted.exlibrisgroup.com/primo-explore/search?tab=default_tab&amp;search_scope=EVERYTHING&amp;vid=01CRU&amp;lang=en_US&amp;offset=0&amp;query=any,contains,991004108829702656","Catalog Record")</f>
        <v/>
      </c>
      <c r="AT2872">
        <f>HYPERLINK("http://www.worldcat.org/oclc/2388512","WorldCat Record")</f>
        <v/>
      </c>
      <c r="AU2872" t="inlineStr">
        <is>
          <t>417603:eng</t>
        </is>
      </c>
      <c r="AV2872" t="inlineStr">
        <is>
          <t>2388512</t>
        </is>
      </c>
      <c r="AW2872" t="inlineStr">
        <is>
          <t>991004108829702656</t>
        </is>
      </c>
      <c r="AX2872" t="inlineStr">
        <is>
          <t>991004108829702656</t>
        </is>
      </c>
      <c r="AY2872" t="inlineStr">
        <is>
          <t>2259345740002656</t>
        </is>
      </c>
      <c r="AZ2872" t="inlineStr">
        <is>
          <t>BOOK</t>
        </is>
      </c>
      <c r="BB2872" t="inlineStr">
        <is>
          <t>9780208015372</t>
        </is>
      </c>
      <c r="BC2872" t="inlineStr">
        <is>
          <t>32285000430115</t>
        </is>
      </c>
      <c r="BD2872" t="inlineStr">
        <is>
          <t>893247167</t>
        </is>
      </c>
    </row>
    <row r="2873">
      <c r="A2873" t="inlineStr">
        <is>
          <t>No</t>
        </is>
      </c>
      <c r="B2873" t="inlineStr">
        <is>
          <t>HQ799.2.V56 G37 1999</t>
        </is>
      </c>
      <c r="C2873" t="inlineStr">
        <is>
          <t>0                      HQ 0799200V  56                 G  37          1999</t>
        </is>
      </c>
      <c r="D2873" t="inlineStr">
        <is>
          <t>Lost boys : why our sons turn violent and how we can save them / James Garbarino.</t>
        </is>
      </c>
      <c r="F2873" t="inlineStr">
        <is>
          <t>No</t>
        </is>
      </c>
      <c r="G2873" t="inlineStr">
        <is>
          <t>1</t>
        </is>
      </c>
      <c r="H2873" t="inlineStr">
        <is>
          <t>No</t>
        </is>
      </c>
      <c r="I2873" t="inlineStr">
        <is>
          <t>No</t>
        </is>
      </c>
      <c r="J2873" t="inlineStr">
        <is>
          <t>0</t>
        </is>
      </c>
      <c r="K2873" t="inlineStr">
        <is>
          <t>Garbarino, James.</t>
        </is>
      </c>
      <c r="L2873" t="inlineStr">
        <is>
          <t>New York : Free Press, c1999.</t>
        </is>
      </c>
      <c r="M2873" t="inlineStr">
        <is>
          <t>1999</t>
        </is>
      </c>
      <c r="O2873" t="inlineStr">
        <is>
          <t>eng</t>
        </is>
      </c>
      <c r="P2873" t="inlineStr">
        <is>
          <t>nyu</t>
        </is>
      </c>
      <c r="R2873" t="inlineStr">
        <is>
          <t xml:space="preserve">HQ </t>
        </is>
      </c>
      <c r="S2873" t="n">
        <v>12</v>
      </c>
      <c r="T2873" t="n">
        <v>12</v>
      </c>
      <c r="U2873" t="inlineStr">
        <is>
          <t>2007-05-15</t>
        </is>
      </c>
      <c r="V2873" t="inlineStr">
        <is>
          <t>2007-05-15</t>
        </is>
      </c>
      <c r="W2873" t="inlineStr">
        <is>
          <t>1999-09-14</t>
        </is>
      </c>
      <c r="X2873" t="inlineStr">
        <is>
          <t>1999-09-14</t>
        </is>
      </c>
      <c r="Y2873" t="n">
        <v>1494</v>
      </c>
      <c r="Z2873" t="n">
        <v>1394</v>
      </c>
      <c r="AA2873" t="n">
        <v>1685</v>
      </c>
      <c r="AB2873" t="n">
        <v>11</v>
      </c>
      <c r="AC2873" t="n">
        <v>11</v>
      </c>
      <c r="AD2873" t="n">
        <v>39</v>
      </c>
      <c r="AE2873" t="n">
        <v>47</v>
      </c>
      <c r="AF2873" t="n">
        <v>17</v>
      </c>
      <c r="AG2873" t="n">
        <v>22</v>
      </c>
      <c r="AH2873" t="n">
        <v>8</v>
      </c>
      <c r="AI2873" t="n">
        <v>9</v>
      </c>
      <c r="AJ2873" t="n">
        <v>13</v>
      </c>
      <c r="AK2873" t="n">
        <v>16</v>
      </c>
      <c r="AL2873" t="n">
        <v>8</v>
      </c>
      <c r="AM2873" t="n">
        <v>8</v>
      </c>
      <c r="AN2873" t="n">
        <v>0</v>
      </c>
      <c r="AO2873" t="n">
        <v>0</v>
      </c>
      <c r="AP2873" t="inlineStr">
        <is>
          <t>No</t>
        </is>
      </c>
      <c r="AQ2873" t="inlineStr">
        <is>
          <t>No</t>
        </is>
      </c>
      <c r="AS2873">
        <f>HYPERLINK("https://creighton-primo.hosted.exlibrisgroup.com/primo-explore/search?tab=default_tab&amp;search_scope=EVERYTHING&amp;vid=01CRU&amp;lang=en_US&amp;offset=0&amp;query=any,contains,991003008999702656","Catalog Record")</f>
        <v/>
      </c>
      <c r="AT2873">
        <f>HYPERLINK("http://www.worldcat.org/oclc/40821091","WorldCat Record")</f>
        <v/>
      </c>
      <c r="AU2873" t="inlineStr">
        <is>
          <t>25510547:eng</t>
        </is>
      </c>
      <c r="AV2873" t="inlineStr">
        <is>
          <t>40821091</t>
        </is>
      </c>
      <c r="AW2873" t="inlineStr">
        <is>
          <t>991003008999702656</t>
        </is>
      </c>
      <c r="AX2873" t="inlineStr">
        <is>
          <t>991003008999702656</t>
        </is>
      </c>
      <c r="AY2873" t="inlineStr">
        <is>
          <t>2272002310002656</t>
        </is>
      </c>
      <c r="AZ2873" t="inlineStr">
        <is>
          <t>BOOK</t>
        </is>
      </c>
      <c r="BB2873" t="inlineStr">
        <is>
          <t>9780684859088</t>
        </is>
      </c>
      <c r="BC2873" t="inlineStr">
        <is>
          <t>32285003588448</t>
        </is>
      </c>
      <c r="BD2873" t="inlineStr">
        <is>
          <t>893415925</t>
        </is>
      </c>
    </row>
    <row r="2874">
      <c r="A2874" t="inlineStr">
        <is>
          <t>No</t>
        </is>
      </c>
      <c r="B2874" t="inlineStr">
        <is>
          <t>HQ799.2.V56 M47 2004</t>
        </is>
      </c>
      <c r="C2874" t="inlineStr">
        <is>
          <t>0                      HQ 0799200V  56                 M  47          2004</t>
        </is>
      </c>
      <c r="D2874" t="inlineStr">
        <is>
          <t>Flesh and blood : adolescent gender diversity and violence / James W. Messerschmidt.</t>
        </is>
      </c>
      <c r="F2874" t="inlineStr">
        <is>
          <t>No</t>
        </is>
      </c>
      <c r="G2874" t="inlineStr">
        <is>
          <t>1</t>
        </is>
      </c>
      <c r="H2874" t="inlineStr">
        <is>
          <t>No</t>
        </is>
      </c>
      <c r="I2874" t="inlineStr">
        <is>
          <t>No</t>
        </is>
      </c>
      <c r="J2874" t="inlineStr">
        <is>
          <t>0</t>
        </is>
      </c>
      <c r="K2874" t="inlineStr">
        <is>
          <t>Messerschmidt, James W.</t>
        </is>
      </c>
      <c r="L2874" t="inlineStr">
        <is>
          <t>Lanham, MD : Rowman &amp; Littlefield Publishers, c2004.</t>
        </is>
      </c>
      <c r="M2874" t="inlineStr">
        <is>
          <t>2004</t>
        </is>
      </c>
      <c r="O2874" t="inlineStr">
        <is>
          <t>eng</t>
        </is>
      </c>
      <c r="P2874" t="inlineStr">
        <is>
          <t>mdu</t>
        </is>
      </c>
      <c r="R2874" t="inlineStr">
        <is>
          <t xml:space="preserve">HQ </t>
        </is>
      </c>
      <c r="S2874" t="n">
        <v>1</v>
      </c>
      <c r="T2874" t="n">
        <v>1</v>
      </c>
      <c r="U2874" t="inlineStr">
        <is>
          <t>2006-02-23</t>
        </is>
      </c>
      <c r="V2874" t="inlineStr">
        <is>
          <t>2006-02-23</t>
        </is>
      </c>
      <c r="W2874" t="inlineStr">
        <is>
          <t>2006-02-09</t>
        </is>
      </c>
      <c r="X2874" t="inlineStr">
        <is>
          <t>2006-02-09</t>
        </is>
      </c>
      <c r="Y2874" t="n">
        <v>433</v>
      </c>
      <c r="Z2874" t="n">
        <v>351</v>
      </c>
      <c r="AA2874" t="n">
        <v>368</v>
      </c>
      <c r="AB2874" t="n">
        <v>4</v>
      </c>
      <c r="AC2874" t="n">
        <v>4</v>
      </c>
      <c r="AD2874" t="n">
        <v>21</v>
      </c>
      <c r="AE2874" t="n">
        <v>21</v>
      </c>
      <c r="AF2874" t="n">
        <v>6</v>
      </c>
      <c r="AG2874" t="n">
        <v>6</v>
      </c>
      <c r="AH2874" t="n">
        <v>8</v>
      </c>
      <c r="AI2874" t="n">
        <v>8</v>
      </c>
      <c r="AJ2874" t="n">
        <v>8</v>
      </c>
      <c r="AK2874" t="n">
        <v>8</v>
      </c>
      <c r="AL2874" t="n">
        <v>3</v>
      </c>
      <c r="AM2874" t="n">
        <v>3</v>
      </c>
      <c r="AN2874" t="n">
        <v>0</v>
      </c>
      <c r="AO2874" t="n">
        <v>0</v>
      </c>
      <c r="AP2874" t="inlineStr">
        <is>
          <t>No</t>
        </is>
      </c>
      <c r="AQ2874" t="inlineStr">
        <is>
          <t>Yes</t>
        </is>
      </c>
      <c r="AR2874">
        <f>HYPERLINK("http://catalog.hathitrust.org/Record/004916384","HathiTrust Record")</f>
        <v/>
      </c>
      <c r="AS2874">
        <f>HYPERLINK("https://creighton-primo.hosted.exlibrisgroup.com/primo-explore/search?tab=default_tab&amp;search_scope=EVERYTHING&amp;vid=01CRU&amp;lang=en_US&amp;offset=0&amp;query=any,contains,991004736819702656","Catalog Record")</f>
        <v/>
      </c>
      <c r="AT2874">
        <f>HYPERLINK("http://www.worldcat.org/oclc/55286380","WorldCat Record")</f>
        <v/>
      </c>
      <c r="AU2874" t="inlineStr">
        <is>
          <t>892115375:eng</t>
        </is>
      </c>
      <c r="AV2874" t="inlineStr">
        <is>
          <t>55286380</t>
        </is>
      </c>
      <c r="AW2874" t="inlineStr">
        <is>
          <t>991004736819702656</t>
        </is>
      </c>
      <c r="AX2874" t="inlineStr">
        <is>
          <t>991004736819702656</t>
        </is>
      </c>
      <c r="AY2874" t="inlineStr">
        <is>
          <t>2269243410002656</t>
        </is>
      </c>
      <c r="AZ2874" t="inlineStr">
        <is>
          <t>BOOK</t>
        </is>
      </c>
      <c r="BB2874" t="inlineStr">
        <is>
          <t>9780742541634</t>
        </is>
      </c>
      <c r="BC2874" t="inlineStr">
        <is>
          <t>32285005160238</t>
        </is>
      </c>
      <c r="BD2874" t="inlineStr">
        <is>
          <t>893338073</t>
        </is>
      </c>
    </row>
    <row r="2875">
      <c r="A2875" t="inlineStr">
        <is>
          <t>No</t>
        </is>
      </c>
      <c r="B2875" t="inlineStr">
        <is>
          <t>HQ799.2.V56 P746 2006</t>
        </is>
      </c>
      <c r="C2875" t="inlineStr">
        <is>
          <t>0                      HQ 0799200V  56                 P  746         2006</t>
        </is>
      </c>
      <c r="D2875" t="inlineStr">
        <is>
          <t>Preventing youth violence in a multicultural society / edited by Nancy G. Guerra and Emilie Phillips Smith.</t>
        </is>
      </c>
      <c r="F2875" t="inlineStr">
        <is>
          <t>No</t>
        </is>
      </c>
      <c r="G2875" t="inlineStr">
        <is>
          <t>1</t>
        </is>
      </c>
      <c r="H2875" t="inlineStr">
        <is>
          <t>No</t>
        </is>
      </c>
      <c r="I2875" t="inlineStr">
        <is>
          <t>No</t>
        </is>
      </c>
      <c r="J2875" t="inlineStr">
        <is>
          <t>0</t>
        </is>
      </c>
      <c r="L2875" t="inlineStr">
        <is>
          <t>Washington, DC : American Psychological Association, c2006.</t>
        </is>
      </c>
      <c r="M2875" t="inlineStr">
        <is>
          <t>2006</t>
        </is>
      </c>
      <c r="N2875" t="inlineStr">
        <is>
          <t>1st ed.</t>
        </is>
      </c>
      <c r="O2875" t="inlineStr">
        <is>
          <t>eng</t>
        </is>
      </c>
      <c r="P2875" t="inlineStr">
        <is>
          <t>dcu</t>
        </is>
      </c>
      <c r="R2875" t="inlineStr">
        <is>
          <t xml:space="preserve">HQ </t>
        </is>
      </c>
      <c r="S2875" t="n">
        <v>1</v>
      </c>
      <c r="T2875" t="n">
        <v>1</v>
      </c>
      <c r="U2875" t="inlineStr">
        <is>
          <t>2006-11-06</t>
        </is>
      </c>
      <c r="V2875" t="inlineStr">
        <is>
          <t>2006-11-06</t>
        </is>
      </c>
      <c r="W2875" t="inlineStr">
        <is>
          <t>2006-03-07</t>
        </is>
      </c>
      <c r="X2875" t="inlineStr">
        <is>
          <t>2006-03-07</t>
        </is>
      </c>
      <c r="Y2875" t="n">
        <v>674</v>
      </c>
      <c r="Z2875" t="n">
        <v>574</v>
      </c>
      <c r="AA2875" t="n">
        <v>637</v>
      </c>
      <c r="AB2875" t="n">
        <v>4</v>
      </c>
      <c r="AC2875" t="n">
        <v>5</v>
      </c>
      <c r="AD2875" t="n">
        <v>23</v>
      </c>
      <c r="AE2875" t="n">
        <v>28</v>
      </c>
      <c r="AF2875" t="n">
        <v>10</v>
      </c>
      <c r="AG2875" t="n">
        <v>11</v>
      </c>
      <c r="AH2875" t="n">
        <v>7</v>
      </c>
      <c r="AI2875" t="n">
        <v>7</v>
      </c>
      <c r="AJ2875" t="n">
        <v>8</v>
      </c>
      <c r="AK2875" t="n">
        <v>11</v>
      </c>
      <c r="AL2875" t="n">
        <v>3</v>
      </c>
      <c r="AM2875" t="n">
        <v>4</v>
      </c>
      <c r="AN2875" t="n">
        <v>0</v>
      </c>
      <c r="AO2875" t="n">
        <v>0</v>
      </c>
      <c r="AP2875" t="inlineStr">
        <is>
          <t>No</t>
        </is>
      </c>
      <c r="AQ2875" t="inlineStr">
        <is>
          <t>Yes</t>
        </is>
      </c>
      <c r="AR2875">
        <f>HYPERLINK("http://catalog.hathitrust.org/Record/005265552","HathiTrust Record")</f>
        <v/>
      </c>
      <c r="AS2875">
        <f>HYPERLINK("https://creighton-primo.hosted.exlibrisgroup.com/primo-explore/search?tab=default_tab&amp;search_scope=EVERYTHING&amp;vid=01CRU&amp;lang=en_US&amp;offset=0&amp;query=any,contains,991004761529702656","Catalog Record")</f>
        <v/>
      </c>
      <c r="AT2875">
        <f>HYPERLINK("http://www.worldcat.org/oclc/60715015","WorldCat Record")</f>
        <v/>
      </c>
      <c r="AU2875" t="inlineStr">
        <is>
          <t>351274283:eng</t>
        </is>
      </c>
      <c r="AV2875" t="inlineStr">
        <is>
          <t>60715015</t>
        </is>
      </c>
      <c r="AW2875" t="inlineStr">
        <is>
          <t>991004761529702656</t>
        </is>
      </c>
      <c r="AX2875" t="inlineStr">
        <is>
          <t>991004761529702656</t>
        </is>
      </c>
      <c r="AY2875" t="inlineStr">
        <is>
          <t>2266400340002656</t>
        </is>
      </c>
      <c r="AZ2875" t="inlineStr">
        <is>
          <t>BOOK</t>
        </is>
      </c>
      <c r="BB2875" t="inlineStr">
        <is>
          <t>9781591473275</t>
        </is>
      </c>
      <c r="BC2875" t="inlineStr">
        <is>
          <t>32285005185581</t>
        </is>
      </c>
      <c r="BD2875" t="inlineStr">
        <is>
          <t>893901722</t>
        </is>
      </c>
    </row>
    <row r="2876">
      <c r="A2876" t="inlineStr">
        <is>
          <t>No</t>
        </is>
      </c>
      <c r="B2876" t="inlineStr">
        <is>
          <t>HQ799.5 .B62</t>
        </is>
      </c>
      <c r="C2876" t="inlineStr">
        <is>
          <t>0                      HQ 0799500B  62</t>
        </is>
      </c>
      <c r="D2876" t="inlineStr">
        <is>
          <t>The young adult : development after adolescence / Gene Bocknek.</t>
        </is>
      </c>
      <c r="F2876" t="inlineStr">
        <is>
          <t>No</t>
        </is>
      </c>
      <c r="G2876" t="inlineStr">
        <is>
          <t>1</t>
        </is>
      </c>
      <c r="H2876" t="inlineStr">
        <is>
          <t>No</t>
        </is>
      </c>
      <c r="I2876" t="inlineStr">
        <is>
          <t>No</t>
        </is>
      </c>
      <c r="J2876" t="inlineStr">
        <is>
          <t>0</t>
        </is>
      </c>
      <c r="K2876" t="inlineStr">
        <is>
          <t>Bocknek, Gene.</t>
        </is>
      </c>
      <c r="L2876" t="inlineStr">
        <is>
          <t>Monterey, Calif. : Brooks/Cole Pub. Co., c1980.</t>
        </is>
      </c>
      <c r="M2876" t="inlineStr">
        <is>
          <t>1980</t>
        </is>
      </c>
      <c r="O2876" t="inlineStr">
        <is>
          <t>eng</t>
        </is>
      </c>
      <c r="P2876" t="inlineStr">
        <is>
          <t>nyu</t>
        </is>
      </c>
      <c r="R2876" t="inlineStr">
        <is>
          <t xml:space="preserve">HQ </t>
        </is>
      </c>
      <c r="S2876" t="n">
        <v>8</v>
      </c>
      <c r="T2876" t="n">
        <v>8</v>
      </c>
      <c r="U2876" t="inlineStr">
        <is>
          <t>1998-10-28</t>
        </is>
      </c>
      <c r="V2876" t="inlineStr">
        <is>
          <t>1998-10-28</t>
        </is>
      </c>
      <c r="W2876" t="inlineStr">
        <is>
          <t>1992-03-03</t>
        </is>
      </c>
      <c r="X2876" t="inlineStr">
        <is>
          <t>1992-03-03</t>
        </is>
      </c>
      <c r="Y2876" t="n">
        <v>347</v>
      </c>
      <c r="Z2876" t="n">
        <v>308</v>
      </c>
      <c r="AA2876" t="n">
        <v>384</v>
      </c>
      <c r="AB2876" t="n">
        <v>4</v>
      </c>
      <c r="AC2876" t="n">
        <v>4</v>
      </c>
      <c r="AD2876" t="n">
        <v>16</v>
      </c>
      <c r="AE2876" t="n">
        <v>16</v>
      </c>
      <c r="AF2876" t="n">
        <v>7</v>
      </c>
      <c r="AG2876" t="n">
        <v>7</v>
      </c>
      <c r="AH2876" t="n">
        <v>1</v>
      </c>
      <c r="AI2876" t="n">
        <v>1</v>
      </c>
      <c r="AJ2876" t="n">
        <v>9</v>
      </c>
      <c r="AK2876" t="n">
        <v>9</v>
      </c>
      <c r="AL2876" t="n">
        <v>3</v>
      </c>
      <c r="AM2876" t="n">
        <v>3</v>
      </c>
      <c r="AN2876" t="n">
        <v>0</v>
      </c>
      <c r="AO2876" t="n">
        <v>0</v>
      </c>
      <c r="AP2876" t="inlineStr">
        <is>
          <t>No</t>
        </is>
      </c>
      <c r="AQ2876" t="inlineStr">
        <is>
          <t>Yes</t>
        </is>
      </c>
      <c r="AR2876">
        <f>HYPERLINK("http://catalog.hathitrust.org/Record/000225850","HathiTrust Record")</f>
        <v/>
      </c>
      <c r="AS2876">
        <f>HYPERLINK("https://creighton-primo.hosted.exlibrisgroup.com/primo-explore/search?tab=default_tab&amp;search_scope=EVERYTHING&amp;vid=01CRU&amp;lang=en_US&amp;offset=0&amp;query=any,contains,991004968309702656","Catalog Record")</f>
        <v/>
      </c>
      <c r="AT2876">
        <f>HYPERLINK("http://www.worldcat.org/oclc/6355484","WorldCat Record")</f>
        <v/>
      </c>
      <c r="AU2876" t="inlineStr">
        <is>
          <t>5887722:eng</t>
        </is>
      </c>
      <c r="AV2876" t="inlineStr">
        <is>
          <t>6355484</t>
        </is>
      </c>
      <c r="AW2876" t="inlineStr">
        <is>
          <t>991004968309702656</t>
        </is>
      </c>
      <c r="AX2876" t="inlineStr">
        <is>
          <t>991004968309702656</t>
        </is>
      </c>
      <c r="AY2876" t="inlineStr">
        <is>
          <t>2256729100002656</t>
        </is>
      </c>
      <c r="AZ2876" t="inlineStr">
        <is>
          <t>BOOK</t>
        </is>
      </c>
      <c r="BB2876" t="inlineStr">
        <is>
          <t>9780818503870</t>
        </is>
      </c>
      <c r="BC2876" t="inlineStr">
        <is>
          <t>32285000991173</t>
        </is>
      </c>
      <c r="BD2876" t="inlineStr">
        <is>
          <t>893789278</t>
        </is>
      </c>
    </row>
    <row r="2877">
      <c r="A2877" t="inlineStr">
        <is>
          <t>No</t>
        </is>
      </c>
      <c r="B2877" t="inlineStr">
        <is>
          <t>HQ799.5 .L54</t>
        </is>
      </c>
      <c r="C2877" t="inlineStr">
        <is>
          <t>0                      HQ 0799500L  54</t>
        </is>
      </c>
      <c r="D2877" t="inlineStr">
        <is>
          <t>The Life cycle : readings in human development / [compiled by] Laurence D. Steinberg, with the assistance of Lynn J. Mandelbaum.</t>
        </is>
      </c>
      <c r="F2877" t="inlineStr">
        <is>
          <t>No</t>
        </is>
      </c>
      <c r="G2877" t="inlineStr">
        <is>
          <t>1</t>
        </is>
      </c>
      <c r="H2877" t="inlineStr">
        <is>
          <t>No</t>
        </is>
      </c>
      <c r="I2877" t="inlineStr">
        <is>
          <t>No</t>
        </is>
      </c>
      <c r="J2877" t="inlineStr">
        <is>
          <t>0</t>
        </is>
      </c>
      <c r="L2877" t="inlineStr">
        <is>
          <t>New York : Columbia University Press, 1981.</t>
        </is>
      </c>
      <c r="M2877" t="inlineStr">
        <is>
          <t>1981</t>
        </is>
      </c>
      <c r="O2877" t="inlineStr">
        <is>
          <t>eng</t>
        </is>
      </c>
      <c r="P2877" t="inlineStr">
        <is>
          <t>nyu</t>
        </is>
      </c>
      <c r="R2877" t="inlineStr">
        <is>
          <t xml:space="preserve">HQ </t>
        </is>
      </c>
      <c r="S2877" t="n">
        <v>5</v>
      </c>
      <c r="T2877" t="n">
        <v>5</v>
      </c>
      <c r="U2877" t="inlineStr">
        <is>
          <t>1994-04-23</t>
        </is>
      </c>
      <c r="V2877" t="inlineStr">
        <is>
          <t>1994-04-23</t>
        </is>
      </c>
      <c r="W2877" t="inlineStr">
        <is>
          <t>1992-02-19</t>
        </is>
      </c>
      <c r="X2877" t="inlineStr">
        <is>
          <t>1992-02-19</t>
        </is>
      </c>
      <c r="Y2877" t="n">
        <v>345</v>
      </c>
      <c r="Z2877" t="n">
        <v>283</v>
      </c>
      <c r="AA2877" t="n">
        <v>294</v>
      </c>
      <c r="AB2877" t="n">
        <v>3</v>
      </c>
      <c r="AC2877" t="n">
        <v>3</v>
      </c>
      <c r="AD2877" t="n">
        <v>14</v>
      </c>
      <c r="AE2877" t="n">
        <v>14</v>
      </c>
      <c r="AF2877" t="n">
        <v>2</v>
      </c>
      <c r="AG2877" t="n">
        <v>2</v>
      </c>
      <c r="AH2877" t="n">
        <v>3</v>
      </c>
      <c r="AI2877" t="n">
        <v>3</v>
      </c>
      <c r="AJ2877" t="n">
        <v>9</v>
      </c>
      <c r="AK2877" t="n">
        <v>9</v>
      </c>
      <c r="AL2877" t="n">
        <v>2</v>
      </c>
      <c r="AM2877" t="n">
        <v>2</v>
      </c>
      <c r="AN2877" t="n">
        <v>0</v>
      </c>
      <c r="AO2877" t="n">
        <v>0</v>
      </c>
      <c r="AP2877" t="inlineStr">
        <is>
          <t>No</t>
        </is>
      </c>
      <c r="AQ2877" t="inlineStr">
        <is>
          <t>No</t>
        </is>
      </c>
      <c r="AS2877">
        <f>HYPERLINK("https://creighton-primo.hosted.exlibrisgroup.com/primo-explore/search?tab=default_tab&amp;search_scope=EVERYTHING&amp;vid=01CRU&amp;lang=en_US&amp;offset=0&amp;query=any,contains,991005125689702656","Catalog Record")</f>
        <v/>
      </c>
      <c r="AT2877">
        <f>HYPERLINK("http://www.worldcat.org/oclc/7553427","WorldCat Record")</f>
        <v/>
      </c>
      <c r="AU2877" t="inlineStr">
        <is>
          <t>866643335:eng</t>
        </is>
      </c>
      <c r="AV2877" t="inlineStr">
        <is>
          <t>7553427</t>
        </is>
      </c>
      <c r="AW2877" t="inlineStr">
        <is>
          <t>991005125689702656</t>
        </is>
      </c>
      <c r="AX2877" t="inlineStr">
        <is>
          <t>991005125689702656</t>
        </is>
      </c>
      <c r="AY2877" t="inlineStr">
        <is>
          <t>2262777360002656</t>
        </is>
      </c>
      <c r="AZ2877" t="inlineStr">
        <is>
          <t>BOOK</t>
        </is>
      </c>
      <c r="BB2877" t="inlineStr">
        <is>
          <t>9780231051101</t>
        </is>
      </c>
      <c r="BC2877" t="inlineStr">
        <is>
          <t>32285000971571</t>
        </is>
      </c>
      <c r="BD2877" t="inlineStr">
        <is>
          <t>893883372</t>
        </is>
      </c>
    </row>
    <row r="2878">
      <c r="A2878" t="inlineStr">
        <is>
          <t>No</t>
        </is>
      </c>
      <c r="B2878" t="inlineStr">
        <is>
          <t>HQ799.6 .E34 2006</t>
        </is>
      </c>
      <c r="C2878" t="inlineStr">
        <is>
          <t>0                      HQ 0799600E  34          2006</t>
        </is>
      </c>
      <c r="D2878" t="inlineStr">
        <is>
          <t>Reconnecting disadvantaged young men / Peter Edelman, Harry J. Holzer, Paul Offner.</t>
        </is>
      </c>
      <c r="F2878" t="inlineStr">
        <is>
          <t>No</t>
        </is>
      </c>
      <c r="G2878" t="inlineStr">
        <is>
          <t>1</t>
        </is>
      </c>
      <c r="H2878" t="inlineStr">
        <is>
          <t>No</t>
        </is>
      </c>
      <c r="I2878" t="inlineStr">
        <is>
          <t>No</t>
        </is>
      </c>
      <c r="J2878" t="inlineStr">
        <is>
          <t>0</t>
        </is>
      </c>
      <c r="K2878" t="inlineStr">
        <is>
          <t>Edelman, Peter B.</t>
        </is>
      </c>
      <c r="L2878" t="inlineStr">
        <is>
          <t>Washington, D.C. : Urban Institute Press, c2006.</t>
        </is>
      </c>
      <c r="M2878" t="inlineStr">
        <is>
          <t>2006</t>
        </is>
      </c>
      <c r="O2878" t="inlineStr">
        <is>
          <t>eng</t>
        </is>
      </c>
      <c r="P2878" t="inlineStr">
        <is>
          <t>dcu</t>
        </is>
      </c>
      <c r="R2878" t="inlineStr">
        <is>
          <t xml:space="preserve">HQ </t>
        </is>
      </c>
      <c r="S2878" t="n">
        <v>2</v>
      </c>
      <c r="T2878" t="n">
        <v>2</v>
      </c>
      <c r="U2878" t="inlineStr">
        <is>
          <t>2008-06-06</t>
        </is>
      </c>
      <c r="V2878" t="inlineStr">
        <is>
          <t>2008-06-06</t>
        </is>
      </c>
      <c r="W2878" t="inlineStr">
        <is>
          <t>2006-03-01</t>
        </is>
      </c>
      <c r="X2878" t="inlineStr">
        <is>
          <t>2006-03-01</t>
        </is>
      </c>
      <c r="Y2878" t="n">
        <v>410</v>
      </c>
      <c r="Z2878" t="n">
        <v>382</v>
      </c>
      <c r="AA2878" t="n">
        <v>388</v>
      </c>
      <c r="AB2878" t="n">
        <v>2</v>
      </c>
      <c r="AC2878" t="n">
        <v>2</v>
      </c>
      <c r="AD2878" t="n">
        <v>16</v>
      </c>
      <c r="AE2878" t="n">
        <v>16</v>
      </c>
      <c r="AF2878" t="n">
        <v>5</v>
      </c>
      <c r="AG2878" t="n">
        <v>5</v>
      </c>
      <c r="AH2878" t="n">
        <v>6</v>
      </c>
      <c r="AI2878" t="n">
        <v>6</v>
      </c>
      <c r="AJ2878" t="n">
        <v>8</v>
      </c>
      <c r="AK2878" t="n">
        <v>8</v>
      </c>
      <c r="AL2878" t="n">
        <v>1</v>
      </c>
      <c r="AM2878" t="n">
        <v>1</v>
      </c>
      <c r="AN2878" t="n">
        <v>0</v>
      </c>
      <c r="AO2878" t="n">
        <v>0</v>
      </c>
      <c r="AP2878" t="inlineStr">
        <is>
          <t>No</t>
        </is>
      </c>
      <c r="AQ2878" t="inlineStr">
        <is>
          <t>Yes</t>
        </is>
      </c>
      <c r="AR2878">
        <f>HYPERLINK("http://catalog.hathitrust.org/Record/005109651","HathiTrust Record")</f>
        <v/>
      </c>
      <c r="AS2878">
        <f>HYPERLINK("https://creighton-primo.hosted.exlibrisgroup.com/primo-explore/search?tab=default_tab&amp;search_scope=EVERYTHING&amp;vid=01CRU&amp;lang=en_US&amp;offset=0&amp;query=any,contains,991004754529702656","Catalog Record")</f>
        <v/>
      </c>
      <c r="AT2878">
        <f>HYPERLINK("http://www.worldcat.org/oclc/62342019","WorldCat Record")</f>
        <v/>
      </c>
      <c r="AU2878" t="inlineStr">
        <is>
          <t>46715468:eng</t>
        </is>
      </c>
      <c r="AV2878" t="inlineStr">
        <is>
          <t>62342019</t>
        </is>
      </c>
      <c r="AW2878" t="inlineStr">
        <is>
          <t>991004754529702656</t>
        </is>
      </c>
      <c r="AX2878" t="inlineStr">
        <is>
          <t>991004754529702656</t>
        </is>
      </c>
      <c r="AY2878" t="inlineStr">
        <is>
          <t>2260270710002656</t>
        </is>
      </c>
      <c r="AZ2878" t="inlineStr">
        <is>
          <t>BOOK</t>
        </is>
      </c>
      <c r="BB2878" t="inlineStr">
        <is>
          <t>9780877667285</t>
        </is>
      </c>
      <c r="BC2878" t="inlineStr">
        <is>
          <t>32285005181077</t>
        </is>
      </c>
      <c r="BD2878" t="inlineStr">
        <is>
          <t>893905061</t>
        </is>
      </c>
    </row>
    <row r="2879">
      <c r="A2879" t="inlineStr">
        <is>
          <t>No</t>
        </is>
      </c>
      <c r="B2879" t="inlineStr">
        <is>
          <t>HQ799.7 .A35 1997</t>
        </is>
      </c>
      <c r="C2879" t="inlineStr">
        <is>
          <t>0                      HQ 0799700A  35          1997</t>
        </is>
      </c>
      <c r="D2879" t="inlineStr">
        <is>
          <t>After the boom : the politics of Generation X / edited by Stephen C. Craig and Stephen Earl Bennett.</t>
        </is>
      </c>
      <c r="F2879" t="inlineStr">
        <is>
          <t>No</t>
        </is>
      </c>
      <c r="G2879" t="inlineStr">
        <is>
          <t>1</t>
        </is>
      </c>
      <c r="H2879" t="inlineStr">
        <is>
          <t>No</t>
        </is>
      </c>
      <c r="I2879" t="inlineStr">
        <is>
          <t>No</t>
        </is>
      </c>
      <c r="J2879" t="inlineStr">
        <is>
          <t>0</t>
        </is>
      </c>
      <c r="L2879" t="inlineStr">
        <is>
          <t>Lanham : Rowman &amp; Littlefield Publishers, c1997.</t>
        </is>
      </c>
      <c r="M2879" t="inlineStr">
        <is>
          <t>1997</t>
        </is>
      </c>
      <c r="O2879" t="inlineStr">
        <is>
          <t>eng</t>
        </is>
      </c>
      <c r="P2879" t="inlineStr">
        <is>
          <t>mdu</t>
        </is>
      </c>
      <c r="Q2879" t="inlineStr">
        <is>
          <t>People, passions, and power</t>
        </is>
      </c>
      <c r="R2879" t="inlineStr">
        <is>
          <t xml:space="preserve">HQ </t>
        </is>
      </c>
      <c r="S2879" t="n">
        <v>4</v>
      </c>
      <c r="T2879" t="n">
        <v>4</v>
      </c>
      <c r="U2879" t="inlineStr">
        <is>
          <t>2001-10-04</t>
        </is>
      </c>
      <c r="V2879" t="inlineStr">
        <is>
          <t>2001-10-04</t>
        </is>
      </c>
      <c r="W2879" t="inlineStr">
        <is>
          <t>1997-11-17</t>
        </is>
      </c>
      <c r="X2879" t="inlineStr">
        <is>
          <t>1997-11-17</t>
        </is>
      </c>
      <c r="Y2879" t="n">
        <v>356</v>
      </c>
      <c r="Z2879" t="n">
        <v>305</v>
      </c>
      <c r="AA2879" t="n">
        <v>311</v>
      </c>
      <c r="AB2879" t="n">
        <v>2</v>
      </c>
      <c r="AC2879" t="n">
        <v>2</v>
      </c>
      <c r="AD2879" t="n">
        <v>16</v>
      </c>
      <c r="AE2879" t="n">
        <v>16</v>
      </c>
      <c r="AF2879" t="n">
        <v>6</v>
      </c>
      <c r="AG2879" t="n">
        <v>6</v>
      </c>
      <c r="AH2879" t="n">
        <v>5</v>
      </c>
      <c r="AI2879" t="n">
        <v>5</v>
      </c>
      <c r="AJ2879" t="n">
        <v>8</v>
      </c>
      <c r="AK2879" t="n">
        <v>8</v>
      </c>
      <c r="AL2879" t="n">
        <v>1</v>
      </c>
      <c r="AM2879" t="n">
        <v>1</v>
      </c>
      <c r="AN2879" t="n">
        <v>0</v>
      </c>
      <c r="AO2879" t="n">
        <v>0</v>
      </c>
      <c r="AP2879" t="inlineStr">
        <is>
          <t>No</t>
        </is>
      </c>
      <c r="AQ2879" t="inlineStr">
        <is>
          <t>No</t>
        </is>
      </c>
      <c r="AS2879">
        <f>HYPERLINK("https://creighton-primo.hosted.exlibrisgroup.com/primo-explore/search?tab=default_tab&amp;search_scope=EVERYTHING&amp;vid=01CRU&amp;lang=en_US&amp;offset=0&amp;query=any,contains,991002743289702656","Catalog Record")</f>
        <v/>
      </c>
      <c r="AT2879">
        <f>HYPERLINK("http://www.worldcat.org/oclc/36011764","WorldCat Record")</f>
        <v/>
      </c>
      <c r="AU2879" t="inlineStr">
        <is>
          <t>837040244:eng</t>
        </is>
      </c>
      <c r="AV2879" t="inlineStr">
        <is>
          <t>36011764</t>
        </is>
      </c>
      <c r="AW2879" t="inlineStr">
        <is>
          <t>991002743289702656</t>
        </is>
      </c>
      <c r="AX2879" t="inlineStr">
        <is>
          <t>991002743289702656</t>
        </is>
      </c>
      <c r="AY2879" t="inlineStr">
        <is>
          <t>2254739250002656</t>
        </is>
      </c>
      <c r="AZ2879" t="inlineStr">
        <is>
          <t>BOOK</t>
        </is>
      </c>
      <c r="BB2879" t="inlineStr">
        <is>
          <t>9780847683598</t>
        </is>
      </c>
      <c r="BC2879" t="inlineStr">
        <is>
          <t>32285003270708</t>
        </is>
      </c>
      <c r="BD2879" t="inlineStr">
        <is>
          <t>893603959</t>
        </is>
      </c>
    </row>
    <row r="2880">
      <c r="A2880" t="inlineStr">
        <is>
          <t>No</t>
        </is>
      </c>
      <c r="B2880" t="inlineStr">
        <is>
          <t>HQ799.7 .H65</t>
        </is>
      </c>
      <c r="C2880" t="inlineStr">
        <is>
          <t>0                      HQ 0799700H  65</t>
        </is>
      </c>
      <c r="D2880" t="inlineStr">
        <is>
          <t>Getting back together.</t>
        </is>
      </c>
      <c r="F2880" t="inlineStr">
        <is>
          <t>No</t>
        </is>
      </c>
      <c r="G2880" t="inlineStr">
        <is>
          <t>1</t>
        </is>
      </c>
      <c r="H2880" t="inlineStr">
        <is>
          <t>No</t>
        </is>
      </c>
      <c r="I2880" t="inlineStr">
        <is>
          <t>No</t>
        </is>
      </c>
      <c r="J2880" t="inlineStr">
        <is>
          <t>0</t>
        </is>
      </c>
      <c r="K2880" t="inlineStr">
        <is>
          <t>Houriet, Robert.</t>
        </is>
      </c>
      <c r="L2880" t="inlineStr">
        <is>
          <t>New York : Coward, McCann &amp; Geoghegan, [1971]</t>
        </is>
      </c>
      <c r="M2880" t="inlineStr">
        <is>
          <t>1971</t>
        </is>
      </c>
      <c r="O2880" t="inlineStr">
        <is>
          <t>eng</t>
        </is>
      </c>
      <c r="P2880" t="inlineStr">
        <is>
          <t>nyu</t>
        </is>
      </c>
      <c r="R2880" t="inlineStr">
        <is>
          <t xml:space="preserve">HQ </t>
        </is>
      </c>
      <c r="S2880" t="n">
        <v>10</v>
      </c>
      <c r="T2880" t="n">
        <v>10</v>
      </c>
      <c r="U2880" t="inlineStr">
        <is>
          <t>2001-02-19</t>
        </is>
      </c>
      <c r="V2880" t="inlineStr">
        <is>
          <t>2001-02-19</t>
        </is>
      </c>
      <c r="W2880" t="inlineStr">
        <is>
          <t>1992-03-13</t>
        </is>
      </c>
      <c r="X2880" t="inlineStr">
        <is>
          <t>1992-03-13</t>
        </is>
      </c>
      <c r="Y2880" t="n">
        <v>710</v>
      </c>
      <c r="Z2880" t="n">
        <v>662</v>
      </c>
      <c r="AA2880" t="n">
        <v>709</v>
      </c>
      <c r="AB2880" t="n">
        <v>4</v>
      </c>
      <c r="AC2880" t="n">
        <v>4</v>
      </c>
      <c r="AD2880" t="n">
        <v>22</v>
      </c>
      <c r="AE2880" t="n">
        <v>22</v>
      </c>
      <c r="AF2880" t="n">
        <v>8</v>
      </c>
      <c r="AG2880" t="n">
        <v>8</v>
      </c>
      <c r="AH2880" t="n">
        <v>4</v>
      </c>
      <c r="AI2880" t="n">
        <v>4</v>
      </c>
      <c r="AJ2880" t="n">
        <v>13</v>
      </c>
      <c r="AK2880" t="n">
        <v>13</v>
      </c>
      <c r="AL2880" t="n">
        <v>2</v>
      </c>
      <c r="AM2880" t="n">
        <v>2</v>
      </c>
      <c r="AN2880" t="n">
        <v>0</v>
      </c>
      <c r="AO2880" t="n">
        <v>0</v>
      </c>
      <c r="AP2880" t="inlineStr">
        <is>
          <t>No</t>
        </is>
      </c>
      <c r="AQ2880" t="inlineStr">
        <is>
          <t>Yes</t>
        </is>
      </c>
      <c r="AR2880">
        <f>HYPERLINK("http://catalog.hathitrust.org/Record/001110215","HathiTrust Record")</f>
        <v/>
      </c>
      <c r="AS2880">
        <f>HYPERLINK("https://creighton-primo.hosted.exlibrisgroup.com/primo-explore/search?tab=default_tab&amp;search_scope=EVERYTHING&amp;vid=01CRU&amp;lang=en_US&amp;offset=0&amp;query=any,contains,991000904819702656","Catalog Record")</f>
        <v/>
      </c>
      <c r="AT2880">
        <f>HYPERLINK("http://www.worldcat.org/oclc/156614","WorldCat Record")</f>
        <v/>
      </c>
      <c r="AU2880" t="inlineStr">
        <is>
          <t>1190800:eng</t>
        </is>
      </c>
      <c r="AV2880" t="inlineStr">
        <is>
          <t>156614</t>
        </is>
      </c>
      <c r="AW2880" t="inlineStr">
        <is>
          <t>991000904819702656</t>
        </is>
      </c>
      <c r="AX2880" t="inlineStr">
        <is>
          <t>991000904819702656</t>
        </is>
      </c>
      <c r="AY2880" t="inlineStr">
        <is>
          <t>2255490790002656</t>
        </is>
      </c>
      <c r="AZ2880" t="inlineStr">
        <is>
          <t>BOOK</t>
        </is>
      </c>
      <c r="BC2880" t="inlineStr">
        <is>
          <t>32285000999747</t>
        </is>
      </c>
      <c r="BD2880" t="inlineStr">
        <is>
          <t>893872114</t>
        </is>
      </c>
    </row>
    <row r="2881">
      <c r="A2881" t="inlineStr">
        <is>
          <t>No</t>
        </is>
      </c>
      <c r="B2881" t="inlineStr">
        <is>
          <t>HQ799.7 .J47 1991</t>
        </is>
      </c>
      <c r="C2881" t="inlineStr">
        <is>
          <t>0                      HQ 0799700J  47          1991</t>
        </is>
      </c>
      <c r="D2881" t="inlineStr">
        <is>
          <t>Beyond adolescence : problem behavior and young adult development / Richard Jessor, John Edward Donovan, Frances Marie Costa.</t>
        </is>
      </c>
      <c r="F2881" t="inlineStr">
        <is>
          <t>No</t>
        </is>
      </c>
      <c r="G2881" t="inlineStr">
        <is>
          <t>1</t>
        </is>
      </c>
      <c r="H2881" t="inlineStr">
        <is>
          <t>No</t>
        </is>
      </c>
      <c r="I2881" t="inlineStr">
        <is>
          <t>Yes</t>
        </is>
      </c>
      <c r="J2881" t="inlineStr">
        <is>
          <t>0</t>
        </is>
      </c>
      <c r="K2881" t="inlineStr">
        <is>
          <t>Jessor, Richard.</t>
        </is>
      </c>
      <c r="L2881" t="inlineStr">
        <is>
          <t>Cambridge [England] ; New York : Cambridge University Press, 1991.</t>
        </is>
      </c>
      <c r="M2881" t="inlineStr">
        <is>
          <t>1991</t>
        </is>
      </c>
      <c r="O2881" t="inlineStr">
        <is>
          <t>eng</t>
        </is>
      </c>
      <c r="P2881" t="inlineStr">
        <is>
          <t>enk</t>
        </is>
      </c>
      <c r="R2881" t="inlineStr">
        <is>
          <t xml:space="preserve">HQ </t>
        </is>
      </c>
      <c r="S2881" t="n">
        <v>4</v>
      </c>
      <c r="T2881" t="n">
        <v>4</v>
      </c>
      <c r="U2881" t="inlineStr">
        <is>
          <t>1996-12-04</t>
        </is>
      </c>
      <c r="V2881" t="inlineStr">
        <is>
          <t>1996-12-04</t>
        </is>
      </c>
      <c r="W2881" t="inlineStr">
        <is>
          <t>1992-10-19</t>
        </is>
      </c>
      <c r="X2881" t="inlineStr">
        <is>
          <t>1992-10-19</t>
        </is>
      </c>
      <c r="Y2881" t="n">
        <v>636</v>
      </c>
      <c r="Z2881" t="n">
        <v>502</v>
      </c>
      <c r="AA2881" t="n">
        <v>532</v>
      </c>
      <c r="AB2881" t="n">
        <v>6</v>
      </c>
      <c r="AC2881" t="n">
        <v>6</v>
      </c>
      <c r="AD2881" t="n">
        <v>29</v>
      </c>
      <c r="AE2881" t="n">
        <v>29</v>
      </c>
      <c r="AF2881" t="n">
        <v>9</v>
      </c>
      <c r="AG2881" t="n">
        <v>9</v>
      </c>
      <c r="AH2881" t="n">
        <v>8</v>
      </c>
      <c r="AI2881" t="n">
        <v>8</v>
      </c>
      <c r="AJ2881" t="n">
        <v>13</v>
      </c>
      <c r="AK2881" t="n">
        <v>13</v>
      </c>
      <c r="AL2881" t="n">
        <v>5</v>
      </c>
      <c r="AM2881" t="n">
        <v>5</v>
      </c>
      <c r="AN2881" t="n">
        <v>0</v>
      </c>
      <c r="AO2881" t="n">
        <v>0</v>
      </c>
      <c r="AP2881" t="inlineStr">
        <is>
          <t>No</t>
        </is>
      </c>
      <c r="AQ2881" t="inlineStr">
        <is>
          <t>No</t>
        </is>
      </c>
      <c r="AS2881">
        <f>HYPERLINK("https://creighton-primo.hosted.exlibrisgroup.com/primo-explore/search?tab=default_tab&amp;search_scope=EVERYTHING&amp;vid=01CRU&amp;lang=en_US&amp;offset=0&amp;query=any,contains,991001876819702656","Catalog Record")</f>
        <v/>
      </c>
      <c r="AT2881">
        <f>HYPERLINK("http://www.worldcat.org/oclc/23689723","WorldCat Record")</f>
        <v/>
      </c>
      <c r="AU2881" t="inlineStr">
        <is>
          <t>796508485:eng</t>
        </is>
      </c>
      <c r="AV2881" t="inlineStr">
        <is>
          <t>23689723</t>
        </is>
      </c>
      <c r="AW2881" t="inlineStr">
        <is>
          <t>991001876819702656</t>
        </is>
      </c>
      <c r="AX2881" t="inlineStr">
        <is>
          <t>991001876819702656</t>
        </is>
      </c>
      <c r="AY2881" t="inlineStr">
        <is>
          <t>2265113800002656</t>
        </is>
      </c>
      <c r="AZ2881" t="inlineStr">
        <is>
          <t>BOOK</t>
        </is>
      </c>
      <c r="BB2881" t="inlineStr">
        <is>
          <t>9780521394178</t>
        </is>
      </c>
      <c r="BC2881" t="inlineStr">
        <is>
          <t>32285001318806</t>
        </is>
      </c>
      <c r="BD2881" t="inlineStr">
        <is>
          <t>893797885</t>
        </is>
      </c>
    </row>
    <row r="2882">
      <c r="A2882" t="inlineStr">
        <is>
          <t>No</t>
        </is>
      </c>
      <c r="B2882" t="inlineStr">
        <is>
          <t>HQ799.7 .J47 1994</t>
        </is>
      </c>
      <c r="C2882" t="inlineStr">
        <is>
          <t>0                      HQ 0799700J  47          1994</t>
        </is>
      </c>
      <c r="D2882" t="inlineStr">
        <is>
          <t>Beyond adolescence : problem behavior and young adult development / Richard Jessor, John Edward Donovan, Frances Marie Costa.</t>
        </is>
      </c>
      <c r="F2882" t="inlineStr">
        <is>
          <t>No</t>
        </is>
      </c>
      <c r="G2882" t="inlineStr">
        <is>
          <t>1</t>
        </is>
      </c>
      <c r="H2882" t="inlineStr">
        <is>
          <t>No</t>
        </is>
      </c>
      <c r="I2882" t="inlineStr">
        <is>
          <t>Yes</t>
        </is>
      </c>
      <c r="J2882" t="inlineStr">
        <is>
          <t>0</t>
        </is>
      </c>
      <c r="K2882" t="inlineStr">
        <is>
          <t>Jessor, Richard.</t>
        </is>
      </c>
      <c r="L2882" t="inlineStr">
        <is>
          <t>Cambridge : Cambridge University Press, 1994, c1991.</t>
        </is>
      </c>
      <c r="M2882" t="inlineStr">
        <is>
          <t>1994</t>
        </is>
      </c>
      <c r="O2882" t="inlineStr">
        <is>
          <t>eng</t>
        </is>
      </c>
      <c r="P2882" t="inlineStr">
        <is>
          <t>enk</t>
        </is>
      </c>
      <c r="R2882" t="inlineStr">
        <is>
          <t xml:space="preserve">HQ </t>
        </is>
      </c>
      <c r="S2882" t="n">
        <v>13</v>
      </c>
      <c r="T2882" t="n">
        <v>13</v>
      </c>
      <c r="U2882" t="inlineStr">
        <is>
          <t>2005-09-23</t>
        </is>
      </c>
      <c r="V2882" t="inlineStr">
        <is>
          <t>2005-09-23</t>
        </is>
      </c>
      <c r="W2882" t="inlineStr">
        <is>
          <t>1995-05-08</t>
        </is>
      </c>
      <c r="X2882" t="inlineStr">
        <is>
          <t>1995-05-08</t>
        </is>
      </c>
      <c r="Y2882" t="n">
        <v>29</v>
      </c>
      <c r="Z2882" t="n">
        <v>15</v>
      </c>
      <c r="AA2882" t="n">
        <v>532</v>
      </c>
      <c r="AB2882" t="n">
        <v>1</v>
      </c>
      <c r="AC2882" t="n">
        <v>6</v>
      </c>
      <c r="AD2882" t="n">
        <v>0</v>
      </c>
      <c r="AE2882" t="n">
        <v>29</v>
      </c>
      <c r="AF2882" t="n">
        <v>0</v>
      </c>
      <c r="AG2882" t="n">
        <v>9</v>
      </c>
      <c r="AH2882" t="n">
        <v>0</v>
      </c>
      <c r="AI2882" t="n">
        <v>8</v>
      </c>
      <c r="AJ2882" t="n">
        <v>0</v>
      </c>
      <c r="AK2882" t="n">
        <v>13</v>
      </c>
      <c r="AL2882" t="n">
        <v>0</v>
      </c>
      <c r="AM2882" t="n">
        <v>5</v>
      </c>
      <c r="AN2882" t="n">
        <v>0</v>
      </c>
      <c r="AO2882" t="n">
        <v>0</v>
      </c>
      <c r="AP2882" t="inlineStr">
        <is>
          <t>No</t>
        </is>
      </c>
      <c r="AQ2882" t="inlineStr">
        <is>
          <t>No</t>
        </is>
      </c>
      <c r="AS2882">
        <f>HYPERLINK("https://creighton-primo.hosted.exlibrisgroup.com/primo-explore/search?tab=default_tab&amp;search_scope=EVERYTHING&amp;vid=01CRU&amp;lang=en_US&amp;offset=0&amp;query=any,contains,991002428219702656","Catalog Record")</f>
        <v/>
      </c>
      <c r="AT2882">
        <f>HYPERLINK("http://www.worldcat.org/oclc/31645136","WorldCat Record")</f>
        <v/>
      </c>
      <c r="AU2882" t="inlineStr">
        <is>
          <t>796508485:eng</t>
        </is>
      </c>
      <c r="AV2882" t="inlineStr">
        <is>
          <t>31645136</t>
        </is>
      </c>
      <c r="AW2882" t="inlineStr">
        <is>
          <t>991002428219702656</t>
        </is>
      </c>
      <c r="AX2882" t="inlineStr">
        <is>
          <t>991002428219702656</t>
        </is>
      </c>
      <c r="AY2882" t="inlineStr">
        <is>
          <t>2268858480002656</t>
        </is>
      </c>
      <c r="AZ2882" t="inlineStr">
        <is>
          <t>BOOK</t>
        </is>
      </c>
      <c r="BB2882" t="inlineStr">
        <is>
          <t>9780521467582</t>
        </is>
      </c>
      <c r="BC2882" t="inlineStr">
        <is>
          <t>32285002038379</t>
        </is>
      </c>
      <c r="BD2882" t="inlineStr">
        <is>
          <t>893427592</t>
        </is>
      </c>
    </row>
    <row r="2883">
      <c r="A2883" t="inlineStr">
        <is>
          <t>No</t>
        </is>
      </c>
      <c r="B2883" t="inlineStr">
        <is>
          <t>HQ799.7 .K36 2006</t>
        </is>
      </c>
      <c r="C2883" t="inlineStr">
        <is>
          <t>0                      HQ 0799700K  36          2006</t>
        </is>
      </c>
      <c r="D2883" t="inlineStr">
        <is>
          <t>Generation debt : why now is a terrible time to be young / Anya Kamenetz.</t>
        </is>
      </c>
      <c r="F2883" t="inlineStr">
        <is>
          <t>No</t>
        </is>
      </c>
      <c r="G2883" t="inlineStr">
        <is>
          <t>1</t>
        </is>
      </c>
      <c r="H2883" t="inlineStr">
        <is>
          <t>No</t>
        </is>
      </c>
      <c r="I2883" t="inlineStr">
        <is>
          <t>No</t>
        </is>
      </c>
      <c r="J2883" t="inlineStr">
        <is>
          <t>0</t>
        </is>
      </c>
      <c r="K2883" t="inlineStr">
        <is>
          <t>Kamenetz, Anya, 1980-</t>
        </is>
      </c>
      <c r="L2883" t="inlineStr">
        <is>
          <t>New York : Riverhead Books/Penguin, 2006.</t>
        </is>
      </c>
      <c r="M2883" t="inlineStr">
        <is>
          <t>2006</t>
        </is>
      </c>
      <c r="O2883" t="inlineStr">
        <is>
          <t>eng</t>
        </is>
      </c>
      <c r="P2883" t="inlineStr">
        <is>
          <t>nyu</t>
        </is>
      </c>
      <c r="R2883" t="inlineStr">
        <is>
          <t xml:space="preserve">HQ </t>
        </is>
      </c>
      <c r="S2883" t="n">
        <v>2</v>
      </c>
      <c r="T2883" t="n">
        <v>2</v>
      </c>
      <c r="U2883" t="inlineStr">
        <is>
          <t>2006-02-24</t>
        </is>
      </c>
      <c r="V2883" t="inlineStr">
        <is>
          <t>2006-02-24</t>
        </is>
      </c>
      <c r="W2883" t="inlineStr">
        <is>
          <t>2006-02-02</t>
        </is>
      </c>
      <c r="X2883" t="inlineStr">
        <is>
          <t>2006-02-02</t>
        </is>
      </c>
      <c r="Y2883" t="n">
        <v>1174</v>
      </c>
      <c r="Z2883" t="n">
        <v>1113</v>
      </c>
      <c r="AA2883" t="n">
        <v>1121</v>
      </c>
      <c r="AB2883" t="n">
        <v>11</v>
      </c>
      <c r="AC2883" t="n">
        <v>11</v>
      </c>
      <c r="AD2883" t="n">
        <v>31</v>
      </c>
      <c r="AE2883" t="n">
        <v>31</v>
      </c>
      <c r="AF2883" t="n">
        <v>11</v>
      </c>
      <c r="AG2883" t="n">
        <v>11</v>
      </c>
      <c r="AH2883" t="n">
        <v>5</v>
      </c>
      <c r="AI2883" t="n">
        <v>5</v>
      </c>
      <c r="AJ2883" t="n">
        <v>11</v>
      </c>
      <c r="AK2883" t="n">
        <v>11</v>
      </c>
      <c r="AL2883" t="n">
        <v>7</v>
      </c>
      <c r="AM2883" t="n">
        <v>7</v>
      </c>
      <c r="AN2883" t="n">
        <v>1</v>
      </c>
      <c r="AO2883" t="n">
        <v>1</v>
      </c>
      <c r="AP2883" t="inlineStr">
        <is>
          <t>No</t>
        </is>
      </c>
      <c r="AQ2883" t="inlineStr">
        <is>
          <t>No</t>
        </is>
      </c>
      <c r="AS2883">
        <f>HYPERLINK("https://creighton-primo.hosted.exlibrisgroup.com/primo-explore/search?tab=default_tab&amp;search_scope=EVERYTHING&amp;vid=01CRU&amp;lang=en_US&amp;offset=0&amp;query=any,contains,991004730799702656","Catalog Record")</f>
        <v/>
      </c>
      <c r="AT2883">
        <f>HYPERLINK("http://www.worldcat.org/oclc/61821865","WorldCat Record")</f>
        <v/>
      </c>
      <c r="AU2883" t="inlineStr">
        <is>
          <t>355198895:eng</t>
        </is>
      </c>
      <c r="AV2883" t="inlineStr">
        <is>
          <t>61821865</t>
        </is>
      </c>
      <c r="AW2883" t="inlineStr">
        <is>
          <t>991004730799702656</t>
        </is>
      </c>
      <c r="AX2883" t="inlineStr">
        <is>
          <t>991004730799702656</t>
        </is>
      </c>
      <c r="AY2883" t="inlineStr">
        <is>
          <t>2272238390002656</t>
        </is>
      </c>
      <c r="AZ2883" t="inlineStr">
        <is>
          <t>BOOK</t>
        </is>
      </c>
      <c r="BB2883" t="inlineStr">
        <is>
          <t>9781594489075</t>
        </is>
      </c>
      <c r="BC2883" t="inlineStr">
        <is>
          <t>32285005158570</t>
        </is>
      </c>
      <c r="BD2883" t="inlineStr">
        <is>
          <t>893436677</t>
        </is>
      </c>
    </row>
    <row r="2884">
      <c r="A2884" t="inlineStr">
        <is>
          <t>No</t>
        </is>
      </c>
      <c r="B2884" t="inlineStr">
        <is>
          <t>HQ799.7 .K46</t>
        </is>
      </c>
      <c r="C2884" t="inlineStr">
        <is>
          <t>0                      HQ 0799700K  46</t>
        </is>
      </c>
      <c r="D2884" t="inlineStr">
        <is>
          <t>Youth and dissent; the rise of a new opposition.</t>
        </is>
      </c>
      <c r="F2884" t="inlineStr">
        <is>
          <t>No</t>
        </is>
      </c>
      <c r="G2884" t="inlineStr">
        <is>
          <t>1</t>
        </is>
      </c>
      <c r="H2884" t="inlineStr">
        <is>
          <t>No</t>
        </is>
      </c>
      <c r="I2884" t="inlineStr">
        <is>
          <t>No</t>
        </is>
      </c>
      <c r="J2884" t="inlineStr">
        <is>
          <t>0</t>
        </is>
      </c>
      <c r="K2884" t="inlineStr">
        <is>
          <t>Keniston, Kenneth.</t>
        </is>
      </c>
      <c r="L2884" t="inlineStr">
        <is>
          <t>New York, Harcourt Brace Jovanovich [1971]</t>
        </is>
      </c>
      <c r="M2884" t="inlineStr">
        <is>
          <t>1971</t>
        </is>
      </c>
      <c r="N2884" t="inlineStr">
        <is>
          <t>[1st ed.]</t>
        </is>
      </c>
      <c r="O2884" t="inlineStr">
        <is>
          <t>eng</t>
        </is>
      </c>
      <c r="P2884" t="inlineStr">
        <is>
          <t>nyu</t>
        </is>
      </c>
      <c r="R2884" t="inlineStr">
        <is>
          <t xml:space="preserve">HQ </t>
        </is>
      </c>
      <c r="S2884" t="n">
        <v>2</v>
      </c>
      <c r="T2884" t="n">
        <v>2</v>
      </c>
      <c r="U2884" t="inlineStr">
        <is>
          <t>1998-11-01</t>
        </is>
      </c>
      <c r="V2884" t="inlineStr">
        <is>
          <t>1998-11-01</t>
        </is>
      </c>
      <c r="W2884" t="inlineStr">
        <is>
          <t>1997-08-14</t>
        </is>
      </c>
      <c r="X2884" t="inlineStr">
        <is>
          <t>1997-08-14</t>
        </is>
      </c>
      <c r="Y2884" t="n">
        <v>1123</v>
      </c>
      <c r="Z2884" t="n">
        <v>937</v>
      </c>
      <c r="AA2884" t="n">
        <v>944</v>
      </c>
      <c r="AB2884" t="n">
        <v>7</v>
      </c>
      <c r="AC2884" t="n">
        <v>7</v>
      </c>
      <c r="AD2884" t="n">
        <v>37</v>
      </c>
      <c r="AE2884" t="n">
        <v>37</v>
      </c>
      <c r="AF2884" t="n">
        <v>14</v>
      </c>
      <c r="AG2884" t="n">
        <v>14</v>
      </c>
      <c r="AH2884" t="n">
        <v>9</v>
      </c>
      <c r="AI2884" t="n">
        <v>9</v>
      </c>
      <c r="AJ2884" t="n">
        <v>20</v>
      </c>
      <c r="AK2884" t="n">
        <v>20</v>
      </c>
      <c r="AL2884" t="n">
        <v>4</v>
      </c>
      <c r="AM2884" t="n">
        <v>4</v>
      </c>
      <c r="AN2884" t="n">
        <v>2</v>
      </c>
      <c r="AO2884" t="n">
        <v>2</v>
      </c>
      <c r="AP2884" t="inlineStr">
        <is>
          <t>No</t>
        </is>
      </c>
      <c r="AQ2884" t="inlineStr">
        <is>
          <t>Yes</t>
        </is>
      </c>
      <c r="AR2884">
        <f>HYPERLINK("http://catalog.hathitrust.org/Record/001108407","HathiTrust Record")</f>
        <v/>
      </c>
      <c r="AS2884">
        <f>HYPERLINK("https://creighton-primo.hosted.exlibrisgroup.com/primo-explore/search?tab=default_tab&amp;search_scope=EVERYTHING&amp;vid=01CRU&amp;lang=en_US&amp;offset=0&amp;query=any,contains,991001195919702656","Catalog Record")</f>
        <v/>
      </c>
      <c r="AT2884">
        <f>HYPERLINK("http://www.worldcat.org/oclc/191308","WorldCat Record")</f>
        <v/>
      </c>
      <c r="AU2884" t="inlineStr">
        <is>
          <t>1350982:eng</t>
        </is>
      </c>
      <c r="AV2884" t="inlineStr">
        <is>
          <t>191308</t>
        </is>
      </c>
      <c r="AW2884" t="inlineStr">
        <is>
          <t>991001195919702656</t>
        </is>
      </c>
      <c r="AX2884" t="inlineStr">
        <is>
          <t>991001195919702656</t>
        </is>
      </c>
      <c r="AY2884" t="inlineStr">
        <is>
          <t>2258833840002656</t>
        </is>
      </c>
      <c r="AZ2884" t="inlineStr">
        <is>
          <t>BOOK</t>
        </is>
      </c>
      <c r="BB2884" t="inlineStr">
        <is>
          <t>9780151998906</t>
        </is>
      </c>
      <c r="BC2884" t="inlineStr">
        <is>
          <t>32285003102877</t>
        </is>
      </c>
      <c r="BD2884" t="inlineStr">
        <is>
          <t>893872364</t>
        </is>
      </c>
    </row>
    <row r="2885">
      <c r="A2885" t="inlineStr">
        <is>
          <t>No</t>
        </is>
      </c>
      <c r="B2885" t="inlineStr">
        <is>
          <t>HQ799.7 .L58 1986</t>
        </is>
      </c>
      <c r="C2885" t="inlineStr">
        <is>
          <t>0                      HQ 0799700L  58          1986</t>
        </is>
      </c>
      <c r="D2885" t="inlineStr">
        <is>
          <t>The postponed generation : why America's grown-up kids are growing up later / Susan Littwin.</t>
        </is>
      </c>
      <c r="F2885" t="inlineStr">
        <is>
          <t>No</t>
        </is>
      </c>
      <c r="G2885" t="inlineStr">
        <is>
          <t>1</t>
        </is>
      </c>
      <c r="H2885" t="inlineStr">
        <is>
          <t>No</t>
        </is>
      </c>
      <c r="I2885" t="inlineStr">
        <is>
          <t>No</t>
        </is>
      </c>
      <c r="J2885" t="inlineStr">
        <is>
          <t>0</t>
        </is>
      </c>
      <c r="K2885" t="inlineStr">
        <is>
          <t>Littwin, Susan.</t>
        </is>
      </c>
      <c r="L2885" t="inlineStr">
        <is>
          <t>New York : Morrow, c1986.</t>
        </is>
      </c>
      <c r="M2885" t="inlineStr">
        <is>
          <t>1986</t>
        </is>
      </c>
      <c r="N2885" t="inlineStr">
        <is>
          <t>1st ed.</t>
        </is>
      </c>
      <c r="O2885" t="inlineStr">
        <is>
          <t>eng</t>
        </is>
      </c>
      <c r="P2885" t="inlineStr">
        <is>
          <t>nyu</t>
        </is>
      </c>
      <c r="R2885" t="inlineStr">
        <is>
          <t xml:space="preserve">HQ </t>
        </is>
      </c>
      <c r="S2885" t="n">
        <v>4</v>
      </c>
      <c r="T2885" t="n">
        <v>4</v>
      </c>
      <c r="U2885" t="inlineStr">
        <is>
          <t>2005-03-07</t>
        </is>
      </c>
      <c r="V2885" t="inlineStr">
        <is>
          <t>2005-03-07</t>
        </is>
      </c>
      <c r="W2885" t="inlineStr">
        <is>
          <t>1992-11-16</t>
        </is>
      </c>
      <c r="X2885" t="inlineStr">
        <is>
          <t>1992-11-16</t>
        </is>
      </c>
      <c r="Y2885" t="n">
        <v>806</v>
      </c>
      <c r="Z2885" t="n">
        <v>757</v>
      </c>
      <c r="AA2885" t="n">
        <v>764</v>
      </c>
      <c r="AB2885" t="n">
        <v>7</v>
      </c>
      <c r="AC2885" t="n">
        <v>7</v>
      </c>
      <c r="AD2885" t="n">
        <v>19</v>
      </c>
      <c r="AE2885" t="n">
        <v>19</v>
      </c>
      <c r="AF2885" t="n">
        <v>6</v>
      </c>
      <c r="AG2885" t="n">
        <v>6</v>
      </c>
      <c r="AH2885" t="n">
        <v>3</v>
      </c>
      <c r="AI2885" t="n">
        <v>3</v>
      </c>
      <c r="AJ2885" t="n">
        <v>10</v>
      </c>
      <c r="AK2885" t="n">
        <v>10</v>
      </c>
      <c r="AL2885" t="n">
        <v>3</v>
      </c>
      <c r="AM2885" t="n">
        <v>3</v>
      </c>
      <c r="AN2885" t="n">
        <v>0</v>
      </c>
      <c r="AO2885" t="n">
        <v>0</v>
      </c>
      <c r="AP2885" t="inlineStr">
        <is>
          <t>No</t>
        </is>
      </c>
      <c r="AQ2885" t="inlineStr">
        <is>
          <t>Yes</t>
        </is>
      </c>
      <c r="AR2885">
        <f>HYPERLINK("http://catalog.hathitrust.org/Record/000617756","HathiTrust Record")</f>
        <v/>
      </c>
      <c r="AS2885">
        <f>HYPERLINK("https://creighton-primo.hosted.exlibrisgroup.com/primo-explore/search?tab=default_tab&amp;search_scope=EVERYTHING&amp;vid=01CRU&amp;lang=en_US&amp;offset=0&amp;query=any,contains,991000685969702656","Catalog Record")</f>
        <v/>
      </c>
      <c r="AT2885">
        <f>HYPERLINK("http://www.worldcat.org/oclc/12420869","WorldCat Record")</f>
        <v/>
      </c>
      <c r="AU2885" t="inlineStr">
        <is>
          <t>197542553:eng</t>
        </is>
      </c>
      <c r="AV2885" t="inlineStr">
        <is>
          <t>12420869</t>
        </is>
      </c>
      <c r="AW2885" t="inlineStr">
        <is>
          <t>991000685969702656</t>
        </is>
      </c>
      <c r="AX2885" t="inlineStr">
        <is>
          <t>991000685969702656</t>
        </is>
      </c>
      <c r="AY2885" t="inlineStr">
        <is>
          <t>2254784940002656</t>
        </is>
      </c>
      <c r="AZ2885" t="inlineStr">
        <is>
          <t>BOOK</t>
        </is>
      </c>
      <c r="BB2885" t="inlineStr">
        <is>
          <t>9780688048907</t>
        </is>
      </c>
      <c r="BC2885" t="inlineStr">
        <is>
          <t>32285001396430</t>
        </is>
      </c>
      <c r="BD2885" t="inlineStr">
        <is>
          <t>893708614</t>
        </is>
      </c>
    </row>
    <row r="2886">
      <c r="A2886" t="inlineStr">
        <is>
          <t>No</t>
        </is>
      </c>
      <c r="B2886" t="inlineStr">
        <is>
          <t>HQ799.7 .M23 1996</t>
        </is>
      </c>
      <c r="C2886" t="inlineStr">
        <is>
          <t>0                      HQ 0799700M  23          1996</t>
        </is>
      </c>
      <c r="D2886" t="inlineStr">
        <is>
          <t>Young v. old : generational combat in the 21st century / Susan A. MacManus ; with Patricia A. Turner.</t>
        </is>
      </c>
      <c r="F2886" t="inlineStr">
        <is>
          <t>No</t>
        </is>
      </c>
      <c r="G2886" t="inlineStr">
        <is>
          <t>1</t>
        </is>
      </c>
      <c r="H2886" t="inlineStr">
        <is>
          <t>No</t>
        </is>
      </c>
      <c r="I2886" t="inlineStr">
        <is>
          <t>No</t>
        </is>
      </c>
      <c r="J2886" t="inlineStr">
        <is>
          <t>0</t>
        </is>
      </c>
      <c r="K2886" t="inlineStr">
        <is>
          <t>MacManus, Susan A.</t>
        </is>
      </c>
      <c r="L2886" t="inlineStr">
        <is>
          <t>Boulder, Colo. : Westview Press, 1996.</t>
        </is>
      </c>
      <c r="M2886" t="inlineStr">
        <is>
          <t>1996</t>
        </is>
      </c>
      <c r="O2886" t="inlineStr">
        <is>
          <t>eng</t>
        </is>
      </c>
      <c r="P2886" t="inlineStr">
        <is>
          <t>cou</t>
        </is>
      </c>
      <c r="Q2886" t="inlineStr">
        <is>
          <t>Transforming American politics</t>
        </is>
      </c>
      <c r="R2886" t="inlineStr">
        <is>
          <t xml:space="preserve">HQ </t>
        </is>
      </c>
      <c r="S2886" t="n">
        <v>4</v>
      </c>
      <c r="T2886" t="n">
        <v>4</v>
      </c>
      <c r="U2886" t="inlineStr">
        <is>
          <t>2005-11-21</t>
        </is>
      </c>
      <c r="V2886" t="inlineStr">
        <is>
          <t>2005-11-21</t>
        </is>
      </c>
      <c r="W2886" t="inlineStr">
        <is>
          <t>1996-01-08</t>
        </is>
      </c>
      <c r="X2886" t="inlineStr">
        <is>
          <t>1996-01-08</t>
        </is>
      </c>
      <c r="Y2886" t="n">
        <v>680</v>
      </c>
      <c r="Z2886" t="n">
        <v>619</v>
      </c>
      <c r="AA2886" t="n">
        <v>662</v>
      </c>
      <c r="AB2886" t="n">
        <v>3</v>
      </c>
      <c r="AC2886" t="n">
        <v>3</v>
      </c>
      <c r="AD2886" t="n">
        <v>30</v>
      </c>
      <c r="AE2886" t="n">
        <v>31</v>
      </c>
      <c r="AF2886" t="n">
        <v>16</v>
      </c>
      <c r="AG2886" t="n">
        <v>16</v>
      </c>
      <c r="AH2886" t="n">
        <v>6</v>
      </c>
      <c r="AI2886" t="n">
        <v>7</v>
      </c>
      <c r="AJ2886" t="n">
        <v>15</v>
      </c>
      <c r="AK2886" t="n">
        <v>16</v>
      </c>
      <c r="AL2886" t="n">
        <v>2</v>
      </c>
      <c r="AM2886" t="n">
        <v>2</v>
      </c>
      <c r="AN2886" t="n">
        <v>0</v>
      </c>
      <c r="AO2886" t="n">
        <v>0</v>
      </c>
      <c r="AP2886" t="inlineStr">
        <is>
          <t>No</t>
        </is>
      </c>
      <c r="AQ2886" t="inlineStr">
        <is>
          <t>Yes</t>
        </is>
      </c>
      <c r="AR2886">
        <f>HYPERLINK("http://catalog.hathitrust.org/Record/003027781","HathiTrust Record")</f>
        <v/>
      </c>
      <c r="AS2886">
        <f>HYPERLINK("https://creighton-primo.hosted.exlibrisgroup.com/primo-explore/search?tab=default_tab&amp;search_scope=EVERYTHING&amp;vid=01CRU&amp;lang=en_US&amp;offset=0&amp;query=any,contains,991002513019702656","Catalog Record")</f>
        <v/>
      </c>
      <c r="AT2886">
        <f>HYPERLINK("http://www.worldcat.org/oclc/32666340","WorldCat Record")</f>
        <v/>
      </c>
      <c r="AU2886" t="inlineStr">
        <is>
          <t>20939765:eng</t>
        </is>
      </c>
      <c r="AV2886" t="inlineStr">
        <is>
          <t>32666340</t>
        </is>
      </c>
      <c r="AW2886" t="inlineStr">
        <is>
          <t>991002513019702656</t>
        </is>
      </c>
      <c r="AX2886" t="inlineStr">
        <is>
          <t>991002513019702656</t>
        </is>
      </c>
      <c r="AY2886" t="inlineStr">
        <is>
          <t>2264853290002656</t>
        </is>
      </c>
      <c r="AZ2886" t="inlineStr">
        <is>
          <t>BOOK</t>
        </is>
      </c>
      <c r="BB2886" t="inlineStr">
        <is>
          <t>9780813317588</t>
        </is>
      </c>
      <c r="BC2886" t="inlineStr">
        <is>
          <t>32285002114774</t>
        </is>
      </c>
      <c r="BD2886" t="inlineStr">
        <is>
          <t>893873629</t>
        </is>
      </c>
    </row>
    <row r="2887">
      <c r="A2887" t="inlineStr">
        <is>
          <t>No</t>
        </is>
      </c>
      <c r="B2887" t="inlineStr">
        <is>
          <t>HQ799.7 .M54 2004</t>
        </is>
      </c>
      <c r="C2887" t="inlineStr">
        <is>
          <t>0                      HQ 0799700M  54          2004</t>
        </is>
      </c>
      <c r="D2887" t="inlineStr">
        <is>
          <t>Hippie / Barry Miles.</t>
        </is>
      </c>
      <c r="F2887" t="inlineStr">
        <is>
          <t>No</t>
        </is>
      </c>
      <c r="G2887" t="inlineStr">
        <is>
          <t>1</t>
        </is>
      </c>
      <c r="H2887" t="inlineStr">
        <is>
          <t>No</t>
        </is>
      </c>
      <c r="I2887" t="inlineStr">
        <is>
          <t>No</t>
        </is>
      </c>
      <c r="J2887" t="inlineStr">
        <is>
          <t>0</t>
        </is>
      </c>
      <c r="K2887" t="inlineStr">
        <is>
          <t>Miles, Barry, 1943-</t>
        </is>
      </c>
      <c r="L2887" t="inlineStr">
        <is>
          <t>New York, N.Y. : Sterling, 2004.</t>
        </is>
      </c>
      <c r="M2887" t="inlineStr">
        <is>
          <t>2004</t>
        </is>
      </c>
      <c r="O2887" t="inlineStr">
        <is>
          <t>eng</t>
        </is>
      </c>
      <c r="P2887" t="inlineStr">
        <is>
          <t>nyu</t>
        </is>
      </c>
      <c r="R2887" t="inlineStr">
        <is>
          <t xml:space="preserve">HQ </t>
        </is>
      </c>
      <c r="S2887" t="n">
        <v>2</v>
      </c>
      <c r="T2887" t="n">
        <v>2</v>
      </c>
      <c r="U2887" t="inlineStr">
        <is>
          <t>2008-09-30</t>
        </is>
      </c>
      <c r="V2887" t="inlineStr">
        <is>
          <t>2008-09-30</t>
        </is>
      </c>
      <c r="W2887" t="inlineStr">
        <is>
          <t>2004-10-28</t>
        </is>
      </c>
      <c r="X2887" t="inlineStr">
        <is>
          <t>2004-10-28</t>
        </is>
      </c>
      <c r="Y2887" t="n">
        <v>923</v>
      </c>
      <c r="Z2887" t="n">
        <v>882</v>
      </c>
      <c r="AA2887" t="n">
        <v>978</v>
      </c>
      <c r="AB2887" t="n">
        <v>8</v>
      </c>
      <c r="AC2887" t="n">
        <v>8</v>
      </c>
      <c r="AD2887" t="n">
        <v>11</v>
      </c>
      <c r="AE2887" t="n">
        <v>12</v>
      </c>
      <c r="AF2887" t="n">
        <v>4</v>
      </c>
      <c r="AG2887" t="n">
        <v>5</v>
      </c>
      <c r="AH2887" t="n">
        <v>2</v>
      </c>
      <c r="AI2887" t="n">
        <v>2</v>
      </c>
      <c r="AJ2887" t="n">
        <v>4</v>
      </c>
      <c r="AK2887" t="n">
        <v>4</v>
      </c>
      <c r="AL2887" t="n">
        <v>3</v>
      </c>
      <c r="AM2887" t="n">
        <v>3</v>
      </c>
      <c r="AN2887" t="n">
        <v>0</v>
      </c>
      <c r="AO2887" t="n">
        <v>0</v>
      </c>
      <c r="AP2887" t="inlineStr">
        <is>
          <t>No</t>
        </is>
      </c>
      <c r="AQ2887" t="inlineStr">
        <is>
          <t>No</t>
        </is>
      </c>
      <c r="AS2887">
        <f>HYPERLINK("https://creighton-primo.hosted.exlibrisgroup.com/primo-explore/search?tab=default_tab&amp;search_scope=EVERYTHING&amp;vid=01CRU&amp;lang=en_US&amp;offset=0&amp;query=any,contains,991004390459702656","Catalog Record")</f>
        <v/>
      </c>
      <c r="AT2887">
        <f>HYPERLINK("http://www.worldcat.org/oclc/53975546","WorldCat Record")</f>
        <v/>
      </c>
      <c r="AU2887" t="inlineStr">
        <is>
          <t>1084748:eng</t>
        </is>
      </c>
      <c r="AV2887" t="inlineStr">
        <is>
          <t>53975546</t>
        </is>
      </c>
      <c r="AW2887" t="inlineStr">
        <is>
          <t>991004390459702656</t>
        </is>
      </c>
      <c r="AX2887" t="inlineStr">
        <is>
          <t>991004390459702656</t>
        </is>
      </c>
      <c r="AY2887" t="inlineStr">
        <is>
          <t>2267624370002656</t>
        </is>
      </c>
      <c r="AZ2887" t="inlineStr">
        <is>
          <t>BOOK</t>
        </is>
      </c>
      <c r="BB2887" t="inlineStr">
        <is>
          <t>9781402714429</t>
        </is>
      </c>
      <c r="BC2887" t="inlineStr">
        <is>
          <t>32285005006266</t>
        </is>
      </c>
      <c r="BD2887" t="inlineStr">
        <is>
          <t>893500494</t>
        </is>
      </c>
    </row>
    <row r="2888">
      <c r="A2888" t="inlineStr">
        <is>
          <t>No</t>
        </is>
      </c>
      <c r="B2888" t="inlineStr">
        <is>
          <t>HQ799.7 .M66</t>
        </is>
      </c>
      <c r="C2888" t="inlineStr">
        <is>
          <t>0                      HQ 0799700M  66</t>
        </is>
      </c>
      <c r="D2888" t="inlineStr">
        <is>
          <t>The young adult generation; a perspective on the future [by] Allen J. Moore.</t>
        </is>
      </c>
      <c r="F2888" t="inlineStr">
        <is>
          <t>No</t>
        </is>
      </c>
      <c r="G2888" t="inlineStr">
        <is>
          <t>1</t>
        </is>
      </c>
      <c r="H2888" t="inlineStr">
        <is>
          <t>No</t>
        </is>
      </c>
      <c r="I2888" t="inlineStr">
        <is>
          <t>No</t>
        </is>
      </c>
      <c r="J2888" t="inlineStr">
        <is>
          <t>0</t>
        </is>
      </c>
      <c r="K2888" t="inlineStr">
        <is>
          <t>Moore, Allen J.</t>
        </is>
      </c>
      <c r="L2888" t="inlineStr">
        <is>
          <t>Nashville, Abingdon Press [1969]</t>
        </is>
      </c>
      <c r="M2888" t="inlineStr">
        <is>
          <t>1969</t>
        </is>
      </c>
      <c r="O2888" t="inlineStr">
        <is>
          <t>eng</t>
        </is>
      </c>
      <c r="P2888" t="inlineStr">
        <is>
          <t>tnu</t>
        </is>
      </c>
      <c r="R2888" t="inlineStr">
        <is>
          <t xml:space="preserve">HQ </t>
        </is>
      </c>
      <c r="S2888" t="n">
        <v>2</v>
      </c>
      <c r="T2888" t="n">
        <v>2</v>
      </c>
      <c r="U2888" t="inlineStr">
        <is>
          <t>2001-10-02</t>
        </is>
      </c>
      <c r="V2888" t="inlineStr">
        <is>
          <t>2001-10-02</t>
        </is>
      </c>
      <c r="W2888" t="inlineStr">
        <is>
          <t>1997-08-14</t>
        </is>
      </c>
      <c r="X2888" t="inlineStr">
        <is>
          <t>1997-08-14</t>
        </is>
      </c>
      <c r="Y2888" t="n">
        <v>513</v>
      </c>
      <c r="Z2888" t="n">
        <v>468</v>
      </c>
      <c r="AA2888" t="n">
        <v>470</v>
      </c>
      <c r="AB2888" t="n">
        <v>3</v>
      </c>
      <c r="AC2888" t="n">
        <v>3</v>
      </c>
      <c r="AD2888" t="n">
        <v>12</v>
      </c>
      <c r="AE2888" t="n">
        <v>12</v>
      </c>
      <c r="AF2888" t="n">
        <v>5</v>
      </c>
      <c r="AG2888" t="n">
        <v>5</v>
      </c>
      <c r="AH2888" t="n">
        <v>3</v>
      </c>
      <c r="AI2888" t="n">
        <v>3</v>
      </c>
      <c r="AJ2888" t="n">
        <v>5</v>
      </c>
      <c r="AK2888" t="n">
        <v>5</v>
      </c>
      <c r="AL2888" t="n">
        <v>2</v>
      </c>
      <c r="AM2888" t="n">
        <v>2</v>
      </c>
      <c r="AN2888" t="n">
        <v>0</v>
      </c>
      <c r="AO2888" t="n">
        <v>0</v>
      </c>
      <c r="AP2888" t="inlineStr">
        <is>
          <t>No</t>
        </is>
      </c>
      <c r="AQ2888" t="inlineStr">
        <is>
          <t>Yes</t>
        </is>
      </c>
      <c r="AR2888">
        <f>HYPERLINK("http://catalog.hathitrust.org/Record/001349781","HathiTrust Record")</f>
        <v/>
      </c>
      <c r="AS2888">
        <f>HYPERLINK("https://creighton-primo.hosted.exlibrisgroup.com/primo-explore/search?tab=default_tab&amp;search_scope=EVERYTHING&amp;vid=01CRU&amp;lang=en_US&amp;offset=0&amp;query=any,contains,991000106019702656","Catalog Record")</f>
        <v/>
      </c>
      <c r="AT2888">
        <f>HYPERLINK("http://www.worldcat.org/oclc/46424","WorldCat Record")</f>
        <v/>
      </c>
      <c r="AU2888" t="inlineStr">
        <is>
          <t>309102227:eng</t>
        </is>
      </c>
      <c r="AV2888" t="inlineStr">
        <is>
          <t>46424</t>
        </is>
      </c>
      <c r="AW2888" t="inlineStr">
        <is>
          <t>991000106019702656</t>
        </is>
      </c>
      <c r="AX2888" t="inlineStr">
        <is>
          <t>991000106019702656</t>
        </is>
      </c>
      <c r="AY2888" t="inlineStr">
        <is>
          <t>2261899870002656</t>
        </is>
      </c>
      <c r="AZ2888" t="inlineStr">
        <is>
          <t>BOOK</t>
        </is>
      </c>
      <c r="BB2888" t="inlineStr">
        <is>
          <t>9780687467662</t>
        </is>
      </c>
      <c r="BC2888" t="inlineStr">
        <is>
          <t>32285003102885</t>
        </is>
      </c>
      <c r="BD2888" t="inlineStr">
        <is>
          <t>893339287</t>
        </is>
      </c>
    </row>
    <row r="2889">
      <c r="A2889" t="inlineStr">
        <is>
          <t>No</t>
        </is>
      </c>
      <c r="B2889" t="inlineStr">
        <is>
          <t>HQ799.7 .W5 1988</t>
        </is>
      </c>
      <c r="C2889" t="inlineStr">
        <is>
          <t>0                      HQ 0799700W  5           1988</t>
        </is>
      </c>
      <c r="D2889" t="inlineStr">
        <is>
          <t>The forgotten half : non-college youth in America : an interim report on the school-to-work transition.</t>
        </is>
      </c>
      <c r="F2889" t="inlineStr">
        <is>
          <t>No</t>
        </is>
      </c>
      <c r="G2889" t="inlineStr">
        <is>
          <t>1</t>
        </is>
      </c>
      <c r="H2889" t="inlineStr">
        <is>
          <t>No</t>
        </is>
      </c>
      <c r="I2889" t="inlineStr">
        <is>
          <t>No</t>
        </is>
      </c>
      <c r="J2889" t="inlineStr">
        <is>
          <t>0</t>
        </is>
      </c>
      <c r="K2889" t="inlineStr">
        <is>
          <t>William T. Grant Foundation. Commission on Work, Family, and Citizenship.</t>
        </is>
      </c>
      <c r="L2889" t="inlineStr">
        <is>
          <t>Washington, D.C. (1001 Connecticut Ave. N.W. Suite 301, Washington 20036-5541) : William T. Grant Foundation Commission on Youth and America's Future, 1988.</t>
        </is>
      </c>
      <c r="M2889" t="inlineStr">
        <is>
          <t>1988</t>
        </is>
      </c>
      <c r="O2889" t="inlineStr">
        <is>
          <t>eng</t>
        </is>
      </c>
      <c r="P2889" t="inlineStr">
        <is>
          <t>dcu</t>
        </is>
      </c>
      <c r="Q2889" t="inlineStr">
        <is>
          <t>Youth and America's future / William T. Grant Foundation, Commission on Work, Family and Citizenship</t>
        </is>
      </c>
      <c r="R2889" t="inlineStr">
        <is>
          <t xml:space="preserve">HQ </t>
        </is>
      </c>
      <c r="S2889" t="n">
        <v>2</v>
      </c>
      <c r="T2889" t="n">
        <v>2</v>
      </c>
      <c r="U2889" t="inlineStr">
        <is>
          <t>1998-12-04</t>
        </is>
      </c>
      <c r="V2889" t="inlineStr">
        <is>
          <t>1998-12-04</t>
        </is>
      </c>
      <c r="W2889" t="inlineStr">
        <is>
          <t>1991-08-09</t>
        </is>
      </c>
      <c r="X2889" t="inlineStr">
        <is>
          <t>1991-08-09</t>
        </is>
      </c>
      <c r="Y2889" t="n">
        <v>734</v>
      </c>
      <c r="Z2889" t="n">
        <v>729</v>
      </c>
      <c r="AA2889" t="n">
        <v>812</v>
      </c>
      <c r="AB2889" t="n">
        <v>11</v>
      </c>
      <c r="AC2889" t="n">
        <v>12</v>
      </c>
      <c r="AD2889" t="n">
        <v>28</v>
      </c>
      <c r="AE2889" t="n">
        <v>31</v>
      </c>
      <c r="AF2889" t="n">
        <v>6</v>
      </c>
      <c r="AG2889" t="n">
        <v>7</v>
      </c>
      <c r="AH2889" t="n">
        <v>4</v>
      </c>
      <c r="AI2889" t="n">
        <v>4</v>
      </c>
      <c r="AJ2889" t="n">
        <v>13</v>
      </c>
      <c r="AK2889" t="n">
        <v>15</v>
      </c>
      <c r="AL2889" t="n">
        <v>7</v>
      </c>
      <c r="AM2889" t="n">
        <v>8</v>
      </c>
      <c r="AN2889" t="n">
        <v>3</v>
      </c>
      <c r="AO2889" t="n">
        <v>3</v>
      </c>
      <c r="AP2889" t="inlineStr">
        <is>
          <t>No</t>
        </is>
      </c>
      <c r="AQ2889" t="inlineStr">
        <is>
          <t>Yes</t>
        </is>
      </c>
      <c r="AR2889">
        <f>HYPERLINK("http://catalog.hathitrust.org/Record/000908235","HathiTrust Record")</f>
        <v/>
      </c>
      <c r="AS2889">
        <f>HYPERLINK("https://creighton-primo.hosted.exlibrisgroup.com/primo-explore/search?tab=default_tab&amp;search_scope=EVERYTHING&amp;vid=01CRU&amp;lang=en_US&amp;offset=0&amp;query=any,contains,991001221079702656","Catalog Record")</f>
        <v/>
      </c>
      <c r="AT2889">
        <f>HYPERLINK("http://www.worldcat.org/oclc/24430993","WorldCat Record")</f>
        <v/>
      </c>
      <c r="AU2889" t="inlineStr">
        <is>
          <t>26966053:eng</t>
        </is>
      </c>
      <c r="AV2889" t="inlineStr">
        <is>
          <t>24430993</t>
        </is>
      </c>
      <c r="AW2889" t="inlineStr">
        <is>
          <t>991001221079702656</t>
        </is>
      </c>
      <c r="AX2889" t="inlineStr">
        <is>
          <t>991001221079702656</t>
        </is>
      </c>
      <c r="AY2889" t="inlineStr">
        <is>
          <t>2269956070002656</t>
        </is>
      </c>
      <c r="AZ2889" t="inlineStr">
        <is>
          <t>BOOK</t>
        </is>
      </c>
      <c r="BC2889" t="inlineStr">
        <is>
          <t>32285000681253</t>
        </is>
      </c>
      <c r="BD2889" t="inlineStr">
        <is>
          <t>893772413</t>
        </is>
      </c>
    </row>
    <row r="2890">
      <c r="A2890" t="inlineStr">
        <is>
          <t>No</t>
        </is>
      </c>
      <c r="B2890" t="inlineStr">
        <is>
          <t>HQ799.73.P55 A53 2009</t>
        </is>
      </c>
      <c r="C2890" t="inlineStr">
        <is>
          <t>0                      HQ 0799730P  55                 A  53          2009</t>
        </is>
      </c>
      <c r="D2890" t="inlineStr">
        <is>
          <t>Rave culture : the alteration and decline of a Philadelphia music scene / Tammy L. Anderson.</t>
        </is>
      </c>
      <c r="F2890" t="inlineStr">
        <is>
          <t>No</t>
        </is>
      </c>
      <c r="G2890" t="inlineStr">
        <is>
          <t>1</t>
        </is>
      </c>
      <c r="H2890" t="inlineStr">
        <is>
          <t>No</t>
        </is>
      </c>
      <c r="I2890" t="inlineStr">
        <is>
          <t>No</t>
        </is>
      </c>
      <c r="J2890" t="inlineStr">
        <is>
          <t>0</t>
        </is>
      </c>
      <c r="K2890" t="inlineStr">
        <is>
          <t>Anderson, Tammy L., 1963-</t>
        </is>
      </c>
      <c r="L2890" t="inlineStr">
        <is>
          <t>Philadelphia : Temple University Press, 2009.</t>
        </is>
      </c>
      <c r="M2890" t="inlineStr">
        <is>
          <t>2009</t>
        </is>
      </c>
      <c r="O2890" t="inlineStr">
        <is>
          <t>eng</t>
        </is>
      </c>
      <c r="P2890" t="inlineStr">
        <is>
          <t>pau</t>
        </is>
      </c>
      <c r="R2890" t="inlineStr">
        <is>
          <t xml:space="preserve">HQ </t>
        </is>
      </c>
      <c r="S2890" t="n">
        <v>3</v>
      </c>
      <c r="T2890" t="n">
        <v>3</v>
      </c>
      <c r="U2890" t="inlineStr">
        <is>
          <t>2010-08-16</t>
        </is>
      </c>
      <c r="V2890" t="inlineStr">
        <is>
          <t>2010-08-16</t>
        </is>
      </c>
      <c r="W2890" t="inlineStr">
        <is>
          <t>2010-08-16</t>
        </is>
      </c>
      <c r="X2890" t="inlineStr">
        <is>
          <t>2010-08-16</t>
        </is>
      </c>
      <c r="Y2890" t="n">
        <v>237</v>
      </c>
      <c r="Z2890" t="n">
        <v>197</v>
      </c>
      <c r="AA2890" t="n">
        <v>651</v>
      </c>
      <c r="AB2890" t="n">
        <v>3</v>
      </c>
      <c r="AC2890" t="n">
        <v>15</v>
      </c>
      <c r="AD2890" t="n">
        <v>7</v>
      </c>
      <c r="AE2890" t="n">
        <v>30</v>
      </c>
      <c r="AF2890" t="n">
        <v>0</v>
      </c>
      <c r="AG2890" t="n">
        <v>10</v>
      </c>
      <c r="AH2890" t="n">
        <v>3</v>
      </c>
      <c r="AI2890" t="n">
        <v>6</v>
      </c>
      <c r="AJ2890" t="n">
        <v>4</v>
      </c>
      <c r="AK2890" t="n">
        <v>12</v>
      </c>
      <c r="AL2890" t="n">
        <v>2</v>
      </c>
      <c r="AM2890" t="n">
        <v>10</v>
      </c>
      <c r="AN2890" t="n">
        <v>0</v>
      </c>
      <c r="AO2890" t="n">
        <v>0</v>
      </c>
      <c r="AP2890" t="inlineStr">
        <is>
          <t>No</t>
        </is>
      </c>
      <c r="AQ2890" t="inlineStr">
        <is>
          <t>Yes</t>
        </is>
      </c>
      <c r="AR2890">
        <f>HYPERLINK("http://catalog.hathitrust.org/Record/006861066","HathiTrust Record")</f>
        <v/>
      </c>
      <c r="AS2890">
        <f>HYPERLINK("https://creighton-primo.hosted.exlibrisgroup.com/primo-explore/search?tab=default_tab&amp;search_scope=EVERYTHING&amp;vid=01CRU&amp;lang=en_US&amp;offset=0&amp;query=any,contains,991000044779702656","Catalog Record")</f>
        <v/>
      </c>
      <c r="AT2890">
        <f>HYPERLINK("http://www.worldcat.org/oclc/263994030","WorldCat Record")</f>
        <v/>
      </c>
      <c r="AU2890" t="inlineStr">
        <is>
          <t>793036330:eng</t>
        </is>
      </c>
      <c r="AV2890" t="inlineStr">
        <is>
          <t>263994030</t>
        </is>
      </c>
      <c r="AW2890" t="inlineStr">
        <is>
          <t>991000044779702656</t>
        </is>
      </c>
      <c r="AX2890" t="inlineStr">
        <is>
          <t>991000044779702656</t>
        </is>
      </c>
      <c r="AY2890" t="inlineStr">
        <is>
          <t>2268189160002656</t>
        </is>
      </c>
      <c r="AZ2890" t="inlineStr">
        <is>
          <t>BOOK</t>
        </is>
      </c>
      <c r="BB2890" t="inlineStr">
        <is>
          <t>9781592139330</t>
        </is>
      </c>
      <c r="BC2890" t="inlineStr">
        <is>
          <t>32285005592562</t>
        </is>
      </c>
      <c r="BD2890" t="inlineStr">
        <is>
          <t>893796353</t>
        </is>
      </c>
    </row>
    <row r="2891">
      <c r="A2891" t="inlineStr">
        <is>
          <t>No</t>
        </is>
      </c>
      <c r="B2891" t="inlineStr">
        <is>
          <t>HQ799.9.P6 F68 2007</t>
        </is>
      </c>
      <c r="C2891" t="inlineStr">
        <is>
          <t>0                      HQ 0799900P  6                  F  68          2007</t>
        </is>
      </c>
      <c r="D2891" t="inlineStr">
        <is>
          <t>Fountain of youth : strategies and tactics for mobilizing America's young voters / [edited by] Daniel M. Shea and John C. Green.</t>
        </is>
      </c>
      <c r="F2891" t="inlineStr">
        <is>
          <t>No</t>
        </is>
      </c>
      <c r="G2891" t="inlineStr">
        <is>
          <t>1</t>
        </is>
      </c>
      <c r="H2891" t="inlineStr">
        <is>
          <t>No</t>
        </is>
      </c>
      <c r="I2891" t="inlineStr">
        <is>
          <t>No</t>
        </is>
      </c>
      <c r="J2891" t="inlineStr">
        <is>
          <t>0</t>
        </is>
      </c>
      <c r="L2891" t="inlineStr">
        <is>
          <t>Lanham, Md. : Rowman &amp; Littlefield, c2007.</t>
        </is>
      </c>
      <c r="M2891" t="inlineStr">
        <is>
          <t>2007</t>
        </is>
      </c>
      <c r="O2891" t="inlineStr">
        <is>
          <t>eng</t>
        </is>
      </c>
      <c r="P2891" t="inlineStr">
        <is>
          <t>mdu</t>
        </is>
      </c>
      <c r="Q2891" t="inlineStr">
        <is>
          <t>Campaigning American style</t>
        </is>
      </c>
      <c r="R2891" t="inlineStr">
        <is>
          <t xml:space="preserve">HQ </t>
        </is>
      </c>
      <c r="S2891" t="n">
        <v>12</v>
      </c>
      <c r="T2891" t="n">
        <v>12</v>
      </c>
      <c r="U2891" t="inlineStr">
        <is>
          <t>2008-02-20</t>
        </is>
      </c>
      <c r="V2891" t="inlineStr">
        <is>
          <t>2008-02-20</t>
        </is>
      </c>
      <c r="W2891" t="inlineStr">
        <is>
          <t>2007-01-03</t>
        </is>
      </c>
      <c r="X2891" t="inlineStr">
        <is>
          <t>2007-01-03</t>
        </is>
      </c>
      <c r="Y2891" t="n">
        <v>386</v>
      </c>
      <c r="Z2891" t="n">
        <v>363</v>
      </c>
      <c r="AA2891" t="n">
        <v>369</v>
      </c>
      <c r="AB2891" t="n">
        <v>2</v>
      </c>
      <c r="AC2891" t="n">
        <v>2</v>
      </c>
      <c r="AD2891" t="n">
        <v>20</v>
      </c>
      <c r="AE2891" t="n">
        <v>20</v>
      </c>
      <c r="AF2891" t="n">
        <v>9</v>
      </c>
      <c r="AG2891" t="n">
        <v>9</v>
      </c>
      <c r="AH2891" t="n">
        <v>7</v>
      </c>
      <c r="AI2891" t="n">
        <v>7</v>
      </c>
      <c r="AJ2891" t="n">
        <v>9</v>
      </c>
      <c r="AK2891" t="n">
        <v>9</v>
      </c>
      <c r="AL2891" t="n">
        <v>1</v>
      </c>
      <c r="AM2891" t="n">
        <v>1</v>
      </c>
      <c r="AN2891" t="n">
        <v>0</v>
      </c>
      <c r="AO2891" t="n">
        <v>0</v>
      </c>
      <c r="AP2891" t="inlineStr">
        <is>
          <t>No</t>
        </is>
      </c>
      <c r="AQ2891" t="inlineStr">
        <is>
          <t>No</t>
        </is>
      </c>
      <c r="AS2891">
        <f>HYPERLINK("https://creighton-primo.hosted.exlibrisgroup.com/primo-explore/search?tab=default_tab&amp;search_scope=EVERYTHING&amp;vid=01CRU&amp;lang=en_US&amp;offset=0&amp;query=any,contains,991004985639702656","Catalog Record")</f>
        <v/>
      </c>
      <c r="AT2891">
        <f>HYPERLINK("http://www.worldcat.org/oclc/69593891","WorldCat Record")</f>
        <v/>
      </c>
      <c r="AU2891" t="inlineStr">
        <is>
          <t>795540813:eng</t>
        </is>
      </c>
      <c r="AV2891" t="inlineStr">
        <is>
          <t>69593891</t>
        </is>
      </c>
      <c r="AW2891" t="inlineStr">
        <is>
          <t>991004985639702656</t>
        </is>
      </c>
      <c r="AX2891" t="inlineStr">
        <is>
          <t>991004985639702656</t>
        </is>
      </c>
      <c r="AY2891" t="inlineStr">
        <is>
          <t>2272039250002656</t>
        </is>
      </c>
      <c r="AZ2891" t="inlineStr">
        <is>
          <t>BOOK</t>
        </is>
      </c>
      <c r="BB2891" t="inlineStr">
        <is>
          <t>9780742539655</t>
        </is>
      </c>
      <c r="BC2891" t="inlineStr">
        <is>
          <t>32285005268205</t>
        </is>
      </c>
      <c r="BD2891" t="inlineStr">
        <is>
          <t>893713278</t>
        </is>
      </c>
    </row>
    <row r="2892">
      <c r="A2892" t="inlineStr">
        <is>
          <t>No</t>
        </is>
      </c>
      <c r="B2892" t="inlineStr">
        <is>
          <t>HQ799.95 .B55 1982</t>
        </is>
      </c>
      <c r="C2892" t="inlineStr">
        <is>
          <t>0                      HQ 0799950B  55          1982</t>
        </is>
      </c>
      <c r="D2892" t="inlineStr">
        <is>
          <t>A social psychology of developing adults / Thomas O. Blank.</t>
        </is>
      </c>
      <c r="F2892" t="inlineStr">
        <is>
          <t>No</t>
        </is>
      </c>
      <c r="G2892" t="inlineStr">
        <is>
          <t>1</t>
        </is>
      </c>
      <c r="H2892" t="inlineStr">
        <is>
          <t>No</t>
        </is>
      </c>
      <c r="I2892" t="inlineStr">
        <is>
          <t>No</t>
        </is>
      </c>
      <c r="J2892" t="inlineStr">
        <is>
          <t>0</t>
        </is>
      </c>
      <c r="K2892" t="inlineStr">
        <is>
          <t>Blank, Thomas O., 1947-</t>
        </is>
      </c>
      <c r="L2892" t="inlineStr">
        <is>
          <t>New York : Wiley, c1982.</t>
        </is>
      </c>
      <c r="M2892" t="inlineStr">
        <is>
          <t>1982</t>
        </is>
      </c>
      <c r="O2892" t="inlineStr">
        <is>
          <t>eng</t>
        </is>
      </c>
      <c r="P2892" t="inlineStr">
        <is>
          <t>nyu</t>
        </is>
      </c>
      <c r="Q2892" t="inlineStr">
        <is>
          <t>Wiley series on personality processes, 0195-4008</t>
        </is>
      </c>
      <c r="R2892" t="inlineStr">
        <is>
          <t xml:space="preserve">HQ </t>
        </is>
      </c>
      <c r="S2892" t="n">
        <v>2</v>
      </c>
      <c r="T2892" t="n">
        <v>2</v>
      </c>
      <c r="U2892" t="inlineStr">
        <is>
          <t>1994-03-01</t>
        </is>
      </c>
      <c r="V2892" t="inlineStr">
        <is>
          <t>1994-03-01</t>
        </is>
      </c>
      <c r="W2892" t="inlineStr">
        <is>
          <t>1992-11-16</t>
        </is>
      </c>
      <c r="X2892" t="inlineStr">
        <is>
          <t>1992-11-16</t>
        </is>
      </c>
      <c r="Y2892" t="n">
        <v>528</v>
      </c>
      <c r="Z2892" t="n">
        <v>413</v>
      </c>
      <c r="AA2892" t="n">
        <v>420</v>
      </c>
      <c r="AB2892" t="n">
        <v>4</v>
      </c>
      <c r="AC2892" t="n">
        <v>4</v>
      </c>
      <c r="AD2892" t="n">
        <v>23</v>
      </c>
      <c r="AE2892" t="n">
        <v>23</v>
      </c>
      <c r="AF2892" t="n">
        <v>10</v>
      </c>
      <c r="AG2892" t="n">
        <v>10</v>
      </c>
      <c r="AH2892" t="n">
        <v>5</v>
      </c>
      <c r="AI2892" t="n">
        <v>5</v>
      </c>
      <c r="AJ2892" t="n">
        <v>14</v>
      </c>
      <c r="AK2892" t="n">
        <v>14</v>
      </c>
      <c r="AL2892" t="n">
        <v>3</v>
      </c>
      <c r="AM2892" t="n">
        <v>3</v>
      </c>
      <c r="AN2892" t="n">
        <v>0</v>
      </c>
      <c r="AO2892" t="n">
        <v>0</v>
      </c>
      <c r="AP2892" t="inlineStr">
        <is>
          <t>No</t>
        </is>
      </c>
      <c r="AQ2892" t="inlineStr">
        <is>
          <t>Yes</t>
        </is>
      </c>
      <c r="AR2892">
        <f>HYPERLINK("http://catalog.hathitrust.org/Record/000762393","HathiTrust Record")</f>
        <v/>
      </c>
      <c r="AS2892">
        <f>HYPERLINK("https://creighton-primo.hosted.exlibrisgroup.com/primo-explore/search?tab=default_tab&amp;search_scope=EVERYTHING&amp;vid=01CRU&amp;lang=en_US&amp;offset=0&amp;query=any,contains,991005264469702656","Catalog Record")</f>
        <v/>
      </c>
      <c r="AT2892">
        <f>HYPERLINK("http://www.worldcat.org/oclc/7975640","WorldCat Record")</f>
        <v/>
      </c>
      <c r="AU2892" t="inlineStr">
        <is>
          <t>20569398:eng</t>
        </is>
      </c>
      <c r="AV2892" t="inlineStr">
        <is>
          <t>7975640</t>
        </is>
      </c>
      <c r="AW2892" t="inlineStr">
        <is>
          <t>991005264469702656</t>
        </is>
      </c>
      <c r="AX2892" t="inlineStr">
        <is>
          <t>991005264469702656</t>
        </is>
      </c>
      <c r="AY2892" t="inlineStr">
        <is>
          <t>2264131270002656</t>
        </is>
      </c>
      <c r="AZ2892" t="inlineStr">
        <is>
          <t>BOOK</t>
        </is>
      </c>
      <c r="BB2892" t="inlineStr">
        <is>
          <t>9780471087878</t>
        </is>
      </c>
      <c r="BC2892" t="inlineStr">
        <is>
          <t>32285001396448</t>
        </is>
      </c>
      <c r="BD2892" t="inlineStr">
        <is>
          <t>893701291</t>
        </is>
      </c>
    </row>
    <row r="2893">
      <c r="A2893" t="inlineStr">
        <is>
          <t>No</t>
        </is>
      </c>
      <c r="B2893" t="inlineStr">
        <is>
          <t>HQ799.95 .H65 2000</t>
        </is>
      </c>
      <c r="C2893" t="inlineStr">
        <is>
          <t>0                      HQ 0799950H  65          2000</t>
        </is>
      </c>
      <c r="D2893" t="inlineStr">
        <is>
          <t>Constructing the life course / James A. Holstein, Jaber F. Gubrium.</t>
        </is>
      </c>
      <c r="F2893" t="inlineStr">
        <is>
          <t>No</t>
        </is>
      </c>
      <c r="G2893" t="inlineStr">
        <is>
          <t>1</t>
        </is>
      </c>
      <c r="H2893" t="inlineStr">
        <is>
          <t>No</t>
        </is>
      </c>
      <c r="I2893" t="inlineStr">
        <is>
          <t>No</t>
        </is>
      </c>
      <c r="J2893" t="inlineStr">
        <is>
          <t>0</t>
        </is>
      </c>
      <c r="K2893" t="inlineStr">
        <is>
          <t>Holstein, James A.</t>
        </is>
      </c>
      <c r="L2893" t="inlineStr">
        <is>
          <t>Dix Hills, N.Y. : General Hall, c2000.</t>
        </is>
      </c>
      <c r="M2893" t="inlineStr">
        <is>
          <t>2000</t>
        </is>
      </c>
      <c r="N2893" t="inlineStr">
        <is>
          <t>2nd ed.</t>
        </is>
      </c>
      <c r="O2893" t="inlineStr">
        <is>
          <t>eng</t>
        </is>
      </c>
      <c r="P2893" t="inlineStr">
        <is>
          <t>nyu</t>
        </is>
      </c>
      <c r="Q2893" t="inlineStr">
        <is>
          <t>The Reynolds series in sociology</t>
        </is>
      </c>
      <c r="R2893" t="inlineStr">
        <is>
          <t xml:space="preserve">HQ </t>
        </is>
      </c>
      <c r="S2893" t="n">
        <v>1</v>
      </c>
      <c r="T2893" t="n">
        <v>1</v>
      </c>
      <c r="U2893" t="inlineStr">
        <is>
          <t>2004-05-12</t>
        </is>
      </c>
      <c r="V2893" t="inlineStr">
        <is>
          <t>2004-05-12</t>
        </is>
      </c>
      <c r="W2893" t="inlineStr">
        <is>
          <t>2002-04-15</t>
        </is>
      </c>
      <c r="X2893" t="inlineStr">
        <is>
          <t>2002-04-15</t>
        </is>
      </c>
      <c r="Y2893" t="n">
        <v>66</v>
      </c>
      <c r="Z2893" t="n">
        <v>43</v>
      </c>
      <c r="AA2893" t="n">
        <v>96</v>
      </c>
      <c r="AB2893" t="n">
        <v>1</v>
      </c>
      <c r="AC2893" t="n">
        <v>1</v>
      </c>
      <c r="AD2893" t="n">
        <v>4</v>
      </c>
      <c r="AE2893" t="n">
        <v>7</v>
      </c>
      <c r="AF2893" t="n">
        <v>2</v>
      </c>
      <c r="AG2893" t="n">
        <v>3</v>
      </c>
      <c r="AH2893" t="n">
        <v>1</v>
      </c>
      <c r="AI2893" t="n">
        <v>3</v>
      </c>
      <c r="AJ2893" t="n">
        <v>1</v>
      </c>
      <c r="AK2893" t="n">
        <v>3</v>
      </c>
      <c r="AL2893" t="n">
        <v>0</v>
      </c>
      <c r="AM2893" t="n">
        <v>0</v>
      </c>
      <c r="AN2893" t="n">
        <v>0</v>
      </c>
      <c r="AO2893" t="n">
        <v>0</v>
      </c>
      <c r="AP2893" t="inlineStr">
        <is>
          <t>No</t>
        </is>
      </c>
      <c r="AQ2893" t="inlineStr">
        <is>
          <t>No</t>
        </is>
      </c>
      <c r="AS2893">
        <f>HYPERLINK("https://creighton-primo.hosted.exlibrisgroup.com/primo-explore/search?tab=default_tab&amp;search_scope=EVERYTHING&amp;vid=01CRU&amp;lang=en_US&amp;offset=0&amp;query=any,contains,991003620069702656","Catalog Record")</f>
        <v/>
      </c>
      <c r="AT2893">
        <f>HYPERLINK("http://www.worldcat.org/oclc/44096854","WorldCat Record")</f>
        <v/>
      </c>
      <c r="AU2893" t="inlineStr">
        <is>
          <t>33864071:eng</t>
        </is>
      </c>
      <c r="AV2893" t="inlineStr">
        <is>
          <t>44096854</t>
        </is>
      </c>
      <c r="AW2893" t="inlineStr">
        <is>
          <t>991003620069702656</t>
        </is>
      </c>
      <c r="AX2893" t="inlineStr">
        <is>
          <t>991003620069702656</t>
        </is>
      </c>
      <c r="AY2893" t="inlineStr">
        <is>
          <t>2269590130002656</t>
        </is>
      </c>
      <c r="AZ2893" t="inlineStr">
        <is>
          <t>BOOK</t>
        </is>
      </c>
      <c r="BB2893" t="inlineStr">
        <is>
          <t>9781882289677</t>
        </is>
      </c>
      <c r="BC2893" t="inlineStr">
        <is>
          <t>32285004479548</t>
        </is>
      </c>
      <c r="BD2893" t="inlineStr">
        <is>
          <t>893774955</t>
        </is>
      </c>
    </row>
    <row r="2894">
      <c r="A2894" t="inlineStr">
        <is>
          <t>No</t>
        </is>
      </c>
      <c r="B2894" t="inlineStr">
        <is>
          <t>HQ799.95 .M47 1991</t>
        </is>
      </c>
      <c r="C2894" t="inlineStr">
        <is>
          <t>0                      HQ 0799950M  47          1991</t>
        </is>
      </c>
      <c r="D2894" t="inlineStr">
        <is>
          <t>Lifelines : patterns of work, love, and learning in adulthood / Sharan B. Merriam, M. Carolyn Clark.</t>
        </is>
      </c>
      <c r="F2894" t="inlineStr">
        <is>
          <t>No</t>
        </is>
      </c>
      <c r="G2894" t="inlineStr">
        <is>
          <t>1</t>
        </is>
      </c>
      <c r="H2894" t="inlineStr">
        <is>
          <t>No</t>
        </is>
      </c>
      <c r="I2894" t="inlineStr">
        <is>
          <t>No</t>
        </is>
      </c>
      <c r="J2894" t="inlineStr">
        <is>
          <t>0</t>
        </is>
      </c>
      <c r="K2894" t="inlineStr">
        <is>
          <t>Merriam, Sharan B.</t>
        </is>
      </c>
      <c r="L2894" t="inlineStr">
        <is>
          <t>San Francisco : Jossey-Bass, 1991.</t>
        </is>
      </c>
      <c r="M2894" t="inlineStr">
        <is>
          <t>1991</t>
        </is>
      </c>
      <c r="N2894" t="inlineStr">
        <is>
          <t>1st ed.</t>
        </is>
      </c>
      <c r="O2894" t="inlineStr">
        <is>
          <t>eng</t>
        </is>
      </c>
      <c r="P2894" t="inlineStr">
        <is>
          <t>cau</t>
        </is>
      </c>
      <c r="Q2894" t="inlineStr">
        <is>
          <t>The Jossey-Bass social and behavioral science series</t>
        </is>
      </c>
      <c r="R2894" t="inlineStr">
        <is>
          <t xml:space="preserve">HQ </t>
        </is>
      </c>
      <c r="S2894" t="n">
        <v>6</v>
      </c>
      <c r="T2894" t="n">
        <v>6</v>
      </c>
      <c r="U2894" t="inlineStr">
        <is>
          <t>2006-03-22</t>
        </is>
      </c>
      <c r="V2894" t="inlineStr">
        <is>
          <t>2006-03-22</t>
        </is>
      </c>
      <c r="W2894" t="inlineStr">
        <is>
          <t>1992-03-01</t>
        </is>
      </c>
      <c r="X2894" t="inlineStr">
        <is>
          <t>1992-03-01</t>
        </is>
      </c>
      <c r="Y2894" t="n">
        <v>527</v>
      </c>
      <c r="Z2894" t="n">
        <v>439</v>
      </c>
      <c r="AA2894" t="n">
        <v>442</v>
      </c>
      <c r="AB2894" t="n">
        <v>5</v>
      </c>
      <c r="AC2894" t="n">
        <v>5</v>
      </c>
      <c r="AD2894" t="n">
        <v>26</v>
      </c>
      <c r="AE2894" t="n">
        <v>26</v>
      </c>
      <c r="AF2894" t="n">
        <v>7</v>
      </c>
      <c r="AG2894" t="n">
        <v>7</v>
      </c>
      <c r="AH2894" t="n">
        <v>7</v>
      </c>
      <c r="AI2894" t="n">
        <v>7</v>
      </c>
      <c r="AJ2894" t="n">
        <v>15</v>
      </c>
      <c r="AK2894" t="n">
        <v>15</v>
      </c>
      <c r="AL2894" t="n">
        <v>4</v>
      </c>
      <c r="AM2894" t="n">
        <v>4</v>
      </c>
      <c r="AN2894" t="n">
        <v>0</v>
      </c>
      <c r="AO2894" t="n">
        <v>0</v>
      </c>
      <c r="AP2894" t="inlineStr">
        <is>
          <t>No</t>
        </is>
      </c>
      <c r="AQ2894" t="inlineStr">
        <is>
          <t>Yes</t>
        </is>
      </c>
      <c r="AR2894">
        <f>HYPERLINK("http://catalog.hathitrust.org/Record/002505582","HathiTrust Record")</f>
        <v/>
      </c>
      <c r="AS2894">
        <f>HYPERLINK("https://creighton-primo.hosted.exlibrisgroup.com/primo-explore/search?tab=default_tab&amp;search_scope=EVERYTHING&amp;vid=01CRU&amp;lang=en_US&amp;offset=0&amp;query=any,contains,991001886909702656","Catalog Record")</f>
        <v/>
      </c>
      <c r="AT2894">
        <f>HYPERLINK("http://www.worldcat.org/oclc/23767993","WorldCat Record")</f>
        <v/>
      </c>
      <c r="AU2894" t="inlineStr">
        <is>
          <t>3133250939:eng</t>
        </is>
      </c>
      <c r="AV2894" t="inlineStr">
        <is>
          <t>23767993</t>
        </is>
      </c>
      <c r="AW2894" t="inlineStr">
        <is>
          <t>991001886909702656</t>
        </is>
      </c>
      <c r="AX2894" t="inlineStr">
        <is>
          <t>991001886909702656</t>
        </is>
      </c>
      <c r="AY2894" t="inlineStr">
        <is>
          <t>2271714760002656</t>
        </is>
      </c>
      <c r="AZ2894" t="inlineStr">
        <is>
          <t>BOOK</t>
        </is>
      </c>
      <c r="BB2894" t="inlineStr">
        <is>
          <t>9781555423643</t>
        </is>
      </c>
      <c r="BC2894" t="inlineStr">
        <is>
          <t>32285000937390</t>
        </is>
      </c>
      <c r="BD2894" t="inlineStr">
        <is>
          <t>893609219</t>
        </is>
      </c>
    </row>
    <row r="2895">
      <c r="A2895" t="inlineStr">
        <is>
          <t>No</t>
        </is>
      </c>
      <c r="B2895" t="inlineStr">
        <is>
          <t>HQ799.95 .T87 1982</t>
        </is>
      </c>
      <c r="C2895" t="inlineStr">
        <is>
          <t>0                      HQ 0799950T  87          1982</t>
        </is>
      </c>
      <c r="D2895" t="inlineStr">
        <is>
          <t>Contemporary adulthood / Jeffrey S. Turner, Donald B. Helms.</t>
        </is>
      </c>
      <c r="F2895" t="inlineStr">
        <is>
          <t>No</t>
        </is>
      </c>
      <c r="G2895" t="inlineStr">
        <is>
          <t>1</t>
        </is>
      </c>
      <c r="H2895" t="inlineStr">
        <is>
          <t>No</t>
        </is>
      </c>
      <c r="I2895" t="inlineStr">
        <is>
          <t>No</t>
        </is>
      </c>
      <c r="J2895" t="inlineStr">
        <is>
          <t>0</t>
        </is>
      </c>
      <c r="K2895" t="inlineStr">
        <is>
          <t>Turner, Jeffrey S.</t>
        </is>
      </c>
      <c r="L2895" t="inlineStr">
        <is>
          <t>New York : Holt, Rinehart, and Winston, c1982.</t>
        </is>
      </c>
      <c r="M2895" t="inlineStr">
        <is>
          <t>1982</t>
        </is>
      </c>
      <c r="N2895" t="inlineStr">
        <is>
          <t>2nd ed.</t>
        </is>
      </c>
      <c r="O2895" t="inlineStr">
        <is>
          <t>eng</t>
        </is>
      </c>
      <c r="P2895" t="inlineStr">
        <is>
          <t>nyu</t>
        </is>
      </c>
      <c r="R2895" t="inlineStr">
        <is>
          <t xml:space="preserve">HQ </t>
        </is>
      </c>
      <c r="S2895" t="n">
        <v>5</v>
      </c>
      <c r="T2895" t="n">
        <v>5</v>
      </c>
      <c r="U2895" t="inlineStr">
        <is>
          <t>1995-11-27</t>
        </is>
      </c>
      <c r="V2895" t="inlineStr">
        <is>
          <t>1995-11-27</t>
        </is>
      </c>
      <c r="W2895" t="inlineStr">
        <is>
          <t>1992-11-16</t>
        </is>
      </c>
      <c r="X2895" t="inlineStr">
        <is>
          <t>1992-11-16</t>
        </is>
      </c>
      <c r="Y2895" t="n">
        <v>139</v>
      </c>
      <c r="Z2895" t="n">
        <v>105</v>
      </c>
      <c r="AA2895" t="n">
        <v>341</v>
      </c>
      <c r="AB2895" t="n">
        <v>3</v>
      </c>
      <c r="AC2895" t="n">
        <v>5</v>
      </c>
      <c r="AD2895" t="n">
        <v>6</v>
      </c>
      <c r="AE2895" t="n">
        <v>15</v>
      </c>
      <c r="AF2895" t="n">
        <v>3</v>
      </c>
      <c r="AG2895" t="n">
        <v>7</v>
      </c>
      <c r="AH2895" t="n">
        <v>1</v>
      </c>
      <c r="AI2895" t="n">
        <v>3</v>
      </c>
      <c r="AJ2895" t="n">
        <v>2</v>
      </c>
      <c r="AK2895" t="n">
        <v>6</v>
      </c>
      <c r="AL2895" t="n">
        <v>1</v>
      </c>
      <c r="AM2895" t="n">
        <v>2</v>
      </c>
      <c r="AN2895" t="n">
        <v>0</v>
      </c>
      <c r="AO2895" t="n">
        <v>0</v>
      </c>
      <c r="AP2895" t="inlineStr">
        <is>
          <t>No</t>
        </is>
      </c>
      <c r="AQ2895" t="inlineStr">
        <is>
          <t>Yes</t>
        </is>
      </c>
      <c r="AR2895">
        <f>HYPERLINK("http://catalog.hathitrust.org/Record/009806869","HathiTrust Record")</f>
        <v/>
      </c>
      <c r="AS2895">
        <f>HYPERLINK("https://creighton-primo.hosted.exlibrisgroup.com/primo-explore/search?tab=default_tab&amp;search_scope=EVERYTHING&amp;vid=01CRU&amp;lang=en_US&amp;offset=0&amp;query=any,contains,991005185579702656","Catalog Record")</f>
        <v/>
      </c>
      <c r="AT2895">
        <f>HYPERLINK("http://www.worldcat.org/oclc/7975645","WorldCat Record")</f>
        <v/>
      </c>
      <c r="AU2895" t="inlineStr">
        <is>
          <t>448360:eng</t>
        </is>
      </c>
      <c r="AV2895" t="inlineStr">
        <is>
          <t>7975645</t>
        </is>
      </c>
      <c r="AW2895" t="inlineStr">
        <is>
          <t>991005185579702656</t>
        </is>
      </c>
      <c r="AX2895" t="inlineStr">
        <is>
          <t>991005185579702656</t>
        </is>
      </c>
      <c r="AY2895" t="inlineStr">
        <is>
          <t>2264132350002656</t>
        </is>
      </c>
      <c r="AZ2895" t="inlineStr">
        <is>
          <t>BOOK</t>
        </is>
      </c>
      <c r="BB2895" t="inlineStr">
        <is>
          <t>9780030601439</t>
        </is>
      </c>
      <c r="BC2895" t="inlineStr">
        <is>
          <t>32285001396505</t>
        </is>
      </c>
      <c r="BD2895" t="inlineStr">
        <is>
          <t>893424698</t>
        </is>
      </c>
    </row>
    <row r="2896">
      <c r="A2896" t="inlineStr">
        <is>
          <t>No</t>
        </is>
      </c>
      <c r="B2896" t="inlineStr">
        <is>
          <t>HQ799.95 .W53 2008</t>
        </is>
      </c>
      <c r="C2896" t="inlineStr">
        <is>
          <t>0                      HQ 0799950W  53          2008</t>
        </is>
      </c>
      <c r="D2896" t="inlineStr">
        <is>
          <t>The suicide index : putting my father's death in order / Joan Wickersham.</t>
        </is>
      </c>
      <c r="F2896" t="inlineStr">
        <is>
          <t>No</t>
        </is>
      </c>
      <c r="G2896" t="inlineStr">
        <is>
          <t>1</t>
        </is>
      </c>
      <c r="H2896" t="inlineStr">
        <is>
          <t>No</t>
        </is>
      </c>
      <c r="I2896" t="inlineStr">
        <is>
          <t>No</t>
        </is>
      </c>
      <c r="J2896" t="inlineStr">
        <is>
          <t>0</t>
        </is>
      </c>
      <c r="K2896" t="inlineStr">
        <is>
          <t>Wickersham, Joan.</t>
        </is>
      </c>
      <c r="L2896" t="inlineStr">
        <is>
          <t>Orlando : Harcourt, c2008.</t>
        </is>
      </c>
      <c r="M2896" t="inlineStr">
        <is>
          <t>2008</t>
        </is>
      </c>
      <c r="N2896" t="inlineStr">
        <is>
          <t>1st ed.</t>
        </is>
      </c>
      <c r="O2896" t="inlineStr">
        <is>
          <t>eng</t>
        </is>
      </c>
      <c r="P2896" t="inlineStr">
        <is>
          <t>flu</t>
        </is>
      </c>
      <c r="R2896" t="inlineStr">
        <is>
          <t xml:space="preserve">HQ </t>
        </is>
      </c>
      <c r="S2896" t="n">
        <v>2</v>
      </c>
      <c r="T2896" t="n">
        <v>2</v>
      </c>
      <c r="U2896" t="inlineStr">
        <is>
          <t>2009-11-19</t>
        </is>
      </c>
      <c r="V2896" t="inlineStr">
        <is>
          <t>2009-11-19</t>
        </is>
      </c>
      <c r="W2896" t="inlineStr">
        <is>
          <t>2009-03-11</t>
        </is>
      </c>
      <c r="X2896" t="inlineStr">
        <is>
          <t>2009-03-11</t>
        </is>
      </c>
      <c r="Y2896" t="n">
        <v>878</v>
      </c>
      <c r="Z2896" t="n">
        <v>835</v>
      </c>
      <c r="AA2896" t="n">
        <v>870</v>
      </c>
      <c r="AB2896" t="n">
        <v>7</v>
      </c>
      <c r="AC2896" t="n">
        <v>8</v>
      </c>
      <c r="AD2896" t="n">
        <v>18</v>
      </c>
      <c r="AE2896" t="n">
        <v>19</v>
      </c>
      <c r="AF2896" t="n">
        <v>7</v>
      </c>
      <c r="AG2896" t="n">
        <v>8</v>
      </c>
      <c r="AH2896" t="n">
        <v>5</v>
      </c>
      <c r="AI2896" t="n">
        <v>5</v>
      </c>
      <c r="AJ2896" t="n">
        <v>9</v>
      </c>
      <c r="AK2896" t="n">
        <v>10</v>
      </c>
      <c r="AL2896" t="n">
        <v>1</v>
      </c>
      <c r="AM2896" t="n">
        <v>1</v>
      </c>
      <c r="AN2896" t="n">
        <v>0</v>
      </c>
      <c r="AO2896" t="n">
        <v>0</v>
      </c>
      <c r="AP2896" t="inlineStr">
        <is>
          <t>No</t>
        </is>
      </c>
      <c r="AQ2896" t="inlineStr">
        <is>
          <t>No</t>
        </is>
      </c>
      <c r="AS2896">
        <f>HYPERLINK("https://creighton-primo.hosted.exlibrisgroup.com/primo-explore/search?tab=default_tab&amp;search_scope=EVERYTHING&amp;vid=01CRU&amp;lang=en_US&amp;offset=0&amp;query=any,contains,991005301199702656","Catalog Record")</f>
        <v/>
      </c>
      <c r="AT2896">
        <f>HYPERLINK("http://www.worldcat.org/oclc/156902283","WorldCat Record")</f>
        <v/>
      </c>
      <c r="AU2896" t="inlineStr">
        <is>
          <t>307136442:eng</t>
        </is>
      </c>
      <c r="AV2896" t="inlineStr">
        <is>
          <t>156902283</t>
        </is>
      </c>
      <c r="AW2896" t="inlineStr">
        <is>
          <t>991005301199702656</t>
        </is>
      </c>
      <c r="AX2896" t="inlineStr">
        <is>
          <t>991005301199702656</t>
        </is>
      </c>
      <c r="AY2896" t="inlineStr">
        <is>
          <t>2255702140002656</t>
        </is>
      </c>
      <c r="AZ2896" t="inlineStr">
        <is>
          <t>BOOK</t>
        </is>
      </c>
      <c r="BB2896" t="inlineStr">
        <is>
          <t>9780151014903</t>
        </is>
      </c>
      <c r="BC2896" t="inlineStr">
        <is>
          <t>32285005508311</t>
        </is>
      </c>
      <c r="BD2896" t="inlineStr">
        <is>
          <t>893688928</t>
        </is>
      </c>
    </row>
    <row r="2897">
      <c r="A2897" t="inlineStr">
        <is>
          <t>No</t>
        </is>
      </c>
      <c r="B2897" t="inlineStr">
        <is>
          <t>HQ799.97.G7 S65 1987</t>
        </is>
      </c>
      <c r="C2897" t="inlineStr">
        <is>
          <t>0                      HQ 0799970G  7                  S  65          1987</t>
        </is>
      </c>
      <c r="D2897" t="inlineStr">
        <is>
          <t>Social change and the life course / edited by Gaynor Cohen.</t>
        </is>
      </c>
      <c r="F2897" t="inlineStr">
        <is>
          <t>No</t>
        </is>
      </c>
      <c r="G2897" t="inlineStr">
        <is>
          <t>1</t>
        </is>
      </c>
      <c r="H2897" t="inlineStr">
        <is>
          <t>No</t>
        </is>
      </c>
      <c r="I2897" t="inlineStr">
        <is>
          <t>No</t>
        </is>
      </c>
      <c r="J2897" t="inlineStr">
        <is>
          <t>0</t>
        </is>
      </c>
      <c r="L2897" t="inlineStr">
        <is>
          <t>London ; New York : Tavistock Publications, 1987.</t>
        </is>
      </c>
      <c r="M2897" t="inlineStr">
        <is>
          <t>1986</t>
        </is>
      </c>
      <c r="O2897" t="inlineStr">
        <is>
          <t>eng</t>
        </is>
      </c>
      <c r="P2897" t="inlineStr">
        <is>
          <t>enk</t>
        </is>
      </c>
      <c r="Q2897" t="inlineStr">
        <is>
          <t>Social science paperbacks ; 354</t>
        </is>
      </c>
      <c r="R2897" t="inlineStr">
        <is>
          <t xml:space="preserve">HQ </t>
        </is>
      </c>
      <c r="S2897" t="n">
        <v>12</v>
      </c>
      <c r="T2897" t="n">
        <v>12</v>
      </c>
      <c r="U2897" t="inlineStr">
        <is>
          <t>2001-10-04</t>
        </is>
      </c>
      <c r="V2897" t="inlineStr">
        <is>
          <t>2001-10-04</t>
        </is>
      </c>
      <c r="W2897" t="inlineStr">
        <is>
          <t>1992-11-16</t>
        </is>
      </c>
      <c r="X2897" t="inlineStr">
        <is>
          <t>1992-11-16</t>
        </is>
      </c>
      <c r="Y2897" t="n">
        <v>284</v>
      </c>
      <c r="Z2897" t="n">
        <v>124</v>
      </c>
      <c r="AA2897" t="n">
        <v>133</v>
      </c>
      <c r="AB2897" t="n">
        <v>2</v>
      </c>
      <c r="AC2897" t="n">
        <v>2</v>
      </c>
      <c r="AD2897" t="n">
        <v>6</v>
      </c>
      <c r="AE2897" t="n">
        <v>6</v>
      </c>
      <c r="AF2897" t="n">
        <v>0</v>
      </c>
      <c r="AG2897" t="n">
        <v>0</v>
      </c>
      <c r="AH2897" t="n">
        <v>1</v>
      </c>
      <c r="AI2897" t="n">
        <v>1</v>
      </c>
      <c r="AJ2897" t="n">
        <v>5</v>
      </c>
      <c r="AK2897" t="n">
        <v>5</v>
      </c>
      <c r="AL2897" t="n">
        <v>1</v>
      </c>
      <c r="AM2897" t="n">
        <v>1</v>
      </c>
      <c r="AN2897" t="n">
        <v>0</v>
      </c>
      <c r="AO2897" t="n">
        <v>0</v>
      </c>
      <c r="AP2897" t="inlineStr">
        <is>
          <t>No</t>
        </is>
      </c>
      <c r="AQ2897" t="inlineStr">
        <is>
          <t>Yes</t>
        </is>
      </c>
      <c r="AR2897">
        <f>HYPERLINK("http://catalog.hathitrust.org/Record/000840341","HathiTrust Record")</f>
        <v/>
      </c>
      <c r="AS2897">
        <f>HYPERLINK("https://creighton-primo.hosted.exlibrisgroup.com/primo-explore/search?tab=default_tab&amp;search_scope=EVERYTHING&amp;vid=01CRU&amp;lang=en_US&amp;offset=0&amp;query=any,contains,991000946599702656","Catalog Record")</f>
        <v/>
      </c>
      <c r="AT2897">
        <f>HYPERLINK("http://www.worldcat.org/oclc/14586565","WorldCat Record")</f>
        <v/>
      </c>
      <c r="AU2897" t="inlineStr">
        <is>
          <t>54884564:eng</t>
        </is>
      </c>
      <c r="AV2897" t="inlineStr">
        <is>
          <t>14586565</t>
        </is>
      </c>
      <c r="AW2897" t="inlineStr">
        <is>
          <t>991000946599702656</t>
        </is>
      </c>
      <c r="AX2897" t="inlineStr">
        <is>
          <t>991000946599702656</t>
        </is>
      </c>
      <c r="AY2897" t="inlineStr">
        <is>
          <t>2272429760002656</t>
        </is>
      </c>
      <c r="AZ2897" t="inlineStr">
        <is>
          <t>BOOK</t>
        </is>
      </c>
      <c r="BB2897" t="inlineStr">
        <is>
          <t>9780422799409</t>
        </is>
      </c>
      <c r="BC2897" t="inlineStr">
        <is>
          <t>32285001396513</t>
        </is>
      </c>
      <c r="BD2897" t="inlineStr">
        <is>
          <t>893231561</t>
        </is>
      </c>
    </row>
    <row r="2898">
      <c r="A2898" t="inlineStr">
        <is>
          <t>No</t>
        </is>
      </c>
      <c r="B2898" t="inlineStr">
        <is>
          <t>HQ799.97.U5 B83 1989</t>
        </is>
      </c>
      <c r="C2898" t="inlineStr">
        <is>
          <t>0                      HQ 0799970U  5                  B  83          1989</t>
        </is>
      </c>
      <c r="D2898" t="inlineStr">
        <is>
          <t>The script of life in modern society : entry into adulthood in a changing world / Marlis Buchmann.</t>
        </is>
      </c>
      <c r="F2898" t="inlineStr">
        <is>
          <t>No</t>
        </is>
      </c>
      <c r="G2898" t="inlineStr">
        <is>
          <t>1</t>
        </is>
      </c>
      <c r="H2898" t="inlineStr">
        <is>
          <t>No</t>
        </is>
      </c>
      <c r="I2898" t="inlineStr">
        <is>
          <t>No</t>
        </is>
      </c>
      <c r="J2898" t="inlineStr">
        <is>
          <t>0</t>
        </is>
      </c>
      <c r="K2898" t="inlineStr">
        <is>
          <t>Buchmann, Marlis.</t>
        </is>
      </c>
      <c r="L2898" t="inlineStr">
        <is>
          <t>Chicago : University of Chicago Press, 1989.</t>
        </is>
      </c>
      <c r="M2898" t="inlineStr">
        <is>
          <t>1989</t>
        </is>
      </c>
      <c r="O2898" t="inlineStr">
        <is>
          <t>eng</t>
        </is>
      </c>
      <c r="P2898" t="inlineStr">
        <is>
          <t>ilu</t>
        </is>
      </c>
      <c r="R2898" t="inlineStr">
        <is>
          <t xml:space="preserve">HQ </t>
        </is>
      </c>
      <c r="S2898" t="n">
        <v>8</v>
      </c>
      <c r="T2898" t="n">
        <v>8</v>
      </c>
      <c r="U2898" t="inlineStr">
        <is>
          <t>1999-02-03</t>
        </is>
      </c>
      <c r="V2898" t="inlineStr">
        <is>
          <t>1999-02-03</t>
        </is>
      </c>
      <c r="W2898" t="inlineStr">
        <is>
          <t>1992-11-16</t>
        </is>
      </c>
      <c r="X2898" t="inlineStr">
        <is>
          <t>1992-11-16</t>
        </is>
      </c>
      <c r="Y2898" t="n">
        <v>537</v>
      </c>
      <c r="Z2898" t="n">
        <v>430</v>
      </c>
      <c r="AA2898" t="n">
        <v>435</v>
      </c>
      <c r="AB2898" t="n">
        <v>3</v>
      </c>
      <c r="AC2898" t="n">
        <v>3</v>
      </c>
      <c r="AD2898" t="n">
        <v>23</v>
      </c>
      <c r="AE2898" t="n">
        <v>23</v>
      </c>
      <c r="AF2898" t="n">
        <v>7</v>
      </c>
      <c r="AG2898" t="n">
        <v>7</v>
      </c>
      <c r="AH2898" t="n">
        <v>6</v>
      </c>
      <c r="AI2898" t="n">
        <v>6</v>
      </c>
      <c r="AJ2898" t="n">
        <v>13</v>
      </c>
      <c r="AK2898" t="n">
        <v>13</v>
      </c>
      <c r="AL2898" t="n">
        <v>2</v>
      </c>
      <c r="AM2898" t="n">
        <v>2</v>
      </c>
      <c r="AN2898" t="n">
        <v>0</v>
      </c>
      <c r="AO2898" t="n">
        <v>0</v>
      </c>
      <c r="AP2898" t="inlineStr">
        <is>
          <t>No</t>
        </is>
      </c>
      <c r="AQ2898" t="inlineStr">
        <is>
          <t>No</t>
        </is>
      </c>
      <c r="AS2898">
        <f>HYPERLINK("https://creighton-primo.hosted.exlibrisgroup.com/primo-explore/search?tab=default_tab&amp;search_scope=EVERYTHING&amp;vid=01CRU&amp;lang=en_US&amp;offset=0&amp;query=any,contains,991001341659702656","Catalog Record")</f>
        <v/>
      </c>
      <c r="AT2898">
        <f>HYPERLINK("http://www.worldcat.org/oclc/18383341","WorldCat Record")</f>
        <v/>
      </c>
      <c r="AU2898" t="inlineStr">
        <is>
          <t>836718569:eng</t>
        </is>
      </c>
      <c r="AV2898" t="inlineStr">
        <is>
          <t>18383341</t>
        </is>
      </c>
      <c r="AW2898" t="inlineStr">
        <is>
          <t>991001341659702656</t>
        </is>
      </c>
      <c r="AX2898" t="inlineStr">
        <is>
          <t>991001341659702656</t>
        </is>
      </c>
      <c r="AY2898" t="inlineStr">
        <is>
          <t>2259078680002656</t>
        </is>
      </c>
      <c r="AZ2898" t="inlineStr">
        <is>
          <t>BOOK</t>
        </is>
      </c>
      <c r="BB2898" t="inlineStr">
        <is>
          <t>9780226078359</t>
        </is>
      </c>
      <c r="BC2898" t="inlineStr">
        <is>
          <t>32285001396521</t>
        </is>
      </c>
      <c r="BD2898" t="inlineStr">
        <is>
          <t>893866158</t>
        </is>
      </c>
    </row>
    <row r="2899">
      <c r="A2899" t="inlineStr">
        <is>
          <t>No</t>
        </is>
      </c>
      <c r="B2899" t="inlineStr">
        <is>
          <t>HQ799.97.U5 H55</t>
        </is>
      </c>
      <c r="C2899" t="inlineStr">
        <is>
          <t>0                      HQ 0799970U  5                  H  55</t>
        </is>
      </c>
      <c r="D2899" t="inlineStr">
        <is>
          <t>Joy, woe, hope, and fear : thoughts about the life of the young and old, the free and imprisoned / Ernest A. Hirsch.</t>
        </is>
      </c>
      <c r="F2899" t="inlineStr">
        <is>
          <t>No</t>
        </is>
      </c>
      <c r="G2899" t="inlineStr">
        <is>
          <t>1</t>
        </is>
      </c>
      <c r="H2899" t="inlineStr">
        <is>
          <t>No</t>
        </is>
      </c>
      <c r="I2899" t="inlineStr">
        <is>
          <t>No</t>
        </is>
      </c>
      <c r="J2899" t="inlineStr">
        <is>
          <t>0</t>
        </is>
      </c>
      <c r="K2899" t="inlineStr">
        <is>
          <t>Hirsch, Ernest A., 1924-</t>
        </is>
      </c>
      <c r="L2899" t="inlineStr">
        <is>
          <t>Washington, D.C. : University Press of America, c1981.</t>
        </is>
      </c>
      <c r="M2899" t="inlineStr">
        <is>
          <t>1981</t>
        </is>
      </c>
      <c r="O2899" t="inlineStr">
        <is>
          <t>eng</t>
        </is>
      </c>
      <c r="P2899" t="inlineStr">
        <is>
          <t>dcu</t>
        </is>
      </c>
      <c r="R2899" t="inlineStr">
        <is>
          <t xml:space="preserve">HQ </t>
        </is>
      </c>
      <c r="S2899" t="n">
        <v>6</v>
      </c>
      <c r="T2899" t="n">
        <v>6</v>
      </c>
      <c r="U2899" t="inlineStr">
        <is>
          <t>2009-11-19</t>
        </is>
      </c>
      <c r="V2899" t="inlineStr">
        <is>
          <t>2009-11-19</t>
        </is>
      </c>
      <c r="W2899" t="inlineStr">
        <is>
          <t>1992-11-16</t>
        </is>
      </c>
      <c r="X2899" t="inlineStr">
        <is>
          <t>1992-11-16</t>
        </is>
      </c>
      <c r="Y2899" t="n">
        <v>71</v>
      </c>
      <c r="Z2899" t="n">
        <v>63</v>
      </c>
      <c r="AA2899" t="n">
        <v>64</v>
      </c>
      <c r="AB2899" t="n">
        <v>2</v>
      </c>
      <c r="AC2899" t="n">
        <v>2</v>
      </c>
      <c r="AD2899" t="n">
        <v>2</v>
      </c>
      <c r="AE2899" t="n">
        <v>2</v>
      </c>
      <c r="AF2899" t="n">
        <v>1</v>
      </c>
      <c r="AG2899" t="n">
        <v>1</v>
      </c>
      <c r="AH2899" t="n">
        <v>0</v>
      </c>
      <c r="AI2899" t="n">
        <v>0</v>
      </c>
      <c r="AJ2899" t="n">
        <v>1</v>
      </c>
      <c r="AK2899" t="n">
        <v>1</v>
      </c>
      <c r="AL2899" t="n">
        <v>1</v>
      </c>
      <c r="AM2899" t="n">
        <v>1</v>
      </c>
      <c r="AN2899" t="n">
        <v>0</v>
      </c>
      <c r="AO2899" t="n">
        <v>0</v>
      </c>
      <c r="AP2899" t="inlineStr">
        <is>
          <t>No</t>
        </is>
      </c>
      <c r="AQ2899" t="inlineStr">
        <is>
          <t>Yes</t>
        </is>
      </c>
      <c r="AR2899">
        <f>HYPERLINK("http://catalog.hathitrust.org/Record/009806870","HathiTrust Record")</f>
        <v/>
      </c>
      <c r="AS2899">
        <f>HYPERLINK("https://creighton-primo.hosted.exlibrisgroup.com/primo-explore/search?tab=default_tab&amp;search_scope=EVERYTHING&amp;vid=01CRU&amp;lang=en_US&amp;offset=0&amp;query=any,contains,991005188319702656","Catalog Record")</f>
        <v/>
      </c>
      <c r="AT2899">
        <f>HYPERLINK("http://www.worldcat.org/oclc/7978208","WorldCat Record")</f>
        <v/>
      </c>
      <c r="AU2899" t="inlineStr">
        <is>
          <t>30351200:eng</t>
        </is>
      </c>
      <c r="AV2899" t="inlineStr">
        <is>
          <t>7978208</t>
        </is>
      </c>
      <c r="AW2899" t="inlineStr">
        <is>
          <t>991005188319702656</t>
        </is>
      </c>
      <c r="AX2899" t="inlineStr">
        <is>
          <t>991005188319702656</t>
        </is>
      </c>
      <c r="AY2899" t="inlineStr">
        <is>
          <t>2271171190002656</t>
        </is>
      </c>
      <c r="AZ2899" t="inlineStr">
        <is>
          <t>BOOK</t>
        </is>
      </c>
      <c r="BB2899" t="inlineStr">
        <is>
          <t>9780819118431</t>
        </is>
      </c>
      <c r="BC2899" t="inlineStr">
        <is>
          <t>32285001396539</t>
        </is>
      </c>
      <c r="BD2899" t="inlineStr">
        <is>
          <t>893713599</t>
        </is>
      </c>
    </row>
    <row r="2900">
      <c r="A2900" t="inlineStr">
        <is>
          <t>No</t>
        </is>
      </c>
      <c r="B2900" t="inlineStr">
        <is>
          <t>HQ799.A92 V549 1991</t>
        </is>
      </c>
      <c r="C2900" t="inlineStr">
        <is>
          <t>0                      HQ 0799000A  92                 V  549         1991</t>
        </is>
      </c>
      <c r="D2900" t="inlineStr">
        <is>
          <t>A Young girl's diary / preface by Alice Miller ; edited with an introduction by Daniel Gunn and Patrick Guyomard ; foreword with a letter from Sigmund Freud.</t>
        </is>
      </c>
      <c r="F2900" t="inlineStr">
        <is>
          <t>No</t>
        </is>
      </c>
      <c r="G2900" t="inlineStr">
        <is>
          <t>1</t>
        </is>
      </c>
      <c r="H2900" t="inlineStr">
        <is>
          <t>No</t>
        </is>
      </c>
      <c r="I2900" t="inlineStr">
        <is>
          <t>No</t>
        </is>
      </c>
      <c r="J2900" t="inlineStr">
        <is>
          <t>0</t>
        </is>
      </c>
      <c r="K2900" t="inlineStr">
        <is>
          <t>Tagebuch eines halbwüchsigen Mädchens. English.</t>
        </is>
      </c>
      <c r="L2900" t="inlineStr">
        <is>
          <t>New York : Anchor Books, 1991.</t>
        </is>
      </c>
      <c r="M2900" t="inlineStr">
        <is>
          <t>1991</t>
        </is>
      </c>
      <c r="N2900" t="inlineStr">
        <is>
          <t>New ed.</t>
        </is>
      </c>
      <c r="O2900" t="inlineStr">
        <is>
          <t>eng</t>
        </is>
      </c>
      <c r="P2900" t="inlineStr">
        <is>
          <t>nyu</t>
        </is>
      </c>
      <c r="R2900" t="inlineStr">
        <is>
          <t xml:space="preserve">HQ </t>
        </is>
      </c>
      <c r="S2900" t="n">
        <v>9</v>
      </c>
      <c r="T2900" t="n">
        <v>9</v>
      </c>
      <c r="U2900" t="inlineStr">
        <is>
          <t>2007-11-14</t>
        </is>
      </c>
      <c r="V2900" t="inlineStr">
        <is>
          <t>2007-11-14</t>
        </is>
      </c>
      <c r="W2900" t="inlineStr">
        <is>
          <t>1992-05-28</t>
        </is>
      </c>
      <c r="X2900" t="inlineStr">
        <is>
          <t>1992-05-28</t>
        </is>
      </c>
      <c r="Y2900" t="n">
        <v>159</v>
      </c>
      <c r="Z2900" t="n">
        <v>148</v>
      </c>
      <c r="AA2900" t="n">
        <v>1718</v>
      </c>
      <c r="AB2900" t="n">
        <v>2</v>
      </c>
      <c r="AC2900" t="n">
        <v>22</v>
      </c>
      <c r="AD2900" t="n">
        <v>5</v>
      </c>
      <c r="AE2900" t="n">
        <v>53</v>
      </c>
      <c r="AF2900" t="n">
        <v>2</v>
      </c>
      <c r="AG2900" t="n">
        <v>19</v>
      </c>
      <c r="AH2900" t="n">
        <v>1</v>
      </c>
      <c r="AI2900" t="n">
        <v>9</v>
      </c>
      <c r="AJ2900" t="n">
        <v>3</v>
      </c>
      <c r="AK2900" t="n">
        <v>19</v>
      </c>
      <c r="AL2900" t="n">
        <v>1</v>
      </c>
      <c r="AM2900" t="n">
        <v>15</v>
      </c>
      <c r="AN2900" t="n">
        <v>0</v>
      </c>
      <c r="AO2900" t="n">
        <v>0</v>
      </c>
      <c r="AP2900" t="inlineStr">
        <is>
          <t>No</t>
        </is>
      </c>
      <c r="AQ2900" t="inlineStr">
        <is>
          <t>No</t>
        </is>
      </c>
      <c r="AS2900">
        <f>HYPERLINK("https://creighton-primo.hosted.exlibrisgroup.com/primo-explore/search?tab=default_tab&amp;search_scope=EVERYTHING&amp;vid=01CRU&amp;lang=en_US&amp;offset=0&amp;query=any,contains,991001798459702656","Catalog Record")</f>
        <v/>
      </c>
      <c r="AT2900">
        <f>HYPERLINK("http://www.worldcat.org/oclc/22625438","WorldCat Record")</f>
        <v/>
      </c>
      <c r="AU2900" t="inlineStr">
        <is>
          <t>53955933:eng</t>
        </is>
      </c>
      <c r="AV2900" t="inlineStr">
        <is>
          <t>22625438</t>
        </is>
      </c>
      <c r="AW2900" t="inlineStr">
        <is>
          <t>991001798459702656</t>
        </is>
      </c>
      <c r="AX2900" t="inlineStr">
        <is>
          <t>991001798459702656</t>
        </is>
      </c>
      <c r="AY2900" t="inlineStr">
        <is>
          <t>2270910660002656</t>
        </is>
      </c>
      <c r="AZ2900" t="inlineStr">
        <is>
          <t>BOOK</t>
        </is>
      </c>
      <c r="BB2900" t="inlineStr">
        <is>
          <t>9780385415965</t>
        </is>
      </c>
      <c r="BC2900" t="inlineStr">
        <is>
          <t>32285001119642</t>
        </is>
      </c>
      <c r="BD2900" t="inlineStr">
        <is>
          <t>893232279</t>
        </is>
      </c>
    </row>
    <row r="2901">
      <c r="A2901" t="inlineStr">
        <is>
          <t>No</t>
        </is>
      </c>
      <c r="B2901" t="inlineStr">
        <is>
          <t>HQ799.D65 C375 1997</t>
        </is>
      </c>
      <c r="C2901" t="inlineStr">
        <is>
          <t>0                      HQ 0799000D  65                 C  375         1997</t>
        </is>
      </c>
      <c r="D2901" t="inlineStr">
        <is>
          <t>De juventud / Aquiles Castro.</t>
        </is>
      </c>
      <c r="F2901" t="inlineStr">
        <is>
          <t>No</t>
        </is>
      </c>
      <c r="G2901" t="inlineStr">
        <is>
          <t>1</t>
        </is>
      </c>
      <c r="H2901" t="inlineStr">
        <is>
          <t>No</t>
        </is>
      </c>
      <c r="I2901" t="inlineStr">
        <is>
          <t>No</t>
        </is>
      </c>
      <c r="J2901" t="inlineStr">
        <is>
          <t>0</t>
        </is>
      </c>
      <c r="K2901" t="inlineStr">
        <is>
          <t>Castro, Aquiles, 1959-</t>
        </is>
      </c>
      <c r="L2901" t="inlineStr">
        <is>
          <t>Santo Domingo, República Dominicana : A. Castro, 1997.</t>
        </is>
      </c>
      <c r="M2901" t="inlineStr">
        <is>
          <t>1997</t>
        </is>
      </c>
      <c r="N2901" t="inlineStr">
        <is>
          <t>1. ed.</t>
        </is>
      </c>
      <c r="O2901" t="inlineStr">
        <is>
          <t>spa</t>
        </is>
      </c>
      <c r="P2901" t="inlineStr">
        <is>
          <t xml:space="preserve">dr </t>
        </is>
      </c>
      <c r="R2901" t="inlineStr">
        <is>
          <t xml:space="preserve">HQ </t>
        </is>
      </c>
      <c r="S2901" t="n">
        <v>1</v>
      </c>
      <c r="T2901" t="n">
        <v>1</v>
      </c>
      <c r="U2901" t="inlineStr">
        <is>
          <t>2002-01-18</t>
        </is>
      </c>
      <c r="V2901" t="inlineStr">
        <is>
          <t>2002-01-18</t>
        </is>
      </c>
      <c r="W2901" t="inlineStr">
        <is>
          <t>1998-07-21</t>
        </is>
      </c>
      <c r="X2901" t="inlineStr">
        <is>
          <t>1998-07-21</t>
        </is>
      </c>
      <c r="Y2901" t="n">
        <v>4</v>
      </c>
      <c r="Z2901" t="n">
        <v>4</v>
      </c>
      <c r="AA2901" t="n">
        <v>4</v>
      </c>
      <c r="AB2901" t="n">
        <v>1</v>
      </c>
      <c r="AC2901" t="n">
        <v>1</v>
      </c>
      <c r="AD2901" t="n">
        <v>0</v>
      </c>
      <c r="AE2901" t="n">
        <v>0</v>
      </c>
      <c r="AF2901" t="n">
        <v>0</v>
      </c>
      <c r="AG2901" t="n">
        <v>0</v>
      </c>
      <c r="AH2901" t="n">
        <v>0</v>
      </c>
      <c r="AI2901" t="n">
        <v>0</v>
      </c>
      <c r="AJ2901" t="n">
        <v>0</v>
      </c>
      <c r="AK2901" t="n">
        <v>0</v>
      </c>
      <c r="AL2901" t="n">
        <v>0</v>
      </c>
      <c r="AM2901" t="n">
        <v>0</v>
      </c>
      <c r="AN2901" t="n">
        <v>0</v>
      </c>
      <c r="AO2901" t="n">
        <v>0</v>
      </c>
      <c r="AP2901" t="inlineStr">
        <is>
          <t>No</t>
        </is>
      </c>
      <c r="AQ2901" t="inlineStr">
        <is>
          <t>No</t>
        </is>
      </c>
      <c r="AS2901">
        <f>HYPERLINK("https://creighton-primo.hosted.exlibrisgroup.com/primo-explore/search?tab=default_tab&amp;search_scope=EVERYTHING&amp;vid=01CRU&amp;lang=en_US&amp;offset=0&amp;query=any,contains,991002938619702656","Catalog Record")</f>
        <v/>
      </c>
      <c r="AT2901">
        <f>HYPERLINK("http://www.worldcat.org/oclc/39093479","WorldCat Record")</f>
        <v/>
      </c>
      <c r="AU2901" t="inlineStr">
        <is>
          <t>3857052992:spa</t>
        </is>
      </c>
      <c r="AV2901" t="inlineStr">
        <is>
          <t>39093479</t>
        </is>
      </c>
      <c r="AW2901" t="inlineStr">
        <is>
          <t>991002938619702656</t>
        </is>
      </c>
      <c r="AX2901" t="inlineStr">
        <is>
          <t>991002938619702656</t>
        </is>
      </c>
      <c r="AY2901" t="inlineStr">
        <is>
          <t>2272756330002656</t>
        </is>
      </c>
      <c r="AZ2901" t="inlineStr">
        <is>
          <t>BOOK</t>
        </is>
      </c>
      <c r="BC2901" t="inlineStr">
        <is>
          <t>32285003433637</t>
        </is>
      </c>
      <c r="BD2901" t="inlineStr">
        <is>
          <t>893886929</t>
        </is>
      </c>
    </row>
    <row r="2902">
      <c r="A2902" t="inlineStr">
        <is>
          <t>No</t>
        </is>
      </c>
      <c r="B2902" t="inlineStr">
        <is>
          <t>HQ799.G3 H45613 2004</t>
        </is>
      </c>
      <c r="C2902" t="inlineStr">
        <is>
          <t>0                      HQ 0799000G  3                  H  45613       2004</t>
        </is>
      </c>
      <c r="D2902" t="inlineStr">
        <is>
          <t>After the Wall : confessions from an East German childhood and the life that came next / Jana Hensel ; translated by Jefferson Chase.</t>
        </is>
      </c>
      <c r="F2902" t="inlineStr">
        <is>
          <t>No</t>
        </is>
      </c>
      <c r="G2902" t="inlineStr">
        <is>
          <t>1</t>
        </is>
      </c>
      <c r="H2902" t="inlineStr">
        <is>
          <t>No</t>
        </is>
      </c>
      <c r="I2902" t="inlineStr">
        <is>
          <t>No</t>
        </is>
      </c>
      <c r="J2902" t="inlineStr">
        <is>
          <t>0</t>
        </is>
      </c>
      <c r="K2902" t="inlineStr">
        <is>
          <t>Hensel, Jana.</t>
        </is>
      </c>
      <c r="L2902" t="inlineStr">
        <is>
          <t>New York : Public Affairs, c2004.</t>
        </is>
      </c>
      <c r="M2902" t="inlineStr">
        <is>
          <t>2004</t>
        </is>
      </c>
      <c r="N2902" t="inlineStr">
        <is>
          <t>1st ed.</t>
        </is>
      </c>
      <c r="O2902" t="inlineStr">
        <is>
          <t>eng</t>
        </is>
      </c>
      <c r="P2902" t="inlineStr">
        <is>
          <t>nyu</t>
        </is>
      </c>
      <c r="R2902" t="inlineStr">
        <is>
          <t xml:space="preserve">HQ </t>
        </is>
      </c>
      <c r="S2902" t="n">
        <v>3</v>
      </c>
      <c r="T2902" t="n">
        <v>3</v>
      </c>
      <c r="U2902" t="inlineStr">
        <is>
          <t>2006-12-12</t>
        </is>
      </c>
      <c r="V2902" t="inlineStr">
        <is>
          <t>2006-12-12</t>
        </is>
      </c>
      <c r="W2902" t="inlineStr">
        <is>
          <t>2004-11-08</t>
        </is>
      </c>
      <c r="X2902" t="inlineStr">
        <is>
          <t>2004-11-08</t>
        </is>
      </c>
      <c r="Y2902" t="n">
        <v>472</v>
      </c>
      <c r="Z2902" t="n">
        <v>398</v>
      </c>
      <c r="AA2902" t="n">
        <v>421</v>
      </c>
      <c r="AB2902" t="n">
        <v>5</v>
      </c>
      <c r="AC2902" t="n">
        <v>5</v>
      </c>
      <c r="AD2902" t="n">
        <v>11</v>
      </c>
      <c r="AE2902" t="n">
        <v>12</v>
      </c>
      <c r="AF2902" t="n">
        <v>4</v>
      </c>
      <c r="AG2902" t="n">
        <v>4</v>
      </c>
      <c r="AH2902" t="n">
        <v>2</v>
      </c>
      <c r="AI2902" t="n">
        <v>3</v>
      </c>
      <c r="AJ2902" t="n">
        <v>5</v>
      </c>
      <c r="AK2902" t="n">
        <v>5</v>
      </c>
      <c r="AL2902" t="n">
        <v>3</v>
      </c>
      <c r="AM2902" t="n">
        <v>3</v>
      </c>
      <c r="AN2902" t="n">
        <v>0</v>
      </c>
      <c r="AO2902" t="n">
        <v>0</v>
      </c>
      <c r="AP2902" t="inlineStr">
        <is>
          <t>No</t>
        </is>
      </c>
      <c r="AQ2902" t="inlineStr">
        <is>
          <t>Yes</t>
        </is>
      </c>
      <c r="AR2902">
        <f>HYPERLINK("http://catalog.hathitrust.org/Record/004935837","HathiTrust Record")</f>
        <v/>
      </c>
      <c r="AS2902">
        <f>HYPERLINK("https://creighton-primo.hosted.exlibrisgroup.com/primo-explore/search?tab=default_tab&amp;search_scope=EVERYTHING&amp;vid=01CRU&amp;lang=en_US&amp;offset=0&amp;query=any,contains,991004365789702656","Catalog Record")</f>
        <v/>
      </c>
      <c r="AT2902">
        <f>HYPERLINK("http://www.worldcat.org/oclc/56330204","WorldCat Record")</f>
        <v/>
      </c>
      <c r="AU2902" t="inlineStr">
        <is>
          <t>6601757:eng</t>
        </is>
      </c>
      <c r="AV2902" t="inlineStr">
        <is>
          <t>56330204</t>
        </is>
      </c>
      <c r="AW2902" t="inlineStr">
        <is>
          <t>991004365789702656</t>
        </is>
      </c>
      <c r="AX2902" t="inlineStr">
        <is>
          <t>991004365789702656</t>
        </is>
      </c>
      <c r="AY2902" t="inlineStr">
        <is>
          <t>2258421930002656</t>
        </is>
      </c>
      <c r="AZ2902" t="inlineStr">
        <is>
          <t>BOOK</t>
        </is>
      </c>
      <c r="BB2902" t="inlineStr">
        <is>
          <t>9781586482664</t>
        </is>
      </c>
      <c r="BC2902" t="inlineStr">
        <is>
          <t>32285005009419</t>
        </is>
      </c>
      <c r="BD2902" t="inlineStr">
        <is>
          <t>893894903</t>
        </is>
      </c>
    </row>
    <row r="2903">
      <c r="A2903" t="inlineStr">
        <is>
          <t>No</t>
        </is>
      </c>
      <c r="B2903" t="inlineStr">
        <is>
          <t>HQ799.G35 A97 1993x</t>
        </is>
      </c>
      <c r="C2903" t="inlineStr">
        <is>
          <t>0                      HQ 0799000G  35                 A  97          1993x</t>
        </is>
      </c>
      <c r="D2903" t="inlineStr">
        <is>
          <t>Ausländerfeindlichkeit und rechtsextreme Orientierung bei der ostdeutschen Jugend / [Redaktion, Walter Friedrich].</t>
        </is>
      </c>
      <c r="F2903" t="inlineStr">
        <is>
          <t>No</t>
        </is>
      </c>
      <c r="G2903" t="inlineStr">
        <is>
          <t>1</t>
        </is>
      </c>
      <c r="H2903" t="inlineStr">
        <is>
          <t>No</t>
        </is>
      </c>
      <c r="I2903" t="inlineStr">
        <is>
          <t>No</t>
        </is>
      </c>
      <c r="J2903" t="inlineStr">
        <is>
          <t>0</t>
        </is>
      </c>
      <c r="L2903" t="inlineStr">
        <is>
          <t>Leipzig : Friedrich-Ebert-Stiftung, Büro Leipzig, [1993]</t>
        </is>
      </c>
      <c r="M2903" t="inlineStr">
        <is>
          <t>1992</t>
        </is>
      </c>
      <c r="O2903" t="inlineStr">
        <is>
          <t>ger</t>
        </is>
      </c>
      <c r="P2903" t="inlineStr">
        <is>
          <t xml:space="preserve">gw </t>
        </is>
      </c>
      <c r="R2903" t="inlineStr">
        <is>
          <t xml:space="preserve">HQ </t>
        </is>
      </c>
      <c r="S2903" t="n">
        <v>1</v>
      </c>
      <c r="T2903" t="n">
        <v>1</v>
      </c>
      <c r="U2903" t="inlineStr">
        <is>
          <t>2002-05-06</t>
        </is>
      </c>
      <c r="V2903" t="inlineStr">
        <is>
          <t>2002-05-06</t>
        </is>
      </c>
      <c r="W2903" t="inlineStr">
        <is>
          <t>2002-04-25</t>
        </is>
      </c>
      <c r="X2903" t="inlineStr">
        <is>
          <t>2002-04-25</t>
        </is>
      </c>
      <c r="Y2903" t="n">
        <v>18</v>
      </c>
      <c r="Z2903" t="n">
        <v>4</v>
      </c>
      <c r="AA2903" t="n">
        <v>4</v>
      </c>
      <c r="AB2903" t="n">
        <v>1</v>
      </c>
      <c r="AC2903" t="n">
        <v>1</v>
      </c>
      <c r="AD2903" t="n">
        <v>0</v>
      </c>
      <c r="AE2903" t="n">
        <v>0</v>
      </c>
      <c r="AF2903" t="n">
        <v>0</v>
      </c>
      <c r="AG2903" t="n">
        <v>0</v>
      </c>
      <c r="AH2903" t="n">
        <v>0</v>
      </c>
      <c r="AI2903" t="n">
        <v>0</v>
      </c>
      <c r="AJ2903" t="n">
        <v>0</v>
      </c>
      <c r="AK2903" t="n">
        <v>0</v>
      </c>
      <c r="AL2903" t="n">
        <v>0</v>
      </c>
      <c r="AM2903" t="n">
        <v>0</v>
      </c>
      <c r="AN2903" t="n">
        <v>0</v>
      </c>
      <c r="AO2903" t="n">
        <v>0</v>
      </c>
      <c r="AP2903" t="inlineStr">
        <is>
          <t>No</t>
        </is>
      </c>
      <c r="AQ2903" t="inlineStr">
        <is>
          <t>No</t>
        </is>
      </c>
      <c r="AS2903">
        <f>HYPERLINK("https://creighton-primo.hosted.exlibrisgroup.com/primo-explore/search?tab=default_tab&amp;search_scope=EVERYTHING&amp;vid=01CRU&amp;lang=en_US&amp;offset=0&amp;query=any,contains,991003769999702656","Catalog Record")</f>
        <v/>
      </c>
      <c r="AT2903">
        <f>HYPERLINK("http://www.worldcat.org/oclc/34337379","WorldCat Record")</f>
        <v/>
      </c>
      <c r="AU2903" t="inlineStr">
        <is>
          <t>180294663:ger</t>
        </is>
      </c>
      <c r="AV2903" t="inlineStr">
        <is>
          <t>34337379</t>
        </is>
      </c>
      <c r="AW2903" t="inlineStr">
        <is>
          <t>991003769999702656</t>
        </is>
      </c>
      <c r="AX2903" t="inlineStr">
        <is>
          <t>991003769999702656</t>
        </is>
      </c>
      <c r="AY2903" t="inlineStr">
        <is>
          <t>2257037630002656</t>
        </is>
      </c>
      <c r="AZ2903" t="inlineStr">
        <is>
          <t>BOOK</t>
        </is>
      </c>
      <c r="BB2903" t="inlineStr">
        <is>
          <t>9783860770023</t>
        </is>
      </c>
      <c r="BC2903" t="inlineStr">
        <is>
          <t>32285004483433</t>
        </is>
      </c>
      <c r="BD2903" t="inlineStr">
        <is>
          <t>893246718</t>
        </is>
      </c>
    </row>
    <row r="2904">
      <c r="A2904" t="inlineStr">
        <is>
          <t>No</t>
        </is>
      </c>
      <c r="B2904" t="inlineStr">
        <is>
          <t>HQ799.G7 W55 1990b</t>
        </is>
      </c>
      <c r="C2904" t="inlineStr">
        <is>
          <t>0                      HQ 0799000G  7                  W  55          1990b</t>
        </is>
      </c>
      <c r="D2904" t="inlineStr">
        <is>
          <t>Common culture : symbolic work at play in the everyday cultures of the young / Paul Willis ; with Simon Jones, Joyce Canaan and Geoff Hurd.</t>
        </is>
      </c>
      <c r="F2904" t="inlineStr">
        <is>
          <t>No</t>
        </is>
      </c>
      <c r="G2904" t="inlineStr">
        <is>
          <t>1</t>
        </is>
      </c>
      <c r="H2904" t="inlineStr">
        <is>
          <t>No</t>
        </is>
      </c>
      <c r="I2904" t="inlineStr">
        <is>
          <t>No</t>
        </is>
      </c>
      <c r="J2904" t="inlineStr">
        <is>
          <t>0</t>
        </is>
      </c>
      <c r="K2904" t="inlineStr">
        <is>
          <t>Willis, Paul E.</t>
        </is>
      </c>
      <c r="L2904" t="inlineStr">
        <is>
          <t>Boulder, Colo. : Westview Press, 1990.</t>
        </is>
      </c>
      <c r="M2904" t="inlineStr">
        <is>
          <t>1990</t>
        </is>
      </c>
      <c r="O2904" t="inlineStr">
        <is>
          <t>eng</t>
        </is>
      </c>
      <c r="P2904" t="inlineStr">
        <is>
          <t>cou</t>
        </is>
      </c>
      <c r="R2904" t="inlineStr">
        <is>
          <t xml:space="preserve">HQ </t>
        </is>
      </c>
      <c r="S2904" t="n">
        <v>3</v>
      </c>
      <c r="T2904" t="n">
        <v>3</v>
      </c>
      <c r="U2904" t="inlineStr">
        <is>
          <t>1994-11-15</t>
        </is>
      </c>
      <c r="V2904" t="inlineStr">
        <is>
          <t>1994-11-15</t>
        </is>
      </c>
      <c r="W2904" t="inlineStr">
        <is>
          <t>1991-03-14</t>
        </is>
      </c>
      <c r="X2904" t="inlineStr">
        <is>
          <t>1991-03-14</t>
        </is>
      </c>
      <c r="Y2904" t="n">
        <v>280</v>
      </c>
      <c r="Z2904" t="n">
        <v>222</v>
      </c>
      <c r="AA2904" t="n">
        <v>284</v>
      </c>
      <c r="AB2904" t="n">
        <v>1</v>
      </c>
      <c r="AC2904" t="n">
        <v>1</v>
      </c>
      <c r="AD2904" t="n">
        <v>13</v>
      </c>
      <c r="AE2904" t="n">
        <v>15</v>
      </c>
      <c r="AF2904" t="n">
        <v>6</v>
      </c>
      <c r="AG2904" t="n">
        <v>6</v>
      </c>
      <c r="AH2904" t="n">
        <v>4</v>
      </c>
      <c r="AI2904" t="n">
        <v>6</v>
      </c>
      <c r="AJ2904" t="n">
        <v>7</v>
      </c>
      <c r="AK2904" t="n">
        <v>8</v>
      </c>
      <c r="AL2904" t="n">
        <v>0</v>
      </c>
      <c r="AM2904" t="n">
        <v>0</v>
      </c>
      <c r="AN2904" t="n">
        <v>0</v>
      </c>
      <c r="AO2904" t="n">
        <v>0</v>
      </c>
      <c r="AP2904" t="inlineStr">
        <is>
          <t>No</t>
        </is>
      </c>
      <c r="AQ2904" t="inlineStr">
        <is>
          <t>No</t>
        </is>
      </c>
      <c r="AS2904">
        <f>HYPERLINK("https://creighton-primo.hosted.exlibrisgroup.com/primo-explore/search?tab=default_tab&amp;search_scope=EVERYTHING&amp;vid=01CRU&amp;lang=en_US&amp;offset=0&amp;query=any,contains,991001666489702656","Catalog Record")</f>
        <v/>
      </c>
      <c r="AT2904">
        <f>HYPERLINK("http://www.worldcat.org/oclc/21227184","WorldCat Record")</f>
        <v/>
      </c>
      <c r="AU2904" t="inlineStr">
        <is>
          <t>22439971:eng</t>
        </is>
      </c>
      <c r="AV2904" t="inlineStr">
        <is>
          <t>21227184</t>
        </is>
      </c>
      <c r="AW2904" t="inlineStr">
        <is>
          <t>991001666489702656</t>
        </is>
      </c>
      <c r="AX2904" t="inlineStr">
        <is>
          <t>991001666489702656</t>
        </is>
      </c>
      <c r="AY2904" t="inlineStr">
        <is>
          <t>2269346290002656</t>
        </is>
      </c>
      <c r="AZ2904" t="inlineStr">
        <is>
          <t>BOOK</t>
        </is>
      </c>
      <c r="BB2904" t="inlineStr">
        <is>
          <t>9780813310978</t>
        </is>
      </c>
      <c r="BC2904" t="inlineStr">
        <is>
          <t>32285000511583</t>
        </is>
      </c>
      <c r="BD2904" t="inlineStr">
        <is>
          <t>893503575</t>
        </is>
      </c>
    </row>
    <row r="2905">
      <c r="A2905" t="inlineStr">
        <is>
          <t>No</t>
        </is>
      </c>
      <c r="B2905" t="inlineStr">
        <is>
          <t>HQ799.I8 G34 2008</t>
        </is>
      </c>
      <c r="C2905" t="inlineStr">
        <is>
          <t>0                      HQ 0799000I  8                  G  34          2008</t>
        </is>
      </c>
      <c r="D2905" t="inlineStr">
        <is>
          <t>L'ospite inquietante : il nichilismo e i giovani / Umberto Galimberti.</t>
        </is>
      </c>
      <c r="F2905" t="inlineStr">
        <is>
          <t>No</t>
        </is>
      </c>
      <c r="G2905" t="inlineStr">
        <is>
          <t>1</t>
        </is>
      </c>
      <c r="H2905" t="inlineStr">
        <is>
          <t>No</t>
        </is>
      </c>
      <c r="I2905" t="inlineStr">
        <is>
          <t>No</t>
        </is>
      </c>
      <c r="J2905" t="inlineStr">
        <is>
          <t>0</t>
        </is>
      </c>
      <c r="K2905" t="inlineStr">
        <is>
          <t>Galimberti, Umberto.</t>
        </is>
      </c>
      <c r="L2905" t="inlineStr">
        <is>
          <t>Milano : Feltrinelli, 2008, c2007.</t>
        </is>
      </c>
      <c r="M2905" t="inlineStr">
        <is>
          <t>2008</t>
        </is>
      </c>
      <c r="N2905" t="inlineStr">
        <is>
          <t>Nona ed. aprile 2008.</t>
        </is>
      </c>
      <c r="O2905" t="inlineStr">
        <is>
          <t>ita</t>
        </is>
      </c>
      <c r="P2905" t="inlineStr">
        <is>
          <t xml:space="preserve">it </t>
        </is>
      </c>
      <c r="Q2905" t="inlineStr">
        <is>
          <t>Serie bianca/Feltrinelli</t>
        </is>
      </c>
      <c r="R2905" t="inlineStr">
        <is>
          <t xml:space="preserve">HQ </t>
        </is>
      </c>
      <c r="S2905" t="n">
        <v>7</v>
      </c>
      <c r="T2905" t="n">
        <v>7</v>
      </c>
      <c r="U2905" t="inlineStr">
        <is>
          <t>2010-09-17</t>
        </is>
      </c>
      <c r="V2905" t="inlineStr">
        <is>
          <t>2010-09-17</t>
        </is>
      </c>
      <c r="W2905" t="inlineStr">
        <is>
          <t>2008-09-24</t>
        </is>
      </c>
      <c r="X2905" t="inlineStr">
        <is>
          <t>2008-09-24</t>
        </is>
      </c>
      <c r="Y2905" t="n">
        <v>24</v>
      </c>
      <c r="Z2905" t="n">
        <v>16</v>
      </c>
      <c r="AA2905" t="n">
        <v>18</v>
      </c>
      <c r="AB2905" t="n">
        <v>1</v>
      </c>
      <c r="AC2905" t="n">
        <v>1</v>
      </c>
      <c r="AD2905" t="n">
        <v>1</v>
      </c>
      <c r="AE2905" t="n">
        <v>1</v>
      </c>
      <c r="AF2905" t="n">
        <v>0</v>
      </c>
      <c r="AG2905" t="n">
        <v>0</v>
      </c>
      <c r="AH2905" t="n">
        <v>1</v>
      </c>
      <c r="AI2905" t="n">
        <v>1</v>
      </c>
      <c r="AJ2905" t="n">
        <v>1</v>
      </c>
      <c r="AK2905" t="n">
        <v>1</v>
      </c>
      <c r="AL2905" t="n">
        <v>0</v>
      </c>
      <c r="AM2905" t="n">
        <v>0</v>
      </c>
      <c r="AN2905" t="n">
        <v>0</v>
      </c>
      <c r="AO2905" t="n">
        <v>0</v>
      </c>
      <c r="AP2905" t="inlineStr">
        <is>
          <t>No</t>
        </is>
      </c>
      <c r="AQ2905" t="inlineStr">
        <is>
          <t>Yes</t>
        </is>
      </c>
      <c r="AR2905">
        <f>HYPERLINK("http://catalog.hathitrust.org/Record/010621471","HathiTrust Record")</f>
        <v/>
      </c>
      <c r="AS2905">
        <f>HYPERLINK("https://creighton-primo.hosted.exlibrisgroup.com/primo-explore/search?tab=default_tab&amp;search_scope=EVERYTHING&amp;vid=01CRU&amp;lang=en_US&amp;offset=0&amp;query=any,contains,991005269689702656","Catalog Record")</f>
        <v/>
      </c>
      <c r="AT2905">
        <f>HYPERLINK("http://www.worldcat.org/oclc/180014325","WorldCat Record")</f>
        <v/>
      </c>
      <c r="AU2905" t="inlineStr">
        <is>
          <t>849331877:ita</t>
        </is>
      </c>
      <c r="AV2905" t="inlineStr">
        <is>
          <t>180014325</t>
        </is>
      </c>
      <c r="AW2905" t="inlineStr">
        <is>
          <t>991005269689702656</t>
        </is>
      </c>
      <c r="AX2905" t="inlineStr">
        <is>
          <t>991005269689702656</t>
        </is>
      </c>
      <c r="AY2905" t="inlineStr">
        <is>
          <t>2265808800002656</t>
        </is>
      </c>
      <c r="AZ2905" t="inlineStr">
        <is>
          <t>BOOK</t>
        </is>
      </c>
      <c r="BB2905" t="inlineStr">
        <is>
          <t>9788807171437</t>
        </is>
      </c>
      <c r="BC2905" t="inlineStr">
        <is>
          <t>32285005460216</t>
        </is>
      </c>
      <c r="BD2905" t="inlineStr">
        <is>
          <t>893877224</t>
        </is>
      </c>
    </row>
    <row r="2906">
      <c r="A2906" t="inlineStr">
        <is>
          <t>No</t>
        </is>
      </c>
      <c r="B2906" t="inlineStr">
        <is>
          <t>HQ799.S692 M673 1991</t>
        </is>
      </c>
      <c r="C2906" t="inlineStr">
        <is>
          <t>0                      HQ 0799000S  692                M  673         1991</t>
        </is>
      </c>
      <c r="D2906" t="inlineStr">
        <is>
          <t>The "children of Perestroika" : Moscow teenagers talk about their lives and the future / Deborah Adelman ; narratives translated by Deborah Adelman, Fay Greenbaum, and Sharon Mckee.</t>
        </is>
      </c>
      <c r="F2906" t="inlineStr">
        <is>
          <t>No</t>
        </is>
      </c>
      <c r="G2906" t="inlineStr">
        <is>
          <t>1</t>
        </is>
      </c>
      <c r="H2906" t="inlineStr">
        <is>
          <t>No</t>
        </is>
      </c>
      <c r="I2906" t="inlineStr">
        <is>
          <t>No</t>
        </is>
      </c>
      <c r="J2906" t="inlineStr">
        <is>
          <t>0</t>
        </is>
      </c>
      <c r="K2906" t="inlineStr">
        <is>
          <t>Adelman, Deborah.</t>
        </is>
      </c>
      <c r="L2906" t="inlineStr">
        <is>
          <t>Armonk, N.Y. : M.E. Sharpe, c1991.</t>
        </is>
      </c>
      <c r="M2906" t="inlineStr">
        <is>
          <t>1991</t>
        </is>
      </c>
      <c r="O2906" t="inlineStr">
        <is>
          <t>eng</t>
        </is>
      </c>
      <c r="P2906" t="inlineStr">
        <is>
          <t>nyu</t>
        </is>
      </c>
      <c r="R2906" t="inlineStr">
        <is>
          <t xml:space="preserve">HQ </t>
        </is>
      </c>
      <c r="S2906" t="n">
        <v>4</v>
      </c>
      <c r="T2906" t="n">
        <v>4</v>
      </c>
      <c r="U2906" t="inlineStr">
        <is>
          <t>1998-04-06</t>
        </is>
      </c>
      <c r="V2906" t="inlineStr">
        <is>
          <t>1998-04-06</t>
        </is>
      </c>
      <c r="W2906" t="inlineStr">
        <is>
          <t>1993-07-12</t>
        </is>
      </c>
      <c r="X2906" t="inlineStr">
        <is>
          <t>1993-07-12</t>
        </is>
      </c>
      <c r="Y2906" t="n">
        <v>406</v>
      </c>
      <c r="Z2906" t="n">
        <v>364</v>
      </c>
      <c r="AA2906" t="n">
        <v>877</v>
      </c>
      <c r="AB2906" t="n">
        <v>4</v>
      </c>
      <c r="AC2906" t="n">
        <v>5</v>
      </c>
      <c r="AD2906" t="n">
        <v>13</v>
      </c>
      <c r="AE2906" t="n">
        <v>24</v>
      </c>
      <c r="AF2906" t="n">
        <v>5</v>
      </c>
      <c r="AG2906" t="n">
        <v>12</v>
      </c>
      <c r="AH2906" t="n">
        <v>5</v>
      </c>
      <c r="AI2906" t="n">
        <v>9</v>
      </c>
      <c r="AJ2906" t="n">
        <v>6</v>
      </c>
      <c r="AK2906" t="n">
        <v>10</v>
      </c>
      <c r="AL2906" t="n">
        <v>1</v>
      </c>
      <c r="AM2906" t="n">
        <v>2</v>
      </c>
      <c r="AN2906" t="n">
        <v>0</v>
      </c>
      <c r="AO2906" t="n">
        <v>0</v>
      </c>
      <c r="AP2906" t="inlineStr">
        <is>
          <t>No</t>
        </is>
      </c>
      <c r="AQ2906" t="inlineStr">
        <is>
          <t>No</t>
        </is>
      </c>
      <c r="AS2906">
        <f>HYPERLINK("https://creighton-primo.hosted.exlibrisgroup.com/primo-explore/search?tab=default_tab&amp;search_scope=EVERYTHING&amp;vid=01CRU&amp;lang=en_US&amp;offset=0&amp;query=any,contains,991001818419702656","Catalog Record")</f>
        <v/>
      </c>
      <c r="AT2906">
        <f>HYPERLINK("http://www.worldcat.org/oclc/22861769","WorldCat Record")</f>
        <v/>
      </c>
      <c r="AU2906" t="inlineStr">
        <is>
          <t>1049452:eng</t>
        </is>
      </c>
      <c r="AV2906" t="inlineStr">
        <is>
          <t>22861769</t>
        </is>
      </c>
      <c r="AW2906" t="inlineStr">
        <is>
          <t>991001818419702656</t>
        </is>
      </c>
      <c r="AX2906" t="inlineStr">
        <is>
          <t>991001818419702656</t>
        </is>
      </c>
      <c r="AY2906" t="inlineStr">
        <is>
          <t>2270276750002656</t>
        </is>
      </c>
      <c r="AZ2906" t="inlineStr">
        <is>
          <t>BOOK</t>
        </is>
      </c>
      <c r="BB2906" t="inlineStr">
        <is>
          <t>9781563240003</t>
        </is>
      </c>
      <c r="BC2906" t="inlineStr">
        <is>
          <t>32285001701811</t>
        </is>
      </c>
      <c r="BD2906" t="inlineStr">
        <is>
          <t>893772935</t>
        </is>
      </c>
    </row>
    <row r="2907">
      <c r="A2907" t="inlineStr">
        <is>
          <t>No</t>
        </is>
      </c>
      <c r="B2907" t="inlineStr">
        <is>
          <t>HQ799.U65 R65 1999</t>
        </is>
      </c>
      <c r="C2907" t="inlineStr">
        <is>
          <t>0                      HQ 0799000U  65                 R  65          1999</t>
        </is>
      </c>
      <c r="D2907" t="inlineStr">
        <is>
          <t>Twentieth-century teen culture by the decades : a reference guide / Lucy Rollin.</t>
        </is>
      </c>
      <c r="F2907" t="inlineStr">
        <is>
          <t>No</t>
        </is>
      </c>
      <c r="G2907" t="inlineStr">
        <is>
          <t>1</t>
        </is>
      </c>
      <c r="H2907" t="inlineStr">
        <is>
          <t>No</t>
        </is>
      </c>
      <c r="I2907" t="inlineStr">
        <is>
          <t>No</t>
        </is>
      </c>
      <c r="J2907" t="inlineStr">
        <is>
          <t>0</t>
        </is>
      </c>
      <c r="K2907" t="inlineStr">
        <is>
          <t>Rollin, Lucy.</t>
        </is>
      </c>
      <c r="L2907" t="inlineStr">
        <is>
          <t>Westport, Conn. : Greenwood Press, 1999.</t>
        </is>
      </c>
      <c r="M2907" t="inlineStr">
        <is>
          <t>1999</t>
        </is>
      </c>
      <c r="O2907" t="inlineStr">
        <is>
          <t>eng</t>
        </is>
      </c>
      <c r="P2907" t="inlineStr">
        <is>
          <t>ctu</t>
        </is>
      </c>
      <c r="R2907" t="inlineStr">
        <is>
          <t xml:space="preserve">HQ </t>
        </is>
      </c>
      <c r="S2907" t="n">
        <v>4</v>
      </c>
      <c r="T2907" t="n">
        <v>4</v>
      </c>
      <c r="U2907" t="inlineStr">
        <is>
          <t>2001-10-04</t>
        </is>
      </c>
      <c r="V2907" t="inlineStr">
        <is>
          <t>2001-10-04</t>
        </is>
      </c>
      <c r="W2907" t="inlineStr">
        <is>
          <t>2000-12-20</t>
        </is>
      </c>
      <c r="X2907" t="inlineStr">
        <is>
          <t>2000-12-20</t>
        </is>
      </c>
      <c r="Y2907" t="n">
        <v>1110</v>
      </c>
      <c r="Z2907" t="n">
        <v>1034</v>
      </c>
      <c r="AA2907" t="n">
        <v>1043</v>
      </c>
      <c r="AB2907" t="n">
        <v>7</v>
      </c>
      <c r="AC2907" t="n">
        <v>7</v>
      </c>
      <c r="AD2907" t="n">
        <v>27</v>
      </c>
      <c r="AE2907" t="n">
        <v>27</v>
      </c>
      <c r="AF2907" t="n">
        <v>12</v>
      </c>
      <c r="AG2907" t="n">
        <v>12</v>
      </c>
      <c r="AH2907" t="n">
        <v>5</v>
      </c>
      <c r="AI2907" t="n">
        <v>5</v>
      </c>
      <c r="AJ2907" t="n">
        <v>11</v>
      </c>
      <c r="AK2907" t="n">
        <v>11</v>
      </c>
      <c r="AL2907" t="n">
        <v>4</v>
      </c>
      <c r="AM2907" t="n">
        <v>4</v>
      </c>
      <c r="AN2907" t="n">
        <v>0</v>
      </c>
      <c r="AO2907" t="n">
        <v>0</v>
      </c>
      <c r="AP2907" t="inlineStr">
        <is>
          <t>No</t>
        </is>
      </c>
      <c r="AQ2907" t="inlineStr">
        <is>
          <t>Yes</t>
        </is>
      </c>
      <c r="AR2907">
        <f>HYPERLINK("http://catalog.hathitrust.org/Record/004068028","HathiTrust Record")</f>
        <v/>
      </c>
      <c r="AS2907">
        <f>HYPERLINK("https://creighton-primo.hosted.exlibrisgroup.com/primo-explore/search?tab=default_tab&amp;search_scope=EVERYTHING&amp;vid=01CRU&amp;lang=en_US&amp;offset=0&amp;query=any,contains,991003320369702656","Catalog Record")</f>
        <v/>
      </c>
      <c r="AT2907">
        <f>HYPERLINK("http://www.worldcat.org/oclc/40444041","WorldCat Record")</f>
        <v/>
      </c>
      <c r="AU2907" t="inlineStr">
        <is>
          <t>837025324:eng</t>
        </is>
      </c>
      <c r="AV2907" t="inlineStr">
        <is>
          <t>40444041</t>
        </is>
      </c>
      <c r="AW2907" t="inlineStr">
        <is>
          <t>991003320369702656</t>
        </is>
      </c>
      <c r="AX2907" t="inlineStr">
        <is>
          <t>991003320369702656</t>
        </is>
      </c>
      <c r="AY2907" t="inlineStr">
        <is>
          <t>2271356650002656</t>
        </is>
      </c>
      <c r="AZ2907" t="inlineStr">
        <is>
          <t>BOOK</t>
        </is>
      </c>
      <c r="BB2907" t="inlineStr">
        <is>
          <t>9780313302237</t>
        </is>
      </c>
      <c r="BC2907" t="inlineStr">
        <is>
          <t>32285004278429</t>
        </is>
      </c>
      <c r="BD2907" t="inlineStr">
        <is>
          <t>893246242</t>
        </is>
      </c>
    </row>
    <row r="2908">
      <c r="A2908" t="inlineStr">
        <is>
          <t>No</t>
        </is>
      </c>
      <c r="B2908" t="inlineStr">
        <is>
          <t>HQ800 .C313</t>
        </is>
      </c>
      <c r="C2908" t="inlineStr">
        <is>
          <t>0                      HQ 0800000C  313</t>
        </is>
      </c>
      <c r="D2908" t="inlineStr">
        <is>
          <t>The vocation of the single woman : a symposium of views and testimonies / Introduced by A. M. Carré; translated by Una Morrissy.</t>
        </is>
      </c>
      <c r="F2908" t="inlineStr">
        <is>
          <t>No</t>
        </is>
      </c>
      <c r="G2908" t="inlineStr">
        <is>
          <t>1</t>
        </is>
      </c>
      <c r="H2908" t="inlineStr">
        <is>
          <t>No</t>
        </is>
      </c>
      <c r="I2908" t="inlineStr">
        <is>
          <t>No</t>
        </is>
      </c>
      <c r="J2908" t="inlineStr">
        <is>
          <t>0</t>
        </is>
      </c>
      <c r="K2908" t="inlineStr">
        <is>
          <t>Carré, A.-M. (Ambroise-Marie), 1908-2004, editor.</t>
        </is>
      </c>
      <c r="L2908" t="inlineStr">
        <is>
          <t>New York : P. J. Kenedy, [1960]</t>
        </is>
      </c>
      <c r="M2908" t="inlineStr">
        <is>
          <t>1960</t>
        </is>
      </c>
      <c r="O2908" t="inlineStr">
        <is>
          <t>eng</t>
        </is>
      </c>
      <c r="P2908" t="inlineStr">
        <is>
          <t xml:space="preserve">xx </t>
        </is>
      </c>
      <c r="R2908" t="inlineStr">
        <is>
          <t xml:space="preserve">HQ </t>
        </is>
      </c>
      <c r="S2908" t="n">
        <v>3</v>
      </c>
      <c r="T2908" t="n">
        <v>3</v>
      </c>
      <c r="U2908" t="inlineStr">
        <is>
          <t>1993-01-21</t>
        </is>
      </c>
      <c r="V2908" t="inlineStr">
        <is>
          <t>1993-01-21</t>
        </is>
      </c>
      <c r="W2908" t="inlineStr">
        <is>
          <t>1991-02-19</t>
        </is>
      </c>
      <c r="X2908" t="inlineStr">
        <is>
          <t>1991-02-19</t>
        </is>
      </c>
      <c r="Y2908" t="n">
        <v>144</v>
      </c>
      <c r="Z2908" t="n">
        <v>132</v>
      </c>
      <c r="AA2908" t="n">
        <v>137</v>
      </c>
      <c r="AB2908" t="n">
        <v>2</v>
      </c>
      <c r="AC2908" t="n">
        <v>2</v>
      </c>
      <c r="AD2908" t="n">
        <v>18</v>
      </c>
      <c r="AE2908" t="n">
        <v>18</v>
      </c>
      <c r="AF2908" t="n">
        <v>7</v>
      </c>
      <c r="AG2908" t="n">
        <v>7</v>
      </c>
      <c r="AH2908" t="n">
        <v>5</v>
      </c>
      <c r="AI2908" t="n">
        <v>5</v>
      </c>
      <c r="AJ2908" t="n">
        <v>14</v>
      </c>
      <c r="AK2908" t="n">
        <v>14</v>
      </c>
      <c r="AL2908" t="n">
        <v>0</v>
      </c>
      <c r="AM2908" t="n">
        <v>0</v>
      </c>
      <c r="AN2908" t="n">
        <v>0</v>
      </c>
      <c r="AO2908" t="n">
        <v>0</v>
      </c>
      <c r="AP2908" t="inlineStr">
        <is>
          <t>No</t>
        </is>
      </c>
      <c r="AQ2908" t="inlineStr">
        <is>
          <t>No</t>
        </is>
      </c>
      <c r="AS2908">
        <f>HYPERLINK("https://creighton-primo.hosted.exlibrisgroup.com/primo-explore/search?tab=default_tab&amp;search_scope=EVERYTHING&amp;vid=01CRU&amp;lang=en_US&amp;offset=0&amp;query=any,contains,991003438419702656","Catalog Record")</f>
        <v/>
      </c>
      <c r="AT2908">
        <f>HYPERLINK("http://www.worldcat.org/oclc/974247","WorldCat Record")</f>
        <v/>
      </c>
      <c r="AU2908" t="inlineStr">
        <is>
          <t>2910681977:eng</t>
        </is>
      </c>
      <c r="AV2908" t="inlineStr">
        <is>
          <t>974247</t>
        </is>
      </c>
      <c r="AW2908" t="inlineStr">
        <is>
          <t>991003438419702656</t>
        </is>
      </c>
      <c r="AX2908" t="inlineStr">
        <is>
          <t>991003438419702656</t>
        </is>
      </c>
      <c r="AY2908" t="inlineStr">
        <is>
          <t>2257762330002656</t>
        </is>
      </c>
      <c r="AZ2908" t="inlineStr">
        <is>
          <t>BOOK</t>
        </is>
      </c>
      <c r="BC2908" t="inlineStr">
        <is>
          <t>32285000497593</t>
        </is>
      </c>
      <c r="BD2908" t="inlineStr">
        <is>
          <t>893592520</t>
        </is>
      </c>
    </row>
    <row r="2909">
      <c r="A2909" t="inlineStr">
        <is>
          <t>No</t>
        </is>
      </c>
      <c r="B2909" t="inlineStr">
        <is>
          <t>HQ800 .F2 1964</t>
        </is>
      </c>
      <c r="C2909" t="inlineStr">
        <is>
          <t>0                      HQ 0800000F  2           1964</t>
        </is>
      </c>
      <c r="D2909" t="inlineStr">
        <is>
          <t>Living alone : a guide for the single woman / William B. Faherty.</t>
        </is>
      </c>
      <c r="F2909" t="inlineStr">
        <is>
          <t>No</t>
        </is>
      </c>
      <c r="G2909" t="inlineStr">
        <is>
          <t>1</t>
        </is>
      </c>
      <c r="H2909" t="inlineStr">
        <is>
          <t>No</t>
        </is>
      </c>
      <c r="I2909" t="inlineStr">
        <is>
          <t>No</t>
        </is>
      </c>
      <c r="J2909" t="inlineStr">
        <is>
          <t>0</t>
        </is>
      </c>
      <c r="K2909" t="inlineStr">
        <is>
          <t>Faherty, William Barnaby, 1914-2011.</t>
        </is>
      </c>
      <c r="L2909" t="inlineStr">
        <is>
          <t>New York : Sheed &amp; Ward, [1964]</t>
        </is>
      </c>
      <c r="M2909" t="inlineStr">
        <is>
          <t>1964</t>
        </is>
      </c>
      <c r="O2909" t="inlineStr">
        <is>
          <t>eng</t>
        </is>
      </c>
      <c r="P2909" t="inlineStr">
        <is>
          <t>nyu</t>
        </is>
      </c>
      <c r="R2909" t="inlineStr">
        <is>
          <t xml:space="preserve">HQ </t>
        </is>
      </c>
      <c r="S2909" t="n">
        <v>3</v>
      </c>
      <c r="T2909" t="n">
        <v>3</v>
      </c>
      <c r="U2909" t="inlineStr">
        <is>
          <t>1994-07-05</t>
        </is>
      </c>
      <c r="V2909" t="inlineStr">
        <is>
          <t>1994-07-05</t>
        </is>
      </c>
      <c r="W2909" t="inlineStr">
        <is>
          <t>1992-05-04</t>
        </is>
      </c>
      <c r="X2909" t="inlineStr">
        <is>
          <t>1992-05-04</t>
        </is>
      </c>
      <c r="Y2909" t="n">
        <v>111</v>
      </c>
      <c r="Z2909" t="n">
        <v>102</v>
      </c>
      <c r="AA2909" t="n">
        <v>112</v>
      </c>
      <c r="AB2909" t="n">
        <v>1</v>
      </c>
      <c r="AC2909" t="n">
        <v>1</v>
      </c>
      <c r="AD2909" t="n">
        <v>16</v>
      </c>
      <c r="AE2909" t="n">
        <v>16</v>
      </c>
      <c r="AF2909" t="n">
        <v>5</v>
      </c>
      <c r="AG2909" t="n">
        <v>5</v>
      </c>
      <c r="AH2909" t="n">
        <v>3</v>
      </c>
      <c r="AI2909" t="n">
        <v>3</v>
      </c>
      <c r="AJ2909" t="n">
        <v>14</v>
      </c>
      <c r="AK2909" t="n">
        <v>14</v>
      </c>
      <c r="AL2909" t="n">
        <v>0</v>
      </c>
      <c r="AM2909" t="n">
        <v>0</v>
      </c>
      <c r="AN2909" t="n">
        <v>0</v>
      </c>
      <c r="AO2909" t="n">
        <v>0</v>
      </c>
      <c r="AP2909" t="inlineStr">
        <is>
          <t>No</t>
        </is>
      </c>
      <c r="AQ2909" t="inlineStr">
        <is>
          <t>No</t>
        </is>
      </c>
      <c r="AS2909">
        <f>HYPERLINK("https://creighton-primo.hosted.exlibrisgroup.com/primo-explore/search?tab=default_tab&amp;search_scope=EVERYTHING&amp;vid=01CRU&amp;lang=en_US&amp;offset=0&amp;query=any,contains,991003868249702656","Catalog Record")</f>
        <v/>
      </c>
      <c r="AT2909">
        <f>HYPERLINK("http://www.worldcat.org/oclc/1684572","WorldCat Record")</f>
        <v/>
      </c>
      <c r="AU2909" t="inlineStr">
        <is>
          <t>32183130:eng</t>
        </is>
      </c>
      <c r="AV2909" t="inlineStr">
        <is>
          <t>1684572</t>
        </is>
      </c>
      <c r="AW2909" t="inlineStr">
        <is>
          <t>991003868249702656</t>
        </is>
      </c>
      <c r="AX2909" t="inlineStr">
        <is>
          <t>991003868249702656</t>
        </is>
      </c>
      <c r="AY2909" t="inlineStr">
        <is>
          <t>2272806660002656</t>
        </is>
      </c>
      <c r="AZ2909" t="inlineStr">
        <is>
          <t>BOOK</t>
        </is>
      </c>
      <c r="BC2909" t="inlineStr">
        <is>
          <t>32285001092948</t>
        </is>
      </c>
      <c r="BD2909" t="inlineStr">
        <is>
          <t>893258988</t>
        </is>
      </c>
    </row>
    <row r="2910">
      <c r="A2910" t="inlineStr">
        <is>
          <t>No</t>
        </is>
      </c>
      <c r="B2910" t="inlineStr">
        <is>
          <t>HQ800 .G48 1974</t>
        </is>
      </c>
      <c r="C2910" t="inlineStr">
        <is>
          <t>0                      HQ 0800000G  48          1974</t>
        </is>
      </c>
      <c r="D2910" t="inlineStr">
        <is>
          <t>Naked nomads; unmarried men in America [by] George Gilder.</t>
        </is>
      </c>
      <c r="F2910" t="inlineStr">
        <is>
          <t>No</t>
        </is>
      </c>
      <c r="G2910" t="inlineStr">
        <is>
          <t>1</t>
        </is>
      </c>
      <c r="H2910" t="inlineStr">
        <is>
          <t>No</t>
        </is>
      </c>
      <c r="I2910" t="inlineStr">
        <is>
          <t>No</t>
        </is>
      </c>
      <c r="J2910" t="inlineStr">
        <is>
          <t>0</t>
        </is>
      </c>
      <c r="K2910" t="inlineStr">
        <is>
          <t>Gilder, George F., 1939-</t>
        </is>
      </c>
      <c r="L2910" t="inlineStr">
        <is>
          <t>[New York] Quadrangle/New York Times Book Co. [1974]</t>
        </is>
      </c>
      <c r="M2910" t="inlineStr">
        <is>
          <t>1974</t>
        </is>
      </c>
      <c r="O2910" t="inlineStr">
        <is>
          <t>eng</t>
        </is>
      </c>
      <c r="P2910" t="inlineStr">
        <is>
          <t>nyu</t>
        </is>
      </c>
      <c r="R2910" t="inlineStr">
        <is>
          <t xml:space="preserve">HQ </t>
        </is>
      </c>
      <c r="S2910" t="n">
        <v>1</v>
      </c>
      <c r="T2910" t="n">
        <v>1</v>
      </c>
      <c r="U2910" t="inlineStr">
        <is>
          <t>1993-01-21</t>
        </is>
      </c>
      <c r="V2910" t="inlineStr">
        <is>
          <t>1993-01-21</t>
        </is>
      </c>
      <c r="W2910" t="inlineStr">
        <is>
          <t>1992-11-16</t>
        </is>
      </c>
      <c r="X2910" t="inlineStr">
        <is>
          <t>1992-11-16</t>
        </is>
      </c>
      <c r="Y2910" t="n">
        <v>466</v>
      </c>
      <c r="Z2910" t="n">
        <v>432</v>
      </c>
      <c r="AA2910" t="n">
        <v>434</v>
      </c>
      <c r="AB2910" t="n">
        <v>2</v>
      </c>
      <c r="AC2910" t="n">
        <v>2</v>
      </c>
      <c r="AD2910" t="n">
        <v>11</v>
      </c>
      <c r="AE2910" t="n">
        <v>11</v>
      </c>
      <c r="AF2910" t="n">
        <v>2</v>
      </c>
      <c r="AG2910" t="n">
        <v>2</v>
      </c>
      <c r="AH2910" t="n">
        <v>1</v>
      </c>
      <c r="AI2910" t="n">
        <v>1</v>
      </c>
      <c r="AJ2910" t="n">
        <v>9</v>
      </c>
      <c r="AK2910" t="n">
        <v>9</v>
      </c>
      <c r="AL2910" t="n">
        <v>1</v>
      </c>
      <c r="AM2910" t="n">
        <v>1</v>
      </c>
      <c r="AN2910" t="n">
        <v>0</v>
      </c>
      <c r="AO2910" t="n">
        <v>0</v>
      </c>
      <c r="AP2910" t="inlineStr">
        <is>
          <t>No</t>
        </is>
      </c>
      <c r="AQ2910" t="inlineStr">
        <is>
          <t>Yes</t>
        </is>
      </c>
      <c r="AR2910">
        <f>HYPERLINK("http://catalog.hathitrust.org/Record/000017716","HathiTrust Record")</f>
        <v/>
      </c>
      <c r="AS2910">
        <f>HYPERLINK("https://creighton-primo.hosted.exlibrisgroup.com/primo-explore/search?tab=default_tab&amp;search_scope=EVERYTHING&amp;vid=01CRU&amp;lang=en_US&amp;offset=0&amp;query=any,contains,991003485279702656","Catalog Record")</f>
        <v/>
      </c>
      <c r="AT2910">
        <f>HYPERLINK("http://www.worldcat.org/oclc/1032363","WorldCat Record")</f>
        <v/>
      </c>
      <c r="AU2910" t="inlineStr">
        <is>
          <t>1981166:eng</t>
        </is>
      </c>
      <c r="AV2910" t="inlineStr">
        <is>
          <t>1032363</t>
        </is>
      </c>
      <c r="AW2910" t="inlineStr">
        <is>
          <t>991003485279702656</t>
        </is>
      </c>
      <c r="AX2910" t="inlineStr">
        <is>
          <t>991003485279702656</t>
        </is>
      </c>
      <c r="AY2910" t="inlineStr">
        <is>
          <t>2268134000002656</t>
        </is>
      </c>
      <c r="AZ2910" t="inlineStr">
        <is>
          <t>BOOK</t>
        </is>
      </c>
      <c r="BB2910" t="inlineStr">
        <is>
          <t>9780812904956</t>
        </is>
      </c>
      <c r="BC2910" t="inlineStr">
        <is>
          <t>32285001396547</t>
        </is>
      </c>
      <c r="BD2910" t="inlineStr">
        <is>
          <t>893435035</t>
        </is>
      </c>
    </row>
    <row r="2911">
      <c r="A2911" t="inlineStr">
        <is>
          <t>No</t>
        </is>
      </c>
      <c r="B2911" t="inlineStr">
        <is>
          <t>HQ800 .K72 1979</t>
        </is>
      </c>
      <c r="C2911" t="inlineStr">
        <is>
          <t>0                      HQ 0800000K  72          1979</t>
        </is>
      </c>
      <c r="D2911" t="inlineStr">
        <is>
          <t>Sexual dimensions of the celibate life / William Kraft.</t>
        </is>
      </c>
      <c r="F2911" t="inlineStr">
        <is>
          <t>No</t>
        </is>
      </c>
      <c r="G2911" t="inlineStr">
        <is>
          <t>1</t>
        </is>
      </c>
      <c r="H2911" t="inlineStr">
        <is>
          <t>No</t>
        </is>
      </c>
      <c r="I2911" t="inlineStr">
        <is>
          <t>No</t>
        </is>
      </c>
      <c r="J2911" t="inlineStr">
        <is>
          <t>0</t>
        </is>
      </c>
      <c r="K2911" t="inlineStr">
        <is>
          <t>Kraft, William F., 1938-</t>
        </is>
      </c>
      <c r="L2911" t="inlineStr">
        <is>
          <t>Kansas City, Kan. : Andrews and McMeel, c1979.</t>
        </is>
      </c>
      <c r="M2911" t="inlineStr">
        <is>
          <t>1979</t>
        </is>
      </c>
      <c r="O2911" t="inlineStr">
        <is>
          <t>eng</t>
        </is>
      </c>
      <c r="P2911" t="inlineStr">
        <is>
          <t>ksu</t>
        </is>
      </c>
      <c r="R2911" t="inlineStr">
        <is>
          <t xml:space="preserve">HQ </t>
        </is>
      </c>
      <c r="S2911" t="n">
        <v>2</v>
      </c>
      <c r="T2911" t="n">
        <v>2</v>
      </c>
      <c r="U2911" t="inlineStr">
        <is>
          <t>2002-09-07</t>
        </is>
      </c>
      <c r="V2911" t="inlineStr">
        <is>
          <t>2002-09-07</t>
        </is>
      </c>
      <c r="W2911" t="inlineStr">
        <is>
          <t>2002-08-13</t>
        </is>
      </c>
      <c r="X2911" t="inlineStr">
        <is>
          <t>2002-08-13</t>
        </is>
      </c>
      <c r="Y2911" t="n">
        <v>207</v>
      </c>
      <c r="Z2911" t="n">
        <v>184</v>
      </c>
      <c r="AA2911" t="n">
        <v>185</v>
      </c>
      <c r="AB2911" t="n">
        <v>1</v>
      </c>
      <c r="AC2911" t="n">
        <v>1</v>
      </c>
      <c r="AD2911" t="n">
        <v>11</v>
      </c>
      <c r="AE2911" t="n">
        <v>11</v>
      </c>
      <c r="AF2911" t="n">
        <v>2</v>
      </c>
      <c r="AG2911" t="n">
        <v>2</v>
      </c>
      <c r="AH2911" t="n">
        <v>2</v>
      </c>
      <c r="AI2911" t="n">
        <v>2</v>
      </c>
      <c r="AJ2911" t="n">
        <v>10</v>
      </c>
      <c r="AK2911" t="n">
        <v>10</v>
      </c>
      <c r="AL2911" t="n">
        <v>0</v>
      </c>
      <c r="AM2911" t="n">
        <v>0</v>
      </c>
      <c r="AN2911" t="n">
        <v>0</v>
      </c>
      <c r="AO2911" t="n">
        <v>0</v>
      </c>
      <c r="AP2911" t="inlineStr">
        <is>
          <t>No</t>
        </is>
      </c>
      <c r="AQ2911" t="inlineStr">
        <is>
          <t>No</t>
        </is>
      </c>
      <c r="AS2911">
        <f>HYPERLINK("https://creighton-primo.hosted.exlibrisgroup.com/primo-explore/search?tab=default_tab&amp;search_scope=EVERYTHING&amp;vid=01CRU&amp;lang=en_US&amp;offset=0&amp;query=any,contains,991003855729702656","Catalog Record")</f>
        <v/>
      </c>
      <c r="AT2911">
        <f>HYPERLINK("http://www.worldcat.org/oclc/4591293","WorldCat Record")</f>
        <v/>
      </c>
      <c r="AU2911" t="inlineStr">
        <is>
          <t>14918822:eng</t>
        </is>
      </c>
      <c r="AV2911" t="inlineStr">
        <is>
          <t>4591293</t>
        </is>
      </c>
      <c r="AW2911" t="inlineStr">
        <is>
          <t>991003855729702656</t>
        </is>
      </c>
      <c r="AX2911" t="inlineStr">
        <is>
          <t>991003855729702656</t>
        </is>
      </c>
      <c r="AY2911" t="inlineStr">
        <is>
          <t>2265955740002656</t>
        </is>
      </c>
      <c r="AZ2911" t="inlineStr">
        <is>
          <t>BOOK</t>
        </is>
      </c>
      <c r="BB2911" t="inlineStr">
        <is>
          <t>9780836239089</t>
        </is>
      </c>
      <c r="BC2911" t="inlineStr">
        <is>
          <t>32285004642855</t>
        </is>
      </c>
      <c r="BD2911" t="inlineStr">
        <is>
          <t>893423054</t>
        </is>
      </c>
    </row>
    <row r="2912">
      <c r="A2912" t="inlineStr">
        <is>
          <t>No</t>
        </is>
      </c>
      <c r="B2912" t="inlineStr">
        <is>
          <t>HQ800 .N4</t>
        </is>
      </c>
      <c r="C2912" t="inlineStr">
        <is>
          <t>0                      HQ 0800000N  4</t>
        </is>
      </c>
      <c r="D2912" t="inlineStr">
        <is>
          <t>Bachelors are people too.</t>
        </is>
      </c>
      <c r="F2912" t="inlineStr">
        <is>
          <t>No</t>
        </is>
      </c>
      <c r="G2912" t="inlineStr">
        <is>
          <t>1</t>
        </is>
      </c>
      <c r="H2912" t="inlineStr">
        <is>
          <t>No</t>
        </is>
      </c>
      <c r="I2912" t="inlineStr">
        <is>
          <t>No</t>
        </is>
      </c>
      <c r="J2912" t="inlineStr">
        <is>
          <t>0</t>
        </is>
      </c>
      <c r="K2912" t="inlineStr">
        <is>
          <t>Nelson, Frederic.</t>
        </is>
      </c>
      <c r="L2912" t="inlineStr">
        <is>
          <t>Washington : Public Affairs Press, [1964]</t>
        </is>
      </c>
      <c r="M2912" t="inlineStr">
        <is>
          <t>1964</t>
        </is>
      </c>
      <c r="O2912" t="inlineStr">
        <is>
          <t>eng</t>
        </is>
      </c>
      <c r="P2912" t="inlineStr">
        <is>
          <t>xxu</t>
        </is>
      </c>
      <c r="R2912" t="inlineStr">
        <is>
          <t xml:space="preserve">HQ </t>
        </is>
      </c>
      <c r="S2912" t="n">
        <v>3</v>
      </c>
      <c r="T2912" t="n">
        <v>3</v>
      </c>
      <c r="U2912" t="inlineStr">
        <is>
          <t>1996-01-24</t>
        </is>
      </c>
      <c r="V2912" t="inlineStr">
        <is>
          <t>1996-01-24</t>
        </is>
      </c>
      <c r="W2912" t="inlineStr">
        <is>
          <t>1991-02-19</t>
        </is>
      </c>
      <c r="X2912" t="inlineStr">
        <is>
          <t>1991-02-19</t>
        </is>
      </c>
      <c r="Y2912" t="n">
        <v>117</v>
      </c>
      <c r="Z2912" t="n">
        <v>109</v>
      </c>
      <c r="AA2912" t="n">
        <v>110</v>
      </c>
      <c r="AB2912" t="n">
        <v>2</v>
      </c>
      <c r="AC2912" t="n">
        <v>2</v>
      </c>
      <c r="AD2912" t="n">
        <v>4</v>
      </c>
      <c r="AE2912" t="n">
        <v>4</v>
      </c>
      <c r="AF2912" t="n">
        <v>1</v>
      </c>
      <c r="AG2912" t="n">
        <v>1</v>
      </c>
      <c r="AH2912" t="n">
        <v>1</v>
      </c>
      <c r="AI2912" t="n">
        <v>1</v>
      </c>
      <c r="AJ2912" t="n">
        <v>1</v>
      </c>
      <c r="AK2912" t="n">
        <v>1</v>
      </c>
      <c r="AL2912" t="n">
        <v>1</v>
      </c>
      <c r="AM2912" t="n">
        <v>1</v>
      </c>
      <c r="AN2912" t="n">
        <v>0</v>
      </c>
      <c r="AO2912" t="n">
        <v>0</v>
      </c>
      <c r="AP2912" t="inlineStr">
        <is>
          <t>No</t>
        </is>
      </c>
      <c r="AQ2912" t="inlineStr">
        <is>
          <t>No</t>
        </is>
      </c>
      <c r="AS2912">
        <f>HYPERLINK("https://creighton-primo.hosted.exlibrisgroup.com/primo-explore/search?tab=default_tab&amp;search_scope=EVERYTHING&amp;vid=01CRU&amp;lang=en_US&amp;offset=0&amp;query=any,contains,991004022519702656","Catalog Record")</f>
        <v/>
      </c>
      <c r="AT2912">
        <f>HYPERLINK("http://www.worldcat.org/oclc/2124213","WorldCat Record")</f>
        <v/>
      </c>
      <c r="AU2912" t="inlineStr">
        <is>
          <t>4090146:eng</t>
        </is>
      </c>
      <c r="AV2912" t="inlineStr">
        <is>
          <t>2124213</t>
        </is>
      </c>
      <c r="AW2912" t="inlineStr">
        <is>
          <t>991004022519702656</t>
        </is>
      </c>
      <c r="AX2912" t="inlineStr">
        <is>
          <t>991004022519702656</t>
        </is>
      </c>
      <c r="AY2912" t="inlineStr">
        <is>
          <t>2271049960002656</t>
        </is>
      </c>
      <c r="AZ2912" t="inlineStr">
        <is>
          <t>BOOK</t>
        </is>
      </c>
      <c r="BC2912" t="inlineStr">
        <is>
          <t>32285000497601</t>
        </is>
      </c>
      <c r="BD2912" t="inlineStr">
        <is>
          <t>893775506</t>
        </is>
      </c>
    </row>
    <row r="2913">
      <c r="A2913" t="inlineStr">
        <is>
          <t>No</t>
        </is>
      </c>
      <c r="B2913" t="inlineStr">
        <is>
          <t>HQ800 .Y3</t>
        </is>
      </c>
      <c r="C2913" t="inlineStr">
        <is>
          <t>0                      HQ 0800000Y  3</t>
        </is>
      </c>
      <c r="D2913" t="inlineStr">
        <is>
          <t>Coping : a survival manual for women alone / Martha Yates.</t>
        </is>
      </c>
      <c r="F2913" t="inlineStr">
        <is>
          <t>No</t>
        </is>
      </c>
      <c r="G2913" t="inlineStr">
        <is>
          <t>3</t>
        </is>
      </c>
      <c r="H2913" t="inlineStr">
        <is>
          <t>No</t>
        </is>
      </c>
      <c r="I2913" t="inlineStr">
        <is>
          <t>No</t>
        </is>
      </c>
      <c r="J2913" t="inlineStr">
        <is>
          <t>0</t>
        </is>
      </c>
      <c r="K2913" t="inlineStr">
        <is>
          <t>Yates, Martha.</t>
        </is>
      </c>
      <c r="L2913" t="inlineStr">
        <is>
          <t>Englewood Cliffs, N.J. : Prentice-Hall, c1976.</t>
        </is>
      </c>
      <c r="M2913" t="inlineStr">
        <is>
          <t>1976</t>
        </is>
      </c>
      <c r="O2913" t="inlineStr">
        <is>
          <t>eng</t>
        </is>
      </c>
      <c r="P2913" t="inlineStr">
        <is>
          <t>nju</t>
        </is>
      </c>
      <c r="Q2913" t="inlineStr">
        <is>
          <t>A Spectrum book</t>
        </is>
      </c>
      <c r="R2913" t="inlineStr">
        <is>
          <t xml:space="preserve">HQ </t>
        </is>
      </c>
      <c r="S2913" t="n">
        <v>1</v>
      </c>
      <c r="T2913" t="n">
        <v>1</v>
      </c>
      <c r="U2913" t="inlineStr">
        <is>
          <t>2002-09-18</t>
        </is>
      </c>
      <c r="V2913" t="inlineStr">
        <is>
          <t>2002-09-18</t>
        </is>
      </c>
      <c r="W2913" t="inlineStr">
        <is>
          <t>1993-04-23</t>
        </is>
      </c>
      <c r="X2913" t="inlineStr">
        <is>
          <t>1993-04-23</t>
        </is>
      </c>
      <c r="Y2913" t="n">
        <v>570</v>
      </c>
      <c r="Z2913" t="n">
        <v>509</v>
      </c>
      <c r="AA2913" t="n">
        <v>516</v>
      </c>
      <c r="AB2913" t="n">
        <v>5</v>
      </c>
      <c r="AC2913" t="n">
        <v>5</v>
      </c>
      <c r="AD2913" t="n">
        <v>9</v>
      </c>
      <c r="AE2913" t="n">
        <v>9</v>
      </c>
      <c r="AF2913" t="n">
        <v>4</v>
      </c>
      <c r="AG2913" t="n">
        <v>4</v>
      </c>
      <c r="AH2913" t="n">
        <v>2</v>
      </c>
      <c r="AI2913" t="n">
        <v>2</v>
      </c>
      <c r="AJ2913" t="n">
        <v>2</v>
      </c>
      <c r="AK2913" t="n">
        <v>2</v>
      </c>
      <c r="AL2913" t="n">
        <v>3</v>
      </c>
      <c r="AM2913" t="n">
        <v>3</v>
      </c>
      <c r="AN2913" t="n">
        <v>0</v>
      </c>
      <c r="AO2913" t="n">
        <v>0</v>
      </c>
      <c r="AP2913" t="inlineStr">
        <is>
          <t>No</t>
        </is>
      </c>
      <c r="AQ2913" t="inlineStr">
        <is>
          <t>Yes</t>
        </is>
      </c>
      <c r="AR2913">
        <f>HYPERLINK("http://catalog.hathitrust.org/Record/000695600","HathiTrust Record")</f>
        <v/>
      </c>
      <c r="AS2913">
        <f>HYPERLINK("https://creighton-primo.hosted.exlibrisgroup.com/primo-explore/search?tab=default_tab&amp;search_scope=EVERYTHING&amp;vid=01CRU&amp;lang=en_US&amp;offset=0&amp;query=any,contains,991003916229702656","Catalog Record")</f>
        <v/>
      </c>
      <c r="AT2913">
        <f>HYPERLINK("http://www.worldcat.org/oclc/1859899","WorldCat Record")</f>
        <v/>
      </c>
      <c r="AU2913" t="inlineStr">
        <is>
          <t>410537:eng</t>
        </is>
      </c>
      <c r="AV2913" t="inlineStr">
        <is>
          <t>1859899</t>
        </is>
      </c>
      <c r="AW2913" t="inlineStr">
        <is>
          <t>991003916229702656</t>
        </is>
      </c>
      <c r="AX2913" t="inlineStr">
        <is>
          <t>991003916229702656</t>
        </is>
      </c>
      <c r="AY2913" t="inlineStr">
        <is>
          <t>2268827300002656</t>
        </is>
      </c>
      <c r="AZ2913" t="inlineStr">
        <is>
          <t>BOOK</t>
        </is>
      </c>
      <c r="BB2913" t="inlineStr">
        <is>
          <t>9780131722217</t>
        </is>
      </c>
      <c r="BC2913" t="inlineStr">
        <is>
          <t>32285001624104</t>
        </is>
      </c>
      <c r="BD2913" t="inlineStr">
        <is>
          <t>893253015</t>
        </is>
      </c>
    </row>
    <row r="2914">
      <c r="A2914" t="inlineStr">
        <is>
          <t>No</t>
        </is>
      </c>
      <c r="B2914" t="inlineStr">
        <is>
          <t>HQ800.15 .M38 1983</t>
        </is>
      </c>
      <c r="C2914" t="inlineStr">
        <is>
          <t>0                      HQ 0800150M  38          1983</t>
        </is>
      </c>
      <c r="D2914" t="inlineStr">
        <is>
          <t>A new song : celibate women in the first three Christian Centuries / Jo Ann McNamara.</t>
        </is>
      </c>
      <c r="F2914" t="inlineStr">
        <is>
          <t>No</t>
        </is>
      </c>
      <c r="G2914" t="inlineStr">
        <is>
          <t>1</t>
        </is>
      </c>
      <c r="H2914" t="inlineStr">
        <is>
          <t>No</t>
        </is>
      </c>
      <c r="I2914" t="inlineStr">
        <is>
          <t>No</t>
        </is>
      </c>
      <c r="J2914" t="inlineStr">
        <is>
          <t>0</t>
        </is>
      </c>
      <c r="K2914" t="inlineStr">
        <is>
          <t>McNamara, Jo Ann, 1931-</t>
        </is>
      </c>
      <c r="L2914" t="inlineStr">
        <is>
          <t>New York : Institute for Research in History : Haworth Press, c1983.</t>
        </is>
      </c>
      <c r="M2914" t="inlineStr">
        <is>
          <t>1983</t>
        </is>
      </c>
      <c r="O2914" t="inlineStr">
        <is>
          <t>eng</t>
        </is>
      </c>
      <c r="P2914" t="inlineStr">
        <is>
          <t>nyu</t>
        </is>
      </c>
      <c r="R2914" t="inlineStr">
        <is>
          <t xml:space="preserve">HQ </t>
        </is>
      </c>
      <c r="S2914" t="n">
        <v>4</v>
      </c>
      <c r="T2914" t="n">
        <v>4</v>
      </c>
      <c r="U2914" t="inlineStr">
        <is>
          <t>1996-02-20</t>
        </is>
      </c>
      <c r="V2914" t="inlineStr">
        <is>
          <t>1996-02-20</t>
        </is>
      </c>
      <c r="W2914" t="inlineStr">
        <is>
          <t>1992-11-16</t>
        </is>
      </c>
      <c r="X2914" t="inlineStr">
        <is>
          <t>1992-11-16</t>
        </is>
      </c>
      <c r="Y2914" t="n">
        <v>259</v>
      </c>
      <c r="Z2914" t="n">
        <v>215</v>
      </c>
      <c r="AA2914" t="n">
        <v>300</v>
      </c>
      <c r="AB2914" t="n">
        <v>3</v>
      </c>
      <c r="AC2914" t="n">
        <v>3</v>
      </c>
      <c r="AD2914" t="n">
        <v>14</v>
      </c>
      <c r="AE2914" t="n">
        <v>19</v>
      </c>
      <c r="AF2914" t="n">
        <v>4</v>
      </c>
      <c r="AG2914" t="n">
        <v>8</v>
      </c>
      <c r="AH2914" t="n">
        <v>2</v>
      </c>
      <c r="AI2914" t="n">
        <v>2</v>
      </c>
      <c r="AJ2914" t="n">
        <v>10</v>
      </c>
      <c r="AK2914" t="n">
        <v>14</v>
      </c>
      <c r="AL2914" t="n">
        <v>2</v>
      </c>
      <c r="AM2914" t="n">
        <v>2</v>
      </c>
      <c r="AN2914" t="n">
        <v>0</v>
      </c>
      <c r="AO2914" t="n">
        <v>0</v>
      </c>
      <c r="AP2914" t="inlineStr">
        <is>
          <t>No</t>
        </is>
      </c>
      <c r="AQ2914" t="inlineStr">
        <is>
          <t>No</t>
        </is>
      </c>
      <c r="AS2914">
        <f>HYPERLINK("https://creighton-primo.hosted.exlibrisgroup.com/primo-explore/search?tab=default_tab&amp;search_scope=EVERYTHING&amp;vid=01CRU&amp;lang=en_US&amp;offset=0&amp;query=any,contains,991000236029702656","Catalog Record")</f>
        <v/>
      </c>
      <c r="AT2914">
        <f>HYPERLINK("http://www.worldcat.org/oclc/9647119","WorldCat Record")</f>
        <v/>
      </c>
      <c r="AU2914" t="inlineStr">
        <is>
          <t>986378:eng</t>
        </is>
      </c>
      <c r="AV2914" t="inlineStr">
        <is>
          <t>9647119</t>
        </is>
      </c>
      <c r="AW2914" t="inlineStr">
        <is>
          <t>991000236029702656</t>
        </is>
      </c>
      <c r="AX2914" t="inlineStr">
        <is>
          <t>991000236029702656</t>
        </is>
      </c>
      <c r="AY2914" t="inlineStr">
        <is>
          <t>2270661310002656</t>
        </is>
      </c>
      <c r="AZ2914" t="inlineStr">
        <is>
          <t>BOOK</t>
        </is>
      </c>
      <c r="BB2914" t="inlineStr">
        <is>
          <t>9780866562492</t>
        </is>
      </c>
      <c r="BC2914" t="inlineStr">
        <is>
          <t>32285001396554</t>
        </is>
      </c>
      <c r="BD2914" t="inlineStr">
        <is>
          <t>893708235</t>
        </is>
      </c>
    </row>
    <row r="2915">
      <c r="A2915" t="inlineStr">
        <is>
          <t>No</t>
        </is>
      </c>
      <c r="B2915" t="inlineStr">
        <is>
          <t>HQ800.2 .A53 1994</t>
        </is>
      </c>
      <c r="C2915" t="inlineStr">
        <is>
          <t>0                      HQ 0800200A  53          1994</t>
        </is>
      </c>
      <c r="D2915" t="inlineStr">
        <is>
          <t>Flying solo : single women in midlife / Carol M. Anderson, Susan Stewart, with Sona Dimidjian.</t>
        </is>
      </c>
      <c r="F2915" t="inlineStr">
        <is>
          <t>No</t>
        </is>
      </c>
      <c r="G2915" t="inlineStr">
        <is>
          <t>1</t>
        </is>
      </c>
      <c r="H2915" t="inlineStr">
        <is>
          <t>No</t>
        </is>
      </c>
      <c r="I2915" t="inlineStr">
        <is>
          <t>No</t>
        </is>
      </c>
      <c r="J2915" t="inlineStr">
        <is>
          <t>0</t>
        </is>
      </c>
      <c r="K2915" t="inlineStr">
        <is>
          <t>Anderson, Carol M., 1939-</t>
        </is>
      </c>
      <c r="L2915" t="inlineStr">
        <is>
          <t>New York : W.W. Norton, 1994.</t>
        </is>
      </c>
      <c r="M2915" t="inlineStr">
        <is>
          <t>1994</t>
        </is>
      </c>
      <c r="N2915" t="inlineStr">
        <is>
          <t>1st ed.</t>
        </is>
      </c>
      <c r="O2915" t="inlineStr">
        <is>
          <t>eng</t>
        </is>
      </c>
      <c r="P2915" t="inlineStr">
        <is>
          <t>nyu</t>
        </is>
      </c>
      <c r="R2915" t="inlineStr">
        <is>
          <t xml:space="preserve">HQ </t>
        </is>
      </c>
      <c r="S2915" t="n">
        <v>6</v>
      </c>
      <c r="T2915" t="n">
        <v>6</v>
      </c>
      <c r="U2915" t="inlineStr">
        <is>
          <t>2002-04-15</t>
        </is>
      </c>
      <c r="V2915" t="inlineStr">
        <is>
          <t>2002-04-15</t>
        </is>
      </c>
      <c r="W2915" t="inlineStr">
        <is>
          <t>1994-08-22</t>
        </is>
      </c>
      <c r="X2915" t="inlineStr">
        <is>
          <t>1994-08-22</t>
        </is>
      </c>
      <c r="Y2915" t="n">
        <v>639</v>
      </c>
      <c r="Z2915" t="n">
        <v>564</v>
      </c>
      <c r="AA2915" t="n">
        <v>617</v>
      </c>
      <c r="AB2915" t="n">
        <v>6</v>
      </c>
      <c r="AC2915" t="n">
        <v>7</v>
      </c>
      <c r="AD2915" t="n">
        <v>12</v>
      </c>
      <c r="AE2915" t="n">
        <v>14</v>
      </c>
      <c r="AF2915" t="n">
        <v>2</v>
      </c>
      <c r="AG2915" t="n">
        <v>4</v>
      </c>
      <c r="AH2915" t="n">
        <v>3</v>
      </c>
      <c r="AI2915" t="n">
        <v>3</v>
      </c>
      <c r="AJ2915" t="n">
        <v>6</v>
      </c>
      <c r="AK2915" t="n">
        <v>8</v>
      </c>
      <c r="AL2915" t="n">
        <v>4</v>
      </c>
      <c r="AM2915" t="n">
        <v>4</v>
      </c>
      <c r="AN2915" t="n">
        <v>0</v>
      </c>
      <c r="AO2915" t="n">
        <v>0</v>
      </c>
      <c r="AP2915" t="inlineStr">
        <is>
          <t>No</t>
        </is>
      </c>
      <c r="AQ2915" t="inlineStr">
        <is>
          <t>No</t>
        </is>
      </c>
      <c r="AS2915">
        <f>HYPERLINK("https://creighton-primo.hosted.exlibrisgroup.com/primo-explore/search?tab=default_tab&amp;search_scope=EVERYTHING&amp;vid=01CRU&amp;lang=en_US&amp;offset=0&amp;query=any,contains,991002331909702656","Catalog Record")</f>
        <v/>
      </c>
      <c r="AT2915">
        <f>HYPERLINK("http://www.worldcat.org/oclc/30355099","WorldCat Record")</f>
        <v/>
      </c>
      <c r="AU2915" t="inlineStr">
        <is>
          <t>132832123:eng</t>
        </is>
      </c>
      <c r="AV2915" t="inlineStr">
        <is>
          <t>30355099</t>
        </is>
      </c>
      <c r="AW2915" t="inlineStr">
        <is>
          <t>991002331909702656</t>
        </is>
      </c>
      <c r="AX2915" t="inlineStr">
        <is>
          <t>991002331909702656</t>
        </is>
      </c>
      <c r="AY2915" t="inlineStr">
        <is>
          <t>2256661790002656</t>
        </is>
      </c>
      <c r="AZ2915" t="inlineStr">
        <is>
          <t>BOOK</t>
        </is>
      </c>
      <c r="BB2915" t="inlineStr">
        <is>
          <t>9780393036367</t>
        </is>
      </c>
      <c r="BC2915" t="inlineStr">
        <is>
          <t>32285001943678</t>
        </is>
      </c>
      <c r="BD2915" t="inlineStr">
        <is>
          <t>893251093</t>
        </is>
      </c>
    </row>
    <row r="2916">
      <c r="A2916" t="inlineStr">
        <is>
          <t>No</t>
        </is>
      </c>
      <c r="B2916" t="inlineStr">
        <is>
          <t>HQ800.2 .C43 1984</t>
        </is>
      </c>
      <c r="C2916" t="inlineStr">
        <is>
          <t>0                      HQ 0800200C  43          1984</t>
        </is>
      </c>
      <c r="D2916" t="inlineStr">
        <is>
          <t>Liberty, a better husband : single women in America : the generations of 1780-1840 / Lee Virginia Chambers-Schiller.</t>
        </is>
      </c>
      <c r="F2916" t="inlineStr">
        <is>
          <t>No</t>
        </is>
      </c>
      <c r="G2916" t="inlineStr">
        <is>
          <t>1</t>
        </is>
      </c>
      <c r="H2916" t="inlineStr">
        <is>
          <t>No</t>
        </is>
      </c>
      <c r="I2916" t="inlineStr">
        <is>
          <t>No</t>
        </is>
      </c>
      <c r="J2916" t="inlineStr">
        <is>
          <t>0</t>
        </is>
      </c>
      <c r="K2916" t="inlineStr">
        <is>
          <t>Chambers-Schiller, Lee Virginia, 1948-</t>
        </is>
      </c>
      <c r="L2916" t="inlineStr">
        <is>
          <t>New Haven : Yale University Press, c1984.</t>
        </is>
      </c>
      <c r="M2916" t="inlineStr">
        <is>
          <t>1984</t>
        </is>
      </c>
      <c r="O2916" t="inlineStr">
        <is>
          <t>eng</t>
        </is>
      </c>
      <c r="P2916" t="inlineStr">
        <is>
          <t>ctu</t>
        </is>
      </c>
      <c r="R2916" t="inlineStr">
        <is>
          <t xml:space="preserve">HQ </t>
        </is>
      </c>
      <c r="S2916" t="n">
        <v>2</v>
      </c>
      <c r="T2916" t="n">
        <v>2</v>
      </c>
      <c r="U2916" t="inlineStr">
        <is>
          <t>1996-01-24</t>
        </is>
      </c>
      <c r="V2916" t="inlineStr">
        <is>
          <t>1996-01-24</t>
        </is>
      </c>
      <c r="W2916" t="inlineStr">
        <is>
          <t>1992-11-16</t>
        </is>
      </c>
      <c r="X2916" t="inlineStr">
        <is>
          <t>1992-11-16</t>
        </is>
      </c>
      <c r="Y2916" t="n">
        <v>885</v>
      </c>
      <c r="Z2916" t="n">
        <v>781</v>
      </c>
      <c r="AA2916" t="n">
        <v>793</v>
      </c>
      <c r="AB2916" t="n">
        <v>6</v>
      </c>
      <c r="AC2916" t="n">
        <v>6</v>
      </c>
      <c r="AD2916" t="n">
        <v>32</v>
      </c>
      <c r="AE2916" t="n">
        <v>32</v>
      </c>
      <c r="AF2916" t="n">
        <v>11</v>
      </c>
      <c r="AG2916" t="n">
        <v>11</v>
      </c>
      <c r="AH2916" t="n">
        <v>9</v>
      </c>
      <c r="AI2916" t="n">
        <v>9</v>
      </c>
      <c r="AJ2916" t="n">
        <v>18</v>
      </c>
      <c r="AK2916" t="n">
        <v>18</v>
      </c>
      <c r="AL2916" t="n">
        <v>5</v>
      </c>
      <c r="AM2916" t="n">
        <v>5</v>
      </c>
      <c r="AN2916" t="n">
        <v>0</v>
      </c>
      <c r="AO2916" t="n">
        <v>0</v>
      </c>
      <c r="AP2916" t="inlineStr">
        <is>
          <t>No</t>
        </is>
      </c>
      <c r="AQ2916" t="inlineStr">
        <is>
          <t>No</t>
        </is>
      </c>
      <c r="AS2916">
        <f>HYPERLINK("https://creighton-primo.hosted.exlibrisgroup.com/primo-explore/search?tab=default_tab&amp;search_scope=EVERYTHING&amp;vid=01CRU&amp;lang=en_US&amp;offset=0&amp;query=any,contains,991000374479702656","Catalog Record")</f>
        <v/>
      </c>
      <c r="AT2916">
        <f>HYPERLINK("http://www.worldcat.org/oclc/10457335","WorldCat Record")</f>
        <v/>
      </c>
      <c r="AU2916" t="inlineStr">
        <is>
          <t>792355961:eng</t>
        </is>
      </c>
      <c r="AV2916" t="inlineStr">
        <is>
          <t>10457335</t>
        </is>
      </c>
      <c r="AW2916" t="inlineStr">
        <is>
          <t>991000374479702656</t>
        </is>
      </c>
      <c r="AX2916" t="inlineStr">
        <is>
          <t>991000374479702656</t>
        </is>
      </c>
      <c r="AY2916" t="inlineStr">
        <is>
          <t>2262965970002656</t>
        </is>
      </c>
      <c r="AZ2916" t="inlineStr">
        <is>
          <t>BOOK</t>
        </is>
      </c>
      <c r="BB2916" t="inlineStr">
        <is>
          <t>9780300031645</t>
        </is>
      </c>
      <c r="BC2916" t="inlineStr">
        <is>
          <t>32285001396562</t>
        </is>
      </c>
      <c r="BD2916" t="inlineStr">
        <is>
          <t>893589377</t>
        </is>
      </c>
    </row>
    <row r="2917">
      <c r="A2917" t="inlineStr">
        <is>
          <t>No</t>
        </is>
      </c>
      <c r="B2917" t="inlineStr">
        <is>
          <t>HQ800.2 .I85 2002</t>
        </is>
      </c>
      <c r="C2917" t="inlineStr">
        <is>
          <t>0                      HQ 0800200I  85          2002</t>
        </is>
      </c>
      <c r="D2917" t="inlineStr">
        <is>
          <t>Bachelor girl : the secret history of single women in the twentieth century / Betsy Israel.</t>
        </is>
      </c>
      <c r="F2917" t="inlineStr">
        <is>
          <t>No</t>
        </is>
      </c>
      <c r="G2917" t="inlineStr">
        <is>
          <t>1</t>
        </is>
      </c>
      <c r="H2917" t="inlineStr">
        <is>
          <t>No</t>
        </is>
      </c>
      <c r="I2917" t="inlineStr">
        <is>
          <t>No</t>
        </is>
      </c>
      <c r="J2917" t="inlineStr">
        <is>
          <t>0</t>
        </is>
      </c>
      <c r="K2917" t="inlineStr">
        <is>
          <t>Israel, Betsy, 1958-</t>
        </is>
      </c>
      <c r="L2917" t="inlineStr">
        <is>
          <t>New York : William Morrow, c2002.</t>
        </is>
      </c>
      <c r="M2917" t="inlineStr">
        <is>
          <t>2002</t>
        </is>
      </c>
      <c r="N2917" t="inlineStr">
        <is>
          <t>1st ed.</t>
        </is>
      </c>
      <c r="O2917" t="inlineStr">
        <is>
          <t>eng</t>
        </is>
      </c>
      <c r="P2917" t="inlineStr">
        <is>
          <t>nyu</t>
        </is>
      </c>
      <c r="R2917" t="inlineStr">
        <is>
          <t xml:space="preserve">HQ </t>
        </is>
      </c>
      <c r="S2917" t="n">
        <v>5</v>
      </c>
      <c r="T2917" t="n">
        <v>5</v>
      </c>
      <c r="U2917" t="inlineStr">
        <is>
          <t>2008-11-12</t>
        </is>
      </c>
      <c r="V2917" t="inlineStr">
        <is>
          <t>2008-11-12</t>
        </is>
      </c>
      <c r="W2917" t="inlineStr">
        <is>
          <t>2002-12-09</t>
        </is>
      </c>
      <c r="X2917" t="inlineStr">
        <is>
          <t>2002-12-09</t>
        </is>
      </c>
      <c r="Y2917" t="n">
        <v>870</v>
      </c>
      <c r="Z2917" t="n">
        <v>823</v>
      </c>
      <c r="AA2917" t="n">
        <v>868</v>
      </c>
      <c r="AB2917" t="n">
        <v>9</v>
      </c>
      <c r="AC2917" t="n">
        <v>9</v>
      </c>
      <c r="AD2917" t="n">
        <v>27</v>
      </c>
      <c r="AE2917" t="n">
        <v>27</v>
      </c>
      <c r="AF2917" t="n">
        <v>8</v>
      </c>
      <c r="AG2917" t="n">
        <v>8</v>
      </c>
      <c r="AH2917" t="n">
        <v>6</v>
      </c>
      <c r="AI2917" t="n">
        <v>6</v>
      </c>
      <c r="AJ2917" t="n">
        <v>12</v>
      </c>
      <c r="AK2917" t="n">
        <v>12</v>
      </c>
      <c r="AL2917" t="n">
        <v>6</v>
      </c>
      <c r="AM2917" t="n">
        <v>6</v>
      </c>
      <c r="AN2917" t="n">
        <v>0</v>
      </c>
      <c r="AO2917" t="n">
        <v>0</v>
      </c>
      <c r="AP2917" t="inlineStr">
        <is>
          <t>No</t>
        </is>
      </c>
      <c r="AQ2917" t="inlineStr">
        <is>
          <t>No</t>
        </is>
      </c>
      <c r="AS2917">
        <f>HYPERLINK("https://creighton-primo.hosted.exlibrisgroup.com/primo-explore/search?tab=default_tab&amp;search_scope=EVERYTHING&amp;vid=01CRU&amp;lang=en_US&amp;offset=0&amp;query=any,contains,991003943589702656","Catalog Record")</f>
        <v/>
      </c>
      <c r="AT2917">
        <f>HYPERLINK("http://www.worldcat.org/oclc/49519080","WorldCat Record")</f>
        <v/>
      </c>
      <c r="AU2917" t="inlineStr">
        <is>
          <t>1009198:eng</t>
        </is>
      </c>
      <c r="AV2917" t="inlineStr">
        <is>
          <t>49519080</t>
        </is>
      </c>
      <c r="AW2917" t="inlineStr">
        <is>
          <t>991003943589702656</t>
        </is>
      </c>
      <c r="AX2917" t="inlineStr">
        <is>
          <t>991003943589702656</t>
        </is>
      </c>
      <c r="AY2917" t="inlineStr">
        <is>
          <t>2258218040002656</t>
        </is>
      </c>
      <c r="AZ2917" t="inlineStr">
        <is>
          <t>BOOK</t>
        </is>
      </c>
      <c r="BB2917" t="inlineStr">
        <is>
          <t>9780380976492</t>
        </is>
      </c>
      <c r="BC2917" t="inlineStr">
        <is>
          <t>32285004669080</t>
        </is>
      </c>
      <c r="BD2917" t="inlineStr">
        <is>
          <t>893324751</t>
        </is>
      </c>
    </row>
    <row r="2918">
      <c r="A2918" t="inlineStr">
        <is>
          <t>No</t>
        </is>
      </c>
      <c r="B2918" t="inlineStr">
        <is>
          <t>HQ800.2 .S55 1987</t>
        </is>
      </c>
      <c r="C2918" t="inlineStr">
        <is>
          <t>0                      HQ 0800200S  55          1987</t>
        </is>
      </c>
      <c r="D2918" t="inlineStr">
        <is>
          <t>Never married women / Barbara Levy Simon.</t>
        </is>
      </c>
      <c r="F2918" t="inlineStr">
        <is>
          <t>No</t>
        </is>
      </c>
      <c r="G2918" t="inlineStr">
        <is>
          <t>1</t>
        </is>
      </c>
      <c r="H2918" t="inlineStr">
        <is>
          <t>No</t>
        </is>
      </c>
      <c r="I2918" t="inlineStr">
        <is>
          <t>No</t>
        </is>
      </c>
      <c r="J2918" t="inlineStr">
        <is>
          <t>0</t>
        </is>
      </c>
      <c r="K2918" t="inlineStr">
        <is>
          <t>Simon, Barbara Levy, 1949-</t>
        </is>
      </c>
      <c r="L2918" t="inlineStr">
        <is>
          <t>Philadelphia : Temple University Press, 1987.</t>
        </is>
      </c>
      <c r="M2918" t="inlineStr">
        <is>
          <t>1987</t>
        </is>
      </c>
      <c r="O2918" t="inlineStr">
        <is>
          <t>eng</t>
        </is>
      </c>
      <c r="P2918" t="inlineStr">
        <is>
          <t>pau</t>
        </is>
      </c>
      <c r="Q2918" t="inlineStr">
        <is>
          <t>Women in the political economy</t>
        </is>
      </c>
      <c r="R2918" t="inlineStr">
        <is>
          <t xml:space="preserve">HQ </t>
        </is>
      </c>
      <c r="S2918" t="n">
        <v>2</v>
      </c>
      <c r="T2918" t="n">
        <v>2</v>
      </c>
      <c r="U2918" t="inlineStr">
        <is>
          <t>1996-01-24</t>
        </is>
      </c>
      <c r="V2918" t="inlineStr">
        <is>
          <t>1996-01-24</t>
        </is>
      </c>
      <c r="W2918" t="inlineStr">
        <is>
          <t>1992-11-16</t>
        </is>
      </c>
      <c r="X2918" t="inlineStr">
        <is>
          <t>1992-11-16</t>
        </is>
      </c>
      <c r="Y2918" t="n">
        <v>686</v>
      </c>
      <c r="Z2918" t="n">
        <v>612</v>
      </c>
      <c r="AA2918" t="n">
        <v>798</v>
      </c>
      <c r="AB2918" t="n">
        <v>4</v>
      </c>
      <c r="AC2918" t="n">
        <v>4</v>
      </c>
      <c r="AD2918" t="n">
        <v>29</v>
      </c>
      <c r="AE2918" t="n">
        <v>36</v>
      </c>
      <c r="AF2918" t="n">
        <v>9</v>
      </c>
      <c r="AG2918" t="n">
        <v>15</v>
      </c>
      <c r="AH2918" t="n">
        <v>10</v>
      </c>
      <c r="AI2918" t="n">
        <v>11</v>
      </c>
      <c r="AJ2918" t="n">
        <v>17</v>
      </c>
      <c r="AK2918" t="n">
        <v>19</v>
      </c>
      <c r="AL2918" t="n">
        <v>3</v>
      </c>
      <c r="AM2918" t="n">
        <v>3</v>
      </c>
      <c r="AN2918" t="n">
        <v>0</v>
      </c>
      <c r="AO2918" t="n">
        <v>0</v>
      </c>
      <c r="AP2918" t="inlineStr">
        <is>
          <t>No</t>
        </is>
      </c>
      <c r="AQ2918" t="inlineStr">
        <is>
          <t>No</t>
        </is>
      </c>
      <c r="AS2918">
        <f>HYPERLINK("https://creighton-primo.hosted.exlibrisgroup.com/primo-explore/search?tab=default_tab&amp;search_scope=EVERYTHING&amp;vid=01CRU&amp;lang=en_US&amp;offset=0&amp;query=any,contains,991001014179702656","Catalog Record")</f>
        <v/>
      </c>
      <c r="AT2918">
        <f>HYPERLINK("http://www.worldcat.org/oclc/15316290","WorldCat Record")</f>
        <v/>
      </c>
      <c r="AU2918" t="inlineStr">
        <is>
          <t>10098765:eng</t>
        </is>
      </c>
      <c r="AV2918" t="inlineStr">
        <is>
          <t>15316290</t>
        </is>
      </c>
      <c r="AW2918" t="inlineStr">
        <is>
          <t>991001014179702656</t>
        </is>
      </c>
      <c r="AX2918" t="inlineStr">
        <is>
          <t>991001014179702656</t>
        </is>
      </c>
      <c r="AY2918" t="inlineStr">
        <is>
          <t>2257952790002656</t>
        </is>
      </c>
      <c r="AZ2918" t="inlineStr">
        <is>
          <t>BOOK</t>
        </is>
      </c>
      <c r="BB2918" t="inlineStr">
        <is>
          <t>9780877224976</t>
        </is>
      </c>
      <c r="BC2918" t="inlineStr">
        <is>
          <t>32285001396570</t>
        </is>
      </c>
      <c r="BD2918" t="inlineStr">
        <is>
          <t>893715097</t>
        </is>
      </c>
    </row>
    <row r="2919">
      <c r="A2919" t="inlineStr">
        <is>
          <t>No</t>
        </is>
      </c>
      <c r="B2919" t="inlineStr">
        <is>
          <t>HQ800.2 .T75 2005</t>
        </is>
      </c>
      <c r="C2919" t="inlineStr">
        <is>
          <t>0                      HQ 0800200T  75          2005</t>
        </is>
      </c>
      <c r="D2919" t="inlineStr">
        <is>
          <t>The new single woman / E. Kay Trimberger.</t>
        </is>
      </c>
      <c r="F2919" t="inlineStr">
        <is>
          <t>No</t>
        </is>
      </c>
      <c r="G2919" t="inlineStr">
        <is>
          <t>1</t>
        </is>
      </c>
      <c r="H2919" t="inlineStr">
        <is>
          <t>No</t>
        </is>
      </c>
      <c r="I2919" t="inlineStr">
        <is>
          <t>No</t>
        </is>
      </c>
      <c r="J2919" t="inlineStr">
        <is>
          <t>0</t>
        </is>
      </c>
      <c r="K2919" t="inlineStr">
        <is>
          <t>Trimberger, Ellen Kay, 1940-</t>
        </is>
      </c>
      <c r="L2919" t="inlineStr">
        <is>
          <t>Boston : Beacon Press, c2005.</t>
        </is>
      </c>
      <c r="M2919" t="inlineStr">
        <is>
          <t>2005</t>
        </is>
      </c>
      <c r="O2919" t="inlineStr">
        <is>
          <t>eng</t>
        </is>
      </c>
      <c r="P2919" t="inlineStr">
        <is>
          <t>mau</t>
        </is>
      </c>
      <c r="R2919" t="inlineStr">
        <is>
          <t xml:space="preserve">HQ </t>
        </is>
      </c>
      <c r="S2919" t="n">
        <v>4</v>
      </c>
      <c r="T2919" t="n">
        <v>4</v>
      </c>
      <c r="U2919" t="inlineStr">
        <is>
          <t>2005-11-09</t>
        </is>
      </c>
      <c r="V2919" t="inlineStr">
        <is>
          <t>2005-11-09</t>
        </is>
      </c>
      <c r="W2919" t="inlineStr">
        <is>
          <t>2005-11-09</t>
        </is>
      </c>
      <c r="X2919" t="inlineStr">
        <is>
          <t>2005-11-09</t>
        </is>
      </c>
      <c r="Y2919" t="n">
        <v>754</v>
      </c>
      <c r="Z2919" t="n">
        <v>677</v>
      </c>
      <c r="AA2919" t="n">
        <v>696</v>
      </c>
      <c r="AB2919" t="n">
        <v>3</v>
      </c>
      <c r="AC2919" t="n">
        <v>3</v>
      </c>
      <c r="AD2919" t="n">
        <v>29</v>
      </c>
      <c r="AE2919" t="n">
        <v>29</v>
      </c>
      <c r="AF2919" t="n">
        <v>13</v>
      </c>
      <c r="AG2919" t="n">
        <v>13</v>
      </c>
      <c r="AH2919" t="n">
        <v>7</v>
      </c>
      <c r="AI2919" t="n">
        <v>7</v>
      </c>
      <c r="AJ2919" t="n">
        <v>15</v>
      </c>
      <c r="AK2919" t="n">
        <v>15</v>
      </c>
      <c r="AL2919" t="n">
        <v>1</v>
      </c>
      <c r="AM2919" t="n">
        <v>1</v>
      </c>
      <c r="AN2919" t="n">
        <v>0</v>
      </c>
      <c r="AO2919" t="n">
        <v>0</v>
      </c>
      <c r="AP2919" t="inlineStr">
        <is>
          <t>No</t>
        </is>
      </c>
      <c r="AQ2919" t="inlineStr">
        <is>
          <t>Yes</t>
        </is>
      </c>
      <c r="AR2919">
        <f>HYPERLINK("http://catalog.hathitrust.org/Record/005061471","HathiTrust Record")</f>
        <v/>
      </c>
      <c r="AS2919">
        <f>HYPERLINK("https://creighton-primo.hosted.exlibrisgroup.com/primo-explore/search?tab=default_tab&amp;search_scope=EVERYTHING&amp;vid=01CRU&amp;lang=en_US&amp;offset=0&amp;query=any,contains,991004675539702656","Catalog Record")</f>
        <v/>
      </c>
      <c r="AT2919">
        <f>HYPERLINK("http://www.worldcat.org/oclc/57693630","WorldCat Record")</f>
        <v/>
      </c>
      <c r="AU2919" t="inlineStr">
        <is>
          <t>2018920:eng</t>
        </is>
      </c>
      <c r="AV2919" t="inlineStr">
        <is>
          <t>57693630</t>
        </is>
      </c>
      <c r="AW2919" t="inlineStr">
        <is>
          <t>991004675539702656</t>
        </is>
      </c>
      <c r="AX2919" t="inlineStr">
        <is>
          <t>991004675539702656</t>
        </is>
      </c>
      <c r="AY2919" t="inlineStr">
        <is>
          <t>2262978200002656</t>
        </is>
      </c>
      <c r="AZ2919" t="inlineStr">
        <is>
          <t>BOOK</t>
        </is>
      </c>
      <c r="BB2919" t="inlineStr">
        <is>
          <t>9780807065228</t>
        </is>
      </c>
      <c r="BC2919" t="inlineStr">
        <is>
          <t>32285005146252</t>
        </is>
      </c>
      <c r="BD2919" t="inlineStr">
        <is>
          <t>893688010</t>
        </is>
      </c>
    </row>
    <row r="2920">
      <c r="A2920" t="inlineStr">
        <is>
          <t>No</t>
        </is>
      </c>
      <c r="B2920" t="inlineStr">
        <is>
          <t>HQ800.3 .C58 1999</t>
        </is>
      </c>
      <c r="C2920" t="inlineStr">
        <is>
          <t>0                      HQ 0800300C  58          1999</t>
        </is>
      </c>
      <c r="D2920" t="inlineStr">
        <is>
          <t>The age of the bachelor : creating an American subculture / Howard P. Chudacoff.</t>
        </is>
      </c>
      <c r="F2920" t="inlineStr">
        <is>
          <t>No</t>
        </is>
      </c>
      <c r="G2920" t="inlineStr">
        <is>
          <t>1</t>
        </is>
      </c>
      <c r="H2920" t="inlineStr">
        <is>
          <t>No</t>
        </is>
      </c>
      <c r="I2920" t="inlineStr">
        <is>
          <t>No</t>
        </is>
      </c>
      <c r="J2920" t="inlineStr">
        <is>
          <t>0</t>
        </is>
      </c>
      <c r="K2920" t="inlineStr">
        <is>
          <t>Chudacoff, Howard P.</t>
        </is>
      </c>
      <c r="L2920" t="inlineStr">
        <is>
          <t>Princeton, N.J. : Princeton University Press, c1999.</t>
        </is>
      </c>
      <c r="M2920" t="inlineStr">
        <is>
          <t>1999</t>
        </is>
      </c>
      <c r="O2920" t="inlineStr">
        <is>
          <t>eng</t>
        </is>
      </c>
      <c r="P2920" t="inlineStr">
        <is>
          <t>nju</t>
        </is>
      </c>
      <c r="R2920" t="inlineStr">
        <is>
          <t xml:space="preserve">HQ </t>
        </is>
      </c>
      <c r="S2920" t="n">
        <v>6</v>
      </c>
      <c r="T2920" t="n">
        <v>6</v>
      </c>
      <c r="U2920" t="inlineStr">
        <is>
          <t>2005-09-24</t>
        </is>
      </c>
      <c r="V2920" t="inlineStr">
        <is>
          <t>2005-09-24</t>
        </is>
      </c>
      <c r="W2920" t="inlineStr">
        <is>
          <t>1999-11-16</t>
        </is>
      </c>
      <c r="X2920" t="inlineStr">
        <is>
          <t>1999-11-16</t>
        </is>
      </c>
      <c r="Y2920" t="n">
        <v>786</v>
      </c>
      <c r="Z2920" t="n">
        <v>692</v>
      </c>
      <c r="AA2920" t="n">
        <v>706</v>
      </c>
      <c r="AB2920" t="n">
        <v>5</v>
      </c>
      <c r="AC2920" t="n">
        <v>5</v>
      </c>
      <c r="AD2920" t="n">
        <v>34</v>
      </c>
      <c r="AE2920" t="n">
        <v>34</v>
      </c>
      <c r="AF2920" t="n">
        <v>15</v>
      </c>
      <c r="AG2920" t="n">
        <v>15</v>
      </c>
      <c r="AH2920" t="n">
        <v>6</v>
      </c>
      <c r="AI2920" t="n">
        <v>6</v>
      </c>
      <c r="AJ2920" t="n">
        <v>17</v>
      </c>
      <c r="AK2920" t="n">
        <v>17</v>
      </c>
      <c r="AL2920" t="n">
        <v>4</v>
      </c>
      <c r="AM2920" t="n">
        <v>4</v>
      </c>
      <c r="AN2920" t="n">
        <v>0</v>
      </c>
      <c r="AO2920" t="n">
        <v>0</v>
      </c>
      <c r="AP2920" t="inlineStr">
        <is>
          <t>No</t>
        </is>
      </c>
      <c r="AQ2920" t="inlineStr">
        <is>
          <t>No</t>
        </is>
      </c>
      <c r="AS2920">
        <f>HYPERLINK("https://creighton-primo.hosted.exlibrisgroup.com/primo-explore/search?tab=default_tab&amp;search_scope=EVERYTHING&amp;vid=01CRU&amp;lang=en_US&amp;offset=0&amp;query=any,contains,991002958949702656","Catalog Record")</f>
        <v/>
      </c>
      <c r="AT2920">
        <f>HYPERLINK("http://www.worldcat.org/oclc/39533136","WorldCat Record")</f>
        <v/>
      </c>
      <c r="AU2920" t="inlineStr">
        <is>
          <t>20918305:eng</t>
        </is>
      </c>
      <c r="AV2920" t="inlineStr">
        <is>
          <t>39533136</t>
        </is>
      </c>
      <c r="AW2920" t="inlineStr">
        <is>
          <t>991002958949702656</t>
        </is>
      </c>
      <c r="AX2920" t="inlineStr">
        <is>
          <t>991002958949702656</t>
        </is>
      </c>
      <c r="AY2920" t="inlineStr">
        <is>
          <t>2259423410002656</t>
        </is>
      </c>
      <c r="AZ2920" t="inlineStr">
        <is>
          <t>BOOK</t>
        </is>
      </c>
      <c r="BB2920" t="inlineStr">
        <is>
          <t>9780691027968</t>
        </is>
      </c>
      <c r="BC2920" t="inlineStr">
        <is>
          <t>32285003623252</t>
        </is>
      </c>
      <c r="BD2920" t="inlineStr">
        <is>
          <t>893434502</t>
        </is>
      </c>
    </row>
    <row r="2921">
      <c r="A2921" t="inlineStr">
        <is>
          <t>No</t>
        </is>
      </c>
      <c r="B2921" t="inlineStr">
        <is>
          <t>HQ800.4.U6 C36 2007</t>
        </is>
      </c>
      <c r="C2921" t="inlineStr">
        <is>
          <t>0                      HQ 0800400U  6                  C  36          2007</t>
        </is>
      </c>
      <c r="D2921" t="inlineStr">
        <is>
          <t>Being single on Noah's ark / Leonard Cargan.</t>
        </is>
      </c>
      <c r="F2921" t="inlineStr">
        <is>
          <t>No</t>
        </is>
      </c>
      <c r="G2921" t="inlineStr">
        <is>
          <t>1</t>
        </is>
      </c>
      <c r="H2921" t="inlineStr">
        <is>
          <t>No</t>
        </is>
      </c>
      <c r="I2921" t="inlineStr">
        <is>
          <t>No</t>
        </is>
      </c>
      <c r="J2921" t="inlineStr">
        <is>
          <t>0</t>
        </is>
      </c>
      <c r="K2921" t="inlineStr">
        <is>
          <t>Cargan, Leonard.</t>
        </is>
      </c>
      <c r="L2921" t="inlineStr">
        <is>
          <t>Lanham : Rowman &amp; Littlefield, c2007.</t>
        </is>
      </c>
      <c r="M2921" t="inlineStr">
        <is>
          <t>2007</t>
        </is>
      </c>
      <c r="O2921" t="inlineStr">
        <is>
          <t>eng</t>
        </is>
      </c>
      <c r="P2921" t="inlineStr">
        <is>
          <t>mdu</t>
        </is>
      </c>
      <c r="R2921" t="inlineStr">
        <is>
          <t xml:space="preserve">HQ </t>
        </is>
      </c>
      <c r="S2921" t="n">
        <v>1</v>
      </c>
      <c r="T2921" t="n">
        <v>1</v>
      </c>
      <c r="U2921" t="inlineStr">
        <is>
          <t>2008-11-19</t>
        </is>
      </c>
      <c r="V2921" t="inlineStr">
        <is>
          <t>2008-11-19</t>
        </is>
      </c>
      <c r="W2921" t="inlineStr">
        <is>
          <t>2008-11-19</t>
        </is>
      </c>
      <c r="X2921" t="inlineStr">
        <is>
          <t>2008-11-19</t>
        </is>
      </c>
      <c r="Y2921" t="n">
        <v>499</v>
      </c>
      <c r="Z2921" t="n">
        <v>445</v>
      </c>
      <c r="AA2921" t="n">
        <v>452</v>
      </c>
      <c r="AB2921" t="n">
        <v>3</v>
      </c>
      <c r="AC2921" t="n">
        <v>3</v>
      </c>
      <c r="AD2921" t="n">
        <v>19</v>
      </c>
      <c r="AE2921" t="n">
        <v>19</v>
      </c>
      <c r="AF2921" t="n">
        <v>10</v>
      </c>
      <c r="AG2921" t="n">
        <v>10</v>
      </c>
      <c r="AH2921" t="n">
        <v>3</v>
      </c>
      <c r="AI2921" t="n">
        <v>3</v>
      </c>
      <c r="AJ2921" t="n">
        <v>9</v>
      </c>
      <c r="AK2921" t="n">
        <v>9</v>
      </c>
      <c r="AL2921" t="n">
        <v>2</v>
      </c>
      <c r="AM2921" t="n">
        <v>2</v>
      </c>
      <c r="AN2921" t="n">
        <v>0</v>
      </c>
      <c r="AO2921" t="n">
        <v>0</v>
      </c>
      <c r="AP2921" t="inlineStr">
        <is>
          <t>No</t>
        </is>
      </c>
      <c r="AQ2921" t="inlineStr">
        <is>
          <t>Yes</t>
        </is>
      </c>
      <c r="AR2921">
        <f>HYPERLINK("http://catalog.hathitrust.org/Record/005605363","HathiTrust Record")</f>
        <v/>
      </c>
      <c r="AS2921">
        <f>HYPERLINK("https://creighton-primo.hosted.exlibrisgroup.com/primo-explore/search?tab=default_tab&amp;search_scope=EVERYTHING&amp;vid=01CRU&amp;lang=en_US&amp;offset=0&amp;query=any,contains,991005273009702656","Catalog Record")</f>
        <v/>
      </c>
      <c r="AT2921">
        <f>HYPERLINK("http://www.worldcat.org/oclc/85766185","WorldCat Record")</f>
        <v/>
      </c>
      <c r="AU2921" t="inlineStr">
        <is>
          <t>69693667:eng</t>
        </is>
      </c>
      <c r="AV2921" t="inlineStr">
        <is>
          <t>85766185</t>
        </is>
      </c>
      <c r="AW2921" t="inlineStr">
        <is>
          <t>991005273009702656</t>
        </is>
      </c>
      <c r="AX2921" t="inlineStr">
        <is>
          <t>991005273009702656</t>
        </is>
      </c>
      <c r="AY2921" t="inlineStr">
        <is>
          <t>2261878800002656</t>
        </is>
      </c>
      <c r="AZ2921" t="inlineStr">
        <is>
          <t>BOOK</t>
        </is>
      </c>
      <c r="BB2921" t="inlineStr">
        <is>
          <t>9780742559585</t>
        </is>
      </c>
      <c r="BC2921" t="inlineStr">
        <is>
          <t>32285005467948</t>
        </is>
      </c>
      <c r="BD2921" t="inlineStr">
        <is>
          <t>893795904</t>
        </is>
      </c>
    </row>
    <row r="2922">
      <c r="A2922" t="inlineStr">
        <is>
          <t>No</t>
        </is>
      </c>
      <c r="B2922" t="inlineStr">
        <is>
          <t>HQ800.4.U6 C37 1982</t>
        </is>
      </c>
      <c r="C2922" t="inlineStr">
        <is>
          <t>0                      HQ 0800400U  6                  C  37          1982</t>
        </is>
      </c>
      <c r="D2922" t="inlineStr">
        <is>
          <t>Singles : myths and realities / Leonard Cargan, Matthew Melko.</t>
        </is>
      </c>
      <c r="F2922" t="inlineStr">
        <is>
          <t>No</t>
        </is>
      </c>
      <c r="G2922" t="inlineStr">
        <is>
          <t>1</t>
        </is>
      </c>
      <c r="H2922" t="inlineStr">
        <is>
          <t>Yes</t>
        </is>
      </c>
      <c r="I2922" t="inlineStr">
        <is>
          <t>No</t>
        </is>
      </c>
      <c r="J2922" t="inlineStr">
        <is>
          <t>0</t>
        </is>
      </c>
      <c r="K2922" t="inlineStr">
        <is>
          <t>Cargan, Leonard.</t>
        </is>
      </c>
      <c r="L2922" t="inlineStr">
        <is>
          <t>Beverly Hills : Sage Publications, c1982.</t>
        </is>
      </c>
      <c r="M2922" t="inlineStr">
        <is>
          <t>1982</t>
        </is>
      </c>
      <c r="O2922" t="inlineStr">
        <is>
          <t>eng</t>
        </is>
      </c>
      <c r="P2922" t="inlineStr">
        <is>
          <t>cau</t>
        </is>
      </c>
      <c r="Q2922" t="inlineStr">
        <is>
          <t>New perspectives on family</t>
        </is>
      </c>
      <c r="R2922" t="inlineStr">
        <is>
          <t xml:space="preserve">HQ </t>
        </is>
      </c>
      <c r="S2922" t="n">
        <v>6</v>
      </c>
      <c r="T2922" t="n">
        <v>15</v>
      </c>
      <c r="U2922" t="inlineStr">
        <is>
          <t>1994-07-05</t>
        </is>
      </c>
      <c r="V2922" t="inlineStr">
        <is>
          <t>2005-02-07</t>
        </is>
      </c>
      <c r="W2922" t="inlineStr">
        <is>
          <t>1992-09-09</t>
        </is>
      </c>
      <c r="X2922" t="inlineStr">
        <is>
          <t>1992-11-16</t>
        </is>
      </c>
      <c r="Y2922" t="n">
        <v>553</v>
      </c>
      <c r="Z2922" t="n">
        <v>463</v>
      </c>
      <c r="AA2922" t="n">
        <v>469</v>
      </c>
      <c r="AB2922" t="n">
        <v>3</v>
      </c>
      <c r="AC2922" t="n">
        <v>3</v>
      </c>
      <c r="AD2922" t="n">
        <v>20</v>
      </c>
      <c r="AE2922" t="n">
        <v>20</v>
      </c>
      <c r="AF2922" t="n">
        <v>9</v>
      </c>
      <c r="AG2922" t="n">
        <v>9</v>
      </c>
      <c r="AH2922" t="n">
        <v>5</v>
      </c>
      <c r="AI2922" t="n">
        <v>5</v>
      </c>
      <c r="AJ2922" t="n">
        <v>11</v>
      </c>
      <c r="AK2922" t="n">
        <v>11</v>
      </c>
      <c r="AL2922" t="n">
        <v>2</v>
      </c>
      <c r="AM2922" t="n">
        <v>2</v>
      </c>
      <c r="AN2922" t="n">
        <v>0</v>
      </c>
      <c r="AO2922" t="n">
        <v>0</v>
      </c>
      <c r="AP2922" t="inlineStr">
        <is>
          <t>No</t>
        </is>
      </c>
      <c r="AQ2922" t="inlineStr">
        <is>
          <t>Yes</t>
        </is>
      </c>
      <c r="AR2922">
        <f>HYPERLINK("http://catalog.hathitrust.org/Record/000102141","HathiTrust Record")</f>
        <v/>
      </c>
      <c r="AS2922">
        <f>HYPERLINK("https://creighton-primo.hosted.exlibrisgroup.com/primo-explore/search?tab=default_tab&amp;search_scope=EVERYTHING&amp;vid=01CRU&amp;lang=en_US&amp;offset=0&amp;query=any,contains,991005208009702656","Catalog Record")</f>
        <v/>
      </c>
      <c r="AT2922">
        <f>HYPERLINK("http://www.worldcat.org/oclc/8132953","WorldCat Record")</f>
        <v/>
      </c>
      <c r="AU2922" t="inlineStr">
        <is>
          <t>836683481:eng</t>
        </is>
      </c>
      <c r="AV2922" t="inlineStr">
        <is>
          <t>8132953</t>
        </is>
      </c>
      <c r="AW2922" t="inlineStr">
        <is>
          <t>991005208009702656</t>
        </is>
      </c>
      <c r="AX2922" t="inlineStr">
        <is>
          <t>991005208009702656</t>
        </is>
      </c>
      <c r="AY2922" t="inlineStr">
        <is>
          <t>2267901180002656</t>
        </is>
      </c>
      <c r="AZ2922" t="inlineStr">
        <is>
          <t>BOOK</t>
        </is>
      </c>
      <c r="BB2922" t="inlineStr">
        <is>
          <t>9780803918061</t>
        </is>
      </c>
      <c r="BC2922" t="inlineStr">
        <is>
          <t>32285001297125</t>
        </is>
      </c>
      <c r="BD2922" t="inlineStr">
        <is>
          <t>893320246</t>
        </is>
      </c>
    </row>
    <row r="2923">
      <c r="A2923" t="inlineStr">
        <is>
          <t>No</t>
        </is>
      </c>
      <c r="B2923" t="inlineStr">
        <is>
          <t>HQ800.4.U6 C37 1982</t>
        </is>
      </c>
      <c r="C2923" t="inlineStr">
        <is>
          <t>0                      HQ 0800400U  6                  C  37          1982</t>
        </is>
      </c>
      <c r="D2923" t="inlineStr">
        <is>
          <t>Singles : myths and realities / Leonard Cargan, Matthew Melko.</t>
        </is>
      </c>
      <c r="F2923" t="inlineStr">
        <is>
          <t>No</t>
        </is>
      </c>
      <c r="G2923" t="inlineStr">
        <is>
          <t>1</t>
        </is>
      </c>
      <c r="H2923" t="inlineStr">
        <is>
          <t>Yes</t>
        </is>
      </c>
      <c r="I2923" t="inlineStr">
        <is>
          <t>No</t>
        </is>
      </c>
      <c r="J2923" t="inlineStr">
        <is>
          <t>0</t>
        </is>
      </c>
      <c r="K2923" t="inlineStr">
        <is>
          <t>Cargan, Leonard.</t>
        </is>
      </c>
      <c r="L2923" t="inlineStr">
        <is>
          <t>Beverly Hills : Sage Publications, c1982.</t>
        </is>
      </c>
      <c r="M2923" t="inlineStr">
        <is>
          <t>1982</t>
        </is>
      </c>
      <c r="O2923" t="inlineStr">
        <is>
          <t>eng</t>
        </is>
      </c>
      <c r="P2923" t="inlineStr">
        <is>
          <t>cau</t>
        </is>
      </c>
      <c r="Q2923" t="inlineStr">
        <is>
          <t>New perspectives on family</t>
        </is>
      </c>
      <c r="R2923" t="inlineStr">
        <is>
          <t xml:space="preserve">HQ </t>
        </is>
      </c>
      <c r="S2923" t="n">
        <v>9</v>
      </c>
      <c r="T2923" t="n">
        <v>15</v>
      </c>
      <c r="U2923" t="inlineStr">
        <is>
          <t>2005-02-07</t>
        </is>
      </c>
      <c r="V2923" t="inlineStr">
        <is>
          <t>2005-02-07</t>
        </is>
      </c>
      <c r="W2923" t="inlineStr">
        <is>
          <t>1992-11-16</t>
        </is>
      </c>
      <c r="X2923" t="inlineStr">
        <is>
          <t>1992-11-16</t>
        </is>
      </c>
      <c r="Y2923" t="n">
        <v>553</v>
      </c>
      <c r="Z2923" t="n">
        <v>463</v>
      </c>
      <c r="AA2923" t="n">
        <v>469</v>
      </c>
      <c r="AB2923" t="n">
        <v>3</v>
      </c>
      <c r="AC2923" t="n">
        <v>3</v>
      </c>
      <c r="AD2923" t="n">
        <v>20</v>
      </c>
      <c r="AE2923" t="n">
        <v>20</v>
      </c>
      <c r="AF2923" t="n">
        <v>9</v>
      </c>
      <c r="AG2923" t="n">
        <v>9</v>
      </c>
      <c r="AH2923" t="n">
        <v>5</v>
      </c>
      <c r="AI2923" t="n">
        <v>5</v>
      </c>
      <c r="AJ2923" t="n">
        <v>11</v>
      </c>
      <c r="AK2923" t="n">
        <v>11</v>
      </c>
      <c r="AL2923" t="n">
        <v>2</v>
      </c>
      <c r="AM2923" t="n">
        <v>2</v>
      </c>
      <c r="AN2923" t="n">
        <v>0</v>
      </c>
      <c r="AO2923" t="n">
        <v>0</v>
      </c>
      <c r="AP2923" t="inlineStr">
        <is>
          <t>No</t>
        </is>
      </c>
      <c r="AQ2923" t="inlineStr">
        <is>
          <t>Yes</t>
        </is>
      </c>
      <c r="AR2923">
        <f>HYPERLINK("http://catalog.hathitrust.org/Record/000102141","HathiTrust Record")</f>
        <v/>
      </c>
      <c r="AS2923">
        <f>HYPERLINK("https://creighton-primo.hosted.exlibrisgroup.com/primo-explore/search?tab=default_tab&amp;search_scope=EVERYTHING&amp;vid=01CRU&amp;lang=en_US&amp;offset=0&amp;query=any,contains,991005208009702656","Catalog Record")</f>
        <v/>
      </c>
      <c r="AT2923">
        <f>HYPERLINK("http://www.worldcat.org/oclc/8132953","WorldCat Record")</f>
        <v/>
      </c>
      <c r="AU2923" t="inlineStr">
        <is>
          <t>836683481:eng</t>
        </is>
      </c>
      <c r="AV2923" t="inlineStr">
        <is>
          <t>8132953</t>
        </is>
      </c>
      <c r="AW2923" t="inlineStr">
        <is>
          <t>991005208009702656</t>
        </is>
      </c>
      <c r="AX2923" t="inlineStr">
        <is>
          <t>991005208009702656</t>
        </is>
      </c>
      <c r="AY2923" t="inlineStr">
        <is>
          <t>2267901180002656</t>
        </is>
      </c>
      <c r="AZ2923" t="inlineStr">
        <is>
          <t>BOOK</t>
        </is>
      </c>
      <c r="BB2923" t="inlineStr">
        <is>
          <t>9780803918061</t>
        </is>
      </c>
      <c r="BC2923" t="inlineStr">
        <is>
          <t>32285001396588</t>
        </is>
      </c>
      <c r="BD2923" t="inlineStr">
        <is>
          <t>893332597</t>
        </is>
      </c>
    </row>
    <row r="2924">
      <c r="A2924" t="inlineStr">
        <is>
          <t>No</t>
        </is>
      </c>
      <c r="B2924" t="inlineStr">
        <is>
          <t>HQ800.4.U6 D38 1993</t>
        </is>
      </c>
      <c r="C2924" t="inlineStr">
        <is>
          <t>0                      HQ 0800400U  6                  D  38          1993</t>
        </is>
      </c>
      <c r="D2924" t="inlineStr">
        <is>
          <t>Black and single : meeting and choosing a partner who's right for you / Larry E. Davis.</t>
        </is>
      </c>
      <c r="F2924" t="inlineStr">
        <is>
          <t>No</t>
        </is>
      </c>
      <c r="G2924" t="inlineStr">
        <is>
          <t>1</t>
        </is>
      </c>
      <c r="H2924" t="inlineStr">
        <is>
          <t>No</t>
        </is>
      </c>
      <c r="I2924" t="inlineStr">
        <is>
          <t>No</t>
        </is>
      </c>
      <c r="J2924" t="inlineStr">
        <is>
          <t>0</t>
        </is>
      </c>
      <c r="K2924" t="inlineStr">
        <is>
          <t>Davis, Larry E.</t>
        </is>
      </c>
      <c r="L2924" t="inlineStr">
        <is>
          <t>Chicago : Noble Press, c1993.</t>
        </is>
      </c>
      <c r="M2924" t="inlineStr">
        <is>
          <t>1993</t>
        </is>
      </c>
      <c r="O2924" t="inlineStr">
        <is>
          <t>eng</t>
        </is>
      </c>
      <c r="P2924" t="inlineStr">
        <is>
          <t>ilu</t>
        </is>
      </c>
      <c r="R2924" t="inlineStr">
        <is>
          <t xml:space="preserve">HQ </t>
        </is>
      </c>
      <c r="S2924" t="n">
        <v>10</v>
      </c>
      <c r="T2924" t="n">
        <v>10</v>
      </c>
      <c r="U2924" t="inlineStr">
        <is>
          <t>2002-09-18</t>
        </is>
      </c>
      <c r="V2924" t="inlineStr">
        <is>
          <t>2002-09-18</t>
        </is>
      </c>
      <c r="W2924" t="inlineStr">
        <is>
          <t>1995-04-10</t>
        </is>
      </c>
      <c r="X2924" t="inlineStr">
        <is>
          <t>1995-04-10</t>
        </is>
      </c>
      <c r="Y2924" t="n">
        <v>213</v>
      </c>
      <c r="Z2924" t="n">
        <v>206</v>
      </c>
      <c r="AA2924" t="n">
        <v>297</v>
      </c>
      <c r="AB2924" t="n">
        <v>2</v>
      </c>
      <c r="AC2924" t="n">
        <v>3</v>
      </c>
      <c r="AD2924" t="n">
        <v>3</v>
      </c>
      <c r="AE2924" t="n">
        <v>5</v>
      </c>
      <c r="AF2924" t="n">
        <v>1</v>
      </c>
      <c r="AG2924" t="n">
        <v>2</v>
      </c>
      <c r="AH2924" t="n">
        <v>0</v>
      </c>
      <c r="AI2924" t="n">
        <v>1</v>
      </c>
      <c r="AJ2924" t="n">
        <v>2</v>
      </c>
      <c r="AK2924" t="n">
        <v>2</v>
      </c>
      <c r="AL2924" t="n">
        <v>0</v>
      </c>
      <c r="AM2924" t="n">
        <v>1</v>
      </c>
      <c r="AN2924" t="n">
        <v>0</v>
      </c>
      <c r="AO2924" t="n">
        <v>0</v>
      </c>
      <c r="AP2924" t="inlineStr">
        <is>
          <t>No</t>
        </is>
      </c>
      <c r="AQ2924" t="inlineStr">
        <is>
          <t>Yes</t>
        </is>
      </c>
      <c r="AR2924">
        <f>HYPERLINK("http://catalog.hathitrust.org/Record/009922295","HathiTrust Record")</f>
        <v/>
      </c>
      <c r="AS2924">
        <f>HYPERLINK("https://creighton-primo.hosted.exlibrisgroup.com/primo-explore/search?tab=default_tab&amp;search_scope=EVERYTHING&amp;vid=01CRU&amp;lang=en_US&amp;offset=0&amp;query=any,contains,991002217569702656","Catalog Record")</f>
        <v/>
      </c>
      <c r="AT2924">
        <f>HYPERLINK("http://www.worldcat.org/oclc/28550139","WorldCat Record")</f>
        <v/>
      </c>
      <c r="AU2924" t="inlineStr">
        <is>
          <t>750945:eng</t>
        </is>
      </c>
      <c r="AV2924" t="inlineStr">
        <is>
          <t>28550139</t>
        </is>
      </c>
      <c r="AW2924" t="inlineStr">
        <is>
          <t>991002217569702656</t>
        </is>
      </c>
      <c r="AX2924" t="inlineStr">
        <is>
          <t>991002217569702656</t>
        </is>
      </c>
      <c r="AY2924" t="inlineStr">
        <is>
          <t>2272369120002656</t>
        </is>
      </c>
      <c r="AZ2924" t="inlineStr">
        <is>
          <t>BOOK</t>
        </is>
      </c>
      <c r="BB2924" t="inlineStr">
        <is>
          <t>9781879360297</t>
        </is>
      </c>
      <c r="BC2924" t="inlineStr">
        <is>
          <t>32285002018058</t>
        </is>
      </c>
      <c r="BD2924" t="inlineStr">
        <is>
          <t>893433633</t>
        </is>
      </c>
    </row>
    <row r="2925">
      <c r="A2925" t="inlineStr">
        <is>
          <t>No</t>
        </is>
      </c>
      <c r="B2925" t="inlineStr">
        <is>
          <t>HQ800.4.U6 P47 1981</t>
        </is>
      </c>
      <c r="C2925" t="inlineStr">
        <is>
          <t>0                      HQ 0800400U  6                  P  47          1981</t>
        </is>
      </c>
      <c r="D2925" t="inlineStr">
        <is>
          <t>Our lives for ourselves : women who have never married / Nancy L. Peterson.</t>
        </is>
      </c>
      <c r="F2925" t="inlineStr">
        <is>
          <t>No</t>
        </is>
      </c>
      <c r="G2925" t="inlineStr">
        <is>
          <t>1</t>
        </is>
      </c>
      <c r="H2925" t="inlineStr">
        <is>
          <t>No</t>
        </is>
      </c>
      <c r="I2925" t="inlineStr">
        <is>
          <t>No</t>
        </is>
      </c>
      <c r="J2925" t="inlineStr">
        <is>
          <t>0</t>
        </is>
      </c>
      <c r="K2925" t="inlineStr">
        <is>
          <t>Peterson, Nancy L.</t>
        </is>
      </c>
      <c r="L2925" t="inlineStr">
        <is>
          <t>New York : Putnam, c1981.</t>
        </is>
      </c>
      <c r="M2925" t="inlineStr">
        <is>
          <t>1981</t>
        </is>
      </c>
      <c r="O2925" t="inlineStr">
        <is>
          <t>eng</t>
        </is>
      </c>
      <c r="P2925" t="inlineStr">
        <is>
          <t>nyu</t>
        </is>
      </c>
      <c r="R2925" t="inlineStr">
        <is>
          <t xml:space="preserve">HQ </t>
        </is>
      </c>
      <c r="S2925" t="n">
        <v>5</v>
      </c>
      <c r="T2925" t="n">
        <v>5</v>
      </c>
      <c r="U2925" t="inlineStr">
        <is>
          <t>1996-01-24</t>
        </is>
      </c>
      <c r="V2925" t="inlineStr">
        <is>
          <t>1996-01-24</t>
        </is>
      </c>
      <c r="W2925" t="inlineStr">
        <is>
          <t>1992-11-16</t>
        </is>
      </c>
      <c r="X2925" t="inlineStr">
        <is>
          <t>1992-11-16</t>
        </is>
      </c>
      <c r="Y2925" t="n">
        <v>759</v>
      </c>
      <c r="Z2925" t="n">
        <v>706</v>
      </c>
      <c r="AA2925" t="n">
        <v>708</v>
      </c>
      <c r="AB2925" t="n">
        <v>4</v>
      </c>
      <c r="AC2925" t="n">
        <v>4</v>
      </c>
      <c r="AD2925" t="n">
        <v>18</v>
      </c>
      <c r="AE2925" t="n">
        <v>18</v>
      </c>
      <c r="AF2925" t="n">
        <v>5</v>
      </c>
      <c r="AG2925" t="n">
        <v>5</v>
      </c>
      <c r="AH2925" t="n">
        <v>4</v>
      </c>
      <c r="AI2925" t="n">
        <v>4</v>
      </c>
      <c r="AJ2925" t="n">
        <v>10</v>
      </c>
      <c r="AK2925" t="n">
        <v>10</v>
      </c>
      <c r="AL2925" t="n">
        <v>3</v>
      </c>
      <c r="AM2925" t="n">
        <v>3</v>
      </c>
      <c r="AN2925" t="n">
        <v>0</v>
      </c>
      <c r="AO2925" t="n">
        <v>0</v>
      </c>
      <c r="AP2925" t="inlineStr">
        <is>
          <t>No</t>
        </is>
      </c>
      <c r="AQ2925" t="inlineStr">
        <is>
          <t>Yes</t>
        </is>
      </c>
      <c r="AR2925">
        <f>HYPERLINK("http://catalog.hathitrust.org/Record/000263080","HathiTrust Record")</f>
        <v/>
      </c>
      <c r="AS2925">
        <f>HYPERLINK("https://creighton-primo.hosted.exlibrisgroup.com/primo-explore/search?tab=default_tab&amp;search_scope=EVERYTHING&amp;vid=01CRU&amp;lang=en_US&amp;offset=0&amp;query=any,contains,991005040409702656","Catalog Record")</f>
        <v/>
      </c>
      <c r="AT2925">
        <f>HYPERLINK("http://www.worldcat.org/oclc/6790191","WorldCat Record")</f>
        <v/>
      </c>
      <c r="AU2925" t="inlineStr">
        <is>
          <t>24394014:eng</t>
        </is>
      </c>
      <c r="AV2925" t="inlineStr">
        <is>
          <t>6790191</t>
        </is>
      </c>
      <c r="AW2925" t="inlineStr">
        <is>
          <t>991005040409702656</t>
        </is>
      </c>
      <c r="AX2925" t="inlineStr">
        <is>
          <t>991005040409702656</t>
        </is>
      </c>
      <c r="AY2925" t="inlineStr">
        <is>
          <t>2271786840002656</t>
        </is>
      </c>
      <c r="AZ2925" t="inlineStr">
        <is>
          <t>BOOK</t>
        </is>
      </c>
      <c r="BB2925" t="inlineStr">
        <is>
          <t>9780399124761</t>
        </is>
      </c>
      <c r="BC2925" t="inlineStr">
        <is>
          <t>32285001396596</t>
        </is>
      </c>
      <c r="BD2925" t="inlineStr">
        <is>
          <t>893870420</t>
        </is>
      </c>
    </row>
    <row r="2926">
      <c r="A2926" t="inlineStr">
        <is>
          <t>No</t>
        </is>
      </c>
      <c r="B2926" t="inlineStr">
        <is>
          <t>HQ800.4.U6 S54 1982</t>
        </is>
      </c>
      <c r="C2926" t="inlineStr">
        <is>
          <t>0                      HQ 0800400U  6                  S  54          1982</t>
        </is>
      </c>
      <c r="D2926" t="inlineStr">
        <is>
          <t>Singles : the new Americans / Jacqueline Simenauer and David Carroll.</t>
        </is>
      </c>
      <c r="F2926" t="inlineStr">
        <is>
          <t>No</t>
        </is>
      </c>
      <c r="G2926" t="inlineStr">
        <is>
          <t>1</t>
        </is>
      </c>
      <c r="H2926" t="inlineStr">
        <is>
          <t>No</t>
        </is>
      </c>
      <c r="I2926" t="inlineStr">
        <is>
          <t>No</t>
        </is>
      </c>
      <c r="J2926" t="inlineStr">
        <is>
          <t>0</t>
        </is>
      </c>
      <c r="K2926" t="inlineStr">
        <is>
          <t>Simenauer, Jacqueline.</t>
        </is>
      </c>
      <c r="L2926" t="inlineStr">
        <is>
          <t>New York : Simon and Schuster, c1982.</t>
        </is>
      </c>
      <c r="M2926" t="inlineStr">
        <is>
          <t>1982</t>
        </is>
      </c>
      <c r="O2926" t="inlineStr">
        <is>
          <t>eng</t>
        </is>
      </c>
      <c r="P2926" t="inlineStr">
        <is>
          <t>nyu</t>
        </is>
      </c>
      <c r="R2926" t="inlineStr">
        <is>
          <t xml:space="preserve">HQ </t>
        </is>
      </c>
      <c r="S2926" t="n">
        <v>17</v>
      </c>
      <c r="T2926" t="n">
        <v>17</v>
      </c>
      <c r="U2926" t="inlineStr">
        <is>
          <t>2005-02-07</t>
        </is>
      </c>
      <c r="V2926" t="inlineStr">
        <is>
          <t>2005-02-07</t>
        </is>
      </c>
      <c r="W2926" t="inlineStr">
        <is>
          <t>1990-01-31</t>
        </is>
      </c>
      <c r="X2926" t="inlineStr">
        <is>
          <t>1990-01-31</t>
        </is>
      </c>
      <c r="Y2926" t="n">
        <v>637</v>
      </c>
      <c r="Z2926" t="n">
        <v>598</v>
      </c>
      <c r="AA2926" t="n">
        <v>632</v>
      </c>
      <c r="AB2926" t="n">
        <v>5</v>
      </c>
      <c r="AC2926" t="n">
        <v>6</v>
      </c>
      <c r="AD2926" t="n">
        <v>10</v>
      </c>
      <c r="AE2926" t="n">
        <v>11</v>
      </c>
      <c r="AF2926" t="n">
        <v>2</v>
      </c>
      <c r="AG2926" t="n">
        <v>2</v>
      </c>
      <c r="AH2926" t="n">
        <v>2</v>
      </c>
      <c r="AI2926" t="n">
        <v>2</v>
      </c>
      <c r="AJ2926" t="n">
        <v>3</v>
      </c>
      <c r="AK2926" t="n">
        <v>3</v>
      </c>
      <c r="AL2926" t="n">
        <v>3</v>
      </c>
      <c r="AM2926" t="n">
        <v>4</v>
      </c>
      <c r="AN2926" t="n">
        <v>0</v>
      </c>
      <c r="AO2926" t="n">
        <v>0</v>
      </c>
      <c r="AP2926" t="inlineStr">
        <is>
          <t>No</t>
        </is>
      </c>
      <c r="AQ2926" t="inlineStr">
        <is>
          <t>Yes</t>
        </is>
      </c>
      <c r="AR2926">
        <f>HYPERLINK("http://catalog.hathitrust.org/Record/000765132","HathiTrust Record")</f>
        <v/>
      </c>
      <c r="AS2926">
        <f>HYPERLINK("https://creighton-primo.hosted.exlibrisgroup.com/primo-explore/search?tab=default_tab&amp;search_scope=EVERYTHING&amp;vid=01CRU&amp;lang=en_US&amp;offset=0&amp;query=any,contains,991005207749702656","Catalog Record")</f>
        <v/>
      </c>
      <c r="AT2926">
        <f>HYPERLINK("http://www.worldcat.org/oclc/8132494","WorldCat Record")</f>
        <v/>
      </c>
      <c r="AU2926" t="inlineStr">
        <is>
          <t>3578772:eng</t>
        </is>
      </c>
      <c r="AV2926" t="inlineStr">
        <is>
          <t>8132494</t>
        </is>
      </c>
      <c r="AW2926" t="inlineStr">
        <is>
          <t>991005207749702656</t>
        </is>
      </c>
      <c r="AX2926" t="inlineStr">
        <is>
          <t>991005207749702656</t>
        </is>
      </c>
      <c r="AY2926" t="inlineStr">
        <is>
          <t>2267857560002656</t>
        </is>
      </c>
      <c r="AZ2926" t="inlineStr">
        <is>
          <t>BOOK</t>
        </is>
      </c>
      <c r="BB2926" t="inlineStr">
        <is>
          <t>9780671250522</t>
        </is>
      </c>
      <c r="BC2926" t="inlineStr">
        <is>
          <t>32285000031509</t>
        </is>
      </c>
      <c r="BD2926" t="inlineStr">
        <is>
          <t>893431043</t>
        </is>
      </c>
    </row>
    <row r="2927">
      <c r="A2927" t="inlineStr">
        <is>
          <t>No</t>
        </is>
      </c>
      <c r="B2927" t="inlineStr">
        <is>
          <t>HQ800.4.U62 S267</t>
        </is>
      </c>
      <c r="C2927" t="inlineStr">
        <is>
          <t>0                      HQ 0800400U  62                 S  267</t>
        </is>
      </c>
      <c r="D2927" t="inlineStr">
        <is>
          <t>The world of Black singles : changing patterns of male/female relations / Robert Staples.</t>
        </is>
      </c>
      <c r="F2927" t="inlineStr">
        <is>
          <t>No</t>
        </is>
      </c>
      <c r="G2927" t="inlineStr">
        <is>
          <t>1</t>
        </is>
      </c>
      <c r="H2927" t="inlineStr">
        <is>
          <t>No</t>
        </is>
      </c>
      <c r="I2927" t="inlineStr">
        <is>
          <t>No</t>
        </is>
      </c>
      <c r="J2927" t="inlineStr">
        <is>
          <t>0</t>
        </is>
      </c>
      <c r="K2927" t="inlineStr">
        <is>
          <t>Staples, Robert.</t>
        </is>
      </c>
      <c r="L2927" t="inlineStr">
        <is>
          <t>Westport, Conn. : Greenwood Press, 1981.</t>
        </is>
      </c>
      <c r="M2927" t="inlineStr">
        <is>
          <t>1981</t>
        </is>
      </c>
      <c r="O2927" t="inlineStr">
        <is>
          <t>eng</t>
        </is>
      </c>
      <c r="P2927" t="inlineStr">
        <is>
          <t>ctu</t>
        </is>
      </c>
      <c r="Q2927" t="inlineStr">
        <is>
          <t>Contributions in Afro-American and African studies, 0069-9624 ; no. 57</t>
        </is>
      </c>
      <c r="R2927" t="inlineStr">
        <is>
          <t xml:space="preserve">HQ </t>
        </is>
      </c>
      <c r="S2927" t="n">
        <v>9</v>
      </c>
      <c r="T2927" t="n">
        <v>9</v>
      </c>
      <c r="U2927" t="inlineStr">
        <is>
          <t>1997-04-16</t>
        </is>
      </c>
      <c r="V2927" t="inlineStr">
        <is>
          <t>1997-04-16</t>
        </is>
      </c>
      <c r="W2927" t="inlineStr">
        <is>
          <t>1991-12-13</t>
        </is>
      </c>
      <c r="X2927" t="inlineStr">
        <is>
          <t>1991-12-13</t>
        </is>
      </c>
      <c r="Y2927" t="n">
        <v>575</v>
      </c>
      <c r="Z2927" t="n">
        <v>532</v>
      </c>
      <c r="AA2927" t="n">
        <v>539</v>
      </c>
      <c r="AB2927" t="n">
        <v>3</v>
      </c>
      <c r="AC2927" t="n">
        <v>3</v>
      </c>
      <c r="AD2927" t="n">
        <v>23</v>
      </c>
      <c r="AE2927" t="n">
        <v>23</v>
      </c>
      <c r="AF2927" t="n">
        <v>10</v>
      </c>
      <c r="AG2927" t="n">
        <v>10</v>
      </c>
      <c r="AH2927" t="n">
        <v>4</v>
      </c>
      <c r="AI2927" t="n">
        <v>4</v>
      </c>
      <c r="AJ2927" t="n">
        <v>13</v>
      </c>
      <c r="AK2927" t="n">
        <v>13</v>
      </c>
      <c r="AL2927" t="n">
        <v>2</v>
      </c>
      <c r="AM2927" t="n">
        <v>2</v>
      </c>
      <c r="AN2927" t="n">
        <v>0</v>
      </c>
      <c r="AO2927" t="n">
        <v>0</v>
      </c>
      <c r="AP2927" t="inlineStr">
        <is>
          <t>No</t>
        </is>
      </c>
      <c r="AQ2927" t="inlineStr">
        <is>
          <t>Yes</t>
        </is>
      </c>
      <c r="AR2927">
        <f>HYPERLINK("http://catalog.hathitrust.org/Record/000127767","HathiTrust Record")</f>
        <v/>
      </c>
      <c r="AS2927">
        <f>HYPERLINK("https://creighton-primo.hosted.exlibrisgroup.com/primo-explore/search?tab=default_tab&amp;search_scope=EVERYTHING&amp;vid=01CRU&amp;lang=en_US&amp;offset=0&amp;query=any,contains,991004978549702656","Catalog Record")</f>
        <v/>
      </c>
      <c r="AT2927">
        <f>HYPERLINK("http://www.worldcat.org/oclc/6420571","WorldCat Record")</f>
        <v/>
      </c>
      <c r="AU2927" t="inlineStr">
        <is>
          <t>446387:eng</t>
        </is>
      </c>
      <c r="AV2927" t="inlineStr">
        <is>
          <t>6420571</t>
        </is>
      </c>
      <c r="AW2927" t="inlineStr">
        <is>
          <t>991004978549702656</t>
        </is>
      </c>
      <c r="AX2927" t="inlineStr">
        <is>
          <t>991004978549702656</t>
        </is>
      </c>
      <c r="AY2927" t="inlineStr">
        <is>
          <t>2267024850002656</t>
        </is>
      </c>
      <c r="AZ2927" t="inlineStr">
        <is>
          <t>BOOK</t>
        </is>
      </c>
      <c r="BB2927" t="inlineStr">
        <is>
          <t>9780313224782</t>
        </is>
      </c>
      <c r="BC2927" t="inlineStr">
        <is>
          <t>32285000890797</t>
        </is>
      </c>
      <c r="BD2927" t="inlineStr">
        <is>
          <t>893236125</t>
        </is>
      </c>
    </row>
    <row r="2928">
      <c r="A2928" t="inlineStr">
        <is>
          <t>No</t>
        </is>
      </c>
      <c r="B2928" t="inlineStr">
        <is>
          <t>HQ801 .A513 1994</t>
        </is>
      </c>
      <c r="C2928" t="inlineStr">
        <is>
          <t>0                      HQ 0801000A  513         1994</t>
        </is>
      </c>
      <c r="D2928" t="inlineStr">
        <is>
          <t>A natural history of love / Diane Ackerman.</t>
        </is>
      </c>
      <c r="F2928" t="inlineStr">
        <is>
          <t>No</t>
        </is>
      </c>
      <c r="G2928" t="inlineStr">
        <is>
          <t>1</t>
        </is>
      </c>
      <c r="H2928" t="inlineStr">
        <is>
          <t>No</t>
        </is>
      </c>
      <c r="I2928" t="inlineStr">
        <is>
          <t>No</t>
        </is>
      </c>
      <c r="J2928" t="inlineStr">
        <is>
          <t>0</t>
        </is>
      </c>
      <c r="K2928" t="inlineStr">
        <is>
          <t>Ackerman, Diane, 1948-</t>
        </is>
      </c>
      <c r="L2928" t="inlineStr">
        <is>
          <t>New York : Random House, c1994.</t>
        </is>
      </c>
      <c r="M2928" t="inlineStr">
        <is>
          <t>1994</t>
        </is>
      </c>
      <c r="N2928" t="inlineStr">
        <is>
          <t>1st ed.</t>
        </is>
      </c>
      <c r="O2928" t="inlineStr">
        <is>
          <t>eng</t>
        </is>
      </c>
      <c r="P2928" t="inlineStr">
        <is>
          <t>nyu</t>
        </is>
      </c>
      <c r="R2928" t="inlineStr">
        <is>
          <t xml:space="preserve">HQ </t>
        </is>
      </c>
      <c r="S2928" t="n">
        <v>14</v>
      </c>
      <c r="T2928" t="n">
        <v>14</v>
      </c>
      <c r="U2928" t="inlineStr">
        <is>
          <t>2009-04-27</t>
        </is>
      </c>
      <c r="V2928" t="inlineStr">
        <is>
          <t>2009-04-27</t>
        </is>
      </c>
      <c r="W2928" t="inlineStr">
        <is>
          <t>1994-07-25</t>
        </is>
      </c>
      <c r="X2928" t="inlineStr">
        <is>
          <t>1994-07-25</t>
        </is>
      </c>
      <c r="Y2928" t="n">
        <v>1413</v>
      </c>
      <c r="Z2928" t="n">
        <v>1321</v>
      </c>
      <c r="AA2928" t="n">
        <v>1550</v>
      </c>
      <c r="AB2928" t="n">
        <v>11</v>
      </c>
      <c r="AC2928" t="n">
        <v>11</v>
      </c>
      <c r="AD2928" t="n">
        <v>38</v>
      </c>
      <c r="AE2928" t="n">
        <v>39</v>
      </c>
      <c r="AF2928" t="n">
        <v>15</v>
      </c>
      <c r="AG2928" t="n">
        <v>16</v>
      </c>
      <c r="AH2928" t="n">
        <v>7</v>
      </c>
      <c r="AI2928" t="n">
        <v>7</v>
      </c>
      <c r="AJ2928" t="n">
        <v>18</v>
      </c>
      <c r="AK2928" t="n">
        <v>18</v>
      </c>
      <c r="AL2928" t="n">
        <v>7</v>
      </c>
      <c r="AM2928" t="n">
        <v>7</v>
      </c>
      <c r="AN2928" t="n">
        <v>0</v>
      </c>
      <c r="AO2928" t="n">
        <v>0</v>
      </c>
      <c r="AP2928" t="inlineStr">
        <is>
          <t>No</t>
        </is>
      </c>
      <c r="AQ2928" t="inlineStr">
        <is>
          <t>Yes</t>
        </is>
      </c>
      <c r="AR2928">
        <f>HYPERLINK("http://catalog.hathitrust.org/Record/002865671","HathiTrust Record")</f>
        <v/>
      </c>
      <c r="AS2928">
        <f>HYPERLINK("https://creighton-primo.hosted.exlibrisgroup.com/primo-explore/search?tab=default_tab&amp;search_scope=EVERYTHING&amp;vid=01CRU&amp;lang=en_US&amp;offset=0&amp;query=any,contains,991002345019702656","Catalog Record")</f>
        <v/>
      </c>
      <c r="AT2928">
        <f>HYPERLINK("http://www.worldcat.org/oclc/30537135","WorldCat Record")</f>
        <v/>
      </c>
      <c r="AU2928" t="inlineStr">
        <is>
          <t>151735182:eng</t>
        </is>
      </c>
      <c r="AV2928" t="inlineStr">
        <is>
          <t>30537135</t>
        </is>
      </c>
      <c r="AW2928" t="inlineStr">
        <is>
          <t>991002345019702656</t>
        </is>
      </c>
      <c r="AX2928" t="inlineStr">
        <is>
          <t>991002345019702656</t>
        </is>
      </c>
      <c r="AY2928" t="inlineStr">
        <is>
          <t>2255421130002656</t>
        </is>
      </c>
      <c r="AZ2928" t="inlineStr">
        <is>
          <t>BOOK</t>
        </is>
      </c>
      <c r="BB2928" t="inlineStr">
        <is>
          <t>9780679403470</t>
        </is>
      </c>
      <c r="BC2928" t="inlineStr">
        <is>
          <t>32285001933489</t>
        </is>
      </c>
      <c r="BD2928" t="inlineStr">
        <is>
          <t>893773500</t>
        </is>
      </c>
    </row>
    <row r="2929">
      <c r="A2929" t="inlineStr">
        <is>
          <t>No</t>
        </is>
      </c>
      <c r="B2929" t="inlineStr">
        <is>
          <t>HQ801 .C34 1992</t>
        </is>
      </c>
      <c r="C2929" t="inlineStr">
        <is>
          <t>0                      HQ 0801000C  34          1992</t>
        </is>
      </c>
      <c r="D2929" t="inlineStr">
        <is>
          <t>Courtship / Rodney M. Cate, Sally A. Lloyd.</t>
        </is>
      </c>
      <c r="F2929" t="inlineStr">
        <is>
          <t>No</t>
        </is>
      </c>
      <c r="G2929" t="inlineStr">
        <is>
          <t>1</t>
        </is>
      </c>
      <c r="H2929" t="inlineStr">
        <is>
          <t>No</t>
        </is>
      </c>
      <c r="I2929" t="inlineStr">
        <is>
          <t>No</t>
        </is>
      </c>
      <c r="J2929" t="inlineStr">
        <is>
          <t>0</t>
        </is>
      </c>
      <c r="K2929" t="inlineStr">
        <is>
          <t>Cate, Rodney M.</t>
        </is>
      </c>
      <c r="L2929" t="inlineStr">
        <is>
          <t>Newbury Park, Calif. : Sage Publications, c1992.</t>
        </is>
      </c>
      <c r="M2929" t="inlineStr">
        <is>
          <t>1992</t>
        </is>
      </c>
      <c r="O2929" t="inlineStr">
        <is>
          <t>eng</t>
        </is>
      </c>
      <c r="P2929" t="inlineStr">
        <is>
          <t>cau</t>
        </is>
      </c>
      <c r="Q2929" t="inlineStr">
        <is>
          <t>Sage series on close relationships</t>
        </is>
      </c>
      <c r="R2929" t="inlineStr">
        <is>
          <t xml:space="preserve">HQ </t>
        </is>
      </c>
      <c r="S2929" t="n">
        <v>2</v>
      </c>
      <c r="T2929" t="n">
        <v>2</v>
      </c>
      <c r="U2929" t="inlineStr">
        <is>
          <t>2006-03-27</t>
        </is>
      </c>
      <c r="V2929" t="inlineStr">
        <is>
          <t>2006-03-27</t>
        </is>
      </c>
      <c r="W2929" t="inlineStr">
        <is>
          <t>2006-03-27</t>
        </is>
      </c>
      <c r="X2929" t="inlineStr">
        <is>
          <t>2006-03-27</t>
        </is>
      </c>
      <c r="Y2929" t="n">
        <v>390</v>
      </c>
      <c r="Z2929" t="n">
        <v>307</v>
      </c>
      <c r="AA2929" t="n">
        <v>310</v>
      </c>
      <c r="AB2929" t="n">
        <v>6</v>
      </c>
      <c r="AC2929" t="n">
        <v>6</v>
      </c>
      <c r="AD2929" t="n">
        <v>22</v>
      </c>
      <c r="AE2929" t="n">
        <v>22</v>
      </c>
      <c r="AF2929" t="n">
        <v>9</v>
      </c>
      <c r="AG2929" t="n">
        <v>9</v>
      </c>
      <c r="AH2929" t="n">
        <v>4</v>
      </c>
      <c r="AI2929" t="n">
        <v>4</v>
      </c>
      <c r="AJ2929" t="n">
        <v>9</v>
      </c>
      <c r="AK2929" t="n">
        <v>9</v>
      </c>
      <c r="AL2929" t="n">
        <v>5</v>
      </c>
      <c r="AM2929" t="n">
        <v>5</v>
      </c>
      <c r="AN2929" t="n">
        <v>0</v>
      </c>
      <c r="AO2929" t="n">
        <v>0</v>
      </c>
      <c r="AP2929" t="inlineStr">
        <is>
          <t>No</t>
        </is>
      </c>
      <c r="AQ2929" t="inlineStr">
        <is>
          <t>Yes</t>
        </is>
      </c>
      <c r="AR2929">
        <f>HYPERLINK("http://catalog.hathitrust.org/Record/002561164","HathiTrust Record")</f>
        <v/>
      </c>
      <c r="AS2929">
        <f>HYPERLINK("https://creighton-primo.hosted.exlibrisgroup.com/primo-explore/search?tab=default_tab&amp;search_scope=EVERYTHING&amp;vid=01CRU&amp;lang=en_US&amp;offset=0&amp;query=any,contains,991004765969702656","Catalog Record")</f>
        <v/>
      </c>
      <c r="AT2929">
        <f>HYPERLINK("http://www.worldcat.org/oclc/25632832","WorldCat Record")</f>
        <v/>
      </c>
      <c r="AU2929" t="inlineStr">
        <is>
          <t>3901366420:eng</t>
        </is>
      </c>
      <c r="AV2929" t="inlineStr">
        <is>
          <t>25632832</t>
        </is>
      </c>
      <c r="AW2929" t="inlineStr">
        <is>
          <t>991004765969702656</t>
        </is>
      </c>
      <c r="AX2929" t="inlineStr">
        <is>
          <t>991004765969702656</t>
        </is>
      </c>
      <c r="AY2929" t="inlineStr">
        <is>
          <t>2268204720002656</t>
        </is>
      </c>
      <c r="AZ2929" t="inlineStr">
        <is>
          <t>BOOK</t>
        </is>
      </c>
      <c r="BB2929" t="inlineStr">
        <is>
          <t>9780803937086</t>
        </is>
      </c>
      <c r="BC2929" t="inlineStr">
        <is>
          <t>32285005167787</t>
        </is>
      </c>
      <c r="BD2929" t="inlineStr">
        <is>
          <t>893254068</t>
        </is>
      </c>
    </row>
    <row r="2930">
      <c r="A2930" t="inlineStr">
        <is>
          <t>No</t>
        </is>
      </c>
      <c r="B2930" t="inlineStr">
        <is>
          <t>HQ801 .F355 1999</t>
        </is>
      </c>
      <c r="C2930" t="inlineStr">
        <is>
          <t>0                      HQ 0801000F  355         1999</t>
        </is>
      </c>
      <c r="D2930" t="inlineStr">
        <is>
          <t>Women can't hear what men don't say : destroying myths, creating love / Warren Farrell.</t>
        </is>
      </c>
      <c r="F2930" t="inlineStr">
        <is>
          <t>No</t>
        </is>
      </c>
      <c r="G2930" t="inlineStr">
        <is>
          <t>1</t>
        </is>
      </c>
      <c r="H2930" t="inlineStr">
        <is>
          <t>No</t>
        </is>
      </c>
      <c r="I2930" t="inlineStr">
        <is>
          <t>No</t>
        </is>
      </c>
      <c r="J2930" t="inlineStr">
        <is>
          <t>0</t>
        </is>
      </c>
      <c r="K2930" t="inlineStr">
        <is>
          <t>Farrell, Warren.</t>
        </is>
      </c>
      <c r="L2930" t="inlineStr">
        <is>
          <t>New York : Jeremy P. Tarcher/Putnam, c1999.</t>
        </is>
      </c>
      <c r="M2930" t="inlineStr">
        <is>
          <t>1999</t>
        </is>
      </c>
      <c r="O2930" t="inlineStr">
        <is>
          <t>eng</t>
        </is>
      </c>
      <c r="P2930" t="inlineStr">
        <is>
          <t>nyu</t>
        </is>
      </c>
      <c r="R2930" t="inlineStr">
        <is>
          <t xml:space="preserve">HQ </t>
        </is>
      </c>
      <c r="S2930" t="n">
        <v>10</v>
      </c>
      <c r="T2930" t="n">
        <v>10</v>
      </c>
      <c r="U2930" t="inlineStr">
        <is>
          <t>2009-11-06</t>
        </is>
      </c>
      <c r="V2930" t="inlineStr">
        <is>
          <t>2009-11-06</t>
        </is>
      </c>
      <c r="W2930" t="inlineStr">
        <is>
          <t>1999-11-30</t>
        </is>
      </c>
      <c r="X2930" t="inlineStr">
        <is>
          <t>1999-11-30</t>
        </is>
      </c>
      <c r="Y2930" t="n">
        <v>601</v>
      </c>
      <c r="Z2930" t="n">
        <v>560</v>
      </c>
      <c r="AA2930" t="n">
        <v>592</v>
      </c>
      <c r="AB2930" t="n">
        <v>7</v>
      </c>
      <c r="AC2930" t="n">
        <v>7</v>
      </c>
      <c r="AD2930" t="n">
        <v>10</v>
      </c>
      <c r="AE2930" t="n">
        <v>10</v>
      </c>
      <c r="AF2930" t="n">
        <v>2</v>
      </c>
      <c r="AG2930" t="n">
        <v>2</v>
      </c>
      <c r="AH2930" t="n">
        <v>3</v>
      </c>
      <c r="AI2930" t="n">
        <v>3</v>
      </c>
      <c r="AJ2930" t="n">
        <v>4</v>
      </c>
      <c r="AK2930" t="n">
        <v>4</v>
      </c>
      <c r="AL2930" t="n">
        <v>3</v>
      </c>
      <c r="AM2930" t="n">
        <v>3</v>
      </c>
      <c r="AN2930" t="n">
        <v>0</v>
      </c>
      <c r="AO2930" t="n">
        <v>0</v>
      </c>
      <c r="AP2930" t="inlineStr">
        <is>
          <t>No</t>
        </is>
      </c>
      <c r="AQ2930" t="inlineStr">
        <is>
          <t>No</t>
        </is>
      </c>
      <c r="AS2930">
        <f>HYPERLINK("https://creighton-primo.hosted.exlibrisgroup.com/primo-explore/search?tab=default_tab&amp;search_scope=EVERYTHING&amp;vid=01CRU&amp;lang=en_US&amp;offset=0&amp;query=any,contains,991003031229702656","Catalog Record")</f>
        <v/>
      </c>
      <c r="AT2930">
        <f>HYPERLINK("http://www.worldcat.org/oclc/41528031","WorldCat Record")</f>
        <v/>
      </c>
      <c r="AU2930" t="inlineStr">
        <is>
          <t>27196230:eng</t>
        </is>
      </c>
      <c r="AV2930" t="inlineStr">
        <is>
          <t>41528031</t>
        </is>
      </c>
      <c r="AW2930" t="inlineStr">
        <is>
          <t>991003031229702656</t>
        </is>
      </c>
      <c r="AX2930" t="inlineStr">
        <is>
          <t>991003031229702656</t>
        </is>
      </c>
      <c r="AY2930" t="inlineStr">
        <is>
          <t>2259868230002656</t>
        </is>
      </c>
      <c r="AZ2930" t="inlineStr">
        <is>
          <t>BOOK</t>
        </is>
      </c>
      <c r="BB2930" t="inlineStr">
        <is>
          <t>9780874779882</t>
        </is>
      </c>
      <c r="BC2930" t="inlineStr">
        <is>
          <t>32285003625414</t>
        </is>
      </c>
      <c r="BD2930" t="inlineStr">
        <is>
          <t>893623073</t>
        </is>
      </c>
    </row>
    <row r="2931">
      <c r="A2931" t="inlineStr">
        <is>
          <t>No</t>
        </is>
      </c>
      <c r="B2931" t="inlineStr">
        <is>
          <t>HQ801 .G66 2002</t>
        </is>
      </c>
      <c r="C2931" t="inlineStr">
        <is>
          <t>0                      HQ 0801000G  66          2002</t>
        </is>
      </c>
      <c r="D2931" t="inlineStr">
        <is>
          <t>Parejas inteligentes : no ideales, no perfectas, pero sí funcionales / José Miguel Gómez.</t>
        </is>
      </c>
      <c r="F2931" t="inlineStr">
        <is>
          <t>No</t>
        </is>
      </c>
      <c r="G2931" t="inlineStr">
        <is>
          <t>1</t>
        </is>
      </c>
      <c r="H2931" t="inlineStr">
        <is>
          <t>No</t>
        </is>
      </c>
      <c r="I2931" t="inlineStr">
        <is>
          <t>No</t>
        </is>
      </c>
      <c r="J2931" t="inlineStr">
        <is>
          <t>0</t>
        </is>
      </c>
      <c r="K2931" t="inlineStr">
        <is>
          <t>Sánchez, José Miguel, 1969-</t>
        </is>
      </c>
      <c r="L2931" t="inlineStr">
        <is>
          <t>Santo Domingo, R.D. : Universidad Católica Santo Domingo, 2002.</t>
        </is>
      </c>
      <c r="M2931" t="inlineStr">
        <is>
          <t>2002</t>
        </is>
      </c>
      <c r="N2931" t="inlineStr">
        <is>
          <t>2. ed.</t>
        </is>
      </c>
      <c r="O2931" t="inlineStr">
        <is>
          <t>spa</t>
        </is>
      </c>
      <c r="P2931" t="inlineStr">
        <is>
          <t xml:space="preserve">dr </t>
        </is>
      </c>
      <c r="R2931" t="inlineStr">
        <is>
          <t xml:space="preserve">HQ </t>
        </is>
      </c>
      <c r="S2931" t="n">
        <v>1</v>
      </c>
      <c r="T2931" t="n">
        <v>1</v>
      </c>
      <c r="U2931" t="inlineStr">
        <is>
          <t>2003-12-09</t>
        </is>
      </c>
      <c r="V2931" t="inlineStr">
        <is>
          <t>2003-12-09</t>
        </is>
      </c>
      <c r="W2931" t="inlineStr">
        <is>
          <t>2003-12-09</t>
        </is>
      </c>
      <c r="X2931" t="inlineStr">
        <is>
          <t>2003-12-09</t>
        </is>
      </c>
      <c r="Y2931" t="n">
        <v>1</v>
      </c>
      <c r="Z2931" t="n">
        <v>1</v>
      </c>
      <c r="AA2931" t="n">
        <v>1</v>
      </c>
      <c r="AB2931" t="n">
        <v>1</v>
      </c>
      <c r="AC2931" t="n">
        <v>1</v>
      </c>
      <c r="AD2931" t="n">
        <v>0</v>
      </c>
      <c r="AE2931" t="n">
        <v>0</v>
      </c>
      <c r="AF2931" t="n">
        <v>0</v>
      </c>
      <c r="AG2931" t="n">
        <v>0</v>
      </c>
      <c r="AH2931" t="n">
        <v>0</v>
      </c>
      <c r="AI2931" t="n">
        <v>0</v>
      </c>
      <c r="AJ2931" t="n">
        <v>0</v>
      </c>
      <c r="AK2931" t="n">
        <v>0</v>
      </c>
      <c r="AL2931" t="n">
        <v>0</v>
      </c>
      <c r="AM2931" t="n">
        <v>0</v>
      </c>
      <c r="AN2931" t="n">
        <v>0</v>
      </c>
      <c r="AO2931" t="n">
        <v>0</v>
      </c>
      <c r="AP2931" t="inlineStr">
        <is>
          <t>No</t>
        </is>
      </c>
      <c r="AQ2931" t="inlineStr">
        <is>
          <t>No</t>
        </is>
      </c>
      <c r="AS2931">
        <f>HYPERLINK("https://creighton-primo.hosted.exlibrisgroup.com/primo-explore/search?tab=default_tab&amp;search_scope=EVERYTHING&amp;vid=01CRU&amp;lang=en_US&amp;offset=0&amp;query=any,contains,991004202269702656","Catalog Record")</f>
        <v/>
      </c>
      <c r="AT2931">
        <f>HYPERLINK("http://www.worldcat.org/oclc/53687061","WorldCat Record")</f>
        <v/>
      </c>
      <c r="AU2931" t="inlineStr">
        <is>
          <t>478492485:spa</t>
        </is>
      </c>
      <c r="AV2931" t="inlineStr">
        <is>
          <t>53687061</t>
        </is>
      </c>
      <c r="AW2931" t="inlineStr">
        <is>
          <t>991004202269702656</t>
        </is>
      </c>
      <c r="AX2931" t="inlineStr">
        <is>
          <t>991004202269702656</t>
        </is>
      </c>
      <c r="AY2931" t="inlineStr">
        <is>
          <t>2262532730002656</t>
        </is>
      </c>
      <c r="AZ2931" t="inlineStr">
        <is>
          <t>BOOK</t>
        </is>
      </c>
      <c r="BB2931" t="inlineStr">
        <is>
          <t>9789993461098</t>
        </is>
      </c>
      <c r="BC2931" t="inlineStr">
        <is>
          <t>32285004887138</t>
        </is>
      </c>
      <c r="BD2931" t="inlineStr">
        <is>
          <t>893781962</t>
        </is>
      </c>
    </row>
    <row r="2932">
      <c r="A2932" t="inlineStr">
        <is>
          <t>No</t>
        </is>
      </c>
      <c r="B2932" t="inlineStr">
        <is>
          <t>HQ801 .H323 1982</t>
        </is>
      </c>
      <c r="C2932" t="inlineStr">
        <is>
          <t>0                      HQ 0801000H  323         1982</t>
        </is>
      </c>
      <c r="D2932" t="inlineStr">
        <is>
          <t>How to pick up a man / Dian Hanson ; with comments by Eric Weber.</t>
        </is>
      </c>
      <c r="F2932" t="inlineStr">
        <is>
          <t>No</t>
        </is>
      </c>
      <c r="G2932" t="inlineStr">
        <is>
          <t>1</t>
        </is>
      </c>
      <c r="H2932" t="inlineStr">
        <is>
          <t>No</t>
        </is>
      </c>
      <c r="I2932" t="inlineStr">
        <is>
          <t>No</t>
        </is>
      </c>
      <c r="J2932" t="inlineStr">
        <is>
          <t>0</t>
        </is>
      </c>
      <c r="K2932" t="inlineStr">
        <is>
          <t>Hanson, Dian.</t>
        </is>
      </c>
      <c r="L2932" t="inlineStr">
        <is>
          <t>New York : Putnam, c1982.</t>
        </is>
      </c>
      <c r="M2932" t="inlineStr">
        <is>
          <t>1982</t>
        </is>
      </c>
      <c r="N2932" t="inlineStr">
        <is>
          <t>Bk. Club ed.</t>
        </is>
      </c>
      <c r="O2932" t="inlineStr">
        <is>
          <t>eng</t>
        </is>
      </c>
      <c r="P2932" t="inlineStr">
        <is>
          <t>nyu</t>
        </is>
      </c>
      <c r="R2932" t="inlineStr">
        <is>
          <t xml:space="preserve">HQ </t>
        </is>
      </c>
      <c r="S2932" t="n">
        <v>20</v>
      </c>
      <c r="T2932" t="n">
        <v>20</v>
      </c>
      <c r="U2932" t="inlineStr">
        <is>
          <t>2004-10-01</t>
        </is>
      </c>
      <c r="V2932" t="inlineStr">
        <is>
          <t>2004-10-01</t>
        </is>
      </c>
      <c r="W2932" t="inlineStr">
        <is>
          <t>1992-04-24</t>
        </is>
      </c>
      <c r="X2932" t="inlineStr">
        <is>
          <t>1992-04-24</t>
        </is>
      </c>
      <c r="Y2932" t="n">
        <v>2</v>
      </c>
      <c r="Z2932" t="n">
        <v>2</v>
      </c>
      <c r="AA2932" t="n">
        <v>119</v>
      </c>
      <c r="AB2932" t="n">
        <v>1</v>
      </c>
      <c r="AC2932" t="n">
        <v>1</v>
      </c>
      <c r="AD2932" t="n">
        <v>0</v>
      </c>
      <c r="AE2932" t="n">
        <v>1</v>
      </c>
      <c r="AF2932" t="n">
        <v>0</v>
      </c>
      <c r="AG2932" t="n">
        <v>0</v>
      </c>
      <c r="AH2932" t="n">
        <v>0</v>
      </c>
      <c r="AI2932" t="n">
        <v>0</v>
      </c>
      <c r="AJ2932" t="n">
        <v>0</v>
      </c>
      <c r="AK2932" t="n">
        <v>1</v>
      </c>
      <c r="AL2932" t="n">
        <v>0</v>
      </c>
      <c r="AM2932" t="n">
        <v>0</v>
      </c>
      <c r="AN2932" t="n">
        <v>0</v>
      </c>
      <c r="AO2932" t="n">
        <v>0</v>
      </c>
      <c r="AP2932" t="inlineStr">
        <is>
          <t>No</t>
        </is>
      </c>
      <c r="AQ2932" t="inlineStr">
        <is>
          <t>No</t>
        </is>
      </c>
      <c r="AS2932">
        <f>HYPERLINK("https://creighton-primo.hosted.exlibrisgroup.com/primo-explore/search?tab=default_tab&amp;search_scope=EVERYTHING&amp;vid=01CRU&amp;lang=en_US&amp;offset=0&amp;query=any,contains,991000627419702656","Catalog Record")</f>
        <v/>
      </c>
      <c r="AT2932">
        <f>HYPERLINK("http://www.worldcat.org/oclc/12047888","WorldCat Record")</f>
        <v/>
      </c>
      <c r="AU2932" t="inlineStr">
        <is>
          <t>4802775:eng</t>
        </is>
      </c>
      <c r="AV2932" t="inlineStr">
        <is>
          <t>12047888</t>
        </is>
      </c>
      <c r="AW2932" t="inlineStr">
        <is>
          <t>991000627419702656</t>
        </is>
      </c>
      <c r="AX2932" t="inlineStr">
        <is>
          <t>991000627419702656</t>
        </is>
      </c>
      <c r="AY2932" t="inlineStr">
        <is>
          <t>2258094270002656</t>
        </is>
      </c>
      <c r="AZ2932" t="inlineStr">
        <is>
          <t>BOOK</t>
        </is>
      </c>
      <c r="BC2932" t="inlineStr">
        <is>
          <t>32285001070845</t>
        </is>
      </c>
      <c r="BD2932" t="inlineStr">
        <is>
          <t>893784397</t>
        </is>
      </c>
    </row>
    <row r="2933">
      <c r="A2933" t="inlineStr">
        <is>
          <t>No</t>
        </is>
      </c>
      <c r="B2933" t="inlineStr">
        <is>
          <t>HQ801 .H355 1985</t>
        </is>
      </c>
      <c r="C2933" t="inlineStr">
        <is>
          <t>0                      HQ 0801000H  355         1985</t>
        </is>
      </c>
      <c r="D2933" t="inlineStr">
        <is>
          <t>A new look at love / Elaine Hatfield, G. William Walster.</t>
        </is>
      </c>
      <c r="F2933" t="inlineStr">
        <is>
          <t>No</t>
        </is>
      </c>
      <c r="G2933" t="inlineStr">
        <is>
          <t>1</t>
        </is>
      </c>
      <c r="H2933" t="inlineStr">
        <is>
          <t>No</t>
        </is>
      </c>
      <c r="I2933" t="inlineStr">
        <is>
          <t>No</t>
        </is>
      </c>
      <c r="J2933" t="inlineStr">
        <is>
          <t>0</t>
        </is>
      </c>
      <c r="K2933" t="inlineStr">
        <is>
          <t>Hatfield, Elaine.</t>
        </is>
      </c>
      <c r="L2933" t="inlineStr">
        <is>
          <t>Lanham : University Press of America, 1985, c1978.</t>
        </is>
      </c>
      <c r="M2933" t="inlineStr">
        <is>
          <t>1985</t>
        </is>
      </c>
      <c r="O2933" t="inlineStr">
        <is>
          <t>eng</t>
        </is>
      </c>
      <c r="P2933" t="inlineStr">
        <is>
          <t>mdu</t>
        </is>
      </c>
      <c r="R2933" t="inlineStr">
        <is>
          <t xml:space="preserve">HQ </t>
        </is>
      </c>
      <c r="S2933" t="n">
        <v>41</v>
      </c>
      <c r="T2933" t="n">
        <v>41</v>
      </c>
      <c r="U2933" t="inlineStr">
        <is>
          <t>2005-03-20</t>
        </is>
      </c>
      <c r="V2933" t="inlineStr">
        <is>
          <t>2005-03-20</t>
        </is>
      </c>
      <c r="W2933" t="inlineStr">
        <is>
          <t>1991-01-03</t>
        </is>
      </c>
      <c r="X2933" t="inlineStr">
        <is>
          <t>1991-01-03</t>
        </is>
      </c>
      <c r="Y2933" t="n">
        <v>127</v>
      </c>
      <c r="Z2933" t="n">
        <v>113</v>
      </c>
      <c r="AA2933" t="n">
        <v>413</v>
      </c>
      <c r="AB2933" t="n">
        <v>1</v>
      </c>
      <c r="AC2933" t="n">
        <v>1</v>
      </c>
      <c r="AD2933" t="n">
        <v>5</v>
      </c>
      <c r="AE2933" t="n">
        <v>13</v>
      </c>
      <c r="AF2933" t="n">
        <v>1</v>
      </c>
      <c r="AG2933" t="n">
        <v>3</v>
      </c>
      <c r="AH2933" t="n">
        <v>3</v>
      </c>
      <c r="AI2933" t="n">
        <v>6</v>
      </c>
      <c r="AJ2933" t="n">
        <v>4</v>
      </c>
      <c r="AK2933" t="n">
        <v>10</v>
      </c>
      <c r="AL2933" t="n">
        <v>0</v>
      </c>
      <c r="AM2933" t="n">
        <v>0</v>
      </c>
      <c r="AN2933" t="n">
        <v>0</v>
      </c>
      <c r="AO2933" t="n">
        <v>0</v>
      </c>
      <c r="AP2933" t="inlineStr">
        <is>
          <t>No</t>
        </is>
      </c>
      <c r="AQ2933" t="inlineStr">
        <is>
          <t>No</t>
        </is>
      </c>
      <c r="AS2933">
        <f>HYPERLINK("https://creighton-primo.hosted.exlibrisgroup.com/primo-explore/search?tab=default_tab&amp;search_scope=EVERYTHING&amp;vid=01CRU&amp;lang=en_US&amp;offset=0&amp;query=any,contains,991000688119702656","Catalog Record")</f>
        <v/>
      </c>
      <c r="AT2933">
        <f>HYPERLINK("http://www.worldcat.org/oclc/12422147","WorldCat Record")</f>
        <v/>
      </c>
      <c r="AU2933" t="inlineStr">
        <is>
          <t>5063913:eng</t>
        </is>
      </c>
      <c r="AV2933" t="inlineStr">
        <is>
          <t>12422147</t>
        </is>
      </c>
      <c r="AW2933" t="inlineStr">
        <is>
          <t>991000688119702656</t>
        </is>
      </c>
      <c r="AX2933" t="inlineStr">
        <is>
          <t>991000688119702656</t>
        </is>
      </c>
      <c r="AY2933" t="inlineStr">
        <is>
          <t>2256221710002656</t>
        </is>
      </c>
      <c r="AZ2933" t="inlineStr">
        <is>
          <t>BOOK</t>
        </is>
      </c>
      <c r="BB2933" t="inlineStr">
        <is>
          <t>9780819149572</t>
        </is>
      </c>
      <c r="BC2933" t="inlineStr">
        <is>
          <t>32285000406230</t>
        </is>
      </c>
      <c r="BD2933" t="inlineStr">
        <is>
          <t>893425944</t>
        </is>
      </c>
    </row>
    <row r="2934">
      <c r="A2934" t="inlineStr">
        <is>
          <t>No</t>
        </is>
      </c>
      <c r="B2934" t="inlineStr">
        <is>
          <t>HQ801 .I2 1964</t>
        </is>
      </c>
      <c r="C2934" t="inlineStr">
        <is>
          <t>0                      HQ 0801000I  2           1964</t>
        </is>
      </c>
      <c r="D2934" t="inlineStr">
        <is>
          <t>Ṭawq al-ḥamāmah fī al-ulfah wa-al-ulāf, taʼlīf Abī Muḥammad ʻAlī ibn Aḥmad ibn Saʻīd ibn Ḥazm. Ḥaqqaqahu wa-ṣawwabahu wa-fahrasa lahu Ḥasan Kāmil al-Ṣīrfī. Qaddama lahu Ibrāhīm al-Abyārī.</t>
        </is>
      </c>
      <c r="F2934" t="inlineStr">
        <is>
          <t>No</t>
        </is>
      </c>
      <c r="G2934" t="inlineStr">
        <is>
          <t>1</t>
        </is>
      </c>
      <c r="H2934" t="inlineStr">
        <is>
          <t>No</t>
        </is>
      </c>
      <c r="I2934" t="inlineStr">
        <is>
          <t>No</t>
        </is>
      </c>
      <c r="J2934" t="inlineStr">
        <is>
          <t>0</t>
        </is>
      </c>
      <c r="K2934" t="inlineStr">
        <is>
          <t>Ibn Ḥazm, ʻAlī ibn Aḥmad, 994-1064.</t>
        </is>
      </c>
      <c r="L2934" t="inlineStr">
        <is>
          <t>Miṣr, al-Maktabah al-Tijārīyah al-Kubrá [1964]</t>
        </is>
      </c>
      <c r="M2934" t="inlineStr">
        <is>
          <t>1964</t>
        </is>
      </c>
      <c r="O2934" t="inlineStr">
        <is>
          <t>ara</t>
        </is>
      </c>
      <c r="P2934" t="inlineStr">
        <is>
          <t xml:space="preserve">ua </t>
        </is>
      </c>
      <c r="R2934" t="inlineStr">
        <is>
          <t xml:space="preserve">HQ </t>
        </is>
      </c>
      <c r="S2934" t="n">
        <v>1</v>
      </c>
      <c r="T2934" t="n">
        <v>1</v>
      </c>
      <c r="U2934" t="inlineStr">
        <is>
          <t>2002-03-16</t>
        </is>
      </c>
      <c r="V2934" t="inlineStr">
        <is>
          <t>2002-03-16</t>
        </is>
      </c>
      <c r="W2934" t="inlineStr">
        <is>
          <t>2000-06-15</t>
        </is>
      </c>
      <c r="X2934" t="inlineStr">
        <is>
          <t>2000-06-15</t>
        </is>
      </c>
      <c r="Y2934" t="n">
        <v>24</v>
      </c>
      <c r="Z2934" t="n">
        <v>23</v>
      </c>
      <c r="AA2934" t="n">
        <v>49</v>
      </c>
      <c r="AB2934" t="n">
        <v>1</v>
      </c>
      <c r="AC2934" t="n">
        <v>1</v>
      </c>
      <c r="AD2934" t="n">
        <v>0</v>
      </c>
      <c r="AE2934" t="n">
        <v>1</v>
      </c>
      <c r="AF2934" t="n">
        <v>0</v>
      </c>
      <c r="AG2934" t="n">
        <v>0</v>
      </c>
      <c r="AH2934" t="n">
        <v>0</v>
      </c>
      <c r="AI2934" t="n">
        <v>1</v>
      </c>
      <c r="AJ2934" t="n">
        <v>0</v>
      </c>
      <c r="AK2934" t="n">
        <v>1</v>
      </c>
      <c r="AL2934" t="n">
        <v>0</v>
      </c>
      <c r="AM2934" t="n">
        <v>0</v>
      </c>
      <c r="AN2934" t="n">
        <v>0</v>
      </c>
      <c r="AO2934" t="n">
        <v>0</v>
      </c>
      <c r="AP2934" t="inlineStr">
        <is>
          <t>No</t>
        </is>
      </c>
      <c r="AQ2934" t="inlineStr">
        <is>
          <t>Yes</t>
        </is>
      </c>
      <c r="AR2934">
        <f>HYPERLINK("http://catalog.hathitrust.org/Record/000976809","HathiTrust Record")</f>
        <v/>
      </c>
      <c r="AS2934">
        <f>HYPERLINK("https://creighton-primo.hosted.exlibrisgroup.com/primo-explore/search?tab=default_tab&amp;search_scope=EVERYTHING&amp;vid=01CRU&amp;lang=en_US&amp;offset=0&amp;query=any,contains,991003183389702656","Catalog Record")</f>
        <v/>
      </c>
      <c r="AT2934">
        <f>HYPERLINK("http://www.worldcat.org/oclc/19473352","WorldCat Record")</f>
        <v/>
      </c>
      <c r="AU2934" t="inlineStr">
        <is>
          <t>1062705008:ara</t>
        </is>
      </c>
      <c r="AV2934" t="inlineStr">
        <is>
          <t>19473352</t>
        </is>
      </c>
      <c r="AW2934" t="inlineStr">
        <is>
          <t>991003183389702656</t>
        </is>
      </c>
      <c r="AX2934" t="inlineStr">
        <is>
          <t>991003183389702656</t>
        </is>
      </c>
      <c r="AY2934" t="inlineStr">
        <is>
          <t>2261475250002656</t>
        </is>
      </c>
      <c r="AZ2934" t="inlineStr">
        <is>
          <t>BOOK</t>
        </is>
      </c>
      <c r="BC2934" t="inlineStr">
        <is>
          <t>32285004272034</t>
        </is>
      </c>
      <c r="BD2934" t="inlineStr">
        <is>
          <t>893530917</t>
        </is>
      </c>
    </row>
    <row r="2935">
      <c r="A2935" t="inlineStr">
        <is>
          <t>No</t>
        </is>
      </c>
      <c r="B2935" t="inlineStr">
        <is>
          <t>HQ801 .L38</t>
        </is>
      </c>
      <c r="C2935" t="inlineStr">
        <is>
          <t>0                      HQ 0801000L  38</t>
        </is>
      </c>
      <c r="D2935" t="inlineStr">
        <is>
          <t>La chasse aux maris / Armelle Laurent ; [préface de Philippe Bouvard]</t>
        </is>
      </c>
      <c r="F2935" t="inlineStr">
        <is>
          <t>No</t>
        </is>
      </c>
      <c r="G2935" t="inlineStr">
        <is>
          <t>1</t>
        </is>
      </c>
      <c r="H2935" t="inlineStr">
        <is>
          <t>No</t>
        </is>
      </c>
      <c r="I2935" t="inlineStr">
        <is>
          <t>No</t>
        </is>
      </c>
      <c r="J2935" t="inlineStr">
        <is>
          <t>0</t>
        </is>
      </c>
      <c r="K2935" t="inlineStr">
        <is>
          <t>Laurent, Armelle.</t>
        </is>
      </c>
      <c r="L2935" t="inlineStr">
        <is>
          <t>Paris : Flammarion, 1979.</t>
        </is>
      </c>
      <c r="M2935" t="inlineStr">
        <is>
          <t>1979</t>
        </is>
      </c>
      <c r="O2935" t="inlineStr">
        <is>
          <t>fre</t>
        </is>
      </c>
      <c r="P2935" t="inlineStr">
        <is>
          <t xml:space="preserve">fr </t>
        </is>
      </c>
      <c r="R2935" t="inlineStr">
        <is>
          <t xml:space="preserve">HQ </t>
        </is>
      </c>
      <c r="S2935" t="n">
        <v>3</v>
      </c>
      <c r="T2935" t="n">
        <v>3</v>
      </c>
      <c r="U2935" t="inlineStr">
        <is>
          <t>2007-01-31</t>
        </is>
      </c>
      <c r="V2935" t="inlineStr">
        <is>
          <t>2007-01-31</t>
        </is>
      </c>
      <c r="W2935" t="inlineStr">
        <is>
          <t>1992-11-16</t>
        </is>
      </c>
      <c r="X2935" t="inlineStr">
        <is>
          <t>1992-11-16</t>
        </is>
      </c>
      <c r="Y2935" t="n">
        <v>9</v>
      </c>
      <c r="Z2935" t="n">
        <v>8</v>
      </c>
      <c r="AA2935" t="n">
        <v>8</v>
      </c>
      <c r="AB2935" t="n">
        <v>1</v>
      </c>
      <c r="AC2935" t="n">
        <v>1</v>
      </c>
      <c r="AD2935" t="n">
        <v>1</v>
      </c>
      <c r="AE2935" t="n">
        <v>1</v>
      </c>
      <c r="AF2935" t="n">
        <v>0</v>
      </c>
      <c r="AG2935" t="n">
        <v>0</v>
      </c>
      <c r="AH2935" t="n">
        <v>0</v>
      </c>
      <c r="AI2935" t="n">
        <v>0</v>
      </c>
      <c r="AJ2935" t="n">
        <v>1</v>
      </c>
      <c r="AK2935" t="n">
        <v>1</v>
      </c>
      <c r="AL2935" t="n">
        <v>0</v>
      </c>
      <c r="AM2935" t="n">
        <v>0</v>
      </c>
      <c r="AN2935" t="n">
        <v>0</v>
      </c>
      <c r="AO2935" t="n">
        <v>0</v>
      </c>
      <c r="AP2935" t="inlineStr">
        <is>
          <t>No</t>
        </is>
      </c>
      <c r="AQ2935" t="inlineStr">
        <is>
          <t>No</t>
        </is>
      </c>
      <c r="AS2935">
        <f>HYPERLINK("https://creighton-primo.hosted.exlibrisgroup.com/primo-explore/search?tab=default_tab&amp;search_scope=EVERYTHING&amp;vid=01CRU&amp;lang=en_US&amp;offset=0&amp;query=any,contains,991005085039702656","Catalog Record")</f>
        <v/>
      </c>
      <c r="AT2935">
        <f>HYPERLINK("http://www.worldcat.org/oclc/7185406","WorldCat Record")</f>
        <v/>
      </c>
      <c r="AU2935" t="inlineStr">
        <is>
          <t>3943430774:fre</t>
        </is>
      </c>
      <c r="AV2935" t="inlineStr">
        <is>
          <t>7185406</t>
        </is>
      </c>
      <c r="AW2935" t="inlineStr">
        <is>
          <t>991005085039702656</t>
        </is>
      </c>
      <c r="AX2935" t="inlineStr">
        <is>
          <t>991005085039702656</t>
        </is>
      </c>
      <c r="AY2935" t="inlineStr">
        <is>
          <t>2259552850002656</t>
        </is>
      </c>
      <c r="AZ2935" t="inlineStr">
        <is>
          <t>BOOK</t>
        </is>
      </c>
      <c r="BB2935" t="inlineStr">
        <is>
          <t>9782080642271</t>
        </is>
      </c>
      <c r="BC2935" t="inlineStr">
        <is>
          <t>32285001396604</t>
        </is>
      </c>
      <c r="BD2935" t="inlineStr">
        <is>
          <t>893713423</t>
        </is>
      </c>
    </row>
    <row r="2936">
      <c r="A2936" t="inlineStr">
        <is>
          <t>No</t>
        </is>
      </c>
      <c r="B2936" t="inlineStr">
        <is>
          <t>HQ801 .M72 2002</t>
        </is>
      </c>
      <c r="C2936" t="inlineStr">
        <is>
          <t>0                      HQ 0801000M  72          2002</t>
        </is>
      </c>
      <c r="D2936" t="inlineStr">
        <is>
          <t>Women and men as friends : relationships across the life span in the 21st century / Michael Monsour.</t>
        </is>
      </c>
      <c r="F2936" t="inlineStr">
        <is>
          <t>No</t>
        </is>
      </c>
      <c r="G2936" t="inlineStr">
        <is>
          <t>1</t>
        </is>
      </c>
      <c r="H2936" t="inlineStr">
        <is>
          <t>No</t>
        </is>
      </c>
      <c r="I2936" t="inlineStr">
        <is>
          <t>No</t>
        </is>
      </c>
      <c r="J2936" t="inlineStr">
        <is>
          <t>0</t>
        </is>
      </c>
      <c r="K2936" t="inlineStr">
        <is>
          <t>Monsour, Michael.</t>
        </is>
      </c>
      <c r="L2936" t="inlineStr">
        <is>
          <t>Mahwah, N.J. : L. Erlbaum, 2002.</t>
        </is>
      </c>
      <c r="M2936" t="inlineStr">
        <is>
          <t>2002</t>
        </is>
      </c>
      <c r="O2936" t="inlineStr">
        <is>
          <t>eng</t>
        </is>
      </c>
      <c r="P2936" t="inlineStr">
        <is>
          <t>nju</t>
        </is>
      </c>
      <c r="Q2936" t="inlineStr">
        <is>
          <t>LEA's series on personal relationships</t>
        </is>
      </c>
      <c r="R2936" t="inlineStr">
        <is>
          <t xml:space="preserve">HQ </t>
        </is>
      </c>
      <c r="S2936" t="n">
        <v>11</v>
      </c>
      <c r="T2936" t="n">
        <v>11</v>
      </c>
      <c r="U2936" t="inlineStr">
        <is>
          <t>2005-04-27</t>
        </is>
      </c>
      <c r="V2936" t="inlineStr">
        <is>
          <t>2005-04-27</t>
        </is>
      </c>
      <c r="W2936" t="inlineStr">
        <is>
          <t>2002-02-20</t>
        </is>
      </c>
      <c r="X2936" t="inlineStr">
        <is>
          <t>2002-02-20</t>
        </is>
      </c>
      <c r="Y2936" t="n">
        <v>610</v>
      </c>
      <c r="Z2936" t="n">
        <v>538</v>
      </c>
      <c r="AA2936" t="n">
        <v>1237</v>
      </c>
      <c r="AB2936" t="n">
        <v>4</v>
      </c>
      <c r="AC2936" t="n">
        <v>5</v>
      </c>
      <c r="AD2936" t="n">
        <v>33</v>
      </c>
      <c r="AE2936" t="n">
        <v>41</v>
      </c>
      <c r="AF2936" t="n">
        <v>16</v>
      </c>
      <c r="AG2936" t="n">
        <v>19</v>
      </c>
      <c r="AH2936" t="n">
        <v>9</v>
      </c>
      <c r="AI2936" t="n">
        <v>11</v>
      </c>
      <c r="AJ2936" t="n">
        <v>14</v>
      </c>
      <c r="AK2936" t="n">
        <v>17</v>
      </c>
      <c r="AL2936" t="n">
        <v>3</v>
      </c>
      <c r="AM2936" t="n">
        <v>4</v>
      </c>
      <c r="AN2936" t="n">
        <v>0</v>
      </c>
      <c r="AO2936" t="n">
        <v>0</v>
      </c>
      <c r="AP2936" t="inlineStr">
        <is>
          <t>No</t>
        </is>
      </c>
      <c r="AQ2936" t="inlineStr">
        <is>
          <t>No</t>
        </is>
      </c>
      <c r="AS2936">
        <f>HYPERLINK("https://creighton-primo.hosted.exlibrisgroup.com/primo-explore/search?tab=default_tab&amp;search_scope=EVERYTHING&amp;vid=01CRU&amp;lang=en_US&amp;offset=0&amp;query=any,contains,991003723689702656","Catalog Record")</f>
        <v/>
      </c>
      <c r="AT2936">
        <f>HYPERLINK("http://www.worldcat.org/oclc/46634122","WorldCat Record")</f>
        <v/>
      </c>
      <c r="AU2936" t="inlineStr">
        <is>
          <t>1002606:eng</t>
        </is>
      </c>
      <c r="AV2936" t="inlineStr">
        <is>
          <t>46634122</t>
        </is>
      </c>
      <c r="AW2936" t="inlineStr">
        <is>
          <t>991003723689702656</t>
        </is>
      </c>
      <c r="AX2936" t="inlineStr">
        <is>
          <t>991003723689702656</t>
        </is>
      </c>
      <c r="AY2936" t="inlineStr">
        <is>
          <t>2272079910002656</t>
        </is>
      </c>
      <c r="AZ2936" t="inlineStr">
        <is>
          <t>BOOK</t>
        </is>
      </c>
      <c r="BB2936" t="inlineStr">
        <is>
          <t>9780805835663</t>
        </is>
      </c>
      <c r="BC2936" t="inlineStr">
        <is>
          <t>32285004455415</t>
        </is>
      </c>
      <c r="BD2936" t="inlineStr">
        <is>
          <t>893353007</t>
        </is>
      </c>
    </row>
    <row r="2937">
      <c r="A2937" t="inlineStr">
        <is>
          <t>No</t>
        </is>
      </c>
      <c r="B2937" t="inlineStr">
        <is>
          <t>HQ801 .R47</t>
        </is>
      </c>
      <c r="C2937" t="inlineStr">
        <is>
          <t>0                      HQ 0801000R  47</t>
        </is>
      </c>
      <c r="D2937" t="inlineStr">
        <is>
          <t>Dialog : dating and marriage / by George R. Riemer.</t>
        </is>
      </c>
      <c r="F2937" t="inlineStr">
        <is>
          <t>No</t>
        </is>
      </c>
      <c r="G2937" t="inlineStr">
        <is>
          <t>1</t>
        </is>
      </c>
      <c r="H2937" t="inlineStr">
        <is>
          <t>No</t>
        </is>
      </c>
      <c r="I2937" t="inlineStr">
        <is>
          <t>No</t>
        </is>
      </c>
      <c r="J2937" t="inlineStr">
        <is>
          <t>0</t>
        </is>
      </c>
      <c r="K2937" t="inlineStr">
        <is>
          <t>Riemer, George R.</t>
        </is>
      </c>
      <c r="L2937" t="inlineStr">
        <is>
          <t>New York : Holt, Rinehart and Winston, [1968]</t>
        </is>
      </c>
      <c r="M2937" t="inlineStr">
        <is>
          <t>1968</t>
        </is>
      </c>
      <c r="O2937" t="inlineStr">
        <is>
          <t>eng</t>
        </is>
      </c>
      <c r="P2937" t="inlineStr">
        <is>
          <t>nyu</t>
        </is>
      </c>
      <c r="R2937" t="inlineStr">
        <is>
          <t xml:space="preserve">HQ </t>
        </is>
      </c>
      <c r="S2937" t="n">
        <v>39</v>
      </c>
      <c r="T2937" t="n">
        <v>39</v>
      </c>
      <c r="U2937" t="inlineStr">
        <is>
          <t>2003-03-27</t>
        </is>
      </c>
      <c r="V2937" t="inlineStr">
        <is>
          <t>2003-03-27</t>
        </is>
      </c>
      <c r="W2937" t="inlineStr">
        <is>
          <t>1991-12-23</t>
        </is>
      </c>
      <c r="X2937" t="inlineStr">
        <is>
          <t>1991-12-23</t>
        </is>
      </c>
      <c r="Y2937" t="n">
        <v>68</v>
      </c>
      <c r="Z2937" t="n">
        <v>55</v>
      </c>
      <c r="AA2937" t="n">
        <v>60</v>
      </c>
      <c r="AB2937" t="n">
        <v>1</v>
      </c>
      <c r="AC2937" t="n">
        <v>1</v>
      </c>
      <c r="AD2937" t="n">
        <v>4</v>
      </c>
      <c r="AE2937" t="n">
        <v>4</v>
      </c>
      <c r="AF2937" t="n">
        <v>0</v>
      </c>
      <c r="AG2937" t="n">
        <v>0</v>
      </c>
      <c r="AH2937" t="n">
        <v>1</v>
      </c>
      <c r="AI2937" t="n">
        <v>1</v>
      </c>
      <c r="AJ2937" t="n">
        <v>3</v>
      </c>
      <c r="AK2937" t="n">
        <v>3</v>
      </c>
      <c r="AL2937" t="n">
        <v>0</v>
      </c>
      <c r="AM2937" t="n">
        <v>0</v>
      </c>
      <c r="AN2937" t="n">
        <v>0</v>
      </c>
      <c r="AO2937" t="n">
        <v>0</v>
      </c>
      <c r="AP2937" t="inlineStr">
        <is>
          <t>No</t>
        </is>
      </c>
      <c r="AQ2937" t="inlineStr">
        <is>
          <t>No</t>
        </is>
      </c>
      <c r="AS2937">
        <f>HYPERLINK("https://creighton-primo.hosted.exlibrisgroup.com/primo-explore/search?tab=default_tab&amp;search_scope=EVERYTHING&amp;vid=01CRU&amp;lang=en_US&amp;offset=0&amp;query=any,contains,991002764289702656","Catalog Record")</f>
        <v/>
      </c>
      <c r="AT2937">
        <f>HYPERLINK("http://www.worldcat.org/oclc/431887","WorldCat Record")</f>
        <v/>
      </c>
      <c r="AU2937" t="inlineStr">
        <is>
          <t>8908848696:eng</t>
        </is>
      </c>
      <c r="AV2937" t="inlineStr">
        <is>
          <t>431887</t>
        </is>
      </c>
      <c r="AW2937" t="inlineStr">
        <is>
          <t>991002764289702656</t>
        </is>
      </c>
      <c r="AX2937" t="inlineStr">
        <is>
          <t>991002764289702656</t>
        </is>
      </c>
      <c r="AY2937" t="inlineStr">
        <is>
          <t>2271253970002656</t>
        </is>
      </c>
      <c r="AZ2937" t="inlineStr">
        <is>
          <t>BOOK</t>
        </is>
      </c>
      <c r="BC2937" t="inlineStr">
        <is>
          <t>32285000890805</t>
        </is>
      </c>
      <c r="BD2937" t="inlineStr">
        <is>
          <t>893317232</t>
        </is>
      </c>
    </row>
    <row r="2938">
      <c r="A2938" t="inlineStr">
        <is>
          <t>No</t>
        </is>
      </c>
      <c r="B2938" t="inlineStr">
        <is>
          <t>HQ801 .S468 1997</t>
        </is>
      </c>
      <c r="C2938" t="inlineStr">
        <is>
          <t>0                      HQ 0801000S  468         1997</t>
        </is>
      </c>
      <c r="D2938" t="inlineStr">
        <is>
          <t>Of simultaneous orgasms and other popular myths : a realistic look at relationships / by Haresh Shah.</t>
        </is>
      </c>
      <c r="F2938" t="inlineStr">
        <is>
          <t>No</t>
        </is>
      </c>
      <c r="G2938" t="inlineStr">
        <is>
          <t>1</t>
        </is>
      </c>
      <c r="H2938" t="inlineStr">
        <is>
          <t>No</t>
        </is>
      </c>
      <c r="I2938" t="inlineStr">
        <is>
          <t>No</t>
        </is>
      </c>
      <c r="J2938" t="inlineStr">
        <is>
          <t>0</t>
        </is>
      </c>
      <c r="K2938" t="inlineStr">
        <is>
          <t>Shah, Haresh.</t>
        </is>
      </c>
      <c r="L2938" t="inlineStr">
        <is>
          <t>Evanston, Ill. : Azad Publications, 1997.</t>
        </is>
      </c>
      <c r="M2938" t="inlineStr">
        <is>
          <t>1997</t>
        </is>
      </c>
      <c r="O2938" t="inlineStr">
        <is>
          <t>eng</t>
        </is>
      </c>
      <c r="P2938" t="inlineStr">
        <is>
          <t>ilu</t>
        </is>
      </c>
      <c r="R2938" t="inlineStr">
        <is>
          <t xml:space="preserve">HQ </t>
        </is>
      </c>
      <c r="S2938" t="n">
        <v>6</v>
      </c>
      <c r="T2938" t="n">
        <v>6</v>
      </c>
      <c r="U2938" t="inlineStr">
        <is>
          <t>2000-11-09</t>
        </is>
      </c>
      <c r="V2938" t="inlineStr">
        <is>
          <t>2000-11-09</t>
        </is>
      </c>
      <c r="W2938" t="inlineStr">
        <is>
          <t>1998-11-19</t>
        </is>
      </c>
      <c r="X2938" t="inlineStr">
        <is>
          <t>1998-11-19</t>
        </is>
      </c>
      <c r="Y2938" t="n">
        <v>81</v>
      </c>
      <c r="Z2938" t="n">
        <v>76</v>
      </c>
      <c r="AA2938" t="n">
        <v>81</v>
      </c>
      <c r="AB2938" t="n">
        <v>1</v>
      </c>
      <c r="AC2938" t="n">
        <v>1</v>
      </c>
      <c r="AD2938" t="n">
        <v>5</v>
      </c>
      <c r="AE2938" t="n">
        <v>5</v>
      </c>
      <c r="AF2938" t="n">
        <v>1</v>
      </c>
      <c r="AG2938" t="n">
        <v>1</v>
      </c>
      <c r="AH2938" t="n">
        <v>1</v>
      </c>
      <c r="AI2938" t="n">
        <v>1</v>
      </c>
      <c r="AJ2938" t="n">
        <v>3</v>
      </c>
      <c r="AK2938" t="n">
        <v>3</v>
      </c>
      <c r="AL2938" t="n">
        <v>0</v>
      </c>
      <c r="AM2938" t="n">
        <v>0</v>
      </c>
      <c r="AN2938" t="n">
        <v>0</v>
      </c>
      <c r="AO2938" t="n">
        <v>0</v>
      </c>
      <c r="AP2938" t="inlineStr">
        <is>
          <t>No</t>
        </is>
      </c>
      <c r="AQ2938" t="inlineStr">
        <is>
          <t>No</t>
        </is>
      </c>
      <c r="AS2938">
        <f>HYPERLINK("https://creighton-primo.hosted.exlibrisgroup.com/primo-explore/search?tab=default_tab&amp;search_scope=EVERYTHING&amp;vid=01CRU&amp;lang=en_US&amp;offset=0&amp;query=any,contains,991002856709702656","Catalog Record")</f>
        <v/>
      </c>
      <c r="AT2938">
        <f>HYPERLINK("http://www.worldcat.org/oclc/37649102","WorldCat Record")</f>
        <v/>
      </c>
      <c r="AU2938" t="inlineStr">
        <is>
          <t>1028208290:eng</t>
        </is>
      </c>
      <c r="AV2938" t="inlineStr">
        <is>
          <t>37649102</t>
        </is>
      </c>
      <c r="AW2938" t="inlineStr">
        <is>
          <t>991002856709702656</t>
        </is>
      </c>
      <c r="AX2938" t="inlineStr">
        <is>
          <t>991002856709702656</t>
        </is>
      </c>
      <c r="AY2938" t="inlineStr">
        <is>
          <t>2257079230002656</t>
        </is>
      </c>
      <c r="AZ2938" t="inlineStr">
        <is>
          <t>BOOK</t>
        </is>
      </c>
      <c r="BB2938" t="inlineStr">
        <is>
          <t>9780965442909</t>
        </is>
      </c>
      <c r="BC2938" t="inlineStr">
        <is>
          <t>32285003490819</t>
        </is>
      </c>
      <c r="BD2938" t="inlineStr">
        <is>
          <t>893227369</t>
        </is>
      </c>
    </row>
    <row r="2939">
      <c r="A2939" t="inlineStr">
        <is>
          <t>No</t>
        </is>
      </c>
      <c r="B2939" t="inlineStr">
        <is>
          <t>HQ801 .S6</t>
        </is>
      </c>
      <c r="C2939" t="inlineStr">
        <is>
          <t>0                      HQ 0801000S  6</t>
        </is>
      </c>
      <c r="D2939" t="inlineStr">
        <is>
          <t>Social skills training : dating skills treatment manual / Carol Ummel Lindquist ... [et al.]</t>
        </is>
      </c>
      <c r="F2939" t="inlineStr">
        <is>
          <t>No</t>
        </is>
      </c>
      <c r="G2939" t="inlineStr">
        <is>
          <t>1</t>
        </is>
      </c>
      <c r="H2939" t="inlineStr">
        <is>
          <t>No</t>
        </is>
      </c>
      <c r="I2939" t="inlineStr">
        <is>
          <t>No</t>
        </is>
      </c>
      <c r="J2939" t="inlineStr">
        <is>
          <t>0</t>
        </is>
      </c>
      <c r="L2939" t="inlineStr">
        <is>
          <t>Washington : American Psychological Association, [1975?]</t>
        </is>
      </c>
      <c r="M2939" t="inlineStr">
        <is>
          <t>1975</t>
        </is>
      </c>
      <c r="O2939" t="inlineStr">
        <is>
          <t>eng</t>
        </is>
      </c>
      <c r="P2939" t="inlineStr">
        <is>
          <t>dcu</t>
        </is>
      </c>
      <c r="Q2939" t="inlineStr">
        <is>
          <t>JSAS document ; ms. no. 1009</t>
        </is>
      </c>
      <c r="R2939" t="inlineStr">
        <is>
          <t xml:space="preserve">HQ </t>
        </is>
      </c>
      <c r="S2939" t="n">
        <v>16</v>
      </c>
      <c r="T2939" t="n">
        <v>16</v>
      </c>
      <c r="U2939" t="inlineStr">
        <is>
          <t>1997-02-24</t>
        </is>
      </c>
      <c r="V2939" t="inlineStr">
        <is>
          <t>1997-02-24</t>
        </is>
      </c>
      <c r="W2939" t="inlineStr">
        <is>
          <t>1990-02-22</t>
        </is>
      </c>
      <c r="X2939" t="inlineStr">
        <is>
          <t>1990-02-22</t>
        </is>
      </c>
      <c r="Y2939" t="n">
        <v>7</v>
      </c>
      <c r="Z2939" t="n">
        <v>5</v>
      </c>
      <c r="AA2939" t="n">
        <v>7</v>
      </c>
      <c r="AB2939" t="n">
        <v>1</v>
      </c>
      <c r="AC2939" t="n">
        <v>1</v>
      </c>
      <c r="AD2939" t="n">
        <v>0</v>
      </c>
      <c r="AE2939" t="n">
        <v>0</v>
      </c>
      <c r="AF2939" t="n">
        <v>0</v>
      </c>
      <c r="AG2939" t="n">
        <v>0</v>
      </c>
      <c r="AH2939" t="n">
        <v>0</v>
      </c>
      <c r="AI2939" t="n">
        <v>0</v>
      </c>
      <c r="AJ2939" t="n">
        <v>0</v>
      </c>
      <c r="AK2939" t="n">
        <v>0</v>
      </c>
      <c r="AL2939" t="n">
        <v>0</v>
      </c>
      <c r="AM2939" t="n">
        <v>0</v>
      </c>
      <c r="AN2939" t="n">
        <v>0</v>
      </c>
      <c r="AO2939" t="n">
        <v>0</v>
      </c>
      <c r="AP2939" t="inlineStr">
        <is>
          <t>No</t>
        </is>
      </c>
      <c r="AQ2939" t="inlineStr">
        <is>
          <t>No</t>
        </is>
      </c>
      <c r="AS2939">
        <f>HYPERLINK("https://creighton-primo.hosted.exlibrisgroup.com/primo-explore/search?tab=default_tab&amp;search_scope=EVERYTHING&amp;vid=01CRU&amp;lang=en_US&amp;offset=0&amp;query=any,contains,991004494829702656","Catalog Record")</f>
        <v/>
      </c>
      <c r="AT2939">
        <f>HYPERLINK("http://www.worldcat.org/oclc/3689034","WorldCat Record")</f>
        <v/>
      </c>
      <c r="AU2939" t="inlineStr">
        <is>
          <t>54209990:eng</t>
        </is>
      </c>
      <c r="AV2939" t="inlineStr">
        <is>
          <t>3689034</t>
        </is>
      </c>
      <c r="AW2939" t="inlineStr">
        <is>
          <t>991004494829702656</t>
        </is>
      </c>
      <c r="AX2939" t="inlineStr">
        <is>
          <t>991004494829702656</t>
        </is>
      </c>
      <c r="AY2939" t="inlineStr">
        <is>
          <t>2263812170002656</t>
        </is>
      </c>
      <c r="AZ2939" t="inlineStr">
        <is>
          <t>BOOK</t>
        </is>
      </c>
      <c r="BC2939" t="inlineStr">
        <is>
          <t>32285000049113</t>
        </is>
      </c>
      <c r="BD2939" t="inlineStr">
        <is>
          <t>893423878</t>
        </is>
      </c>
    </row>
    <row r="2940">
      <c r="A2940" t="inlineStr">
        <is>
          <t>No</t>
        </is>
      </c>
      <c r="B2940" t="inlineStr">
        <is>
          <t>HQ801.83 .G34 2000</t>
        </is>
      </c>
      <c r="C2940" t="inlineStr">
        <is>
          <t>0                      HQ 0801830G  34          2000</t>
        </is>
      </c>
      <c r="D2940" t="inlineStr">
        <is>
          <t>Dangerous dating : helping young women break out of abusive relationships / by Patricia Riddle Gaddis.</t>
        </is>
      </c>
      <c r="F2940" t="inlineStr">
        <is>
          <t>No</t>
        </is>
      </c>
      <c r="G2940" t="inlineStr">
        <is>
          <t>1</t>
        </is>
      </c>
      <c r="H2940" t="inlineStr">
        <is>
          <t>No</t>
        </is>
      </c>
      <c r="I2940" t="inlineStr">
        <is>
          <t>No</t>
        </is>
      </c>
      <c r="J2940" t="inlineStr">
        <is>
          <t>0</t>
        </is>
      </c>
      <c r="K2940" t="inlineStr">
        <is>
          <t>Gaddis, Patricia Riddle.</t>
        </is>
      </c>
      <c r="L2940" t="inlineStr">
        <is>
          <t>Colorado Springs, CO : Shaw, c2000.</t>
        </is>
      </c>
      <c r="M2940" t="inlineStr">
        <is>
          <t>2000</t>
        </is>
      </c>
      <c r="O2940" t="inlineStr">
        <is>
          <t>eng</t>
        </is>
      </c>
      <c r="P2940" t="inlineStr">
        <is>
          <t>cou</t>
        </is>
      </c>
      <c r="R2940" t="inlineStr">
        <is>
          <t xml:space="preserve">HQ </t>
        </is>
      </c>
      <c r="S2940" t="n">
        <v>5</v>
      </c>
      <c r="T2940" t="n">
        <v>5</v>
      </c>
      <c r="U2940" t="inlineStr">
        <is>
          <t>2006-07-24</t>
        </is>
      </c>
      <c r="V2940" t="inlineStr">
        <is>
          <t>2006-07-24</t>
        </is>
      </c>
      <c r="W2940" t="inlineStr">
        <is>
          <t>2004-11-08</t>
        </is>
      </c>
      <c r="X2940" t="inlineStr">
        <is>
          <t>2004-11-08</t>
        </is>
      </c>
      <c r="Y2940" t="n">
        <v>326</v>
      </c>
      <c r="Z2940" t="n">
        <v>305</v>
      </c>
      <c r="AA2940" t="n">
        <v>324</v>
      </c>
      <c r="AB2940" t="n">
        <v>4</v>
      </c>
      <c r="AC2940" t="n">
        <v>4</v>
      </c>
      <c r="AD2940" t="n">
        <v>5</v>
      </c>
      <c r="AE2940" t="n">
        <v>5</v>
      </c>
      <c r="AF2940" t="n">
        <v>1</v>
      </c>
      <c r="AG2940" t="n">
        <v>1</v>
      </c>
      <c r="AH2940" t="n">
        <v>0</v>
      </c>
      <c r="AI2940" t="n">
        <v>0</v>
      </c>
      <c r="AJ2940" t="n">
        <v>1</v>
      </c>
      <c r="AK2940" t="n">
        <v>1</v>
      </c>
      <c r="AL2940" t="n">
        <v>3</v>
      </c>
      <c r="AM2940" t="n">
        <v>3</v>
      </c>
      <c r="AN2940" t="n">
        <v>0</v>
      </c>
      <c r="AO2940" t="n">
        <v>0</v>
      </c>
      <c r="AP2940" t="inlineStr">
        <is>
          <t>No</t>
        </is>
      </c>
      <c r="AQ2940" t="inlineStr">
        <is>
          <t>No</t>
        </is>
      </c>
      <c r="AS2940">
        <f>HYPERLINK("https://creighton-primo.hosted.exlibrisgroup.com/primo-explore/search?tab=default_tab&amp;search_scope=EVERYTHING&amp;vid=01CRU&amp;lang=en_US&amp;offset=0&amp;query=any,contains,991004405009702656","Catalog Record")</f>
        <v/>
      </c>
      <c r="AT2940">
        <f>HYPERLINK("http://www.worldcat.org/oclc/42708140","WorldCat Record")</f>
        <v/>
      </c>
      <c r="AU2940" t="inlineStr">
        <is>
          <t>1076152840:eng</t>
        </is>
      </c>
      <c r="AV2940" t="inlineStr">
        <is>
          <t>42708140</t>
        </is>
      </c>
      <c r="AW2940" t="inlineStr">
        <is>
          <t>991004405009702656</t>
        </is>
      </c>
      <c r="AX2940" t="inlineStr">
        <is>
          <t>991004405009702656</t>
        </is>
      </c>
      <c r="AY2940" t="inlineStr">
        <is>
          <t>2260724720002656</t>
        </is>
      </c>
      <c r="AZ2940" t="inlineStr">
        <is>
          <t>BOOK</t>
        </is>
      </c>
      <c r="BB2940" t="inlineStr">
        <is>
          <t>9780877887133</t>
        </is>
      </c>
      <c r="BC2940" t="inlineStr">
        <is>
          <t>32285005009476</t>
        </is>
      </c>
      <c r="BD2940" t="inlineStr">
        <is>
          <t>893513194</t>
        </is>
      </c>
    </row>
    <row r="2941">
      <c r="A2941" t="inlineStr">
        <is>
          <t>No</t>
        </is>
      </c>
      <c r="B2941" t="inlineStr">
        <is>
          <t>HQ801.83 .V56 1989</t>
        </is>
      </c>
      <c r="C2941" t="inlineStr">
        <is>
          <t>0                      HQ 0801830V  56          1989</t>
        </is>
      </c>
      <c r="D2941" t="inlineStr">
        <is>
          <t>Violence in dating relationships : emerging social issues / edited by Maureen A. Pirog-Good and Jan E. Stets.</t>
        </is>
      </c>
      <c r="F2941" t="inlineStr">
        <is>
          <t>No</t>
        </is>
      </c>
      <c r="G2941" t="inlineStr">
        <is>
          <t>1</t>
        </is>
      </c>
      <c r="H2941" t="inlineStr">
        <is>
          <t>No</t>
        </is>
      </c>
      <c r="I2941" t="inlineStr">
        <is>
          <t>No</t>
        </is>
      </c>
      <c r="J2941" t="inlineStr">
        <is>
          <t>0</t>
        </is>
      </c>
      <c r="L2941" t="inlineStr">
        <is>
          <t>New York : Praeger, 1989.</t>
        </is>
      </c>
      <c r="M2941" t="inlineStr">
        <is>
          <t>1989</t>
        </is>
      </c>
      <c r="O2941" t="inlineStr">
        <is>
          <t>eng</t>
        </is>
      </c>
      <c r="P2941" t="inlineStr">
        <is>
          <t>nyu</t>
        </is>
      </c>
      <c r="R2941" t="inlineStr">
        <is>
          <t xml:space="preserve">HQ </t>
        </is>
      </c>
      <c r="S2941" t="n">
        <v>37</v>
      </c>
      <c r="T2941" t="n">
        <v>37</v>
      </c>
      <c r="U2941" t="inlineStr">
        <is>
          <t>2006-07-24</t>
        </is>
      </c>
      <c r="V2941" t="inlineStr">
        <is>
          <t>2006-07-24</t>
        </is>
      </c>
      <c r="W2941" t="inlineStr">
        <is>
          <t>1991-12-13</t>
        </is>
      </c>
      <c r="X2941" t="inlineStr">
        <is>
          <t>1991-12-13</t>
        </is>
      </c>
      <c r="Y2941" t="n">
        <v>679</v>
      </c>
      <c r="Z2941" t="n">
        <v>601</v>
      </c>
      <c r="AA2941" t="n">
        <v>608</v>
      </c>
      <c r="AB2941" t="n">
        <v>4</v>
      </c>
      <c r="AC2941" t="n">
        <v>4</v>
      </c>
      <c r="AD2941" t="n">
        <v>28</v>
      </c>
      <c r="AE2941" t="n">
        <v>28</v>
      </c>
      <c r="AF2941" t="n">
        <v>9</v>
      </c>
      <c r="AG2941" t="n">
        <v>9</v>
      </c>
      <c r="AH2941" t="n">
        <v>9</v>
      </c>
      <c r="AI2941" t="n">
        <v>9</v>
      </c>
      <c r="AJ2941" t="n">
        <v>15</v>
      </c>
      <c r="AK2941" t="n">
        <v>15</v>
      </c>
      <c r="AL2941" t="n">
        <v>3</v>
      </c>
      <c r="AM2941" t="n">
        <v>3</v>
      </c>
      <c r="AN2941" t="n">
        <v>0</v>
      </c>
      <c r="AO2941" t="n">
        <v>0</v>
      </c>
      <c r="AP2941" t="inlineStr">
        <is>
          <t>No</t>
        </is>
      </c>
      <c r="AQ2941" t="inlineStr">
        <is>
          <t>Yes</t>
        </is>
      </c>
      <c r="AR2941">
        <f>HYPERLINK("http://catalog.hathitrust.org/Record/001304045","HathiTrust Record")</f>
        <v/>
      </c>
      <c r="AS2941">
        <f>HYPERLINK("https://creighton-primo.hosted.exlibrisgroup.com/primo-explore/search?tab=default_tab&amp;search_scope=EVERYTHING&amp;vid=01CRU&amp;lang=en_US&amp;offset=0&amp;query=any,contains,991001389079702656","Catalog Record")</f>
        <v/>
      </c>
      <c r="AT2941">
        <f>HYPERLINK("http://www.worldcat.org/oclc/18743279","WorldCat Record")</f>
        <v/>
      </c>
      <c r="AU2941" t="inlineStr">
        <is>
          <t>836702943:eng</t>
        </is>
      </c>
      <c r="AV2941" t="inlineStr">
        <is>
          <t>18743279</t>
        </is>
      </c>
      <c r="AW2941" t="inlineStr">
        <is>
          <t>991001389079702656</t>
        </is>
      </c>
      <c r="AX2941" t="inlineStr">
        <is>
          <t>991001389079702656</t>
        </is>
      </c>
      <c r="AY2941" t="inlineStr">
        <is>
          <t>2259466630002656</t>
        </is>
      </c>
      <c r="AZ2941" t="inlineStr">
        <is>
          <t>BOOK</t>
        </is>
      </c>
      <c r="BB2941" t="inlineStr">
        <is>
          <t>9780275933531</t>
        </is>
      </c>
      <c r="BC2941" t="inlineStr">
        <is>
          <t>32285000890813</t>
        </is>
      </c>
      <c r="BD2941" t="inlineStr">
        <is>
          <t>893244103</t>
        </is>
      </c>
    </row>
    <row r="2942">
      <c r="A2942" t="inlineStr">
        <is>
          <t>No</t>
        </is>
      </c>
      <c r="B2942" t="inlineStr">
        <is>
          <t>HQ801.A2 W56 2000</t>
        </is>
      </c>
      <c r="C2942" t="inlineStr">
        <is>
          <t>0                      HQ 0801000A  2                  W  56          2000</t>
        </is>
      </c>
      <c r="D2942" t="inlineStr">
        <is>
          <t>Wing to wing, oar to oar : readings on courting and marrying / edited by Amy A. Kass and Leon R. Kass.</t>
        </is>
      </c>
      <c r="F2942" t="inlineStr">
        <is>
          <t>No</t>
        </is>
      </c>
      <c r="G2942" t="inlineStr">
        <is>
          <t>1</t>
        </is>
      </c>
      <c r="H2942" t="inlineStr">
        <is>
          <t>No</t>
        </is>
      </c>
      <c r="I2942" t="inlineStr">
        <is>
          <t>No</t>
        </is>
      </c>
      <c r="J2942" t="inlineStr">
        <is>
          <t>0</t>
        </is>
      </c>
      <c r="L2942" t="inlineStr">
        <is>
          <t>Notre Dame, Ind. : University of Notre Dame Press, c2000.</t>
        </is>
      </c>
      <c r="M2942" t="inlineStr">
        <is>
          <t>2000</t>
        </is>
      </c>
      <c r="O2942" t="inlineStr">
        <is>
          <t>eng</t>
        </is>
      </c>
      <c r="P2942" t="inlineStr">
        <is>
          <t>inu</t>
        </is>
      </c>
      <c r="Q2942" t="inlineStr">
        <is>
          <t>The ethics of everyday life</t>
        </is>
      </c>
      <c r="R2942" t="inlineStr">
        <is>
          <t xml:space="preserve">HQ </t>
        </is>
      </c>
      <c r="S2942" t="n">
        <v>5</v>
      </c>
      <c r="T2942" t="n">
        <v>5</v>
      </c>
      <c r="U2942" t="inlineStr">
        <is>
          <t>2009-06-02</t>
        </is>
      </c>
      <c r="V2942" t="inlineStr">
        <is>
          <t>2009-06-02</t>
        </is>
      </c>
      <c r="W2942" t="inlineStr">
        <is>
          <t>2000-11-30</t>
        </is>
      </c>
      <c r="X2942" t="inlineStr">
        <is>
          <t>2000-11-30</t>
        </is>
      </c>
      <c r="Y2942" t="n">
        <v>411</v>
      </c>
      <c r="Z2942" t="n">
        <v>363</v>
      </c>
      <c r="AA2942" t="n">
        <v>372</v>
      </c>
      <c r="AB2942" t="n">
        <v>2</v>
      </c>
      <c r="AC2942" t="n">
        <v>2</v>
      </c>
      <c r="AD2942" t="n">
        <v>19</v>
      </c>
      <c r="AE2942" t="n">
        <v>19</v>
      </c>
      <c r="AF2942" t="n">
        <v>8</v>
      </c>
      <c r="AG2942" t="n">
        <v>8</v>
      </c>
      <c r="AH2942" t="n">
        <v>6</v>
      </c>
      <c r="AI2942" t="n">
        <v>6</v>
      </c>
      <c r="AJ2942" t="n">
        <v>11</v>
      </c>
      <c r="AK2942" t="n">
        <v>11</v>
      </c>
      <c r="AL2942" t="n">
        <v>1</v>
      </c>
      <c r="AM2942" t="n">
        <v>1</v>
      </c>
      <c r="AN2942" t="n">
        <v>0</v>
      </c>
      <c r="AO2942" t="n">
        <v>0</v>
      </c>
      <c r="AP2942" t="inlineStr">
        <is>
          <t>No</t>
        </is>
      </c>
      <c r="AQ2942" t="inlineStr">
        <is>
          <t>No</t>
        </is>
      </c>
      <c r="AS2942">
        <f>HYPERLINK("https://creighton-primo.hosted.exlibrisgroup.com/primo-explore/search?tab=default_tab&amp;search_scope=EVERYTHING&amp;vid=01CRU&amp;lang=en_US&amp;offset=0&amp;query=any,contains,991003302979702656","Catalog Record")</f>
        <v/>
      </c>
      <c r="AT2942">
        <f>HYPERLINK("http://www.worldcat.org/oclc/42708088","WorldCat Record")</f>
        <v/>
      </c>
      <c r="AU2942" t="inlineStr">
        <is>
          <t>892633776:eng</t>
        </is>
      </c>
      <c r="AV2942" t="inlineStr">
        <is>
          <t>42708088</t>
        </is>
      </c>
      <c r="AW2942" t="inlineStr">
        <is>
          <t>991003302979702656</t>
        </is>
      </c>
      <c r="AX2942" t="inlineStr">
        <is>
          <t>991003302979702656</t>
        </is>
      </c>
      <c r="AY2942" t="inlineStr">
        <is>
          <t>2260741980002656</t>
        </is>
      </c>
      <c r="AZ2942" t="inlineStr">
        <is>
          <t>BOOK</t>
        </is>
      </c>
      <c r="BB2942" t="inlineStr">
        <is>
          <t>9780268019594</t>
        </is>
      </c>
      <c r="BC2942" t="inlineStr">
        <is>
          <t>32285004268503</t>
        </is>
      </c>
      <c r="BD2942" t="inlineStr">
        <is>
          <t>893416251</t>
        </is>
      </c>
    </row>
    <row r="2943">
      <c r="A2943" t="inlineStr">
        <is>
          <t>No</t>
        </is>
      </c>
      <c r="B2943" t="inlineStr">
        <is>
          <t>HQ801.A3 H37 1996</t>
        </is>
      </c>
      <c r="C2943" t="inlineStr">
        <is>
          <t>0                      HQ 0801000A  3                  H  37          1996</t>
        </is>
      </c>
      <c r="D2943" t="inlineStr">
        <is>
          <t>Love and sex : cross-cultural perspectives / Elaine Hatfield, Richard L. Rapson.</t>
        </is>
      </c>
      <c r="F2943" t="inlineStr">
        <is>
          <t>No</t>
        </is>
      </c>
      <c r="G2943" t="inlineStr">
        <is>
          <t>1</t>
        </is>
      </c>
      <c r="H2943" t="inlineStr">
        <is>
          <t>No</t>
        </is>
      </c>
      <c r="I2943" t="inlineStr">
        <is>
          <t>No</t>
        </is>
      </c>
      <c r="J2943" t="inlineStr">
        <is>
          <t>0</t>
        </is>
      </c>
      <c r="K2943" t="inlineStr">
        <is>
          <t>Hatfield, Elaine.</t>
        </is>
      </c>
      <c r="L2943" t="inlineStr">
        <is>
          <t>Boston : Allyn and Bacon, c1996.</t>
        </is>
      </c>
      <c r="M2943" t="inlineStr">
        <is>
          <t>1996</t>
        </is>
      </c>
      <c r="O2943" t="inlineStr">
        <is>
          <t>eng</t>
        </is>
      </c>
      <c r="P2943" t="inlineStr">
        <is>
          <t>mau</t>
        </is>
      </c>
      <c r="R2943" t="inlineStr">
        <is>
          <t xml:space="preserve">HQ </t>
        </is>
      </c>
      <c r="S2943" t="n">
        <v>15</v>
      </c>
      <c r="T2943" t="n">
        <v>15</v>
      </c>
      <c r="U2943" t="inlineStr">
        <is>
          <t>2003-10-07</t>
        </is>
      </c>
      <c r="V2943" t="inlineStr">
        <is>
          <t>2003-10-07</t>
        </is>
      </c>
      <c r="W2943" t="inlineStr">
        <is>
          <t>1997-01-13</t>
        </is>
      </c>
      <c r="X2943" t="inlineStr">
        <is>
          <t>1997-01-13</t>
        </is>
      </c>
      <c r="Y2943" t="n">
        <v>339</v>
      </c>
      <c r="Z2943" t="n">
        <v>281</v>
      </c>
      <c r="AA2943" t="n">
        <v>365</v>
      </c>
      <c r="AB2943" t="n">
        <v>4</v>
      </c>
      <c r="AC2943" t="n">
        <v>4</v>
      </c>
      <c r="AD2943" t="n">
        <v>17</v>
      </c>
      <c r="AE2943" t="n">
        <v>21</v>
      </c>
      <c r="AF2943" t="n">
        <v>6</v>
      </c>
      <c r="AG2943" t="n">
        <v>9</v>
      </c>
      <c r="AH2943" t="n">
        <v>5</v>
      </c>
      <c r="AI2943" t="n">
        <v>6</v>
      </c>
      <c r="AJ2943" t="n">
        <v>9</v>
      </c>
      <c r="AK2943" t="n">
        <v>12</v>
      </c>
      <c r="AL2943" t="n">
        <v>3</v>
      </c>
      <c r="AM2943" t="n">
        <v>3</v>
      </c>
      <c r="AN2943" t="n">
        <v>0</v>
      </c>
      <c r="AO2943" t="n">
        <v>0</v>
      </c>
      <c r="AP2943" t="inlineStr">
        <is>
          <t>No</t>
        </is>
      </c>
      <c r="AQ2943" t="inlineStr">
        <is>
          <t>Yes</t>
        </is>
      </c>
      <c r="AR2943">
        <f>HYPERLINK("http://catalog.hathitrust.org/Record/003022592","HathiTrust Record")</f>
        <v/>
      </c>
      <c r="AS2943">
        <f>HYPERLINK("https://creighton-primo.hosted.exlibrisgroup.com/primo-explore/search?tab=default_tab&amp;search_scope=EVERYTHING&amp;vid=01CRU&amp;lang=en_US&amp;offset=0&amp;query=any,contains,991002479539702656","Catalog Record")</f>
        <v/>
      </c>
      <c r="AT2943">
        <f>HYPERLINK("http://www.worldcat.org/oclc/32275325","WorldCat Record")</f>
        <v/>
      </c>
      <c r="AU2943" t="inlineStr">
        <is>
          <t>34279138:eng</t>
        </is>
      </c>
      <c r="AV2943" t="inlineStr">
        <is>
          <t>32275325</t>
        </is>
      </c>
      <c r="AW2943" t="inlineStr">
        <is>
          <t>991002479539702656</t>
        </is>
      </c>
      <c r="AX2943" t="inlineStr">
        <is>
          <t>991002479539702656</t>
        </is>
      </c>
      <c r="AY2943" t="inlineStr">
        <is>
          <t>2259639510002656</t>
        </is>
      </c>
      <c r="AZ2943" t="inlineStr">
        <is>
          <t>BOOK</t>
        </is>
      </c>
      <c r="BB2943" t="inlineStr">
        <is>
          <t>9780205161034</t>
        </is>
      </c>
      <c r="BC2943" t="inlineStr">
        <is>
          <t>32285002406451</t>
        </is>
      </c>
      <c r="BD2943" t="inlineStr">
        <is>
          <t>893879984</t>
        </is>
      </c>
    </row>
    <row r="2944">
      <c r="A2944" t="inlineStr">
        <is>
          <t>No</t>
        </is>
      </c>
      <c r="B2944" t="inlineStr">
        <is>
          <t>HQ801.A3 I7513 1992</t>
        </is>
      </c>
      <c r="C2944" t="inlineStr">
        <is>
          <t>0                      HQ 0801000A  3                  I  7513        1992</t>
        </is>
      </c>
      <c r="D2944" t="inlineStr">
        <is>
          <t>Elemental passions / Luce Irigaray ; translated from the French by Joanne Collie and Judith Still.</t>
        </is>
      </c>
      <c r="F2944" t="inlineStr">
        <is>
          <t>No</t>
        </is>
      </c>
      <c r="G2944" t="inlineStr">
        <is>
          <t>1</t>
        </is>
      </c>
      <c r="H2944" t="inlineStr">
        <is>
          <t>No</t>
        </is>
      </c>
      <c r="I2944" t="inlineStr">
        <is>
          <t>No</t>
        </is>
      </c>
      <c r="J2944" t="inlineStr">
        <is>
          <t>0</t>
        </is>
      </c>
      <c r="K2944" t="inlineStr">
        <is>
          <t>Irigaray, Luce.</t>
        </is>
      </c>
      <c r="L2944" t="inlineStr">
        <is>
          <t>New York : Routledge, 1992.</t>
        </is>
      </c>
      <c r="M2944" t="inlineStr">
        <is>
          <t>1992</t>
        </is>
      </c>
      <c r="O2944" t="inlineStr">
        <is>
          <t>eng</t>
        </is>
      </c>
      <c r="P2944" t="inlineStr">
        <is>
          <t>nyu</t>
        </is>
      </c>
      <c r="R2944" t="inlineStr">
        <is>
          <t xml:space="preserve">HQ </t>
        </is>
      </c>
      <c r="S2944" t="n">
        <v>25</v>
      </c>
      <c r="T2944" t="n">
        <v>25</v>
      </c>
      <c r="U2944" t="inlineStr">
        <is>
          <t>2009-05-06</t>
        </is>
      </c>
      <c r="V2944" t="inlineStr">
        <is>
          <t>2009-05-06</t>
        </is>
      </c>
      <c r="W2944" t="inlineStr">
        <is>
          <t>1993-10-12</t>
        </is>
      </c>
      <c r="X2944" t="inlineStr">
        <is>
          <t>1993-10-12</t>
        </is>
      </c>
      <c r="Y2944" t="n">
        <v>314</v>
      </c>
      <c r="Z2944" t="n">
        <v>244</v>
      </c>
      <c r="AA2944" t="n">
        <v>293</v>
      </c>
      <c r="AB2944" t="n">
        <v>1</v>
      </c>
      <c r="AC2944" t="n">
        <v>1</v>
      </c>
      <c r="AD2944" t="n">
        <v>16</v>
      </c>
      <c r="AE2944" t="n">
        <v>18</v>
      </c>
      <c r="AF2944" t="n">
        <v>6</v>
      </c>
      <c r="AG2944" t="n">
        <v>6</v>
      </c>
      <c r="AH2944" t="n">
        <v>5</v>
      </c>
      <c r="AI2944" t="n">
        <v>6</v>
      </c>
      <c r="AJ2944" t="n">
        <v>9</v>
      </c>
      <c r="AK2944" t="n">
        <v>11</v>
      </c>
      <c r="AL2944" t="n">
        <v>0</v>
      </c>
      <c r="AM2944" t="n">
        <v>0</v>
      </c>
      <c r="AN2944" t="n">
        <v>0</v>
      </c>
      <c r="AO2944" t="n">
        <v>0</v>
      </c>
      <c r="AP2944" t="inlineStr">
        <is>
          <t>No</t>
        </is>
      </c>
      <c r="AQ2944" t="inlineStr">
        <is>
          <t>No</t>
        </is>
      </c>
      <c r="AS2944">
        <f>HYPERLINK("https://creighton-primo.hosted.exlibrisgroup.com/primo-explore/search?tab=default_tab&amp;search_scope=EVERYTHING&amp;vid=01CRU&amp;lang=en_US&amp;offset=0&amp;query=any,contains,991005416399702656","Catalog Record")</f>
        <v/>
      </c>
      <c r="AT2944">
        <f>HYPERLINK("http://www.worldcat.org/oclc/27376081","WorldCat Record")</f>
        <v/>
      </c>
      <c r="AU2944" t="inlineStr">
        <is>
          <t>24138282:eng</t>
        </is>
      </c>
      <c r="AV2944" t="inlineStr">
        <is>
          <t>27376081</t>
        </is>
      </c>
      <c r="AW2944" t="inlineStr">
        <is>
          <t>991005416399702656</t>
        </is>
      </c>
      <c r="AX2944" t="inlineStr">
        <is>
          <t>991005416399702656</t>
        </is>
      </c>
      <c r="AY2944" t="inlineStr">
        <is>
          <t>2259653300002656</t>
        </is>
      </c>
      <c r="AZ2944" t="inlineStr">
        <is>
          <t>BOOK</t>
        </is>
      </c>
      <c r="BB2944" t="inlineStr">
        <is>
          <t>9780415906913</t>
        </is>
      </c>
      <c r="BC2944" t="inlineStr">
        <is>
          <t>32285001785699</t>
        </is>
      </c>
      <c r="BD2944" t="inlineStr">
        <is>
          <t>893412863</t>
        </is>
      </c>
    </row>
    <row r="2945">
      <c r="A2945" t="inlineStr">
        <is>
          <t>No</t>
        </is>
      </c>
      <c r="B2945" t="inlineStr">
        <is>
          <t>HQ801.A3 T87 2003</t>
        </is>
      </c>
      <c r="C2945" t="inlineStr">
        <is>
          <t>0                      HQ 0801000A  3                  T  87          2003</t>
        </is>
      </c>
      <c r="D2945" t="inlineStr">
        <is>
          <t>Dating and sexuality in America : a reference handbook / Jeffrey S. Turner.</t>
        </is>
      </c>
      <c r="F2945" t="inlineStr">
        <is>
          <t>No</t>
        </is>
      </c>
      <c r="G2945" t="inlineStr">
        <is>
          <t>1</t>
        </is>
      </c>
      <c r="H2945" t="inlineStr">
        <is>
          <t>No</t>
        </is>
      </c>
      <c r="I2945" t="inlineStr">
        <is>
          <t>No</t>
        </is>
      </c>
      <c r="J2945" t="inlineStr">
        <is>
          <t>0</t>
        </is>
      </c>
      <c r="K2945" t="inlineStr">
        <is>
          <t>Turner, Jeffrey S.</t>
        </is>
      </c>
      <c r="L2945" t="inlineStr">
        <is>
          <t>Santa Barbara, Calif : ABC-CLIO, 2003.</t>
        </is>
      </c>
      <c r="M2945" t="inlineStr">
        <is>
          <t>2003</t>
        </is>
      </c>
      <c r="O2945" t="inlineStr">
        <is>
          <t>eng</t>
        </is>
      </c>
      <c r="P2945" t="inlineStr">
        <is>
          <t>cau</t>
        </is>
      </c>
      <c r="Q2945" t="inlineStr">
        <is>
          <t>Contemporary world issues</t>
        </is>
      </c>
      <c r="R2945" t="inlineStr">
        <is>
          <t xml:space="preserve">HQ </t>
        </is>
      </c>
      <c r="S2945" t="n">
        <v>6</v>
      </c>
      <c r="T2945" t="n">
        <v>6</v>
      </c>
      <c r="U2945" t="inlineStr">
        <is>
          <t>2005-04-11</t>
        </is>
      </c>
      <c r="V2945" t="inlineStr">
        <is>
          <t>2005-04-11</t>
        </is>
      </c>
      <c r="W2945" t="inlineStr">
        <is>
          <t>2003-11-13</t>
        </is>
      </c>
      <c r="X2945" t="inlineStr">
        <is>
          <t>2003-11-13</t>
        </is>
      </c>
      <c r="Y2945" t="n">
        <v>418</v>
      </c>
      <c r="Z2945" t="n">
        <v>401</v>
      </c>
      <c r="AA2945" t="n">
        <v>783</v>
      </c>
      <c r="AB2945" t="n">
        <v>3</v>
      </c>
      <c r="AC2945" t="n">
        <v>6</v>
      </c>
      <c r="AD2945" t="n">
        <v>9</v>
      </c>
      <c r="AE2945" t="n">
        <v>20</v>
      </c>
      <c r="AF2945" t="n">
        <v>3</v>
      </c>
      <c r="AG2945" t="n">
        <v>8</v>
      </c>
      <c r="AH2945" t="n">
        <v>2</v>
      </c>
      <c r="AI2945" t="n">
        <v>5</v>
      </c>
      <c r="AJ2945" t="n">
        <v>4</v>
      </c>
      <c r="AK2945" t="n">
        <v>9</v>
      </c>
      <c r="AL2945" t="n">
        <v>1</v>
      </c>
      <c r="AM2945" t="n">
        <v>4</v>
      </c>
      <c r="AN2945" t="n">
        <v>0</v>
      </c>
      <c r="AO2945" t="n">
        <v>0</v>
      </c>
      <c r="AP2945" t="inlineStr">
        <is>
          <t>No</t>
        </is>
      </c>
      <c r="AQ2945" t="inlineStr">
        <is>
          <t>No</t>
        </is>
      </c>
      <c r="AS2945">
        <f>HYPERLINK("https://creighton-primo.hosted.exlibrisgroup.com/primo-explore/search?tab=default_tab&amp;search_scope=EVERYTHING&amp;vid=01CRU&amp;lang=en_US&amp;offset=0&amp;query=any,contains,991004179859702656","Catalog Record")</f>
        <v/>
      </c>
      <c r="AT2945">
        <f>HYPERLINK("http://www.worldcat.org/oclc/52601551","WorldCat Record")</f>
        <v/>
      </c>
      <c r="AU2945" t="inlineStr">
        <is>
          <t>792933317:eng</t>
        </is>
      </c>
      <c r="AV2945" t="inlineStr">
        <is>
          <t>52601551</t>
        </is>
      </c>
      <c r="AW2945" t="inlineStr">
        <is>
          <t>991004179859702656</t>
        </is>
      </c>
      <c r="AX2945" t="inlineStr">
        <is>
          <t>991004179859702656</t>
        </is>
      </c>
      <c r="AY2945" t="inlineStr">
        <is>
          <t>2265964260002656</t>
        </is>
      </c>
      <c r="AZ2945" t="inlineStr">
        <is>
          <t>BOOK</t>
        </is>
      </c>
      <c r="BB2945" t="inlineStr">
        <is>
          <t>9781851095841</t>
        </is>
      </c>
      <c r="BC2945" t="inlineStr">
        <is>
          <t>32285004797410</t>
        </is>
      </c>
      <c r="BD2945" t="inlineStr">
        <is>
          <t>893593366</t>
        </is>
      </c>
    </row>
    <row r="2946">
      <c r="A2946" t="inlineStr">
        <is>
          <t>No</t>
        </is>
      </c>
      <c r="B2946" t="inlineStr">
        <is>
          <t>HQ803 .L5 1927</t>
        </is>
      </c>
      <c r="C2946" t="inlineStr">
        <is>
          <t>0                      HQ 0803000L  5           1927</t>
        </is>
      </c>
      <c r="D2946" t="inlineStr">
        <is>
          <t>Companionate marriage, by Benjamin Barr Lindsey and Wainwright Evans.</t>
        </is>
      </c>
      <c r="F2946" t="inlineStr">
        <is>
          <t>No</t>
        </is>
      </c>
      <c r="G2946" t="inlineStr">
        <is>
          <t>1</t>
        </is>
      </c>
      <c r="H2946" t="inlineStr">
        <is>
          <t>No</t>
        </is>
      </c>
      <c r="I2946" t="inlineStr">
        <is>
          <t>No</t>
        </is>
      </c>
      <c r="J2946" t="inlineStr">
        <is>
          <t>0</t>
        </is>
      </c>
      <c r="K2946" t="inlineStr">
        <is>
          <t>Lindsey, Ben B. (Ben Barr), 1869-1943.</t>
        </is>
      </c>
      <c r="L2946" t="inlineStr">
        <is>
          <t>New York, Boni &amp; Liveright, [1927]</t>
        </is>
      </c>
      <c r="M2946" t="inlineStr">
        <is>
          <t>1927</t>
        </is>
      </c>
      <c r="O2946" t="inlineStr">
        <is>
          <t>eng</t>
        </is>
      </c>
      <c r="P2946" t="inlineStr">
        <is>
          <t xml:space="preserve">xx </t>
        </is>
      </c>
      <c r="R2946" t="inlineStr">
        <is>
          <t xml:space="preserve">HQ </t>
        </is>
      </c>
      <c r="S2946" t="n">
        <v>1</v>
      </c>
      <c r="T2946" t="n">
        <v>1</v>
      </c>
      <c r="U2946" t="inlineStr">
        <is>
          <t>2002-09-01</t>
        </is>
      </c>
      <c r="V2946" t="inlineStr">
        <is>
          <t>2002-09-01</t>
        </is>
      </c>
      <c r="W2946" t="inlineStr">
        <is>
          <t>1997-08-14</t>
        </is>
      </c>
      <c r="X2946" t="inlineStr">
        <is>
          <t>1997-08-14</t>
        </is>
      </c>
      <c r="Y2946" t="n">
        <v>267</v>
      </c>
      <c r="Z2946" t="n">
        <v>243</v>
      </c>
      <c r="AA2946" t="n">
        <v>459</v>
      </c>
      <c r="AB2946" t="n">
        <v>2</v>
      </c>
      <c r="AC2946" t="n">
        <v>5</v>
      </c>
      <c r="AD2946" t="n">
        <v>8</v>
      </c>
      <c r="AE2946" t="n">
        <v>18</v>
      </c>
      <c r="AF2946" t="n">
        <v>3</v>
      </c>
      <c r="AG2946" t="n">
        <v>5</v>
      </c>
      <c r="AH2946" t="n">
        <v>2</v>
      </c>
      <c r="AI2946" t="n">
        <v>3</v>
      </c>
      <c r="AJ2946" t="n">
        <v>2</v>
      </c>
      <c r="AK2946" t="n">
        <v>7</v>
      </c>
      <c r="AL2946" t="n">
        <v>1</v>
      </c>
      <c r="AM2946" t="n">
        <v>3</v>
      </c>
      <c r="AN2946" t="n">
        <v>0</v>
      </c>
      <c r="AO2946" t="n">
        <v>2</v>
      </c>
      <c r="AP2946" t="inlineStr">
        <is>
          <t>No</t>
        </is>
      </c>
      <c r="AQ2946" t="inlineStr">
        <is>
          <t>Yes</t>
        </is>
      </c>
      <c r="AR2946">
        <f>HYPERLINK("http://catalog.hathitrust.org/Record/000977600","HathiTrust Record")</f>
        <v/>
      </c>
      <c r="AS2946">
        <f>HYPERLINK("https://creighton-primo.hosted.exlibrisgroup.com/primo-explore/search?tab=default_tab&amp;search_scope=EVERYTHING&amp;vid=01CRU&amp;lang=en_US&amp;offset=0&amp;query=any,contains,991002904889702656","Catalog Record")</f>
        <v/>
      </c>
      <c r="AT2946">
        <f>HYPERLINK("http://www.worldcat.org/oclc/349737","WorldCat Record")</f>
        <v/>
      </c>
      <c r="AU2946" t="inlineStr">
        <is>
          <t>476474:eng</t>
        </is>
      </c>
      <c r="AV2946" t="inlineStr">
        <is>
          <t>349737</t>
        </is>
      </c>
      <c r="AW2946" t="inlineStr">
        <is>
          <t>991002904889702656</t>
        </is>
      </c>
      <c r="AX2946" t="inlineStr">
        <is>
          <t>991002904889702656</t>
        </is>
      </c>
      <c r="AY2946" t="inlineStr">
        <is>
          <t>2256976560002656</t>
        </is>
      </c>
      <c r="AZ2946" t="inlineStr">
        <is>
          <t>BOOK</t>
        </is>
      </c>
      <c r="BC2946" t="inlineStr">
        <is>
          <t>32285003102935</t>
        </is>
      </c>
      <c r="BD2946" t="inlineStr">
        <is>
          <t>893591941</t>
        </is>
      </c>
    </row>
    <row r="2947">
      <c r="A2947" t="inlineStr">
        <is>
          <t>No</t>
        </is>
      </c>
      <c r="B2947" t="inlineStr">
        <is>
          <t>HQ806 .N46</t>
        </is>
      </c>
      <c r="C2947" t="inlineStr">
        <is>
          <t>0                      HQ 0806000N  46</t>
        </is>
      </c>
      <c r="D2947" t="inlineStr">
        <is>
          <t>Extramarital relations / edited by Gerhard Neubeck.</t>
        </is>
      </c>
      <c r="F2947" t="inlineStr">
        <is>
          <t>No</t>
        </is>
      </c>
      <c r="G2947" t="inlineStr">
        <is>
          <t>1</t>
        </is>
      </c>
      <c r="H2947" t="inlineStr">
        <is>
          <t>No</t>
        </is>
      </c>
      <c r="I2947" t="inlineStr">
        <is>
          <t>No</t>
        </is>
      </c>
      <c r="J2947" t="inlineStr">
        <is>
          <t>0</t>
        </is>
      </c>
      <c r="K2947" t="inlineStr">
        <is>
          <t>Neubeck, Gerhard.</t>
        </is>
      </c>
      <c r="L2947" t="inlineStr">
        <is>
          <t>Englewood Cliffs, N.J. : Prentice-Hall, [1969]</t>
        </is>
      </c>
      <c r="M2947" t="inlineStr">
        <is>
          <t>1969</t>
        </is>
      </c>
      <c r="O2947" t="inlineStr">
        <is>
          <t>eng</t>
        </is>
      </c>
      <c r="P2947" t="inlineStr">
        <is>
          <t>nju</t>
        </is>
      </c>
      <c r="Q2947" t="inlineStr">
        <is>
          <t>A Spectrum book</t>
        </is>
      </c>
      <c r="R2947" t="inlineStr">
        <is>
          <t xml:space="preserve">HQ </t>
        </is>
      </c>
      <c r="S2947" t="n">
        <v>21</v>
      </c>
      <c r="T2947" t="n">
        <v>21</v>
      </c>
      <c r="U2947" t="inlineStr">
        <is>
          <t>1999-11-22</t>
        </is>
      </c>
      <c r="V2947" t="inlineStr">
        <is>
          <t>1999-11-22</t>
        </is>
      </c>
      <c r="W2947" t="inlineStr">
        <is>
          <t>1991-12-05</t>
        </is>
      </c>
      <c r="X2947" t="inlineStr">
        <is>
          <t>1991-12-05</t>
        </is>
      </c>
      <c r="Y2947" t="n">
        <v>547</v>
      </c>
      <c r="Z2947" t="n">
        <v>456</v>
      </c>
      <c r="AA2947" t="n">
        <v>458</v>
      </c>
      <c r="AB2947" t="n">
        <v>4</v>
      </c>
      <c r="AC2947" t="n">
        <v>4</v>
      </c>
      <c r="AD2947" t="n">
        <v>18</v>
      </c>
      <c r="AE2947" t="n">
        <v>18</v>
      </c>
      <c r="AF2947" t="n">
        <v>6</v>
      </c>
      <c r="AG2947" t="n">
        <v>6</v>
      </c>
      <c r="AH2947" t="n">
        <v>4</v>
      </c>
      <c r="AI2947" t="n">
        <v>4</v>
      </c>
      <c r="AJ2947" t="n">
        <v>8</v>
      </c>
      <c r="AK2947" t="n">
        <v>8</v>
      </c>
      <c r="AL2947" t="n">
        <v>3</v>
      </c>
      <c r="AM2947" t="n">
        <v>3</v>
      </c>
      <c r="AN2947" t="n">
        <v>0</v>
      </c>
      <c r="AO2947" t="n">
        <v>0</v>
      </c>
      <c r="AP2947" t="inlineStr">
        <is>
          <t>No</t>
        </is>
      </c>
      <c r="AQ2947" t="inlineStr">
        <is>
          <t>Yes</t>
        </is>
      </c>
      <c r="AR2947">
        <f>HYPERLINK("http://catalog.hathitrust.org/Record/000978544","HathiTrust Record")</f>
        <v/>
      </c>
      <c r="AS2947">
        <f>HYPERLINK("https://creighton-primo.hosted.exlibrisgroup.com/primo-explore/search?tab=default_tab&amp;search_scope=EVERYTHING&amp;vid=01CRU&amp;lang=en_US&amp;offset=0&amp;query=any,contains,991000119459702656","Catalog Record")</f>
        <v/>
      </c>
      <c r="AT2947">
        <f>HYPERLINK("http://www.worldcat.org/oclc/49643","WorldCat Record")</f>
        <v/>
      </c>
      <c r="AU2947" t="inlineStr">
        <is>
          <t>20430265:eng</t>
        </is>
      </c>
      <c r="AV2947" t="inlineStr">
        <is>
          <t>49643</t>
        </is>
      </c>
      <c r="AW2947" t="inlineStr">
        <is>
          <t>991000119459702656</t>
        </is>
      </c>
      <c r="AX2947" t="inlineStr">
        <is>
          <t>991000119459702656</t>
        </is>
      </c>
      <c r="AY2947" t="inlineStr">
        <is>
          <t>2263717590002656</t>
        </is>
      </c>
      <c r="AZ2947" t="inlineStr">
        <is>
          <t>BOOK</t>
        </is>
      </c>
      <c r="BB2947" t="inlineStr">
        <is>
          <t>9780132981668</t>
        </is>
      </c>
      <c r="BC2947" t="inlineStr">
        <is>
          <t>32285000848209</t>
        </is>
      </c>
      <c r="BD2947" t="inlineStr">
        <is>
          <t>893777696</t>
        </is>
      </c>
    </row>
    <row r="2948">
      <c r="A2948" t="inlineStr">
        <is>
          <t>No</t>
        </is>
      </c>
      <c r="B2948" t="inlineStr">
        <is>
          <t>HQ806 .P57 1990</t>
        </is>
      </c>
      <c r="C2948" t="inlineStr">
        <is>
          <t>0                      HQ 0806000P  57          1990</t>
        </is>
      </c>
      <c r="D2948" t="inlineStr">
        <is>
          <t>Private lies : infidelity and the betrayal of intimacy / Frank Pittman.</t>
        </is>
      </c>
      <c r="F2948" t="inlineStr">
        <is>
          <t>No</t>
        </is>
      </c>
      <c r="G2948" t="inlineStr">
        <is>
          <t>1</t>
        </is>
      </c>
      <c r="H2948" t="inlineStr">
        <is>
          <t>No</t>
        </is>
      </c>
      <c r="I2948" t="inlineStr">
        <is>
          <t>No</t>
        </is>
      </c>
      <c r="J2948" t="inlineStr">
        <is>
          <t>0</t>
        </is>
      </c>
      <c r="K2948" t="inlineStr">
        <is>
          <t>Pittman, Frank S., 1935-</t>
        </is>
      </c>
      <c r="L2948" t="inlineStr">
        <is>
          <t>New York : Norton, 1990, c1989.</t>
        </is>
      </c>
      <c r="M2948" t="inlineStr">
        <is>
          <t>1990</t>
        </is>
      </c>
      <c r="O2948" t="inlineStr">
        <is>
          <t>eng</t>
        </is>
      </c>
      <c r="P2948" t="inlineStr">
        <is>
          <t>nyu</t>
        </is>
      </c>
      <c r="R2948" t="inlineStr">
        <is>
          <t xml:space="preserve">HQ </t>
        </is>
      </c>
      <c r="S2948" t="n">
        <v>34</v>
      </c>
      <c r="T2948" t="n">
        <v>34</v>
      </c>
      <c r="U2948" t="inlineStr">
        <is>
          <t>2003-11-20</t>
        </is>
      </c>
      <c r="V2948" t="inlineStr">
        <is>
          <t>2003-11-20</t>
        </is>
      </c>
      <c r="W2948" t="inlineStr">
        <is>
          <t>1992-03-25</t>
        </is>
      </c>
      <c r="X2948" t="inlineStr">
        <is>
          <t>1992-03-25</t>
        </is>
      </c>
      <c r="Y2948" t="n">
        <v>126</v>
      </c>
      <c r="Z2948" t="n">
        <v>122</v>
      </c>
      <c r="AA2948" t="n">
        <v>628</v>
      </c>
      <c r="AB2948" t="n">
        <v>2</v>
      </c>
      <c r="AC2948" t="n">
        <v>6</v>
      </c>
      <c r="AD2948" t="n">
        <v>4</v>
      </c>
      <c r="AE2948" t="n">
        <v>16</v>
      </c>
      <c r="AF2948" t="n">
        <v>1</v>
      </c>
      <c r="AG2948" t="n">
        <v>6</v>
      </c>
      <c r="AH2948" t="n">
        <v>1</v>
      </c>
      <c r="AI2948" t="n">
        <v>3</v>
      </c>
      <c r="AJ2948" t="n">
        <v>1</v>
      </c>
      <c r="AK2948" t="n">
        <v>10</v>
      </c>
      <c r="AL2948" t="n">
        <v>1</v>
      </c>
      <c r="AM2948" t="n">
        <v>3</v>
      </c>
      <c r="AN2948" t="n">
        <v>0</v>
      </c>
      <c r="AO2948" t="n">
        <v>0</v>
      </c>
      <c r="AP2948" t="inlineStr">
        <is>
          <t>No</t>
        </is>
      </c>
      <c r="AQ2948" t="inlineStr">
        <is>
          <t>No</t>
        </is>
      </c>
      <c r="AS2948">
        <f>HYPERLINK("https://creighton-primo.hosted.exlibrisgroup.com/primo-explore/search?tab=default_tab&amp;search_scope=EVERYTHING&amp;vid=01CRU&amp;lang=en_US&amp;offset=0&amp;query=any,contains,991005413069702656","Catalog Record")</f>
        <v/>
      </c>
      <c r="AT2948">
        <f>HYPERLINK("http://www.worldcat.org/oclc/22980042","WorldCat Record")</f>
        <v/>
      </c>
      <c r="AU2948" t="inlineStr">
        <is>
          <t>879813:eng</t>
        </is>
      </c>
      <c r="AV2948" t="inlineStr">
        <is>
          <t>22980042</t>
        </is>
      </c>
      <c r="AW2948" t="inlineStr">
        <is>
          <t>991005413069702656</t>
        </is>
      </c>
      <c r="AX2948" t="inlineStr">
        <is>
          <t>991005413069702656</t>
        </is>
      </c>
      <c r="AY2948" t="inlineStr">
        <is>
          <t>2254823380002656</t>
        </is>
      </c>
      <c r="AZ2948" t="inlineStr">
        <is>
          <t>BOOK</t>
        </is>
      </c>
      <c r="BB2948" t="inlineStr">
        <is>
          <t>9780393307078</t>
        </is>
      </c>
      <c r="BC2948" t="inlineStr">
        <is>
          <t>32285001005353</t>
        </is>
      </c>
      <c r="BD2948" t="inlineStr">
        <is>
          <t>893431461</t>
        </is>
      </c>
    </row>
    <row r="2949">
      <c r="A2949" t="inlineStr">
        <is>
          <t>No</t>
        </is>
      </c>
      <c r="B2949" t="inlineStr">
        <is>
          <t>HQ806 .S86 1980</t>
        </is>
      </c>
      <c r="C2949" t="inlineStr">
        <is>
          <t>0                      HQ 0806000S  86          1980</t>
        </is>
      </c>
      <c r="D2949" t="inlineStr">
        <is>
          <t>The extramarital affair / Herbert S. Strean.</t>
        </is>
      </c>
      <c r="F2949" t="inlineStr">
        <is>
          <t>No</t>
        </is>
      </c>
      <c r="G2949" t="inlineStr">
        <is>
          <t>1</t>
        </is>
      </c>
      <c r="H2949" t="inlineStr">
        <is>
          <t>No</t>
        </is>
      </c>
      <c r="I2949" t="inlineStr">
        <is>
          <t>No</t>
        </is>
      </c>
      <c r="J2949" t="inlineStr">
        <is>
          <t>0</t>
        </is>
      </c>
      <c r="K2949" t="inlineStr">
        <is>
          <t>Strean, Herbert S.</t>
        </is>
      </c>
      <c r="L2949" t="inlineStr">
        <is>
          <t>New York : Free Press ; London : Collier Macmillan, c1980.</t>
        </is>
      </c>
      <c r="M2949" t="inlineStr">
        <is>
          <t>1980</t>
        </is>
      </c>
      <c r="O2949" t="inlineStr">
        <is>
          <t>eng</t>
        </is>
      </c>
      <c r="P2949" t="inlineStr">
        <is>
          <t>nyu</t>
        </is>
      </c>
      <c r="R2949" t="inlineStr">
        <is>
          <t xml:space="preserve">HQ </t>
        </is>
      </c>
      <c r="S2949" t="n">
        <v>26</v>
      </c>
      <c r="T2949" t="n">
        <v>26</v>
      </c>
      <c r="U2949" t="inlineStr">
        <is>
          <t>1999-11-18</t>
        </is>
      </c>
      <c r="V2949" t="inlineStr">
        <is>
          <t>1999-11-18</t>
        </is>
      </c>
      <c r="W2949" t="inlineStr">
        <is>
          <t>1991-10-23</t>
        </is>
      </c>
      <c r="X2949" t="inlineStr">
        <is>
          <t>1991-10-23</t>
        </is>
      </c>
      <c r="Y2949" t="n">
        <v>396</v>
      </c>
      <c r="Z2949" t="n">
        <v>362</v>
      </c>
      <c r="AA2949" t="n">
        <v>406</v>
      </c>
      <c r="AB2949" t="n">
        <v>4</v>
      </c>
      <c r="AC2949" t="n">
        <v>5</v>
      </c>
      <c r="AD2949" t="n">
        <v>10</v>
      </c>
      <c r="AE2949" t="n">
        <v>11</v>
      </c>
      <c r="AF2949" t="n">
        <v>2</v>
      </c>
      <c r="AG2949" t="n">
        <v>2</v>
      </c>
      <c r="AH2949" t="n">
        <v>4</v>
      </c>
      <c r="AI2949" t="n">
        <v>4</v>
      </c>
      <c r="AJ2949" t="n">
        <v>6</v>
      </c>
      <c r="AK2949" t="n">
        <v>6</v>
      </c>
      <c r="AL2949" t="n">
        <v>2</v>
      </c>
      <c r="AM2949" t="n">
        <v>3</v>
      </c>
      <c r="AN2949" t="n">
        <v>0</v>
      </c>
      <c r="AO2949" t="n">
        <v>0</v>
      </c>
      <c r="AP2949" t="inlineStr">
        <is>
          <t>No</t>
        </is>
      </c>
      <c r="AQ2949" t="inlineStr">
        <is>
          <t>No</t>
        </is>
      </c>
      <c r="AS2949">
        <f>HYPERLINK("https://creighton-primo.hosted.exlibrisgroup.com/primo-explore/search?tab=default_tab&amp;search_scope=EVERYTHING&amp;vid=01CRU&amp;lang=en_US&amp;offset=0&amp;query=any,contains,991004901289702656","Catalog Record")</f>
        <v/>
      </c>
      <c r="AT2949">
        <f>HYPERLINK("http://www.worldcat.org/oclc/5939508","WorldCat Record")</f>
        <v/>
      </c>
      <c r="AU2949" t="inlineStr">
        <is>
          <t>49466:eng</t>
        </is>
      </c>
      <c r="AV2949" t="inlineStr">
        <is>
          <t>5939508</t>
        </is>
      </c>
      <c r="AW2949" t="inlineStr">
        <is>
          <t>991004901289702656</t>
        </is>
      </c>
      <c r="AX2949" t="inlineStr">
        <is>
          <t>991004901289702656</t>
        </is>
      </c>
      <c r="AY2949" t="inlineStr">
        <is>
          <t>2255549070002656</t>
        </is>
      </c>
      <c r="AZ2949" t="inlineStr">
        <is>
          <t>BOOK</t>
        </is>
      </c>
      <c r="BB2949" t="inlineStr">
        <is>
          <t>9780029321805</t>
        </is>
      </c>
      <c r="BC2949" t="inlineStr">
        <is>
          <t>32285000779560</t>
        </is>
      </c>
      <c r="BD2949" t="inlineStr">
        <is>
          <t>893254200</t>
        </is>
      </c>
    </row>
    <row r="2950">
      <c r="A2950" t="inlineStr">
        <is>
          <t>No</t>
        </is>
      </c>
      <c r="B2950" t="inlineStr">
        <is>
          <t>HQ809 .C37 1992</t>
        </is>
      </c>
      <c r="C2950" t="inlineStr">
        <is>
          <t>0                      HQ 0809000C  37          1992</t>
        </is>
      </c>
      <c r="D2950" t="inlineStr">
        <is>
          <t>When I call for help : a pastoral response to domestic violence against women / Bishops' Committee on Marriage and Family Life ; Bishops' Committee on Women in Society and in the Church ; National Conference of Catholic Bishops.</t>
        </is>
      </c>
      <c r="F2950" t="inlineStr">
        <is>
          <t>No</t>
        </is>
      </c>
      <c r="G2950" t="inlineStr">
        <is>
          <t>1</t>
        </is>
      </c>
      <c r="H2950" t="inlineStr">
        <is>
          <t>No</t>
        </is>
      </c>
      <c r="I2950" t="inlineStr">
        <is>
          <t>No</t>
        </is>
      </c>
      <c r="J2950" t="inlineStr">
        <is>
          <t>0</t>
        </is>
      </c>
      <c r="K2950" t="inlineStr">
        <is>
          <t>Catholic Church. National Conference of Catholic Bishops. Bishops' Committee on Marriage and Family Life.</t>
        </is>
      </c>
      <c r="L2950" t="inlineStr">
        <is>
          <t>Washington, D.C. : United States Catholic Conference, 1992.</t>
        </is>
      </c>
      <c r="M2950" t="inlineStr">
        <is>
          <t>1992</t>
        </is>
      </c>
      <c r="N2950" t="inlineStr">
        <is>
          <t>Bilingual ed.</t>
        </is>
      </c>
      <c r="O2950" t="inlineStr">
        <is>
          <t>eng</t>
        </is>
      </c>
      <c r="P2950" t="inlineStr">
        <is>
          <t>dcu</t>
        </is>
      </c>
      <c r="Q2950" t="inlineStr">
        <is>
          <t>Publication / Office for Publishing and Promotion Services, United States Catholic Conference ; no. 546-1</t>
        </is>
      </c>
      <c r="R2950" t="inlineStr">
        <is>
          <t xml:space="preserve">HQ </t>
        </is>
      </c>
      <c r="S2950" t="n">
        <v>9</v>
      </c>
      <c r="T2950" t="n">
        <v>9</v>
      </c>
      <c r="U2950" t="inlineStr">
        <is>
          <t>1999-06-04</t>
        </is>
      </c>
      <c r="V2950" t="inlineStr">
        <is>
          <t>1999-06-04</t>
        </is>
      </c>
      <c r="W2950" t="inlineStr">
        <is>
          <t>1993-04-13</t>
        </is>
      </c>
      <c r="X2950" t="inlineStr">
        <is>
          <t>1993-04-13</t>
        </is>
      </c>
      <c r="Y2950" t="n">
        <v>55</v>
      </c>
      <c r="Z2950" t="n">
        <v>53</v>
      </c>
      <c r="AA2950" t="n">
        <v>60</v>
      </c>
      <c r="AB2950" t="n">
        <v>1</v>
      </c>
      <c r="AC2950" t="n">
        <v>1</v>
      </c>
      <c r="AD2950" t="n">
        <v>9</v>
      </c>
      <c r="AE2950" t="n">
        <v>10</v>
      </c>
      <c r="AF2950" t="n">
        <v>2</v>
      </c>
      <c r="AG2950" t="n">
        <v>2</v>
      </c>
      <c r="AH2950" t="n">
        <v>4</v>
      </c>
      <c r="AI2950" t="n">
        <v>4</v>
      </c>
      <c r="AJ2950" t="n">
        <v>5</v>
      </c>
      <c r="AK2950" t="n">
        <v>6</v>
      </c>
      <c r="AL2950" t="n">
        <v>0</v>
      </c>
      <c r="AM2950" t="n">
        <v>0</v>
      </c>
      <c r="AN2950" t="n">
        <v>0</v>
      </c>
      <c r="AO2950" t="n">
        <v>0</v>
      </c>
      <c r="AP2950" t="inlineStr">
        <is>
          <t>No</t>
        </is>
      </c>
      <c r="AQ2950" t="inlineStr">
        <is>
          <t>No</t>
        </is>
      </c>
      <c r="AS2950">
        <f>HYPERLINK("https://creighton-primo.hosted.exlibrisgroup.com/primo-explore/search?tab=default_tab&amp;search_scope=EVERYTHING&amp;vid=01CRU&amp;lang=en_US&amp;offset=0&amp;query=any,contains,991002143269702656","Catalog Record")</f>
        <v/>
      </c>
      <c r="AT2950">
        <f>HYPERLINK("http://www.worldcat.org/oclc/27467673","WorldCat Record")</f>
        <v/>
      </c>
      <c r="AU2950" t="inlineStr">
        <is>
          <t>1151651772:eng</t>
        </is>
      </c>
      <c r="AV2950" t="inlineStr">
        <is>
          <t>27467673</t>
        </is>
      </c>
      <c r="AW2950" t="inlineStr">
        <is>
          <t>991002143269702656</t>
        </is>
      </c>
      <c r="AX2950" t="inlineStr">
        <is>
          <t>991002143269702656</t>
        </is>
      </c>
      <c r="AY2950" t="inlineStr">
        <is>
          <t>2271566110002656</t>
        </is>
      </c>
      <c r="AZ2950" t="inlineStr">
        <is>
          <t>BOOK</t>
        </is>
      </c>
      <c r="BB2950" t="inlineStr">
        <is>
          <t>9781555865467</t>
        </is>
      </c>
      <c r="BC2950" t="inlineStr">
        <is>
          <t>32285001614766</t>
        </is>
      </c>
      <c r="BD2950" t="inlineStr">
        <is>
          <t>893773261</t>
        </is>
      </c>
    </row>
    <row r="2951">
      <c r="A2951" t="inlineStr">
        <is>
          <t>No</t>
        </is>
      </c>
      <c r="B2951" t="inlineStr">
        <is>
          <t>HQ809 .D65 1996</t>
        </is>
      </c>
      <c r="C2951" t="inlineStr">
        <is>
          <t>0                      HQ 0809000D  65          1996</t>
        </is>
      </c>
      <c r="D2951" t="inlineStr">
        <is>
          <t>Domestic violence / Karin L. Swisher, book editor.</t>
        </is>
      </c>
      <c r="F2951" t="inlineStr">
        <is>
          <t>No</t>
        </is>
      </c>
      <c r="G2951" t="inlineStr">
        <is>
          <t>1</t>
        </is>
      </c>
      <c r="H2951" t="inlineStr">
        <is>
          <t>No</t>
        </is>
      </c>
      <c r="I2951" t="inlineStr">
        <is>
          <t>No</t>
        </is>
      </c>
      <c r="J2951" t="inlineStr">
        <is>
          <t>0</t>
        </is>
      </c>
      <c r="L2951" t="inlineStr">
        <is>
          <t>San Diego, Calif. : Greenhaven Press, c1996.</t>
        </is>
      </c>
      <c r="M2951" t="inlineStr">
        <is>
          <t>1996</t>
        </is>
      </c>
      <c r="O2951" t="inlineStr">
        <is>
          <t>eng</t>
        </is>
      </c>
      <c r="P2951" t="inlineStr">
        <is>
          <t>cau</t>
        </is>
      </c>
      <c r="Q2951" t="inlineStr">
        <is>
          <t>At issue</t>
        </is>
      </c>
      <c r="R2951" t="inlineStr">
        <is>
          <t xml:space="preserve">HQ </t>
        </is>
      </c>
      <c r="S2951" t="n">
        <v>7</v>
      </c>
      <c r="T2951" t="n">
        <v>7</v>
      </c>
      <c r="U2951" t="inlineStr">
        <is>
          <t>2003-04-05</t>
        </is>
      </c>
      <c r="V2951" t="inlineStr">
        <is>
          <t>2003-04-05</t>
        </is>
      </c>
      <c r="W2951" t="inlineStr">
        <is>
          <t>1998-01-06</t>
        </is>
      </c>
      <c r="X2951" t="inlineStr">
        <is>
          <t>1998-01-06</t>
        </is>
      </c>
      <c r="Y2951" t="n">
        <v>626</v>
      </c>
      <c r="Z2951" t="n">
        <v>605</v>
      </c>
      <c r="AA2951" t="n">
        <v>622</v>
      </c>
      <c r="AB2951" t="n">
        <v>6</v>
      </c>
      <c r="AC2951" t="n">
        <v>6</v>
      </c>
      <c r="AD2951" t="n">
        <v>11</v>
      </c>
      <c r="AE2951" t="n">
        <v>11</v>
      </c>
      <c r="AF2951" t="n">
        <v>3</v>
      </c>
      <c r="AG2951" t="n">
        <v>3</v>
      </c>
      <c r="AH2951" t="n">
        <v>0</v>
      </c>
      <c r="AI2951" t="n">
        <v>0</v>
      </c>
      <c r="AJ2951" t="n">
        <v>3</v>
      </c>
      <c r="AK2951" t="n">
        <v>3</v>
      </c>
      <c r="AL2951" t="n">
        <v>4</v>
      </c>
      <c r="AM2951" t="n">
        <v>4</v>
      </c>
      <c r="AN2951" t="n">
        <v>1</v>
      </c>
      <c r="AO2951" t="n">
        <v>1</v>
      </c>
      <c r="AP2951" t="inlineStr">
        <is>
          <t>No</t>
        </is>
      </c>
      <c r="AQ2951" t="inlineStr">
        <is>
          <t>No</t>
        </is>
      </c>
      <c r="AS2951">
        <f>HYPERLINK("https://creighton-primo.hosted.exlibrisgroup.com/primo-explore/search?tab=default_tab&amp;search_scope=EVERYTHING&amp;vid=01CRU&amp;lang=en_US&amp;offset=0&amp;query=any,contains,991002518429702656","Catalog Record")</f>
        <v/>
      </c>
      <c r="AT2951">
        <f>HYPERLINK("http://www.worldcat.org/oclc/32747018","WorldCat Record")</f>
        <v/>
      </c>
      <c r="AU2951" t="inlineStr">
        <is>
          <t>55944912:eng</t>
        </is>
      </c>
      <c r="AV2951" t="inlineStr">
        <is>
          <t>32747018</t>
        </is>
      </c>
      <c r="AW2951" t="inlineStr">
        <is>
          <t>991002518429702656</t>
        </is>
      </c>
      <c r="AX2951" t="inlineStr">
        <is>
          <t>991002518429702656</t>
        </is>
      </c>
      <c r="AY2951" t="inlineStr">
        <is>
          <t>2270116950002656</t>
        </is>
      </c>
      <c r="AZ2951" t="inlineStr">
        <is>
          <t>BOOK</t>
        </is>
      </c>
      <c r="BB2951" t="inlineStr">
        <is>
          <t>9781565103801</t>
        </is>
      </c>
      <c r="BC2951" t="inlineStr">
        <is>
          <t>32285003301107</t>
        </is>
      </c>
      <c r="BD2951" t="inlineStr">
        <is>
          <t>893622381</t>
        </is>
      </c>
    </row>
    <row r="2952">
      <c r="A2952" t="inlineStr">
        <is>
          <t>No</t>
        </is>
      </c>
      <c r="B2952" t="inlineStr">
        <is>
          <t>HQ809 .H33</t>
        </is>
      </c>
      <c r="C2952" t="inlineStr">
        <is>
          <t>0                      HQ 0809000H  33</t>
        </is>
      </c>
      <c r="D2952" t="inlineStr">
        <is>
          <t>Differences in relative resources, familial power and spouse abuse / by William J. Hauser.</t>
        </is>
      </c>
      <c r="F2952" t="inlineStr">
        <is>
          <t>No</t>
        </is>
      </c>
      <c r="G2952" t="inlineStr">
        <is>
          <t>1</t>
        </is>
      </c>
      <c r="H2952" t="inlineStr">
        <is>
          <t>No</t>
        </is>
      </c>
      <c r="I2952" t="inlineStr">
        <is>
          <t>No</t>
        </is>
      </c>
      <c r="J2952" t="inlineStr">
        <is>
          <t>0</t>
        </is>
      </c>
      <c r="K2952" t="inlineStr">
        <is>
          <t>Hauser, William J.</t>
        </is>
      </c>
      <c r="L2952" t="inlineStr">
        <is>
          <t>Palo Alto, Calif. : R &amp; E. Research Associates, c1982.</t>
        </is>
      </c>
      <c r="M2952" t="inlineStr">
        <is>
          <t>1982</t>
        </is>
      </c>
      <c r="O2952" t="inlineStr">
        <is>
          <t>eng</t>
        </is>
      </c>
      <c r="P2952" t="inlineStr">
        <is>
          <t>cau</t>
        </is>
      </c>
      <c r="R2952" t="inlineStr">
        <is>
          <t xml:space="preserve">HQ </t>
        </is>
      </c>
      <c r="S2952" t="n">
        <v>25</v>
      </c>
      <c r="T2952" t="n">
        <v>25</v>
      </c>
      <c r="U2952" t="inlineStr">
        <is>
          <t>1999-06-04</t>
        </is>
      </c>
      <c r="V2952" t="inlineStr">
        <is>
          <t>1999-06-04</t>
        </is>
      </c>
      <c r="W2952" t="inlineStr">
        <is>
          <t>1990-03-06</t>
        </is>
      </c>
      <c r="X2952" t="inlineStr">
        <is>
          <t>1990-03-06</t>
        </is>
      </c>
      <c r="Y2952" t="n">
        <v>207</v>
      </c>
      <c r="Z2952" t="n">
        <v>179</v>
      </c>
      <c r="AA2952" t="n">
        <v>183</v>
      </c>
      <c r="AB2952" t="n">
        <v>2</v>
      </c>
      <c r="AC2952" t="n">
        <v>2</v>
      </c>
      <c r="AD2952" t="n">
        <v>6</v>
      </c>
      <c r="AE2952" t="n">
        <v>6</v>
      </c>
      <c r="AF2952" t="n">
        <v>2</v>
      </c>
      <c r="AG2952" t="n">
        <v>2</v>
      </c>
      <c r="AH2952" t="n">
        <v>1</v>
      </c>
      <c r="AI2952" t="n">
        <v>1</v>
      </c>
      <c r="AJ2952" t="n">
        <v>5</v>
      </c>
      <c r="AK2952" t="n">
        <v>5</v>
      </c>
      <c r="AL2952" t="n">
        <v>1</v>
      </c>
      <c r="AM2952" t="n">
        <v>1</v>
      </c>
      <c r="AN2952" t="n">
        <v>0</v>
      </c>
      <c r="AO2952" t="n">
        <v>0</v>
      </c>
      <c r="AP2952" t="inlineStr">
        <is>
          <t>No</t>
        </is>
      </c>
      <c r="AQ2952" t="inlineStr">
        <is>
          <t>Yes</t>
        </is>
      </c>
      <c r="AR2952">
        <f>HYPERLINK("http://catalog.hathitrust.org/Record/000763311","HathiTrust Record")</f>
        <v/>
      </c>
      <c r="AS2952">
        <f>HYPERLINK("https://creighton-primo.hosted.exlibrisgroup.com/primo-explore/search?tab=default_tab&amp;search_scope=EVERYTHING&amp;vid=01CRU&amp;lang=en_US&amp;offset=0&amp;query=any,contains,991005234549702656","Catalog Record")</f>
        <v/>
      </c>
      <c r="AT2952">
        <f>HYPERLINK("http://www.worldcat.org/oclc/8784909","WorldCat Record")</f>
        <v/>
      </c>
      <c r="AU2952" t="inlineStr">
        <is>
          <t>583542:eng</t>
        </is>
      </c>
      <c r="AV2952" t="inlineStr">
        <is>
          <t>8784909</t>
        </is>
      </c>
      <c r="AW2952" t="inlineStr">
        <is>
          <t>991005234549702656</t>
        </is>
      </c>
      <c r="AX2952" t="inlineStr">
        <is>
          <t>991005234549702656</t>
        </is>
      </c>
      <c r="AY2952" t="inlineStr">
        <is>
          <t>2257915370002656</t>
        </is>
      </c>
      <c r="AZ2952" t="inlineStr">
        <is>
          <t>BOOK</t>
        </is>
      </c>
      <c r="BB2952" t="inlineStr">
        <is>
          <t>9780882475998</t>
        </is>
      </c>
      <c r="BC2952" t="inlineStr">
        <is>
          <t>32285000065440</t>
        </is>
      </c>
      <c r="BD2952" t="inlineStr">
        <is>
          <t>893707497</t>
        </is>
      </c>
    </row>
    <row r="2953">
      <c r="A2953" t="inlineStr">
        <is>
          <t>No</t>
        </is>
      </c>
      <c r="B2953" t="inlineStr">
        <is>
          <t>HQ809 .H677 1991</t>
        </is>
      </c>
      <c r="C2953" t="inlineStr">
        <is>
          <t>0                      HQ 0809000H  677         1991</t>
        </is>
      </c>
      <c r="D2953" t="inlineStr">
        <is>
          <t>The presence of the past : male violence in the family / Jan Horsfall.</t>
        </is>
      </c>
      <c r="F2953" t="inlineStr">
        <is>
          <t>No</t>
        </is>
      </c>
      <c r="G2953" t="inlineStr">
        <is>
          <t>1</t>
        </is>
      </c>
      <c r="H2953" t="inlineStr">
        <is>
          <t>No</t>
        </is>
      </c>
      <c r="I2953" t="inlineStr">
        <is>
          <t>No</t>
        </is>
      </c>
      <c r="J2953" t="inlineStr">
        <is>
          <t>0</t>
        </is>
      </c>
      <c r="K2953" t="inlineStr">
        <is>
          <t>Horsfall, Jan.</t>
        </is>
      </c>
      <c r="L2953" t="inlineStr">
        <is>
          <t>North Sydney, NSW, Australia : Allen &amp; Unwin, 1991.</t>
        </is>
      </c>
      <c r="M2953" t="inlineStr">
        <is>
          <t>1991</t>
        </is>
      </c>
      <c r="O2953" t="inlineStr">
        <is>
          <t>eng</t>
        </is>
      </c>
      <c r="P2953" t="inlineStr">
        <is>
          <t xml:space="preserve">at </t>
        </is>
      </c>
      <c r="R2953" t="inlineStr">
        <is>
          <t xml:space="preserve">HQ </t>
        </is>
      </c>
      <c r="S2953" t="n">
        <v>23</v>
      </c>
      <c r="T2953" t="n">
        <v>23</v>
      </c>
      <c r="U2953" t="inlineStr">
        <is>
          <t>2000-03-19</t>
        </is>
      </c>
      <c r="V2953" t="inlineStr">
        <is>
          <t>2000-03-19</t>
        </is>
      </c>
      <c r="W2953" t="inlineStr">
        <is>
          <t>1992-12-08</t>
        </is>
      </c>
      <c r="X2953" t="inlineStr">
        <is>
          <t>1992-12-08</t>
        </is>
      </c>
      <c r="Y2953" t="n">
        <v>280</v>
      </c>
      <c r="Z2953" t="n">
        <v>175</v>
      </c>
      <c r="AA2953" t="n">
        <v>175</v>
      </c>
      <c r="AB2953" t="n">
        <v>2</v>
      </c>
      <c r="AC2953" t="n">
        <v>2</v>
      </c>
      <c r="AD2953" t="n">
        <v>7</v>
      </c>
      <c r="AE2953" t="n">
        <v>7</v>
      </c>
      <c r="AF2953" t="n">
        <v>2</v>
      </c>
      <c r="AG2953" t="n">
        <v>2</v>
      </c>
      <c r="AH2953" t="n">
        <v>2</v>
      </c>
      <c r="AI2953" t="n">
        <v>2</v>
      </c>
      <c r="AJ2953" t="n">
        <v>3</v>
      </c>
      <c r="AK2953" t="n">
        <v>3</v>
      </c>
      <c r="AL2953" t="n">
        <v>1</v>
      </c>
      <c r="AM2953" t="n">
        <v>1</v>
      </c>
      <c r="AN2953" t="n">
        <v>0</v>
      </c>
      <c r="AO2953" t="n">
        <v>0</v>
      </c>
      <c r="AP2953" t="inlineStr">
        <is>
          <t>No</t>
        </is>
      </c>
      <c r="AQ2953" t="inlineStr">
        <is>
          <t>No</t>
        </is>
      </c>
      <c r="AS2953">
        <f>HYPERLINK("https://creighton-primo.hosted.exlibrisgroup.com/primo-explore/search?tab=default_tab&amp;search_scope=EVERYTHING&amp;vid=01CRU&amp;lang=en_US&amp;offset=0&amp;query=any,contains,991001944429702656","Catalog Record")</f>
        <v/>
      </c>
      <c r="AT2953">
        <f>HYPERLINK("http://www.worldcat.org/oclc/24552679","WorldCat Record")</f>
        <v/>
      </c>
      <c r="AU2953" t="inlineStr">
        <is>
          <t>20969632:eng</t>
        </is>
      </c>
      <c r="AV2953" t="inlineStr">
        <is>
          <t>24552679</t>
        </is>
      </c>
      <c r="AW2953" t="inlineStr">
        <is>
          <t>991001944429702656</t>
        </is>
      </c>
      <c r="AX2953" t="inlineStr">
        <is>
          <t>991001944429702656</t>
        </is>
      </c>
      <c r="AY2953" t="inlineStr">
        <is>
          <t>2260815850002656</t>
        </is>
      </c>
      <c r="AZ2953" t="inlineStr">
        <is>
          <t>BOOK</t>
        </is>
      </c>
      <c r="BB2953" t="inlineStr">
        <is>
          <t>9780044423263</t>
        </is>
      </c>
      <c r="BC2953" t="inlineStr">
        <is>
          <t>32285001401719</t>
        </is>
      </c>
      <c r="BD2953" t="inlineStr">
        <is>
          <t>893684784</t>
        </is>
      </c>
    </row>
    <row r="2954">
      <c r="A2954" t="inlineStr">
        <is>
          <t>No</t>
        </is>
      </c>
      <c r="B2954" t="inlineStr">
        <is>
          <t>HQ809 .N45 1984</t>
        </is>
      </c>
      <c r="C2954" t="inlineStr">
        <is>
          <t>0                      HQ 0809000N  45          1984</t>
        </is>
      </c>
      <c r="D2954" t="inlineStr">
        <is>
          <t>Spouse abuse : a treatment program for couples / Peter H. Neidig &amp; Dale H. Friedman.</t>
        </is>
      </c>
      <c r="F2954" t="inlineStr">
        <is>
          <t>No</t>
        </is>
      </c>
      <c r="G2954" t="inlineStr">
        <is>
          <t>1</t>
        </is>
      </c>
      <c r="H2954" t="inlineStr">
        <is>
          <t>No</t>
        </is>
      </c>
      <c r="I2954" t="inlineStr">
        <is>
          <t>No</t>
        </is>
      </c>
      <c r="J2954" t="inlineStr">
        <is>
          <t>0</t>
        </is>
      </c>
      <c r="K2954" t="inlineStr">
        <is>
          <t>Neidig, Peter H.</t>
        </is>
      </c>
      <c r="L2954" t="inlineStr">
        <is>
          <t>Champaign, Ill. : Research Press Co., c1984.</t>
        </is>
      </c>
      <c r="M2954" t="inlineStr">
        <is>
          <t>1984</t>
        </is>
      </c>
      <c r="O2954" t="inlineStr">
        <is>
          <t>eng</t>
        </is>
      </c>
      <c r="P2954" t="inlineStr">
        <is>
          <t>ilu</t>
        </is>
      </c>
      <c r="R2954" t="inlineStr">
        <is>
          <t xml:space="preserve">HQ </t>
        </is>
      </c>
      <c r="S2954" t="n">
        <v>22</v>
      </c>
      <c r="T2954" t="n">
        <v>22</v>
      </c>
      <c r="U2954" t="inlineStr">
        <is>
          <t>1997-02-26</t>
        </is>
      </c>
      <c r="V2954" t="inlineStr">
        <is>
          <t>1997-02-26</t>
        </is>
      </c>
      <c r="W2954" t="inlineStr">
        <is>
          <t>1991-11-19</t>
        </is>
      </c>
      <c r="X2954" t="inlineStr">
        <is>
          <t>1991-11-19</t>
        </is>
      </c>
      <c r="Y2954" t="n">
        <v>442</v>
      </c>
      <c r="Z2954" t="n">
        <v>392</v>
      </c>
      <c r="AA2954" t="n">
        <v>394</v>
      </c>
      <c r="AB2954" t="n">
        <v>2</v>
      </c>
      <c r="AC2954" t="n">
        <v>2</v>
      </c>
      <c r="AD2954" t="n">
        <v>9</v>
      </c>
      <c r="AE2954" t="n">
        <v>9</v>
      </c>
      <c r="AF2954" t="n">
        <v>3</v>
      </c>
      <c r="AG2954" t="n">
        <v>3</v>
      </c>
      <c r="AH2954" t="n">
        <v>3</v>
      </c>
      <c r="AI2954" t="n">
        <v>3</v>
      </c>
      <c r="AJ2954" t="n">
        <v>5</v>
      </c>
      <c r="AK2954" t="n">
        <v>5</v>
      </c>
      <c r="AL2954" t="n">
        <v>1</v>
      </c>
      <c r="AM2954" t="n">
        <v>1</v>
      </c>
      <c r="AN2954" t="n">
        <v>0</v>
      </c>
      <c r="AO2954" t="n">
        <v>0</v>
      </c>
      <c r="AP2954" t="inlineStr">
        <is>
          <t>No</t>
        </is>
      </c>
      <c r="AQ2954" t="inlineStr">
        <is>
          <t>Yes</t>
        </is>
      </c>
      <c r="AR2954">
        <f>HYPERLINK("http://catalog.hathitrust.org/Record/000417489","HathiTrust Record")</f>
        <v/>
      </c>
      <c r="AS2954">
        <f>HYPERLINK("https://creighton-primo.hosted.exlibrisgroup.com/primo-explore/search?tab=default_tab&amp;search_scope=EVERYTHING&amp;vid=01CRU&amp;lang=en_US&amp;offset=0&amp;query=any,contains,991000569169702656","Catalog Record")</f>
        <v/>
      </c>
      <c r="AT2954">
        <f>HYPERLINK("http://www.worldcat.org/oclc/11630451","WorldCat Record")</f>
        <v/>
      </c>
      <c r="AU2954" t="inlineStr">
        <is>
          <t>4546738:eng</t>
        </is>
      </c>
      <c r="AV2954" t="inlineStr">
        <is>
          <t>11630451</t>
        </is>
      </c>
      <c r="AW2954" t="inlineStr">
        <is>
          <t>991000569169702656</t>
        </is>
      </c>
      <c r="AX2954" t="inlineStr">
        <is>
          <t>991000569169702656</t>
        </is>
      </c>
      <c r="AY2954" t="inlineStr">
        <is>
          <t>2258178440002656</t>
        </is>
      </c>
      <c r="AZ2954" t="inlineStr">
        <is>
          <t>BOOK</t>
        </is>
      </c>
      <c r="BB2954" t="inlineStr">
        <is>
          <t>9780878222346</t>
        </is>
      </c>
      <c r="BC2954" t="inlineStr">
        <is>
          <t>32285000841071</t>
        </is>
      </c>
      <c r="BD2954" t="inlineStr">
        <is>
          <t>893432074</t>
        </is>
      </c>
    </row>
    <row r="2955">
      <c r="A2955" t="inlineStr">
        <is>
          <t>No</t>
        </is>
      </c>
      <c r="B2955" t="inlineStr">
        <is>
          <t>HQ809 .V55 1988</t>
        </is>
      </c>
      <c r="C2955" t="inlineStr">
        <is>
          <t>0                      HQ 0809000V  55          1988</t>
        </is>
      </c>
      <c r="D2955" t="inlineStr">
        <is>
          <t>Violence in intimate relationships / [edited by] Gordon W. Russell.</t>
        </is>
      </c>
      <c r="F2955" t="inlineStr">
        <is>
          <t>No</t>
        </is>
      </c>
      <c r="G2955" t="inlineStr">
        <is>
          <t>1</t>
        </is>
      </c>
      <c r="H2955" t="inlineStr">
        <is>
          <t>No</t>
        </is>
      </c>
      <c r="I2955" t="inlineStr">
        <is>
          <t>No</t>
        </is>
      </c>
      <c r="J2955" t="inlineStr">
        <is>
          <t>0</t>
        </is>
      </c>
      <c r="L2955" t="inlineStr">
        <is>
          <t>New York : PMA Pub. Corp., c1988.</t>
        </is>
      </c>
      <c r="M2955" t="inlineStr">
        <is>
          <t>1988</t>
        </is>
      </c>
      <c r="O2955" t="inlineStr">
        <is>
          <t>eng</t>
        </is>
      </c>
      <c r="P2955" t="inlineStr">
        <is>
          <t>nyu</t>
        </is>
      </c>
      <c r="R2955" t="inlineStr">
        <is>
          <t xml:space="preserve">HQ </t>
        </is>
      </c>
      <c r="S2955" t="n">
        <v>28</v>
      </c>
      <c r="T2955" t="n">
        <v>28</v>
      </c>
      <c r="U2955" t="inlineStr">
        <is>
          <t>2004-04-03</t>
        </is>
      </c>
      <c r="V2955" t="inlineStr">
        <is>
          <t>2004-04-03</t>
        </is>
      </c>
      <c r="W2955" t="inlineStr">
        <is>
          <t>1990-03-06</t>
        </is>
      </c>
      <c r="X2955" t="inlineStr">
        <is>
          <t>1990-03-06</t>
        </is>
      </c>
      <c r="Y2955" t="n">
        <v>216</v>
      </c>
      <c r="Z2955" t="n">
        <v>174</v>
      </c>
      <c r="AA2955" t="n">
        <v>178</v>
      </c>
      <c r="AB2955" t="n">
        <v>3</v>
      </c>
      <c r="AC2955" t="n">
        <v>3</v>
      </c>
      <c r="AD2955" t="n">
        <v>5</v>
      </c>
      <c r="AE2955" t="n">
        <v>6</v>
      </c>
      <c r="AF2955" t="n">
        <v>1</v>
      </c>
      <c r="AG2955" t="n">
        <v>1</v>
      </c>
      <c r="AH2955" t="n">
        <v>1</v>
      </c>
      <c r="AI2955" t="n">
        <v>1</v>
      </c>
      <c r="AJ2955" t="n">
        <v>3</v>
      </c>
      <c r="AK2955" t="n">
        <v>4</v>
      </c>
      <c r="AL2955" t="n">
        <v>2</v>
      </c>
      <c r="AM2955" t="n">
        <v>2</v>
      </c>
      <c r="AN2955" t="n">
        <v>0</v>
      </c>
      <c r="AO2955" t="n">
        <v>0</v>
      </c>
      <c r="AP2955" t="inlineStr">
        <is>
          <t>No</t>
        </is>
      </c>
      <c r="AQ2955" t="inlineStr">
        <is>
          <t>Yes</t>
        </is>
      </c>
      <c r="AR2955">
        <f>HYPERLINK("http://catalog.hathitrust.org/Record/000925170","HathiTrust Record")</f>
        <v/>
      </c>
      <c r="AS2955">
        <f>HYPERLINK("https://creighton-primo.hosted.exlibrisgroup.com/primo-explore/search?tab=default_tab&amp;search_scope=EVERYTHING&amp;vid=01CRU&amp;lang=en_US&amp;offset=0&amp;query=any,contains,991001219439702656","Catalog Record")</f>
        <v/>
      </c>
      <c r="AT2955">
        <f>HYPERLINK("http://www.worldcat.org/oclc/17441574","WorldCat Record")</f>
        <v/>
      </c>
      <c r="AU2955" t="inlineStr">
        <is>
          <t>54747516:eng</t>
        </is>
      </c>
      <c r="AV2955" t="inlineStr">
        <is>
          <t>17441574</t>
        </is>
      </c>
      <c r="AW2955" t="inlineStr">
        <is>
          <t>991001219439702656</t>
        </is>
      </c>
      <c r="AX2955" t="inlineStr">
        <is>
          <t>991001219439702656</t>
        </is>
      </c>
      <c r="AY2955" t="inlineStr">
        <is>
          <t>2260639040002656</t>
        </is>
      </c>
      <c r="AZ2955" t="inlineStr">
        <is>
          <t>BOOK</t>
        </is>
      </c>
      <c r="BB2955" t="inlineStr">
        <is>
          <t>9780893352318</t>
        </is>
      </c>
      <c r="BC2955" t="inlineStr">
        <is>
          <t>32285000065432</t>
        </is>
      </c>
      <c r="BD2955" t="inlineStr">
        <is>
          <t>893866060</t>
        </is>
      </c>
    </row>
    <row r="2956">
      <c r="A2956" t="inlineStr">
        <is>
          <t>No</t>
        </is>
      </c>
      <c r="B2956" t="inlineStr">
        <is>
          <t>HQ809.3.G7 L39 1988</t>
        </is>
      </c>
      <c r="C2956" t="inlineStr">
        <is>
          <t>0                      HQ 0809300G  7                  L  39          1988</t>
        </is>
      </c>
      <c r="D2956" t="inlineStr">
        <is>
          <t>Adultery : an analysis of love and betrayal / Annette Lawson.</t>
        </is>
      </c>
      <c r="F2956" t="inlineStr">
        <is>
          <t>No</t>
        </is>
      </c>
      <c r="G2956" t="inlineStr">
        <is>
          <t>1</t>
        </is>
      </c>
      <c r="H2956" t="inlineStr">
        <is>
          <t>No</t>
        </is>
      </c>
      <c r="I2956" t="inlineStr">
        <is>
          <t>No</t>
        </is>
      </c>
      <c r="J2956" t="inlineStr">
        <is>
          <t>0</t>
        </is>
      </c>
      <c r="K2956" t="inlineStr">
        <is>
          <t>Lawson, Annette, 1936-</t>
        </is>
      </c>
      <c r="L2956" t="inlineStr">
        <is>
          <t>New York : Basic Books, c1988.</t>
        </is>
      </c>
      <c r="M2956" t="inlineStr">
        <is>
          <t>1988</t>
        </is>
      </c>
      <c r="O2956" t="inlineStr">
        <is>
          <t>eng</t>
        </is>
      </c>
      <c r="P2956" t="inlineStr">
        <is>
          <t>nyu</t>
        </is>
      </c>
      <c r="R2956" t="inlineStr">
        <is>
          <t xml:space="preserve">HQ </t>
        </is>
      </c>
      <c r="S2956" t="n">
        <v>18</v>
      </c>
      <c r="T2956" t="n">
        <v>18</v>
      </c>
      <c r="U2956" t="inlineStr">
        <is>
          <t>1999-02-09</t>
        </is>
      </c>
      <c r="V2956" t="inlineStr">
        <is>
          <t>1999-02-09</t>
        </is>
      </c>
      <c r="W2956" t="inlineStr">
        <is>
          <t>1991-03-08</t>
        </is>
      </c>
      <c r="X2956" t="inlineStr">
        <is>
          <t>1991-03-08</t>
        </is>
      </c>
      <c r="Y2956" t="n">
        <v>805</v>
      </c>
      <c r="Z2956" t="n">
        <v>715</v>
      </c>
      <c r="AA2956" t="n">
        <v>731</v>
      </c>
      <c r="AB2956" t="n">
        <v>5</v>
      </c>
      <c r="AC2956" t="n">
        <v>5</v>
      </c>
      <c r="AD2956" t="n">
        <v>19</v>
      </c>
      <c r="AE2956" t="n">
        <v>21</v>
      </c>
      <c r="AF2956" t="n">
        <v>6</v>
      </c>
      <c r="AG2956" t="n">
        <v>7</v>
      </c>
      <c r="AH2956" t="n">
        <v>6</v>
      </c>
      <c r="AI2956" t="n">
        <v>7</v>
      </c>
      <c r="AJ2956" t="n">
        <v>11</v>
      </c>
      <c r="AK2956" t="n">
        <v>11</v>
      </c>
      <c r="AL2956" t="n">
        <v>4</v>
      </c>
      <c r="AM2956" t="n">
        <v>4</v>
      </c>
      <c r="AN2956" t="n">
        <v>0</v>
      </c>
      <c r="AO2956" t="n">
        <v>0</v>
      </c>
      <c r="AP2956" t="inlineStr">
        <is>
          <t>No</t>
        </is>
      </c>
      <c r="AQ2956" t="inlineStr">
        <is>
          <t>Yes</t>
        </is>
      </c>
      <c r="AR2956">
        <f>HYPERLINK("http://catalog.hathitrust.org/Record/001077465","HathiTrust Record")</f>
        <v/>
      </c>
      <c r="AS2956">
        <f>HYPERLINK("https://creighton-primo.hosted.exlibrisgroup.com/primo-explore/search?tab=default_tab&amp;search_scope=EVERYTHING&amp;vid=01CRU&amp;lang=en_US&amp;offset=0&amp;query=any,contains,991001390909702656","Catalog Record")</f>
        <v/>
      </c>
      <c r="AT2956">
        <f>HYPERLINK("http://www.worldcat.org/oclc/18759448","WorldCat Record")</f>
        <v/>
      </c>
      <c r="AU2956" t="inlineStr">
        <is>
          <t>18309745:eng</t>
        </is>
      </c>
      <c r="AV2956" t="inlineStr">
        <is>
          <t>18759448</t>
        </is>
      </c>
      <c r="AW2956" t="inlineStr">
        <is>
          <t>991001390909702656</t>
        </is>
      </c>
      <c r="AX2956" t="inlineStr">
        <is>
          <t>991001390909702656</t>
        </is>
      </c>
      <c r="AY2956" t="inlineStr">
        <is>
          <t>2270607640002656</t>
        </is>
      </c>
      <c r="AZ2956" t="inlineStr">
        <is>
          <t>BOOK</t>
        </is>
      </c>
      <c r="BB2956" t="inlineStr">
        <is>
          <t>9780465000753</t>
        </is>
      </c>
      <c r="BC2956" t="inlineStr">
        <is>
          <t>32285000493964</t>
        </is>
      </c>
      <c r="BD2956" t="inlineStr">
        <is>
          <t>893684287</t>
        </is>
      </c>
    </row>
    <row r="2957">
      <c r="A2957" t="inlineStr">
        <is>
          <t>No</t>
        </is>
      </c>
      <c r="B2957" t="inlineStr">
        <is>
          <t>HQ809.3.U5 A28 1988</t>
        </is>
      </c>
      <c r="C2957" t="inlineStr">
        <is>
          <t>0                      HQ 0809300U  5                  A  28          1988</t>
        </is>
      </c>
      <c r="D2957" t="inlineStr">
        <is>
          <t>Abuse and religion : when praying isn't enough / edited by Anne L. Horton, Judith A. Williamson.</t>
        </is>
      </c>
      <c r="F2957" t="inlineStr">
        <is>
          <t>No</t>
        </is>
      </c>
      <c r="G2957" t="inlineStr">
        <is>
          <t>1</t>
        </is>
      </c>
      <c r="H2957" t="inlineStr">
        <is>
          <t>No</t>
        </is>
      </c>
      <c r="I2957" t="inlineStr">
        <is>
          <t>No</t>
        </is>
      </c>
      <c r="J2957" t="inlineStr">
        <is>
          <t>0</t>
        </is>
      </c>
      <c r="L2957" t="inlineStr">
        <is>
          <t>Lexington, Mass. : Lexington Books, c1988.</t>
        </is>
      </c>
      <c r="M2957" t="inlineStr">
        <is>
          <t>1988</t>
        </is>
      </c>
      <c r="O2957" t="inlineStr">
        <is>
          <t>eng</t>
        </is>
      </c>
      <c r="P2957" t="inlineStr">
        <is>
          <t>mau</t>
        </is>
      </c>
      <c r="R2957" t="inlineStr">
        <is>
          <t xml:space="preserve">HQ </t>
        </is>
      </c>
      <c r="S2957" t="n">
        <v>8</v>
      </c>
      <c r="T2957" t="n">
        <v>8</v>
      </c>
      <c r="U2957" t="inlineStr">
        <is>
          <t>1997-04-10</t>
        </is>
      </c>
      <c r="V2957" t="inlineStr">
        <is>
          <t>1997-04-10</t>
        </is>
      </c>
      <c r="W2957" t="inlineStr">
        <is>
          <t>1990-04-11</t>
        </is>
      </c>
      <c r="X2957" t="inlineStr">
        <is>
          <t>1990-04-11</t>
        </is>
      </c>
      <c r="Y2957" t="n">
        <v>480</v>
      </c>
      <c r="Z2957" t="n">
        <v>425</v>
      </c>
      <c r="AA2957" t="n">
        <v>432</v>
      </c>
      <c r="AB2957" t="n">
        <v>3</v>
      </c>
      <c r="AC2957" t="n">
        <v>3</v>
      </c>
      <c r="AD2957" t="n">
        <v>18</v>
      </c>
      <c r="AE2957" t="n">
        <v>18</v>
      </c>
      <c r="AF2957" t="n">
        <v>7</v>
      </c>
      <c r="AG2957" t="n">
        <v>7</v>
      </c>
      <c r="AH2957" t="n">
        <v>4</v>
      </c>
      <c r="AI2957" t="n">
        <v>4</v>
      </c>
      <c r="AJ2957" t="n">
        <v>9</v>
      </c>
      <c r="AK2957" t="n">
        <v>9</v>
      </c>
      <c r="AL2957" t="n">
        <v>2</v>
      </c>
      <c r="AM2957" t="n">
        <v>2</v>
      </c>
      <c r="AN2957" t="n">
        <v>2</v>
      </c>
      <c r="AO2957" t="n">
        <v>2</v>
      </c>
      <c r="AP2957" t="inlineStr">
        <is>
          <t>No</t>
        </is>
      </c>
      <c r="AQ2957" t="inlineStr">
        <is>
          <t>Yes</t>
        </is>
      </c>
      <c r="AR2957">
        <f>HYPERLINK("http://catalog.hathitrust.org/Record/002183969","HathiTrust Record")</f>
        <v/>
      </c>
      <c r="AS2957">
        <f>HYPERLINK("https://creighton-primo.hosted.exlibrisgroup.com/primo-explore/search?tab=default_tab&amp;search_scope=EVERYTHING&amp;vid=01CRU&amp;lang=en_US&amp;offset=0&amp;query=any,contains,991001178119702656","Catalog Record")</f>
        <v/>
      </c>
      <c r="AT2957">
        <f>HYPERLINK("http://www.worldcat.org/oclc/17105111","WorldCat Record")</f>
        <v/>
      </c>
      <c r="AU2957" t="inlineStr">
        <is>
          <t>475718785:eng</t>
        </is>
      </c>
      <c r="AV2957" t="inlineStr">
        <is>
          <t>17105111</t>
        </is>
      </c>
      <c r="AW2957" t="inlineStr">
        <is>
          <t>991001178119702656</t>
        </is>
      </c>
      <c r="AX2957" t="inlineStr">
        <is>
          <t>991001178119702656</t>
        </is>
      </c>
      <c r="AY2957" t="inlineStr">
        <is>
          <t>2267262440002656</t>
        </is>
      </c>
      <c r="AZ2957" t="inlineStr">
        <is>
          <t>BOOK</t>
        </is>
      </c>
      <c r="BB2957" t="inlineStr">
        <is>
          <t>9780669153378</t>
        </is>
      </c>
      <c r="BC2957" t="inlineStr">
        <is>
          <t>32285000094804</t>
        </is>
      </c>
      <c r="BD2957" t="inlineStr">
        <is>
          <t>893231768</t>
        </is>
      </c>
    </row>
    <row r="2958">
      <c r="A2958" t="inlineStr">
        <is>
          <t>No</t>
        </is>
      </c>
      <c r="B2958" t="inlineStr">
        <is>
          <t>HQ809.3.U5 A29 1991</t>
        </is>
      </c>
      <c r="C2958" t="inlineStr">
        <is>
          <t>0                      HQ 0809300U  5                  A  29          1991</t>
        </is>
      </c>
      <c r="D2958" t="inlineStr">
        <is>
          <t>Abused and battered : social and legal responses to family violence / Dean D. Knudsen and JoAnn L. Miller, editors.</t>
        </is>
      </c>
      <c r="F2958" t="inlineStr">
        <is>
          <t>No</t>
        </is>
      </c>
      <c r="G2958" t="inlineStr">
        <is>
          <t>1</t>
        </is>
      </c>
      <c r="H2958" t="inlineStr">
        <is>
          <t>No</t>
        </is>
      </c>
      <c r="I2958" t="inlineStr">
        <is>
          <t>No</t>
        </is>
      </c>
      <c r="J2958" t="inlineStr">
        <is>
          <t>0</t>
        </is>
      </c>
      <c r="L2958" t="inlineStr">
        <is>
          <t>Hawthorne, N.Y. : A. de Gruyter, c1991.</t>
        </is>
      </c>
      <c r="M2958" t="inlineStr">
        <is>
          <t>1991</t>
        </is>
      </c>
      <c r="O2958" t="inlineStr">
        <is>
          <t>eng</t>
        </is>
      </c>
      <c r="P2958" t="inlineStr">
        <is>
          <t>nyu</t>
        </is>
      </c>
      <c r="Q2958" t="inlineStr">
        <is>
          <t>Social institutions and social change</t>
        </is>
      </c>
      <c r="R2958" t="inlineStr">
        <is>
          <t xml:space="preserve">HQ </t>
        </is>
      </c>
      <c r="S2958" t="n">
        <v>35</v>
      </c>
      <c r="T2958" t="n">
        <v>35</v>
      </c>
      <c r="U2958" t="inlineStr">
        <is>
          <t>2002-11-11</t>
        </is>
      </c>
      <c r="V2958" t="inlineStr">
        <is>
          <t>2002-11-11</t>
        </is>
      </c>
      <c r="W2958" t="inlineStr">
        <is>
          <t>1991-08-19</t>
        </is>
      </c>
      <c r="X2958" t="inlineStr">
        <is>
          <t>1991-08-19</t>
        </is>
      </c>
      <c r="Y2958" t="n">
        <v>831</v>
      </c>
      <c r="Z2958" t="n">
        <v>723</v>
      </c>
      <c r="AA2958" t="n">
        <v>738</v>
      </c>
      <c r="AB2958" t="n">
        <v>9</v>
      </c>
      <c r="AC2958" t="n">
        <v>9</v>
      </c>
      <c r="AD2958" t="n">
        <v>47</v>
      </c>
      <c r="AE2958" t="n">
        <v>47</v>
      </c>
      <c r="AF2958" t="n">
        <v>16</v>
      </c>
      <c r="AG2958" t="n">
        <v>16</v>
      </c>
      <c r="AH2958" t="n">
        <v>9</v>
      </c>
      <c r="AI2958" t="n">
        <v>9</v>
      </c>
      <c r="AJ2958" t="n">
        <v>20</v>
      </c>
      <c r="AK2958" t="n">
        <v>20</v>
      </c>
      <c r="AL2958" t="n">
        <v>6</v>
      </c>
      <c r="AM2958" t="n">
        <v>6</v>
      </c>
      <c r="AN2958" t="n">
        <v>7</v>
      </c>
      <c r="AO2958" t="n">
        <v>7</v>
      </c>
      <c r="AP2958" t="inlineStr">
        <is>
          <t>No</t>
        </is>
      </c>
      <c r="AQ2958" t="inlineStr">
        <is>
          <t>No</t>
        </is>
      </c>
      <c r="AS2958">
        <f>HYPERLINK("https://creighton-primo.hosted.exlibrisgroup.com/primo-explore/search?tab=default_tab&amp;search_scope=EVERYTHING&amp;vid=01CRU&amp;lang=en_US&amp;offset=0&amp;query=any,contains,991001809049702656","Catalog Record")</f>
        <v/>
      </c>
      <c r="AT2958">
        <f>HYPERLINK("http://www.worldcat.org/oclc/22731791","WorldCat Record")</f>
        <v/>
      </c>
      <c r="AU2958" t="inlineStr">
        <is>
          <t>890265461:eng</t>
        </is>
      </c>
      <c r="AV2958" t="inlineStr">
        <is>
          <t>22731791</t>
        </is>
      </c>
      <c r="AW2958" t="inlineStr">
        <is>
          <t>991001809049702656</t>
        </is>
      </c>
      <c r="AX2958" t="inlineStr">
        <is>
          <t>991001809049702656</t>
        </is>
      </c>
      <c r="AY2958" t="inlineStr">
        <is>
          <t>2268859610002656</t>
        </is>
      </c>
      <c r="AZ2958" t="inlineStr">
        <is>
          <t>BOOK</t>
        </is>
      </c>
      <c r="BB2958" t="inlineStr">
        <is>
          <t>9780202304144</t>
        </is>
      </c>
      <c r="BC2958" t="inlineStr">
        <is>
          <t>32285000701036</t>
        </is>
      </c>
      <c r="BD2958" t="inlineStr">
        <is>
          <t>893322275</t>
        </is>
      </c>
    </row>
    <row r="2959">
      <c r="A2959" t="inlineStr">
        <is>
          <t>No</t>
        </is>
      </c>
      <c r="B2959" t="inlineStr">
        <is>
          <t>HQ809.3.U5 B56 1991</t>
        </is>
      </c>
      <c r="C2959" t="inlineStr">
        <is>
          <t>0                      HQ 0809300U  5                  B  56          1991</t>
        </is>
      </c>
      <c r="D2959" t="inlineStr">
        <is>
          <t>Black family violence : current research and theory / edited by Robert L. Hampton.</t>
        </is>
      </c>
      <c r="F2959" t="inlineStr">
        <is>
          <t>No</t>
        </is>
      </c>
      <c r="G2959" t="inlineStr">
        <is>
          <t>1</t>
        </is>
      </c>
      <c r="H2959" t="inlineStr">
        <is>
          <t>No</t>
        </is>
      </c>
      <c r="I2959" t="inlineStr">
        <is>
          <t>No</t>
        </is>
      </c>
      <c r="J2959" t="inlineStr">
        <is>
          <t>0</t>
        </is>
      </c>
      <c r="L2959" t="inlineStr">
        <is>
          <t>Lexington, Mass. : Lexington Books, c1991.</t>
        </is>
      </c>
      <c r="M2959" t="inlineStr">
        <is>
          <t>1991</t>
        </is>
      </c>
      <c r="O2959" t="inlineStr">
        <is>
          <t>eng</t>
        </is>
      </c>
      <c r="P2959" t="inlineStr">
        <is>
          <t>mau</t>
        </is>
      </c>
      <c r="R2959" t="inlineStr">
        <is>
          <t xml:space="preserve">HQ </t>
        </is>
      </c>
      <c r="S2959" t="n">
        <v>11</v>
      </c>
      <c r="T2959" t="n">
        <v>11</v>
      </c>
      <c r="U2959" t="inlineStr">
        <is>
          <t>1997-02-19</t>
        </is>
      </c>
      <c r="V2959" t="inlineStr">
        <is>
          <t>1997-02-19</t>
        </is>
      </c>
      <c r="W2959" t="inlineStr">
        <is>
          <t>1995-07-21</t>
        </is>
      </c>
      <c r="X2959" t="inlineStr">
        <is>
          <t>1995-07-21</t>
        </is>
      </c>
      <c r="Y2959" t="n">
        <v>569</v>
      </c>
      <c r="Z2959" t="n">
        <v>530</v>
      </c>
      <c r="AA2959" t="n">
        <v>546</v>
      </c>
      <c r="AB2959" t="n">
        <v>2</v>
      </c>
      <c r="AC2959" t="n">
        <v>2</v>
      </c>
      <c r="AD2959" t="n">
        <v>20</v>
      </c>
      <c r="AE2959" t="n">
        <v>20</v>
      </c>
      <c r="AF2959" t="n">
        <v>8</v>
      </c>
      <c r="AG2959" t="n">
        <v>8</v>
      </c>
      <c r="AH2959" t="n">
        <v>4</v>
      </c>
      <c r="AI2959" t="n">
        <v>4</v>
      </c>
      <c r="AJ2959" t="n">
        <v>9</v>
      </c>
      <c r="AK2959" t="n">
        <v>9</v>
      </c>
      <c r="AL2959" t="n">
        <v>1</v>
      </c>
      <c r="AM2959" t="n">
        <v>1</v>
      </c>
      <c r="AN2959" t="n">
        <v>1</v>
      </c>
      <c r="AO2959" t="n">
        <v>1</v>
      </c>
      <c r="AP2959" t="inlineStr">
        <is>
          <t>No</t>
        </is>
      </c>
      <c r="AQ2959" t="inlineStr">
        <is>
          <t>Yes</t>
        </is>
      </c>
      <c r="AR2959">
        <f>HYPERLINK("http://catalog.hathitrust.org/Record/002480088","HathiTrust Record")</f>
        <v/>
      </c>
      <c r="AS2959">
        <f>HYPERLINK("https://creighton-primo.hosted.exlibrisgroup.com/primo-explore/search?tab=default_tab&amp;search_scope=EVERYTHING&amp;vid=01CRU&amp;lang=en_US&amp;offset=0&amp;query=any,contains,991001810359702656","Catalog Record")</f>
        <v/>
      </c>
      <c r="AT2959">
        <f>HYPERLINK("http://www.worldcat.org/oclc/22734029","WorldCat Record")</f>
        <v/>
      </c>
      <c r="AU2959" t="inlineStr">
        <is>
          <t>55406735:eng</t>
        </is>
      </c>
      <c r="AV2959" t="inlineStr">
        <is>
          <t>22734029</t>
        </is>
      </c>
      <c r="AW2959" t="inlineStr">
        <is>
          <t>991001810359702656</t>
        </is>
      </c>
      <c r="AX2959" t="inlineStr">
        <is>
          <t>991001810359702656</t>
        </is>
      </c>
      <c r="AY2959" t="inlineStr">
        <is>
          <t>2254912860002656</t>
        </is>
      </c>
      <c r="AZ2959" t="inlineStr">
        <is>
          <t>BOOK</t>
        </is>
      </c>
      <c r="BB2959" t="inlineStr">
        <is>
          <t>9780669218589</t>
        </is>
      </c>
      <c r="BC2959" t="inlineStr">
        <is>
          <t>32285002075207</t>
        </is>
      </c>
      <c r="BD2959" t="inlineStr">
        <is>
          <t>893328391</t>
        </is>
      </c>
    </row>
    <row r="2960">
      <c r="A2960" t="inlineStr">
        <is>
          <t>No</t>
        </is>
      </c>
      <c r="B2960" t="inlineStr">
        <is>
          <t>HQ809.3.U5 B57 1989</t>
        </is>
      </c>
      <c r="C2960" t="inlineStr">
        <is>
          <t>0                      HQ 0809300U  5                  B  57          1989</t>
        </is>
      </c>
      <c r="D2960" t="inlineStr">
        <is>
          <t>Intimate violence : a study of injustice / Julie Blackman.</t>
        </is>
      </c>
      <c r="F2960" t="inlineStr">
        <is>
          <t>No</t>
        </is>
      </c>
      <c r="G2960" t="inlineStr">
        <is>
          <t>1</t>
        </is>
      </c>
      <c r="H2960" t="inlineStr">
        <is>
          <t>No</t>
        </is>
      </c>
      <c r="I2960" t="inlineStr">
        <is>
          <t>No</t>
        </is>
      </c>
      <c r="J2960" t="inlineStr">
        <is>
          <t>0</t>
        </is>
      </c>
      <c r="K2960" t="inlineStr">
        <is>
          <t>Blackman, Julie, 1953-</t>
        </is>
      </c>
      <c r="L2960" t="inlineStr">
        <is>
          <t>New York : Columbia University Press, c1989.</t>
        </is>
      </c>
      <c r="M2960" t="inlineStr">
        <is>
          <t>1989</t>
        </is>
      </c>
      <c r="O2960" t="inlineStr">
        <is>
          <t>eng</t>
        </is>
      </c>
      <c r="P2960" t="inlineStr">
        <is>
          <t>nyu</t>
        </is>
      </c>
      <c r="R2960" t="inlineStr">
        <is>
          <t xml:space="preserve">HQ </t>
        </is>
      </c>
      <c r="S2960" t="n">
        <v>23</v>
      </c>
      <c r="T2960" t="n">
        <v>23</v>
      </c>
      <c r="U2960" t="inlineStr">
        <is>
          <t>2001-03-31</t>
        </is>
      </c>
      <c r="V2960" t="inlineStr">
        <is>
          <t>2001-03-31</t>
        </is>
      </c>
      <c r="W2960" t="inlineStr">
        <is>
          <t>1990-07-26</t>
        </is>
      </c>
      <c r="X2960" t="inlineStr">
        <is>
          <t>1990-07-26</t>
        </is>
      </c>
      <c r="Y2960" t="n">
        <v>609</v>
      </c>
      <c r="Z2960" t="n">
        <v>522</v>
      </c>
      <c r="AA2960" t="n">
        <v>530</v>
      </c>
      <c r="AB2960" t="n">
        <v>4</v>
      </c>
      <c r="AC2960" t="n">
        <v>4</v>
      </c>
      <c r="AD2960" t="n">
        <v>33</v>
      </c>
      <c r="AE2960" t="n">
        <v>33</v>
      </c>
      <c r="AF2960" t="n">
        <v>10</v>
      </c>
      <c r="AG2960" t="n">
        <v>10</v>
      </c>
      <c r="AH2960" t="n">
        <v>6</v>
      </c>
      <c r="AI2960" t="n">
        <v>6</v>
      </c>
      <c r="AJ2960" t="n">
        <v>14</v>
      </c>
      <c r="AK2960" t="n">
        <v>14</v>
      </c>
      <c r="AL2960" t="n">
        <v>3</v>
      </c>
      <c r="AM2960" t="n">
        <v>3</v>
      </c>
      <c r="AN2960" t="n">
        <v>6</v>
      </c>
      <c r="AO2960" t="n">
        <v>6</v>
      </c>
      <c r="AP2960" t="inlineStr">
        <is>
          <t>No</t>
        </is>
      </c>
      <c r="AQ2960" t="inlineStr">
        <is>
          <t>No</t>
        </is>
      </c>
      <c r="AS2960">
        <f>HYPERLINK("https://creighton-primo.hosted.exlibrisgroup.com/primo-explore/search?tab=default_tab&amp;search_scope=EVERYTHING&amp;vid=01CRU&amp;lang=en_US&amp;offset=0&amp;query=any,contains,991001382449702656","Catalog Record")</f>
        <v/>
      </c>
      <c r="AT2960">
        <f>HYPERLINK("http://www.worldcat.org/oclc/18684677","WorldCat Record")</f>
        <v/>
      </c>
      <c r="AU2960" t="inlineStr">
        <is>
          <t>836735906:eng</t>
        </is>
      </c>
      <c r="AV2960" t="inlineStr">
        <is>
          <t>18684677</t>
        </is>
      </c>
      <c r="AW2960" t="inlineStr">
        <is>
          <t>991001382449702656</t>
        </is>
      </c>
      <c r="AX2960" t="inlineStr">
        <is>
          <t>991001382449702656</t>
        </is>
      </c>
      <c r="AY2960" t="inlineStr">
        <is>
          <t>2264600690002656</t>
        </is>
      </c>
      <c r="AZ2960" t="inlineStr">
        <is>
          <t>BOOK</t>
        </is>
      </c>
      <c r="BB2960" t="inlineStr">
        <is>
          <t>9780231050944</t>
        </is>
      </c>
      <c r="BC2960" t="inlineStr">
        <is>
          <t>32285000240589</t>
        </is>
      </c>
      <c r="BD2960" t="inlineStr">
        <is>
          <t>893615030</t>
        </is>
      </c>
    </row>
    <row r="2961">
      <c r="A2961" t="inlineStr">
        <is>
          <t>No</t>
        </is>
      </c>
      <c r="B2961" t="inlineStr">
        <is>
          <t>HQ809.3.U5 B65 1987</t>
        </is>
      </c>
      <c r="C2961" t="inlineStr">
        <is>
          <t>0                      HQ 0809300U  5                  B  65          1987</t>
        </is>
      </c>
      <c r="D2961" t="inlineStr">
        <is>
          <t>Working with violent families : a guide for clinical and legal practitioners / Frank G. Bolton and Susan R. Bolton.</t>
        </is>
      </c>
      <c r="F2961" t="inlineStr">
        <is>
          <t>No</t>
        </is>
      </c>
      <c r="G2961" t="inlineStr">
        <is>
          <t>1</t>
        </is>
      </c>
      <c r="H2961" t="inlineStr">
        <is>
          <t>No</t>
        </is>
      </c>
      <c r="I2961" t="inlineStr">
        <is>
          <t>No</t>
        </is>
      </c>
      <c r="J2961" t="inlineStr">
        <is>
          <t>0</t>
        </is>
      </c>
      <c r="K2961" t="inlineStr">
        <is>
          <t>Bolton, Frank G.</t>
        </is>
      </c>
      <c r="L2961" t="inlineStr">
        <is>
          <t>Beverly Hills, Calif. : Sage Publications, c1987.</t>
        </is>
      </c>
      <c r="M2961" t="inlineStr">
        <is>
          <t>1986</t>
        </is>
      </c>
      <c r="O2961" t="inlineStr">
        <is>
          <t>eng</t>
        </is>
      </c>
      <c r="P2961" t="inlineStr">
        <is>
          <t>cau</t>
        </is>
      </c>
      <c r="R2961" t="inlineStr">
        <is>
          <t xml:space="preserve">HQ </t>
        </is>
      </c>
      <c r="S2961" t="n">
        <v>18</v>
      </c>
      <c r="T2961" t="n">
        <v>18</v>
      </c>
      <c r="U2961" t="inlineStr">
        <is>
          <t>2002-11-11</t>
        </is>
      </c>
      <c r="V2961" t="inlineStr">
        <is>
          <t>2002-11-11</t>
        </is>
      </c>
      <c r="W2961" t="inlineStr">
        <is>
          <t>1991-12-05</t>
        </is>
      </c>
      <c r="X2961" t="inlineStr">
        <is>
          <t>1991-12-05</t>
        </is>
      </c>
      <c r="Y2961" t="n">
        <v>586</v>
      </c>
      <c r="Z2961" t="n">
        <v>472</v>
      </c>
      <c r="AA2961" t="n">
        <v>479</v>
      </c>
      <c r="AB2961" t="n">
        <v>5</v>
      </c>
      <c r="AC2961" t="n">
        <v>5</v>
      </c>
      <c r="AD2961" t="n">
        <v>30</v>
      </c>
      <c r="AE2961" t="n">
        <v>30</v>
      </c>
      <c r="AF2961" t="n">
        <v>7</v>
      </c>
      <c r="AG2961" t="n">
        <v>7</v>
      </c>
      <c r="AH2961" t="n">
        <v>6</v>
      </c>
      <c r="AI2961" t="n">
        <v>6</v>
      </c>
      <c r="AJ2961" t="n">
        <v>13</v>
      </c>
      <c r="AK2961" t="n">
        <v>13</v>
      </c>
      <c r="AL2961" t="n">
        <v>4</v>
      </c>
      <c r="AM2961" t="n">
        <v>4</v>
      </c>
      <c r="AN2961" t="n">
        <v>7</v>
      </c>
      <c r="AO2961" t="n">
        <v>7</v>
      </c>
      <c r="AP2961" t="inlineStr">
        <is>
          <t>No</t>
        </is>
      </c>
      <c r="AQ2961" t="inlineStr">
        <is>
          <t>Yes</t>
        </is>
      </c>
      <c r="AR2961">
        <f>HYPERLINK("http://catalog.hathitrust.org/Record/000928437","HathiTrust Record")</f>
        <v/>
      </c>
      <c r="AS2961">
        <f>HYPERLINK("https://creighton-primo.hosted.exlibrisgroup.com/primo-explore/search?tab=default_tab&amp;search_scope=EVERYTHING&amp;vid=01CRU&amp;lang=en_US&amp;offset=0&amp;query=any,contains,991000868579702656","Catalog Record")</f>
        <v/>
      </c>
      <c r="AT2961">
        <f>HYPERLINK("http://www.worldcat.org/oclc/13762031","WorldCat Record")</f>
        <v/>
      </c>
      <c r="AU2961" t="inlineStr">
        <is>
          <t>7070531:eng</t>
        </is>
      </c>
      <c r="AV2961" t="inlineStr">
        <is>
          <t>13762031</t>
        </is>
      </c>
      <c r="AW2961" t="inlineStr">
        <is>
          <t>991000868579702656</t>
        </is>
      </c>
      <c r="AX2961" t="inlineStr">
        <is>
          <t>991000868579702656</t>
        </is>
      </c>
      <c r="AY2961" t="inlineStr">
        <is>
          <t>2268290590002656</t>
        </is>
      </c>
      <c r="AZ2961" t="inlineStr">
        <is>
          <t>BOOK</t>
        </is>
      </c>
      <c r="BB2961" t="inlineStr">
        <is>
          <t>9780803925878</t>
        </is>
      </c>
      <c r="BC2961" t="inlineStr">
        <is>
          <t>32285000848217</t>
        </is>
      </c>
      <c r="BD2961" t="inlineStr">
        <is>
          <t>893778317</t>
        </is>
      </c>
    </row>
    <row r="2962">
      <c r="A2962" t="inlineStr">
        <is>
          <t>No</t>
        </is>
      </c>
      <c r="B2962" t="inlineStr">
        <is>
          <t>HQ809.3.U5 C67 1988</t>
        </is>
      </c>
      <c r="C2962" t="inlineStr">
        <is>
          <t>0                      HQ 0809300U  5                  C  67          1988</t>
        </is>
      </c>
      <c r="D2962" t="inlineStr">
        <is>
          <t>Coping with family violence : research and policy perspectives / Gerald T. Hotaling ... [et al.].</t>
        </is>
      </c>
      <c r="F2962" t="inlineStr">
        <is>
          <t>No</t>
        </is>
      </c>
      <c r="G2962" t="inlineStr">
        <is>
          <t>1</t>
        </is>
      </c>
      <c r="H2962" t="inlineStr">
        <is>
          <t>No</t>
        </is>
      </c>
      <c r="I2962" t="inlineStr">
        <is>
          <t>No</t>
        </is>
      </c>
      <c r="J2962" t="inlineStr">
        <is>
          <t>0</t>
        </is>
      </c>
      <c r="L2962" t="inlineStr">
        <is>
          <t>Newbury Park, Calif. : Sage Publications, c1988.</t>
        </is>
      </c>
      <c r="M2962" t="inlineStr">
        <is>
          <t>1988</t>
        </is>
      </c>
      <c r="O2962" t="inlineStr">
        <is>
          <t>eng</t>
        </is>
      </c>
      <c r="P2962" t="inlineStr">
        <is>
          <t>cau</t>
        </is>
      </c>
      <c r="R2962" t="inlineStr">
        <is>
          <t xml:space="preserve">HQ </t>
        </is>
      </c>
      <c r="S2962" t="n">
        <v>12</v>
      </c>
      <c r="T2962" t="n">
        <v>12</v>
      </c>
      <c r="U2962" t="inlineStr">
        <is>
          <t>1999-06-04</t>
        </is>
      </c>
      <c r="V2962" t="inlineStr">
        <is>
          <t>1999-06-04</t>
        </is>
      </c>
      <c r="W2962" t="inlineStr">
        <is>
          <t>1990-02-22</t>
        </is>
      </c>
      <c r="X2962" t="inlineStr">
        <is>
          <t>1990-02-22</t>
        </is>
      </c>
      <c r="Y2962" t="n">
        <v>452</v>
      </c>
      <c r="Z2962" t="n">
        <v>342</v>
      </c>
      <c r="AA2962" t="n">
        <v>346</v>
      </c>
      <c r="AB2962" t="n">
        <v>6</v>
      </c>
      <c r="AC2962" t="n">
        <v>6</v>
      </c>
      <c r="AD2962" t="n">
        <v>22</v>
      </c>
      <c r="AE2962" t="n">
        <v>22</v>
      </c>
      <c r="AF2962" t="n">
        <v>5</v>
      </c>
      <c r="AG2962" t="n">
        <v>5</v>
      </c>
      <c r="AH2962" t="n">
        <v>4</v>
      </c>
      <c r="AI2962" t="n">
        <v>4</v>
      </c>
      <c r="AJ2962" t="n">
        <v>10</v>
      </c>
      <c r="AK2962" t="n">
        <v>10</v>
      </c>
      <c r="AL2962" t="n">
        <v>5</v>
      </c>
      <c r="AM2962" t="n">
        <v>5</v>
      </c>
      <c r="AN2962" t="n">
        <v>1</v>
      </c>
      <c r="AO2962" t="n">
        <v>1</v>
      </c>
      <c r="AP2962" t="inlineStr">
        <is>
          <t>No</t>
        </is>
      </c>
      <c r="AQ2962" t="inlineStr">
        <is>
          <t>Yes</t>
        </is>
      </c>
      <c r="AR2962">
        <f>HYPERLINK("http://catalog.hathitrust.org/Record/000947485","HathiTrust Record")</f>
        <v/>
      </c>
      <c r="AS2962">
        <f>HYPERLINK("https://creighton-primo.hosted.exlibrisgroup.com/primo-explore/search?tab=default_tab&amp;search_scope=EVERYTHING&amp;vid=01CRU&amp;lang=en_US&amp;offset=0&amp;query=any,contains,991001215279702656","Catalog Record")</f>
        <v/>
      </c>
      <c r="AT2962">
        <f>HYPERLINK("http://www.worldcat.org/oclc/17413509","WorldCat Record")</f>
        <v/>
      </c>
      <c r="AU2962" t="inlineStr">
        <is>
          <t>836756544:eng</t>
        </is>
      </c>
      <c r="AV2962" t="inlineStr">
        <is>
          <t>17413509</t>
        </is>
      </c>
      <c r="AW2962" t="inlineStr">
        <is>
          <t>991001215279702656</t>
        </is>
      </c>
      <c r="AX2962" t="inlineStr">
        <is>
          <t>991001215279702656</t>
        </is>
      </c>
      <c r="AY2962" t="inlineStr">
        <is>
          <t>2265161900002656</t>
        </is>
      </c>
      <c r="AZ2962" t="inlineStr">
        <is>
          <t>BOOK</t>
        </is>
      </c>
      <c r="BB2962" t="inlineStr">
        <is>
          <t>9780803927230</t>
        </is>
      </c>
      <c r="BC2962" t="inlineStr">
        <is>
          <t>32285000049139</t>
        </is>
      </c>
      <c r="BD2962" t="inlineStr">
        <is>
          <t>893696572</t>
        </is>
      </c>
    </row>
    <row r="2963">
      <c r="A2963" t="inlineStr">
        <is>
          <t>No</t>
        </is>
      </c>
      <c r="B2963" t="inlineStr">
        <is>
          <t>HQ809.3.U5 D37 1983</t>
        </is>
      </c>
      <c r="C2963" t="inlineStr">
        <is>
          <t>0                      HQ 0809300U  5                  D  37          1983</t>
        </is>
      </c>
      <c r="D2963" t="inlineStr">
        <is>
          <t>The Dark side of families : current family violence research / edited by David Finkelhor ... [et al.].</t>
        </is>
      </c>
      <c r="F2963" t="inlineStr">
        <is>
          <t>No</t>
        </is>
      </c>
      <c r="G2963" t="inlineStr">
        <is>
          <t>1</t>
        </is>
      </c>
      <c r="H2963" t="inlineStr">
        <is>
          <t>No</t>
        </is>
      </c>
      <c r="I2963" t="inlineStr">
        <is>
          <t>No</t>
        </is>
      </c>
      <c r="J2963" t="inlineStr">
        <is>
          <t>0</t>
        </is>
      </c>
      <c r="L2963" t="inlineStr">
        <is>
          <t>Beverly Hills : Sage Publications, c1983.</t>
        </is>
      </c>
      <c r="M2963" t="inlineStr">
        <is>
          <t>1983</t>
        </is>
      </c>
      <c r="O2963" t="inlineStr">
        <is>
          <t>eng</t>
        </is>
      </c>
      <c r="P2963" t="inlineStr">
        <is>
          <t>cau</t>
        </is>
      </c>
      <c r="R2963" t="inlineStr">
        <is>
          <t xml:space="preserve">HQ </t>
        </is>
      </c>
      <c r="S2963" t="n">
        <v>21</v>
      </c>
      <c r="T2963" t="n">
        <v>21</v>
      </c>
      <c r="U2963" t="inlineStr">
        <is>
          <t>2003-10-08</t>
        </is>
      </c>
      <c r="V2963" t="inlineStr">
        <is>
          <t>2003-10-08</t>
        </is>
      </c>
      <c r="W2963" t="inlineStr">
        <is>
          <t>1990-03-06</t>
        </is>
      </c>
      <c r="X2963" t="inlineStr">
        <is>
          <t>1990-03-06</t>
        </is>
      </c>
      <c r="Y2963" t="n">
        <v>977</v>
      </c>
      <c r="Z2963" t="n">
        <v>803</v>
      </c>
      <c r="AA2963" t="n">
        <v>813</v>
      </c>
      <c r="AB2963" t="n">
        <v>8</v>
      </c>
      <c r="AC2963" t="n">
        <v>8</v>
      </c>
      <c r="AD2963" t="n">
        <v>38</v>
      </c>
      <c r="AE2963" t="n">
        <v>39</v>
      </c>
      <c r="AF2963" t="n">
        <v>13</v>
      </c>
      <c r="AG2963" t="n">
        <v>14</v>
      </c>
      <c r="AH2963" t="n">
        <v>7</v>
      </c>
      <c r="AI2963" t="n">
        <v>7</v>
      </c>
      <c r="AJ2963" t="n">
        <v>19</v>
      </c>
      <c r="AK2963" t="n">
        <v>20</v>
      </c>
      <c r="AL2963" t="n">
        <v>7</v>
      </c>
      <c r="AM2963" t="n">
        <v>7</v>
      </c>
      <c r="AN2963" t="n">
        <v>0</v>
      </c>
      <c r="AO2963" t="n">
        <v>0</v>
      </c>
      <c r="AP2963" t="inlineStr">
        <is>
          <t>No</t>
        </is>
      </c>
      <c r="AQ2963" t="inlineStr">
        <is>
          <t>Yes</t>
        </is>
      </c>
      <c r="AR2963">
        <f>HYPERLINK("http://catalog.hathitrust.org/Record/000152971","HathiTrust Record")</f>
        <v/>
      </c>
      <c r="AS2963">
        <f>HYPERLINK("https://creighton-primo.hosted.exlibrisgroup.com/primo-explore/search?tab=default_tab&amp;search_scope=EVERYTHING&amp;vid=01CRU&amp;lang=en_US&amp;offset=0&amp;query=any,contains,991000100179702656","Catalog Record")</f>
        <v/>
      </c>
      <c r="AT2963">
        <f>HYPERLINK("http://www.worldcat.org/oclc/8952234","WorldCat Record")</f>
        <v/>
      </c>
      <c r="AU2963" t="inlineStr">
        <is>
          <t>826571539:eng</t>
        </is>
      </c>
      <c r="AV2963" t="inlineStr">
        <is>
          <t>8952234</t>
        </is>
      </c>
      <c r="AW2963" t="inlineStr">
        <is>
          <t>991000100179702656</t>
        </is>
      </c>
      <c r="AX2963" t="inlineStr">
        <is>
          <t>991000100179702656</t>
        </is>
      </c>
      <c r="AY2963" t="inlineStr">
        <is>
          <t>2271900430002656</t>
        </is>
      </c>
      <c r="AZ2963" t="inlineStr">
        <is>
          <t>BOOK</t>
        </is>
      </c>
      <c r="BB2963" t="inlineStr">
        <is>
          <t>9780803919358</t>
        </is>
      </c>
      <c r="BC2963" t="inlineStr">
        <is>
          <t>32285000065424</t>
        </is>
      </c>
      <c r="BD2963" t="inlineStr">
        <is>
          <t>893865084</t>
        </is>
      </c>
    </row>
    <row r="2964">
      <c r="A2964" t="inlineStr">
        <is>
          <t>No</t>
        </is>
      </c>
      <c r="B2964" t="inlineStr">
        <is>
          <t>HQ809.3.U5 F33 1988</t>
        </is>
      </c>
      <c r="C2964" t="inlineStr">
        <is>
          <t>0                      HQ 0809300U  5                  F  33          1988</t>
        </is>
      </c>
      <c r="D2964" t="inlineStr">
        <is>
          <t>Family abuse and its consequences : new directions in research / Gerald T. Hotaling ... [et al.], editors.</t>
        </is>
      </c>
      <c r="F2964" t="inlineStr">
        <is>
          <t>No</t>
        </is>
      </c>
      <c r="G2964" t="inlineStr">
        <is>
          <t>1</t>
        </is>
      </c>
      <c r="H2964" t="inlineStr">
        <is>
          <t>No</t>
        </is>
      </c>
      <c r="I2964" t="inlineStr">
        <is>
          <t>No</t>
        </is>
      </c>
      <c r="J2964" t="inlineStr">
        <is>
          <t>0</t>
        </is>
      </c>
      <c r="L2964" t="inlineStr">
        <is>
          <t>Newbury Park : Sage Publications, c1988.</t>
        </is>
      </c>
      <c r="M2964" t="inlineStr">
        <is>
          <t>1988</t>
        </is>
      </c>
      <c r="O2964" t="inlineStr">
        <is>
          <t>eng</t>
        </is>
      </c>
      <c r="P2964" t="inlineStr">
        <is>
          <t>cau</t>
        </is>
      </c>
      <c r="R2964" t="inlineStr">
        <is>
          <t xml:space="preserve">HQ </t>
        </is>
      </c>
      <c r="S2964" t="n">
        <v>19</v>
      </c>
      <c r="T2964" t="n">
        <v>19</v>
      </c>
      <c r="U2964" t="inlineStr">
        <is>
          <t>1999-09-27</t>
        </is>
      </c>
      <c r="V2964" t="inlineStr">
        <is>
          <t>1999-09-27</t>
        </is>
      </c>
      <c r="W2964" t="inlineStr">
        <is>
          <t>1992-03-23</t>
        </is>
      </c>
      <c r="X2964" t="inlineStr">
        <is>
          <t>1992-03-23</t>
        </is>
      </c>
      <c r="Y2964" t="n">
        <v>472</v>
      </c>
      <c r="Z2964" t="n">
        <v>358</v>
      </c>
      <c r="AA2964" t="n">
        <v>366</v>
      </c>
      <c r="AB2964" t="n">
        <v>4</v>
      </c>
      <c r="AC2964" t="n">
        <v>4</v>
      </c>
      <c r="AD2964" t="n">
        <v>14</v>
      </c>
      <c r="AE2964" t="n">
        <v>14</v>
      </c>
      <c r="AF2964" t="n">
        <v>5</v>
      </c>
      <c r="AG2964" t="n">
        <v>5</v>
      </c>
      <c r="AH2964" t="n">
        <v>1</v>
      </c>
      <c r="AI2964" t="n">
        <v>1</v>
      </c>
      <c r="AJ2964" t="n">
        <v>8</v>
      </c>
      <c r="AK2964" t="n">
        <v>8</v>
      </c>
      <c r="AL2964" t="n">
        <v>3</v>
      </c>
      <c r="AM2964" t="n">
        <v>3</v>
      </c>
      <c r="AN2964" t="n">
        <v>0</v>
      </c>
      <c r="AO2964" t="n">
        <v>0</v>
      </c>
      <c r="AP2964" t="inlineStr">
        <is>
          <t>No</t>
        </is>
      </c>
      <c r="AQ2964" t="inlineStr">
        <is>
          <t>No</t>
        </is>
      </c>
      <c r="AS2964">
        <f>HYPERLINK("https://creighton-primo.hosted.exlibrisgroup.com/primo-explore/search?tab=default_tab&amp;search_scope=EVERYTHING&amp;vid=01CRU&amp;lang=en_US&amp;offset=0&amp;query=any,contains,991001218099702656","Catalog Record")</f>
        <v/>
      </c>
      <c r="AT2964">
        <f>HYPERLINK("http://www.worldcat.org/oclc/17440781","WorldCat Record")</f>
        <v/>
      </c>
      <c r="AU2964" t="inlineStr">
        <is>
          <t>836757975:eng</t>
        </is>
      </c>
      <c r="AV2964" t="inlineStr">
        <is>
          <t>17440781</t>
        </is>
      </c>
      <c r="AW2964" t="inlineStr">
        <is>
          <t>991001218099702656</t>
        </is>
      </c>
      <c r="AX2964" t="inlineStr">
        <is>
          <t>991001218099702656</t>
        </is>
      </c>
      <c r="AY2964" t="inlineStr">
        <is>
          <t>2256467280002656</t>
        </is>
      </c>
      <c r="AZ2964" t="inlineStr">
        <is>
          <t>BOOK</t>
        </is>
      </c>
      <c r="BB2964" t="inlineStr">
        <is>
          <t>9780803927216</t>
        </is>
      </c>
      <c r="BC2964" t="inlineStr">
        <is>
          <t>32285001027928</t>
        </is>
      </c>
      <c r="BD2964" t="inlineStr">
        <is>
          <t>893690441</t>
        </is>
      </c>
    </row>
    <row r="2965">
      <c r="A2965" t="inlineStr">
        <is>
          <t>No</t>
        </is>
      </c>
      <c r="B2965" t="inlineStr">
        <is>
          <t>HQ809.3.U5 F347 1990</t>
        </is>
      </c>
      <c r="C2965" t="inlineStr">
        <is>
          <t>0                      HQ 0809300U  5                  F  347         1990</t>
        </is>
      </c>
      <c r="D2965" t="inlineStr">
        <is>
          <t>Family violence : research and public policy issues / edited by Douglas J. Besharov.</t>
        </is>
      </c>
      <c r="F2965" t="inlineStr">
        <is>
          <t>No</t>
        </is>
      </c>
      <c r="G2965" t="inlineStr">
        <is>
          <t>1</t>
        </is>
      </c>
      <c r="H2965" t="inlineStr">
        <is>
          <t>No</t>
        </is>
      </c>
      <c r="I2965" t="inlineStr">
        <is>
          <t>No</t>
        </is>
      </c>
      <c r="J2965" t="inlineStr">
        <is>
          <t>0</t>
        </is>
      </c>
      <c r="L2965" t="inlineStr">
        <is>
          <t>Washington, D.C. : AEI Press ; Lanham, Md. : Distributed by arrangement with University Press of America, c1990.</t>
        </is>
      </c>
      <c r="M2965" t="inlineStr">
        <is>
          <t>1990</t>
        </is>
      </c>
      <c r="O2965" t="inlineStr">
        <is>
          <t>eng</t>
        </is>
      </c>
      <c r="P2965" t="inlineStr">
        <is>
          <t>dcu</t>
        </is>
      </c>
      <c r="Q2965" t="inlineStr">
        <is>
          <t>AEI studies ; 500</t>
        </is>
      </c>
      <c r="R2965" t="inlineStr">
        <is>
          <t xml:space="preserve">HQ </t>
        </is>
      </c>
      <c r="S2965" t="n">
        <v>11</v>
      </c>
      <c r="T2965" t="n">
        <v>11</v>
      </c>
      <c r="U2965" t="inlineStr">
        <is>
          <t>1995-11-09</t>
        </is>
      </c>
      <c r="V2965" t="inlineStr">
        <is>
          <t>1995-11-09</t>
        </is>
      </c>
      <c r="W2965" t="inlineStr">
        <is>
          <t>1991-07-03</t>
        </is>
      </c>
      <c r="X2965" t="inlineStr">
        <is>
          <t>1991-07-03</t>
        </is>
      </c>
      <c r="Y2965" t="n">
        <v>509</v>
      </c>
      <c r="Z2965" t="n">
        <v>442</v>
      </c>
      <c r="AA2965" t="n">
        <v>466</v>
      </c>
      <c r="AB2965" t="n">
        <v>4</v>
      </c>
      <c r="AC2965" t="n">
        <v>4</v>
      </c>
      <c r="AD2965" t="n">
        <v>25</v>
      </c>
      <c r="AE2965" t="n">
        <v>25</v>
      </c>
      <c r="AF2965" t="n">
        <v>7</v>
      </c>
      <c r="AG2965" t="n">
        <v>7</v>
      </c>
      <c r="AH2965" t="n">
        <v>5</v>
      </c>
      <c r="AI2965" t="n">
        <v>5</v>
      </c>
      <c r="AJ2965" t="n">
        <v>13</v>
      </c>
      <c r="AK2965" t="n">
        <v>13</v>
      </c>
      <c r="AL2965" t="n">
        <v>3</v>
      </c>
      <c r="AM2965" t="n">
        <v>3</v>
      </c>
      <c r="AN2965" t="n">
        <v>4</v>
      </c>
      <c r="AO2965" t="n">
        <v>4</v>
      </c>
      <c r="AP2965" t="inlineStr">
        <is>
          <t>No</t>
        </is>
      </c>
      <c r="AQ2965" t="inlineStr">
        <is>
          <t>Yes</t>
        </is>
      </c>
      <c r="AR2965">
        <f>HYPERLINK("http://catalog.hathitrust.org/Record/002237960","HathiTrust Record")</f>
        <v/>
      </c>
      <c r="AS2965">
        <f>HYPERLINK("https://creighton-primo.hosted.exlibrisgroup.com/primo-explore/search?tab=default_tab&amp;search_scope=EVERYTHING&amp;vid=01CRU&amp;lang=en_US&amp;offset=0&amp;query=any,contains,991001612079702656","Catalog Record")</f>
        <v/>
      </c>
      <c r="AT2965">
        <f>HYPERLINK("http://www.worldcat.org/oclc/20753411","WorldCat Record")</f>
        <v/>
      </c>
      <c r="AU2965" t="inlineStr">
        <is>
          <t>836757318:eng</t>
        </is>
      </c>
      <c r="AV2965" t="inlineStr">
        <is>
          <t>20753411</t>
        </is>
      </c>
      <c r="AW2965" t="inlineStr">
        <is>
          <t>991001612079702656</t>
        </is>
      </c>
      <c r="AX2965" t="inlineStr">
        <is>
          <t>991001612079702656</t>
        </is>
      </c>
      <c r="AY2965" t="inlineStr">
        <is>
          <t>2262465390002656</t>
        </is>
      </c>
      <c r="AZ2965" t="inlineStr">
        <is>
          <t>BOOK</t>
        </is>
      </c>
      <c r="BB2965" t="inlineStr">
        <is>
          <t>9780844737089</t>
        </is>
      </c>
      <c r="BC2965" t="inlineStr">
        <is>
          <t>32285000659416</t>
        </is>
      </c>
      <c r="BD2965" t="inlineStr">
        <is>
          <t>893891674</t>
        </is>
      </c>
    </row>
    <row r="2966">
      <c r="A2966" t="inlineStr">
        <is>
          <t>No</t>
        </is>
      </c>
      <c r="B2966" t="inlineStr">
        <is>
          <t>HQ809.3.U5 F36 1989</t>
        </is>
      </c>
      <c r="C2966" t="inlineStr">
        <is>
          <t>0                      HQ 0809300U  5                  F  36          1989</t>
        </is>
      </c>
      <c r="D2966" t="inlineStr">
        <is>
          <t>Family violence / edited by Lloyd Ohlin and Michael Tonry.</t>
        </is>
      </c>
      <c r="E2966" t="inlineStr">
        <is>
          <t>V. 11</t>
        </is>
      </c>
      <c r="F2966" t="inlineStr">
        <is>
          <t>No</t>
        </is>
      </c>
      <c r="G2966" t="inlineStr">
        <is>
          <t>1</t>
        </is>
      </c>
      <c r="H2966" t="inlineStr">
        <is>
          <t>No</t>
        </is>
      </c>
      <c r="I2966" t="inlineStr">
        <is>
          <t>No</t>
        </is>
      </c>
      <c r="J2966" t="inlineStr">
        <is>
          <t>0</t>
        </is>
      </c>
      <c r="L2966" t="inlineStr">
        <is>
          <t>Chicago : University of Chicago Press, c1989.</t>
        </is>
      </c>
      <c r="M2966" t="inlineStr">
        <is>
          <t>1989</t>
        </is>
      </c>
      <c r="O2966" t="inlineStr">
        <is>
          <t>eng</t>
        </is>
      </c>
      <c r="P2966" t="inlineStr">
        <is>
          <t>ilu</t>
        </is>
      </c>
      <c r="Q2966" t="inlineStr">
        <is>
          <t>Crime and justice : a review of research, 0192-3234 ; v. 11</t>
        </is>
      </c>
      <c r="R2966" t="inlineStr">
        <is>
          <t xml:space="preserve">HQ </t>
        </is>
      </c>
      <c r="S2966" t="n">
        <v>1</v>
      </c>
      <c r="T2966" t="n">
        <v>2</v>
      </c>
      <c r="V2966" t="inlineStr">
        <is>
          <t>1994-11-01</t>
        </is>
      </c>
      <c r="W2966" t="inlineStr">
        <is>
          <t>2000-02-29</t>
        </is>
      </c>
      <c r="X2966" t="inlineStr">
        <is>
          <t>2000-02-29</t>
        </is>
      </c>
      <c r="Y2966" t="n">
        <v>580</v>
      </c>
      <c r="Z2966" t="n">
        <v>469</v>
      </c>
      <c r="AA2966" t="n">
        <v>483</v>
      </c>
      <c r="AB2966" t="n">
        <v>6</v>
      </c>
      <c r="AC2966" t="n">
        <v>6</v>
      </c>
      <c r="AD2966" t="n">
        <v>28</v>
      </c>
      <c r="AE2966" t="n">
        <v>29</v>
      </c>
      <c r="AF2966" t="n">
        <v>5</v>
      </c>
      <c r="AG2966" t="n">
        <v>6</v>
      </c>
      <c r="AH2966" t="n">
        <v>5</v>
      </c>
      <c r="AI2966" t="n">
        <v>5</v>
      </c>
      <c r="AJ2966" t="n">
        <v>10</v>
      </c>
      <c r="AK2966" t="n">
        <v>10</v>
      </c>
      <c r="AL2966" t="n">
        <v>4</v>
      </c>
      <c r="AM2966" t="n">
        <v>4</v>
      </c>
      <c r="AN2966" t="n">
        <v>9</v>
      </c>
      <c r="AO2966" t="n">
        <v>9</v>
      </c>
      <c r="AP2966" t="inlineStr">
        <is>
          <t>No</t>
        </is>
      </c>
      <c r="AQ2966" t="inlineStr">
        <is>
          <t>No</t>
        </is>
      </c>
      <c r="AS2966">
        <f>HYPERLINK("https://creighton-primo.hosted.exlibrisgroup.com/primo-explore/search?tab=default_tab&amp;search_scope=EVERYTHING&amp;vid=01CRU&amp;lang=en_US&amp;offset=0&amp;query=any,contains,991001639289702656","Catalog Record")</f>
        <v/>
      </c>
      <c r="AT2966">
        <f>HYPERLINK("http://www.worldcat.org/oclc/18106203","WorldCat Record")</f>
        <v/>
      </c>
      <c r="AU2966" t="inlineStr">
        <is>
          <t>364221965:eng</t>
        </is>
      </c>
      <c r="AV2966" t="inlineStr">
        <is>
          <t>18106203</t>
        </is>
      </c>
      <c r="AW2966" t="inlineStr">
        <is>
          <t>991001639289702656</t>
        </is>
      </c>
      <c r="AX2966" t="inlineStr">
        <is>
          <t>991001639289702656</t>
        </is>
      </c>
      <c r="AY2966" t="inlineStr">
        <is>
          <t>2257748760002656</t>
        </is>
      </c>
      <c r="AZ2966" t="inlineStr">
        <is>
          <t>BOOK</t>
        </is>
      </c>
      <c r="BB2966" t="inlineStr">
        <is>
          <t>9780226808062</t>
        </is>
      </c>
      <c r="BC2966" t="inlineStr">
        <is>
          <t>32285003665618</t>
        </is>
      </c>
      <c r="BD2966" t="inlineStr">
        <is>
          <t>893414357</t>
        </is>
      </c>
    </row>
    <row r="2967">
      <c r="A2967" t="inlineStr">
        <is>
          <t>No</t>
        </is>
      </c>
      <c r="B2967" t="inlineStr">
        <is>
          <t>HQ809.3.U5 F45 1996</t>
        </is>
      </c>
      <c r="C2967" t="inlineStr">
        <is>
          <t>0                      HQ 0809300U  5                  F  45          1996</t>
        </is>
      </c>
      <c r="D2967" t="inlineStr">
        <is>
          <t>Getting away with murder : weapons for the war against domestic violence / Raoul Felder and Barbara Victor.</t>
        </is>
      </c>
      <c r="F2967" t="inlineStr">
        <is>
          <t>No</t>
        </is>
      </c>
      <c r="G2967" t="inlineStr">
        <is>
          <t>1</t>
        </is>
      </c>
      <c r="H2967" t="inlineStr">
        <is>
          <t>No</t>
        </is>
      </c>
      <c r="I2967" t="inlineStr">
        <is>
          <t>No</t>
        </is>
      </c>
      <c r="J2967" t="inlineStr">
        <is>
          <t>0</t>
        </is>
      </c>
      <c r="K2967" t="inlineStr">
        <is>
          <t>Felder, Raoul Lionel, 1934-</t>
        </is>
      </c>
      <c r="L2967" t="inlineStr">
        <is>
          <t>New York : Simon &amp; Schuster, c1996.</t>
        </is>
      </c>
      <c r="M2967" t="inlineStr">
        <is>
          <t>1996</t>
        </is>
      </c>
      <c r="O2967" t="inlineStr">
        <is>
          <t>eng</t>
        </is>
      </c>
      <c r="P2967" t="inlineStr">
        <is>
          <t>nyu</t>
        </is>
      </c>
      <c r="R2967" t="inlineStr">
        <is>
          <t xml:space="preserve">HQ </t>
        </is>
      </c>
      <c r="S2967" t="n">
        <v>2</v>
      </c>
      <c r="T2967" t="n">
        <v>2</v>
      </c>
      <c r="U2967" t="inlineStr">
        <is>
          <t>1997-11-18</t>
        </is>
      </c>
      <c r="V2967" t="inlineStr">
        <is>
          <t>1997-11-18</t>
        </is>
      </c>
      <c r="W2967" t="inlineStr">
        <is>
          <t>1996-05-08</t>
        </is>
      </c>
      <c r="X2967" t="inlineStr">
        <is>
          <t>1996-05-08</t>
        </is>
      </c>
      <c r="Y2967" t="n">
        <v>574</v>
      </c>
      <c r="Z2967" t="n">
        <v>544</v>
      </c>
      <c r="AA2967" t="n">
        <v>580</v>
      </c>
      <c r="AB2967" t="n">
        <v>5</v>
      </c>
      <c r="AC2967" t="n">
        <v>6</v>
      </c>
      <c r="AD2967" t="n">
        <v>21</v>
      </c>
      <c r="AE2967" t="n">
        <v>22</v>
      </c>
      <c r="AF2967" t="n">
        <v>3</v>
      </c>
      <c r="AG2967" t="n">
        <v>3</v>
      </c>
      <c r="AH2967" t="n">
        <v>5</v>
      </c>
      <c r="AI2967" t="n">
        <v>5</v>
      </c>
      <c r="AJ2967" t="n">
        <v>9</v>
      </c>
      <c r="AK2967" t="n">
        <v>9</v>
      </c>
      <c r="AL2967" t="n">
        <v>3</v>
      </c>
      <c r="AM2967" t="n">
        <v>4</v>
      </c>
      <c r="AN2967" t="n">
        <v>5</v>
      </c>
      <c r="AO2967" t="n">
        <v>5</v>
      </c>
      <c r="AP2967" t="inlineStr">
        <is>
          <t>No</t>
        </is>
      </c>
      <c r="AQ2967" t="inlineStr">
        <is>
          <t>Yes</t>
        </is>
      </c>
      <c r="AR2967">
        <f>HYPERLINK("http://catalog.hathitrust.org/Record/007131691","HathiTrust Record")</f>
        <v/>
      </c>
      <c r="AS2967">
        <f>HYPERLINK("https://creighton-primo.hosted.exlibrisgroup.com/primo-explore/search?tab=default_tab&amp;search_scope=EVERYTHING&amp;vid=01CRU&amp;lang=en_US&amp;offset=0&amp;query=any,contains,991002600069702656","Catalog Record")</f>
        <v/>
      </c>
      <c r="AT2967">
        <f>HYPERLINK("http://www.worldcat.org/oclc/34076458","WorldCat Record")</f>
        <v/>
      </c>
      <c r="AU2967" t="inlineStr">
        <is>
          <t>572385:eng</t>
        </is>
      </c>
      <c r="AV2967" t="inlineStr">
        <is>
          <t>34076458</t>
        </is>
      </c>
      <c r="AW2967" t="inlineStr">
        <is>
          <t>991002600069702656</t>
        </is>
      </c>
      <c r="AX2967" t="inlineStr">
        <is>
          <t>991002600069702656</t>
        </is>
      </c>
      <c r="AY2967" t="inlineStr">
        <is>
          <t>2269768070002656</t>
        </is>
      </c>
      <c r="AZ2967" t="inlineStr">
        <is>
          <t>BOOK</t>
        </is>
      </c>
      <c r="BB2967" t="inlineStr">
        <is>
          <t>9780684813622</t>
        </is>
      </c>
      <c r="BC2967" t="inlineStr">
        <is>
          <t>32285002165453</t>
        </is>
      </c>
      <c r="BD2967" t="inlineStr">
        <is>
          <t>893341612</t>
        </is>
      </c>
    </row>
    <row r="2968">
      <c r="A2968" t="inlineStr">
        <is>
          <t>No</t>
        </is>
      </c>
      <c r="B2968" t="inlineStr">
        <is>
          <t>HQ809.3.U5 G44 1987</t>
        </is>
      </c>
      <c r="C2968" t="inlineStr">
        <is>
          <t>0                      HQ 0809300U  5                  G  44          1987</t>
        </is>
      </c>
      <c r="D2968" t="inlineStr">
        <is>
          <t>Family violence / Richard J. Gelles.</t>
        </is>
      </c>
      <c r="F2968" t="inlineStr">
        <is>
          <t>No</t>
        </is>
      </c>
      <c r="G2968" t="inlineStr">
        <is>
          <t>1</t>
        </is>
      </c>
      <c r="H2968" t="inlineStr">
        <is>
          <t>No</t>
        </is>
      </c>
      <c r="I2968" t="inlineStr">
        <is>
          <t>Yes</t>
        </is>
      </c>
      <c r="J2968" t="inlineStr">
        <is>
          <t>0</t>
        </is>
      </c>
      <c r="K2968" t="inlineStr">
        <is>
          <t>Gelles, Richard J.</t>
        </is>
      </c>
      <c r="L2968" t="inlineStr">
        <is>
          <t>Newbury Park : Sage Publications, c1987.</t>
        </is>
      </c>
      <c r="M2968" t="inlineStr">
        <is>
          <t>1987</t>
        </is>
      </c>
      <c r="N2968" t="inlineStr">
        <is>
          <t>2nd ed.</t>
        </is>
      </c>
      <c r="O2968" t="inlineStr">
        <is>
          <t>eng</t>
        </is>
      </c>
      <c r="P2968" t="inlineStr">
        <is>
          <t>cau</t>
        </is>
      </c>
      <c r="Q2968" t="inlineStr">
        <is>
          <t>Sage library of social research ; v. 84</t>
        </is>
      </c>
      <c r="R2968" t="inlineStr">
        <is>
          <t xml:space="preserve">HQ </t>
        </is>
      </c>
      <c r="S2968" t="n">
        <v>16</v>
      </c>
      <c r="T2968" t="n">
        <v>16</v>
      </c>
      <c r="U2968" t="inlineStr">
        <is>
          <t>1995-04-11</t>
        </is>
      </c>
      <c r="V2968" t="inlineStr">
        <is>
          <t>1995-04-11</t>
        </is>
      </c>
      <c r="W2968" t="inlineStr">
        <is>
          <t>1989-12-08</t>
        </is>
      </c>
      <c r="X2968" t="inlineStr">
        <is>
          <t>1989-12-08</t>
        </is>
      </c>
      <c r="Y2968" t="n">
        <v>655</v>
      </c>
      <c r="Z2968" t="n">
        <v>490</v>
      </c>
      <c r="AA2968" t="n">
        <v>883</v>
      </c>
      <c r="AB2968" t="n">
        <v>7</v>
      </c>
      <c r="AC2968" t="n">
        <v>10</v>
      </c>
      <c r="AD2968" t="n">
        <v>26</v>
      </c>
      <c r="AE2968" t="n">
        <v>41</v>
      </c>
      <c r="AF2968" t="n">
        <v>8</v>
      </c>
      <c r="AG2968" t="n">
        <v>13</v>
      </c>
      <c r="AH2968" t="n">
        <v>4</v>
      </c>
      <c r="AI2968" t="n">
        <v>7</v>
      </c>
      <c r="AJ2968" t="n">
        <v>13</v>
      </c>
      <c r="AK2968" t="n">
        <v>18</v>
      </c>
      <c r="AL2968" t="n">
        <v>6</v>
      </c>
      <c r="AM2968" t="n">
        <v>7</v>
      </c>
      <c r="AN2968" t="n">
        <v>1</v>
      </c>
      <c r="AO2968" t="n">
        <v>6</v>
      </c>
      <c r="AP2968" t="inlineStr">
        <is>
          <t>No</t>
        </is>
      </c>
      <c r="AQ2968" t="inlineStr">
        <is>
          <t>Yes</t>
        </is>
      </c>
      <c r="AR2968">
        <f>HYPERLINK("http://catalog.hathitrust.org/Record/000900934","HathiTrust Record")</f>
        <v/>
      </c>
      <c r="AS2968">
        <f>HYPERLINK("https://creighton-primo.hosted.exlibrisgroup.com/primo-explore/search?tab=default_tab&amp;search_scope=EVERYTHING&amp;vid=01CRU&amp;lang=en_US&amp;offset=0&amp;query=any,contains,991001149079702656","Catalog Record")</f>
        <v/>
      </c>
      <c r="AT2968">
        <f>HYPERLINK("http://www.worldcat.org/oclc/16802199","WorldCat Record")</f>
        <v/>
      </c>
      <c r="AU2968" t="inlineStr">
        <is>
          <t>13109023:eng</t>
        </is>
      </c>
      <c r="AV2968" t="inlineStr">
        <is>
          <t>16802199</t>
        </is>
      </c>
      <c r="AW2968" t="inlineStr">
        <is>
          <t>991001149079702656</t>
        </is>
      </c>
      <c r="AX2968" t="inlineStr">
        <is>
          <t>991001149079702656</t>
        </is>
      </c>
      <c r="AY2968" t="inlineStr">
        <is>
          <t>2269531930002656</t>
        </is>
      </c>
      <c r="AZ2968" t="inlineStr">
        <is>
          <t>BOOK</t>
        </is>
      </c>
      <c r="BB2968" t="inlineStr">
        <is>
          <t>9780803928879</t>
        </is>
      </c>
      <c r="BC2968" t="inlineStr">
        <is>
          <t>32285000030253</t>
        </is>
      </c>
      <c r="BD2968" t="inlineStr">
        <is>
          <t>893315559</t>
        </is>
      </c>
    </row>
    <row r="2969">
      <c r="A2969" t="inlineStr">
        <is>
          <t>No</t>
        </is>
      </c>
      <c r="B2969" t="inlineStr">
        <is>
          <t>HQ809.3.U5 G4424 1988</t>
        </is>
      </c>
      <c r="C2969" t="inlineStr">
        <is>
          <t>0                      HQ 0809300U  5                  G  4424        1988</t>
        </is>
      </c>
      <c r="D2969" t="inlineStr">
        <is>
          <t>Intimate violence / Richard J. Gelles, Murray A. Straus.</t>
        </is>
      </c>
      <c r="F2969" t="inlineStr">
        <is>
          <t>No</t>
        </is>
      </c>
      <c r="G2969" t="inlineStr">
        <is>
          <t>1</t>
        </is>
      </c>
      <c r="H2969" t="inlineStr">
        <is>
          <t>No</t>
        </is>
      </c>
      <c r="I2969" t="inlineStr">
        <is>
          <t>No</t>
        </is>
      </c>
      <c r="J2969" t="inlineStr">
        <is>
          <t>0</t>
        </is>
      </c>
      <c r="K2969" t="inlineStr">
        <is>
          <t>Gelles, Richard J.</t>
        </is>
      </c>
      <c r="L2969" t="inlineStr">
        <is>
          <t>New York : Simon and Schuster, c1988.</t>
        </is>
      </c>
      <c r="M2969" t="inlineStr">
        <is>
          <t>1988</t>
        </is>
      </c>
      <c r="O2969" t="inlineStr">
        <is>
          <t>eng</t>
        </is>
      </c>
      <c r="P2969" t="inlineStr">
        <is>
          <t>nyu</t>
        </is>
      </c>
      <c r="R2969" t="inlineStr">
        <is>
          <t xml:space="preserve">HQ </t>
        </is>
      </c>
      <c r="S2969" t="n">
        <v>17</v>
      </c>
      <c r="T2969" t="n">
        <v>17</v>
      </c>
      <c r="U2969" t="inlineStr">
        <is>
          <t>2006-09-25</t>
        </is>
      </c>
      <c r="V2969" t="inlineStr">
        <is>
          <t>2006-09-25</t>
        </is>
      </c>
      <c r="W2969" t="inlineStr">
        <is>
          <t>1990-02-22</t>
        </is>
      </c>
      <c r="X2969" t="inlineStr">
        <is>
          <t>1990-02-22</t>
        </is>
      </c>
      <c r="Y2969" t="n">
        <v>1095</v>
      </c>
      <c r="Z2969" t="n">
        <v>1014</v>
      </c>
      <c r="AA2969" t="n">
        <v>1111</v>
      </c>
      <c r="AB2969" t="n">
        <v>9</v>
      </c>
      <c r="AC2969" t="n">
        <v>9</v>
      </c>
      <c r="AD2969" t="n">
        <v>28</v>
      </c>
      <c r="AE2969" t="n">
        <v>30</v>
      </c>
      <c r="AF2969" t="n">
        <v>11</v>
      </c>
      <c r="AG2969" t="n">
        <v>12</v>
      </c>
      <c r="AH2969" t="n">
        <v>5</v>
      </c>
      <c r="AI2969" t="n">
        <v>5</v>
      </c>
      <c r="AJ2969" t="n">
        <v>13</v>
      </c>
      <c r="AK2969" t="n">
        <v>14</v>
      </c>
      <c r="AL2969" t="n">
        <v>6</v>
      </c>
      <c r="AM2969" t="n">
        <v>6</v>
      </c>
      <c r="AN2969" t="n">
        <v>1</v>
      </c>
      <c r="AO2969" t="n">
        <v>1</v>
      </c>
      <c r="AP2969" t="inlineStr">
        <is>
          <t>No</t>
        </is>
      </c>
      <c r="AQ2969" t="inlineStr">
        <is>
          <t>Yes</t>
        </is>
      </c>
      <c r="AR2969">
        <f>HYPERLINK("http://catalog.hathitrust.org/Record/000920662","HathiTrust Record")</f>
        <v/>
      </c>
      <c r="AS2969">
        <f>HYPERLINK("https://creighton-primo.hosted.exlibrisgroup.com/primo-explore/search?tab=default_tab&amp;search_scope=EVERYTHING&amp;vid=01CRU&amp;lang=en_US&amp;offset=0&amp;query=any,contains,991001226599702656","Catalog Record")</f>
        <v/>
      </c>
      <c r="AT2969">
        <f>HYPERLINK("http://www.worldcat.org/oclc/17507994","WorldCat Record")</f>
        <v/>
      </c>
      <c r="AU2969" t="inlineStr">
        <is>
          <t>15517064:eng</t>
        </is>
      </c>
      <c r="AV2969" t="inlineStr">
        <is>
          <t>17507994</t>
        </is>
      </c>
      <c r="AW2969" t="inlineStr">
        <is>
          <t>991001226599702656</t>
        </is>
      </c>
      <c r="AX2969" t="inlineStr">
        <is>
          <t>991001226599702656</t>
        </is>
      </c>
      <c r="AY2969" t="inlineStr">
        <is>
          <t>2270971260002656</t>
        </is>
      </c>
      <c r="AZ2969" t="inlineStr">
        <is>
          <t>BOOK</t>
        </is>
      </c>
      <c r="BB2969" t="inlineStr">
        <is>
          <t>9780671617523</t>
        </is>
      </c>
      <c r="BC2969" t="inlineStr">
        <is>
          <t>32285000049147</t>
        </is>
      </c>
      <c r="BD2969" t="inlineStr">
        <is>
          <t>893866064</t>
        </is>
      </c>
    </row>
    <row r="2970">
      <c r="A2970" t="inlineStr">
        <is>
          <t>No</t>
        </is>
      </c>
      <c r="B2970" t="inlineStr">
        <is>
          <t>HQ809.3.U5 G443 1990</t>
        </is>
      </c>
      <c r="C2970" t="inlineStr">
        <is>
          <t>0                      HQ 0809300U  5                  G  443         1990</t>
        </is>
      </c>
      <c r="D2970" t="inlineStr">
        <is>
          <t>Intimate violence in families / Richard J. Gelles and Claire Pedrick Cornell.</t>
        </is>
      </c>
      <c r="F2970" t="inlineStr">
        <is>
          <t>No</t>
        </is>
      </c>
      <c r="G2970" t="inlineStr">
        <is>
          <t>1</t>
        </is>
      </c>
      <c r="H2970" t="inlineStr">
        <is>
          <t>Yes</t>
        </is>
      </c>
      <c r="I2970" t="inlineStr">
        <is>
          <t>No</t>
        </is>
      </c>
      <c r="J2970" t="inlineStr">
        <is>
          <t>0</t>
        </is>
      </c>
      <c r="K2970" t="inlineStr">
        <is>
          <t>Gelles, Richard J.</t>
        </is>
      </c>
      <c r="L2970" t="inlineStr">
        <is>
          <t>Newbury Park, Calif. : Sage Publications, 1990.</t>
        </is>
      </c>
      <c r="M2970" t="inlineStr">
        <is>
          <t>1990</t>
        </is>
      </c>
      <c r="N2970" t="inlineStr">
        <is>
          <t>2nd ed.</t>
        </is>
      </c>
      <c r="O2970" t="inlineStr">
        <is>
          <t>eng</t>
        </is>
      </c>
      <c r="P2970" t="inlineStr">
        <is>
          <t>cau</t>
        </is>
      </c>
      <c r="Q2970" t="inlineStr">
        <is>
          <t>Family studies text series ; v. 2</t>
        </is>
      </c>
      <c r="R2970" t="inlineStr">
        <is>
          <t xml:space="preserve">HQ </t>
        </is>
      </c>
      <c r="S2970" t="n">
        <v>34</v>
      </c>
      <c r="T2970" t="n">
        <v>35</v>
      </c>
      <c r="U2970" t="inlineStr">
        <is>
          <t>1997-02-19</t>
        </is>
      </c>
      <c r="V2970" t="inlineStr">
        <is>
          <t>1999-05-17</t>
        </is>
      </c>
      <c r="W2970" t="inlineStr">
        <is>
          <t>1990-11-05</t>
        </is>
      </c>
      <c r="X2970" t="inlineStr">
        <is>
          <t>1996-12-12</t>
        </is>
      </c>
      <c r="Y2970" t="n">
        <v>661</v>
      </c>
      <c r="Z2970" t="n">
        <v>536</v>
      </c>
      <c r="AA2970" t="n">
        <v>1113</v>
      </c>
      <c r="AB2970" t="n">
        <v>6</v>
      </c>
      <c r="AC2970" t="n">
        <v>12</v>
      </c>
      <c r="AD2970" t="n">
        <v>28</v>
      </c>
      <c r="AE2970" t="n">
        <v>53</v>
      </c>
      <c r="AF2970" t="n">
        <v>9</v>
      </c>
      <c r="AG2970" t="n">
        <v>21</v>
      </c>
      <c r="AH2970" t="n">
        <v>6</v>
      </c>
      <c r="AI2970" t="n">
        <v>9</v>
      </c>
      <c r="AJ2970" t="n">
        <v>16</v>
      </c>
      <c r="AK2970" t="n">
        <v>24</v>
      </c>
      <c r="AL2970" t="n">
        <v>4</v>
      </c>
      <c r="AM2970" t="n">
        <v>10</v>
      </c>
      <c r="AN2970" t="n">
        <v>2</v>
      </c>
      <c r="AO2970" t="n">
        <v>2</v>
      </c>
      <c r="AP2970" t="inlineStr">
        <is>
          <t>No</t>
        </is>
      </c>
      <c r="AQ2970" t="inlineStr">
        <is>
          <t>Yes</t>
        </is>
      </c>
      <c r="AR2970">
        <f>HYPERLINK("http://catalog.hathitrust.org/Record/002231813","HathiTrust Record")</f>
        <v/>
      </c>
      <c r="AS2970">
        <f>HYPERLINK("https://creighton-primo.hosted.exlibrisgroup.com/primo-explore/search?tab=default_tab&amp;search_scope=EVERYTHING&amp;vid=01CRU&amp;lang=en_US&amp;offset=0&amp;query=any,contains,991001644499702656","Catalog Record")</f>
        <v/>
      </c>
      <c r="AT2970">
        <f>HYPERLINK("http://www.worldcat.org/oclc/21117279","WorldCat Record")</f>
        <v/>
      </c>
      <c r="AU2970" t="inlineStr">
        <is>
          <t>4575245969:eng</t>
        </is>
      </c>
      <c r="AV2970" t="inlineStr">
        <is>
          <t>21117279</t>
        </is>
      </c>
      <c r="AW2970" t="inlineStr">
        <is>
          <t>991001644499702656</t>
        </is>
      </c>
      <c r="AX2970" t="inlineStr">
        <is>
          <t>991001644499702656</t>
        </is>
      </c>
      <c r="AY2970" t="inlineStr">
        <is>
          <t>2263906720002656</t>
        </is>
      </c>
      <c r="AZ2970" t="inlineStr">
        <is>
          <t>BOOK</t>
        </is>
      </c>
      <c r="BB2970" t="inlineStr">
        <is>
          <t>9780803937185</t>
        </is>
      </c>
      <c r="BC2970" t="inlineStr">
        <is>
          <t>32285000313469</t>
        </is>
      </c>
      <c r="BD2970" t="inlineStr">
        <is>
          <t>893703156</t>
        </is>
      </c>
    </row>
    <row r="2971">
      <c r="A2971" t="inlineStr">
        <is>
          <t>No</t>
        </is>
      </c>
      <c r="B2971" t="inlineStr">
        <is>
          <t>HQ809.3.U5 G67 1988</t>
        </is>
      </c>
      <c r="C2971" t="inlineStr">
        <is>
          <t>0                      HQ 0809300U  5                  G  67          1988</t>
        </is>
      </c>
      <c r="D2971" t="inlineStr">
        <is>
          <t>Heroes of their own lives : the politics and history of family violence : Boston, 1880-1960 / Linda Gordon.</t>
        </is>
      </c>
      <c r="F2971" t="inlineStr">
        <is>
          <t>No</t>
        </is>
      </c>
      <c r="G2971" t="inlineStr">
        <is>
          <t>1</t>
        </is>
      </c>
      <c r="H2971" t="inlineStr">
        <is>
          <t>No</t>
        </is>
      </c>
      <c r="I2971" t="inlineStr">
        <is>
          <t>No</t>
        </is>
      </c>
      <c r="J2971" t="inlineStr">
        <is>
          <t>0</t>
        </is>
      </c>
      <c r="K2971" t="inlineStr">
        <is>
          <t>Gordon, Linda.</t>
        </is>
      </c>
      <c r="L2971" t="inlineStr">
        <is>
          <t>New York, N.Y., U.S.A. : Viking, 1988.</t>
        </is>
      </c>
      <c r="M2971" t="inlineStr">
        <is>
          <t>1988</t>
        </is>
      </c>
      <c r="O2971" t="inlineStr">
        <is>
          <t>eng</t>
        </is>
      </c>
      <c r="P2971" t="inlineStr">
        <is>
          <t>nyu</t>
        </is>
      </c>
      <c r="R2971" t="inlineStr">
        <is>
          <t xml:space="preserve">HQ </t>
        </is>
      </c>
      <c r="S2971" t="n">
        <v>4</v>
      </c>
      <c r="T2971" t="n">
        <v>4</v>
      </c>
      <c r="U2971" t="inlineStr">
        <is>
          <t>1997-02-07</t>
        </is>
      </c>
      <c r="V2971" t="inlineStr">
        <is>
          <t>1997-02-07</t>
        </is>
      </c>
      <c r="W2971" t="inlineStr">
        <is>
          <t>1992-06-16</t>
        </is>
      </c>
      <c r="X2971" t="inlineStr">
        <is>
          <t>1992-06-16</t>
        </is>
      </c>
      <c r="Y2971" t="n">
        <v>937</v>
      </c>
      <c r="Z2971" t="n">
        <v>851</v>
      </c>
      <c r="AA2971" t="n">
        <v>1230</v>
      </c>
      <c r="AB2971" t="n">
        <v>5</v>
      </c>
      <c r="AC2971" t="n">
        <v>9</v>
      </c>
      <c r="AD2971" t="n">
        <v>32</v>
      </c>
      <c r="AE2971" t="n">
        <v>52</v>
      </c>
      <c r="AF2971" t="n">
        <v>12</v>
      </c>
      <c r="AG2971" t="n">
        <v>19</v>
      </c>
      <c r="AH2971" t="n">
        <v>7</v>
      </c>
      <c r="AI2971" t="n">
        <v>11</v>
      </c>
      <c r="AJ2971" t="n">
        <v>14</v>
      </c>
      <c r="AK2971" t="n">
        <v>22</v>
      </c>
      <c r="AL2971" t="n">
        <v>4</v>
      </c>
      <c r="AM2971" t="n">
        <v>8</v>
      </c>
      <c r="AN2971" t="n">
        <v>4</v>
      </c>
      <c r="AO2971" t="n">
        <v>5</v>
      </c>
      <c r="AP2971" t="inlineStr">
        <is>
          <t>No</t>
        </is>
      </c>
      <c r="AQ2971" t="inlineStr">
        <is>
          <t>Yes</t>
        </is>
      </c>
      <c r="AR2971">
        <f>HYPERLINK("http://catalog.hathitrust.org/Record/000877813","HathiTrust Record")</f>
        <v/>
      </c>
      <c r="AS2971">
        <f>HYPERLINK("https://creighton-primo.hosted.exlibrisgroup.com/primo-explore/search?tab=default_tab&amp;search_scope=EVERYTHING&amp;vid=01CRU&amp;lang=en_US&amp;offset=0&amp;query=any,contains,991001143139702656","Catalog Record")</f>
        <v/>
      </c>
      <c r="AT2971">
        <f>HYPERLINK("http://www.worldcat.org/oclc/16754883","WorldCat Record")</f>
        <v/>
      </c>
      <c r="AU2971" t="inlineStr">
        <is>
          <t>327103:eng</t>
        </is>
      </c>
      <c r="AV2971" t="inlineStr">
        <is>
          <t>16754883</t>
        </is>
      </c>
      <c r="AW2971" t="inlineStr">
        <is>
          <t>991001143139702656</t>
        </is>
      </c>
      <c r="AX2971" t="inlineStr">
        <is>
          <t>991001143139702656</t>
        </is>
      </c>
      <c r="AY2971" t="inlineStr">
        <is>
          <t>2263693850002656</t>
        </is>
      </c>
      <c r="AZ2971" t="inlineStr">
        <is>
          <t>BOOK</t>
        </is>
      </c>
      <c r="BB2971" t="inlineStr">
        <is>
          <t>9780670819096</t>
        </is>
      </c>
      <c r="BC2971" t="inlineStr">
        <is>
          <t>32285001131761</t>
        </is>
      </c>
      <c r="BD2971" t="inlineStr">
        <is>
          <t>893709027</t>
        </is>
      </c>
    </row>
    <row r="2972">
      <c r="A2972" t="inlineStr">
        <is>
          <t>No</t>
        </is>
      </c>
      <c r="B2972" t="inlineStr">
        <is>
          <t>HQ809.3.U5 H35 1988</t>
        </is>
      </c>
      <c r="C2972" t="inlineStr">
        <is>
          <t>0                      HQ 0809300U  5                  H  35          1988</t>
        </is>
      </c>
      <c r="D2972" t="inlineStr">
        <is>
          <t>Handbook of family violence / edited by Vincent B. Van Hasselt ... [et al.].</t>
        </is>
      </c>
      <c r="F2972" t="inlineStr">
        <is>
          <t>No</t>
        </is>
      </c>
      <c r="G2972" t="inlineStr">
        <is>
          <t>1</t>
        </is>
      </c>
      <c r="H2972" t="inlineStr">
        <is>
          <t>No</t>
        </is>
      </c>
      <c r="I2972" t="inlineStr">
        <is>
          <t>No</t>
        </is>
      </c>
      <c r="J2972" t="inlineStr">
        <is>
          <t>0</t>
        </is>
      </c>
      <c r="L2972" t="inlineStr">
        <is>
          <t>New York : Plenum Press, c1988.</t>
        </is>
      </c>
      <c r="M2972" t="inlineStr">
        <is>
          <t>1988</t>
        </is>
      </c>
      <c r="O2972" t="inlineStr">
        <is>
          <t>eng</t>
        </is>
      </c>
      <c r="P2972" t="inlineStr">
        <is>
          <t>nyu</t>
        </is>
      </c>
      <c r="R2972" t="inlineStr">
        <is>
          <t xml:space="preserve">HQ </t>
        </is>
      </c>
      <c r="S2972" t="n">
        <v>14</v>
      </c>
      <c r="T2972" t="n">
        <v>14</v>
      </c>
      <c r="U2972" t="inlineStr">
        <is>
          <t>1999-02-16</t>
        </is>
      </c>
      <c r="V2972" t="inlineStr">
        <is>
          <t>1999-02-16</t>
        </is>
      </c>
      <c r="W2972" t="inlineStr">
        <is>
          <t>1990-05-24</t>
        </is>
      </c>
      <c r="X2972" t="inlineStr">
        <is>
          <t>1990-05-24</t>
        </is>
      </c>
      <c r="Y2972" t="n">
        <v>851</v>
      </c>
      <c r="Z2972" t="n">
        <v>695</v>
      </c>
      <c r="AA2972" t="n">
        <v>708</v>
      </c>
      <c r="AB2972" t="n">
        <v>5</v>
      </c>
      <c r="AC2972" t="n">
        <v>5</v>
      </c>
      <c r="AD2972" t="n">
        <v>29</v>
      </c>
      <c r="AE2972" t="n">
        <v>30</v>
      </c>
      <c r="AF2972" t="n">
        <v>13</v>
      </c>
      <c r="AG2972" t="n">
        <v>14</v>
      </c>
      <c r="AH2972" t="n">
        <v>6</v>
      </c>
      <c r="AI2972" t="n">
        <v>6</v>
      </c>
      <c r="AJ2972" t="n">
        <v>14</v>
      </c>
      <c r="AK2972" t="n">
        <v>14</v>
      </c>
      <c r="AL2972" t="n">
        <v>4</v>
      </c>
      <c r="AM2972" t="n">
        <v>4</v>
      </c>
      <c r="AN2972" t="n">
        <v>0</v>
      </c>
      <c r="AO2972" t="n">
        <v>0</v>
      </c>
      <c r="AP2972" t="inlineStr">
        <is>
          <t>No</t>
        </is>
      </c>
      <c r="AQ2972" t="inlineStr">
        <is>
          <t>No</t>
        </is>
      </c>
      <c r="AS2972">
        <f>HYPERLINK("https://creighton-primo.hosted.exlibrisgroup.com/primo-explore/search?tab=default_tab&amp;search_scope=EVERYTHING&amp;vid=01CRU&amp;lang=en_US&amp;offset=0&amp;query=any,contains,991001129909702656","Catalog Record")</f>
        <v/>
      </c>
      <c r="AT2972">
        <f>HYPERLINK("http://www.worldcat.org/oclc/16681968","WorldCat Record")</f>
        <v/>
      </c>
      <c r="AU2972" t="inlineStr">
        <is>
          <t>12597279:eng</t>
        </is>
      </c>
      <c r="AV2972" t="inlineStr">
        <is>
          <t>16681968</t>
        </is>
      </c>
      <c r="AW2972" t="inlineStr">
        <is>
          <t>991001129909702656</t>
        </is>
      </c>
      <c r="AX2972" t="inlineStr">
        <is>
          <t>991001129909702656</t>
        </is>
      </c>
      <c r="AY2972" t="inlineStr">
        <is>
          <t>2271859500002656</t>
        </is>
      </c>
      <c r="AZ2972" t="inlineStr">
        <is>
          <t>BOOK</t>
        </is>
      </c>
      <c r="BB2972" t="inlineStr">
        <is>
          <t>9780306426483</t>
        </is>
      </c>
      <c r="BC2972" t="inlineStr">
        <is>
          <t>32285000165398</t>
        </is>
      </c>
      <c r="BD2972" t="inlineStr">
        <is>
          <t>893897547</t>
        </is>
      </c>
    </row>
    <row r="2973">
      <c r="A2973" t="inlineStr">
        <is>
          <t>No</t>
        </is>
      </c>
      <c r="B2973" t="inlineStr">
        <is>
          <t>HQ809.3.U5 L56 1985</t>
        </is>
      </c>
      <c r="C2973" t="inlineStr">
        <is>
          <t>0                      HQ 0809300U  5                  L  56          1985</t>
        </is>
      </c>
      <c r="D2973" t="inlineStr">
        <is>
          <t>Crime and the family / by Alan Jay Lincoln and Murray A. Straus.</t>
        </is>
      </c>
      <c r="F2973" t="inlineStr">
        <is>
          <t>No</t>
        </is>
      </c>
      <c r="G2973" t="inlineStr">
        <is>
          <t>1</t>
        </is>
      </c>
      <c r="H2973" t="inlineStr">
        <is>
          <t>No</t>
        </is>
      </c>
      <c r="I2973" t="inlineStr">
        <is>
          <t>No</t>
        </is>
      </c>
      <c r="J2973" t="inlineStr">
        <is>
          <t>0</t>
        </is>
      </c>
      <c r="K2973" t="inlineStr">
        <is>
          <t>Lincoln, Alan Jay.</t>
        </is>
      </c>
      <c r="L2973" t="inlineStr">
        <is>
          <t>Springfield, Ill., U.S.A. : C.C. Thomas, c1985.</t>
        </is>
      </c>
      <c r="M2973" t="inlineStr">
        <is>
          <t>1985</t>
        </is>
      </c>
      <c r="O2973" t="inlineStr">
        <is>
          <t>eng</t>
        </is>
      </c>
      <c r="P2973" t="inlineStr">
        <is>
          <t>ilu</t>
        </is>
      </c>
      <c r="R2973" t="inlineStr">
        <is>
          <t xml:space="preserve">HQ </t>
        </is>
      </c>
      <c r="S2973" t="n">
        <v>5</v>
      </c>
      <c r="T2973" t="n">
        <v>5</v>
      </c>
      <c r="U2973" t="inlineStr">
        <is>
          <t>1994-10-24</t>
        </is>
      </c>
      <c r="V2973" t="inlineStr">
        <is>
          <t>1994-10-24</t>
        </is>
      </c>
      <c r="W2973" t="inlineStr">
        <is>
          <t>1990-03-20</t>
        </is>
      </c>
      <c r="X2973" t="inlineStr">
        <is>
          <t>1990-03-20</t>
        </is>
      </c>
      <c r="Y2973" t="n">
        <v>333</v>
      </c>
      <c r="Z2973" t="n">
        <v>274</v>
      </c>
      <c r="AA2973" t="n">
        <v>280</v>
      </c>
      <c r="AB2973" t="n">
        <v>4</v>
      </c>
      <c r="AC2973" t="n">
        <v>4</v>
      </c>
      <c r="AD2973" t="n">
        <v>11</v>
      </c>
      <c r="AE2973" t="n">
        <v>11</v>
      </c>
      <c r="AF2973" t="n">
        <v>2</v>
      </c>
      <c r="AG2973" t="n">
        <v>2</v>
      </c>
      <c r="AH2973" t="n">
        <v>3</v>
      </c>
      <c r="AI2973" t="n">
        <v>3</v>
      </c>
      <c r="AJ2973" t="n">
        <v>7</v>
      </c>
      <c r="AK2973" t="n">
        <v>7</v>
      </c>
      <c r="AL2973" t="n">
        <v>3</v>
      </c>
      <c r="AM2973" t="n">
        <v>3</v>
      </c>
      <c r="AN2973" t="n">
        <v>1</v>
      </c>
      <c r="AO2973" t="n">
        <v>1</v>
      </c>
      <c r="AP2973" t="inlineStr">
        <is>
          <t>No</t>
        </is>
      </c>
      <c r="AQ2973" t="inlineStr">
        <is>
          <t>No</t>
        </is>
      </c>
      <c r="AS2973">
        <f>HYPERLINK("https://creighton-primo.hosted.exlibrisgroup.com/primo-explore/search?tab=default_tab&amp;search_scope=EVERYTHING&amp;vid=01CRU&amp;lang=en_US&amp;offset=0&amp;query=any,contains,991000716029702656","Catalog Record")</f>
        <v/>
      </c>
      <c r="AT2973">
        <f>HYPERLINK("http://www.worldcat.org/oclc/12627048","WorldCat Record")</f>
        <v/>
      </c>
      <c r="AU2973" t="inlineStr">
        <is>
          <t>5220019:eng</t>
        </is>
      </c>
      <c r="AV2973" t="inlineStr">
        <is>
          <t>12627048</t>
        </is>
      </c>
      <c r="AW2973" t="inlineStr">
        <is>
          <t>991000716029702656</t>
        </is>
      </c>
      <c r="AX2973" t="inlineStr">
        <is>
          <t>991000716029702656</t>
        </is>
      </c>
      <c r="AY2973" t="inlineStr">
        <is>
          <t>2261565770002656</t>
        </is>
      </c>
      <c r="AZ2973" t="inlineStr">
        <is>
          <t>BOOK</t>
        </is>
      </c>
      <c r="BB2973" t="inlineStr">
        <is>
          <t>9780398051440</t>
        </is>
      </c>
      <c r="BC2973" t="inlineStr">
        <is>
          <t>32285000087220</t>
        </is>
      </c>
      <c r="BD2973" t="inlineStr">
        <is>
          <t>893231345</t>
        </is>
      </c>
    </row>
    <row r="2974">
      <c r="A2974" t="inlineStr">
        <is>
          <t>No</t>
        </is>
      </c>
      <c r="B2974" t="inlineStr">
        <is>
          <t>HQ809.3.U5 M36 1982</t>
        </is>
      </c>
      <c r="C2974" t="inlineStr">
        <is>
          <t>0                      HQ 0809300U  5                  M  36          1982</t>
        </is>
      </c>
      <c r="D2974" t="inlineStr">
        <is>
          <t>The Many faces of family violence / edited by Jerry P. Flanzer with Barbara Star ... [et al.].</t>
        </is>
      </c>
      <c r="F2974" t="inlineStr">
        <is>
          <t>No</t>
        </is>
      </c>
      <c r="G2974" t="inlineStr">
        <is>
          <t>1</t>
        </is>
      </c>
      <c r="H2974" t="inlineStr">
        <is>
          <t>No</t>
        </is>
      </c>
      <c r="I2974" t="inlineStr">
        <is>
          <t>No</t>
        </is>
      </c>
      <c r="J2974" t="inlineStr">
        <is>
          <t>0</t>
        </is>
      </c>
      <c r="L2974" t="inlineStr">
        <is>
          <t>Springfield, Ill. : Thomas, c1982.</t>
        </is>
      </c>
      <c r="M2974" t="inlineStr">
        <is>
          <t>1981</t>
        </is>
      </c>
      <c r="O2974" t="inlineStr">
        <is>
          <t>eng</t>
        </is>
      </c>
      <c r="P2974" t="inlineStr">
        <is>
          <t>ilu</t>
        </is>
      </c>
      <c r="R2974" t="inlineStr">
        <is>
          <t xml:space="preserve">HQ </t>
        </is>
      </c>
      <c r="S2974" t="n">
        <v>26</v>
      </c>
      <c r="T2974" t="n">
        <v>26</v>
      </c>
      <c r="U2974" t="inlineStr">
        <is>
          <t>1997-04-08</t>
        </is>
      </c>
      <c r="V2974" t="inlineStr">
        <is>
          <t>1997-04-08</t>
        </is>
      </c>
      <c r="W2974" t="inlineStr">
        <is>
          <t>1990-03-08</t>
        </is>
      </c>
      <c r="X2974" t="inlineStr">
        <is>
          <t>1990-03-08</t>
        </is>
      </c>
      <c r="Y2974" t="n">
        <v>257</v>
      </c>
      <c r="Z2974" t="n">
        <v>219</v>
      </c>
      <c r="AA2974" t="n">
        <v>228</v>
      </c>
      <c r="AB2974" t="n">
        <v>5</v>
      </c>
      <c r="AC2974" t="n">
        <v>5</v>
      </c>
      <c r="AD2974" t="n">
        <v>10</v>
      </c>
      <c r="AE2974" t="n">
        <v>10</v>
      </c>
      <c r="AF2974" t="n">
        <v>3</v>
      </c>
      <c r="AG2974" t="n">
        <v>3</v>
      </c>
      <c r="AH2974" t="n">
        <v>0</v>
      </c>
      <c r="AI2974" t="n">
        <v>0</v>
      </c>
      <c r="AJ2974" t="n">
        <v>4</v>
      </c>
      <c r="AK2974" t="n">
        <v>4</v>
      </c>
      <c r="AL2974" t="n">
        <v>3</v>
      </c>
      <c r="AM2974" t="n">
        <v>3</v>
      </c>
      <c r="AN2974" t="n">
        <v>1</v>
      </c>
      <c r="AO2974" t="n">
        <v>1</v>
      </c>
      <c r="AP2974" t="inlineStr">
        <is>
          <t>No</t>
        </is>
      </c>
      <c r="AQ2974" t="inlineStr">
        <is>
          <t>Yes</t>
        </is>
      </c>
      <c r="AR2974">
        <f>HYPERLINK("http://catalog.hathitrust.org/Record/000188383","HathiTrust Record")</f>
        <v/>
      </c>
      <c r="AS2974">
        <f>HYPERLINK("https://creighton-primo.hosted.exlibrisgroup.com/primo-explore/search?tab=default_tab&amp;search_scope=EVERYTHING&amp;vid=01CRU&amp;lang=en_US&amp;offset=0&amp;query=any,contains,991005178369702656","Catalog Record")</f>
        <v/>
      </c>
      <c r="AT2974">
        <f>HYPERLINK("http://www.worldcat.org/oclc/7925816","WorldCat Record")</f>
        <v/>
      </c>
      <c r="AU2974" t="inlineStr">
        <is>
          <t>427395867:eng</t>
        </is>
      </c>
      <c r="AV2974" t="inlineStr">
        <is>
          <t>7925816</t>
        </is>
      </c>
      <c r="AW2974" t="inlineStr">
        <is>
          <t>991005178369702656</t>
        </is>
      </c>
      <c r="AX2974" t="inlineStr">
        <is>
          <t>991005178369702656</t>
        </is>
      </c>
      <c r="AY2974" t="inlineStr">
        <is>
          <t>2270073590002656</t>
        </is>
      </c>
      <c r="AZ2974" t="inlineStr">
        <is>
          <t>BOOK</t>
        </is>
      </c>
      <c r="BB2974" t="inlineStr">
        <is>
          <t>9780398046125</t>
        </is>
      </c>
      <c r="BC2974" t="inlineStr">
        <is>
          <t>32285000078799</t>
        </is>
      </c>
      <c r="BD2974" t="inlineStr">
        <is>
          <t>893527047</t>
        </is>
      </c>
    </row>
    <row r="2975">
      <c r="A2975" t="inlineStr">
        <is>
          <t>No</t>
        </is>
      </c>
      <c r="B2975" t="inlineStr">
        <is>
          <t>HQ809.3.U5 P58 1987</t>
        </is>
      </c>
      <c r="C2975" t="inlineStr">
        <is>
          <t>0                      HQ 0809300U  5                  P  58          1987</t>
        </is>
      </c>
      <c r="D2975" t="inlineStr">
        <is>
          <t>Domestic tyranny : the making of social policy against family violence from colonial times to the present / Elizabeth Pleck.</t>
        </is>
      </c>
      <c r="F2975" t="inlineStr">
        <is>
          <t>No</t>
        </is>
      </c>
      <c r="G2975" t="inlineStr">
        <is>
          <t>1</t>
        </is>
      </c>
      <c r="H2975" t="inlineStr">
        <is>
          <t>No</t>
        </is>
      </c>
      <c r="I2975" t="inlineStr">
        <is>
          <t>No</t>
        </is>
      </c>
      <c r="J2975" t="inlineStr">
        <is>
          <t>0</t>
        </is>
      </c>
      <c r="K2975" t="inlineStr">
        <is>
          <t>Pleck, Elizabeth H. (Elizabeth Hafkin), 1945-</t>
        </is>
      </c>
      <c r="L2975" t="inlineStr">
        <is>
          <t>New York : Oxford University Press, 1987.</t>
        </is>
      </c>
      <c r="M2975" t="inlineStr">
        <is>
          <t>1987</t>
        </is>
      </c>
      <c r="O2975" t="inlineStr">
        <is>
          <t>eng</t>
        </is>
      </c>
      <c r="P2975" t="inlineStr">
        <is>
          <t>nyu</t>
        </is>
      </c>
      <c r="R2975" t="inlineStr">
        <is>
          <t xml:space="preserve">HQ </t>
        </is>
      </c>
      <c r="S2975" t="n">
        <v>10</v>
      </c>
      <c r="T2975" t="n">
        <v>10</v>
      </c>
      <c r="U2975" t="inlineStr">
        <is>
          <t>1998-10-07</t>
        </is>
      </c>
      <c r="V2975" t="inlineStr">
        <is>
          <t>1998-10-07</t>
        </is>
      </c>
      <c r="W2975" t="inlineStr">
        <is>
          <t>1993-04-23</t>
        </is>
      </c>
      <c r="X2975" t="inlineStr">
        <is>
          <t>1993-04-23</t>
        </is>
      </c>
      <c r="Y2975" t="n">
        <v>1122</v>
      </c>
      <c r="Z2975" t="n">
        <v>986</v>
      </c>
      <c r="AA2975" t="n">
        <v>1123</v>
      </c>
      <c r="AB2975" t="n">
        <v>5</v>
      </c>
      <c r="AC2975" t="n">
        <v>5</v>
      </c>
      <c r="AD2975" t="n">
        <v>43</v>
      </c>
      <c r="AE2975" t="n">
        <v>45</v>
      </c>
      <c r="AF2975" t="n">
        <v>15</v>
      </c>
      <c r="AG2975" t="n">
        <v>16</v>
      </c>
      <c r="AH2975" t="n">
        <v>8</v>
      </c>
      <c r="AI2975" t="n">
        <v>9</v>
      </c>
      <c r="AJ2975" t="n">
        <v>20</v>
      </c>
      <c r="AK2975" t="n">
        <v>20</v>
      </c>
      <c r="AL2975" t="n">
        <v>4</v>
      </c>
      <c r="AM2975" t="n">
        <v>4</v>
      </c>
      <c r="AN2975" t="n">
        <v>7</v>
      </c>
      <c r="AO2975" t="n">
        <v>7</v>
      </c>
      <c r="AP2975" t="inlineStr">
        <is>
          <t>No</t>
        </is>
      </c>
      <c r="AQ2975" t="inlineStr">
        <is>
          <t>Yes</t>
        </is>
      </c>
      <c r="AR2975">
        <f>HYPERLINK("http://catalog.hathitrust.org/Record/000825480","HathiTrust Record")</f>
        <v/>
      </c>
      <c r="AS2975">
        <f>HYPERLINK("https://creighton-primo.hosted.exlibrisgroup.com/primo-explore/search?tab=default_tab&amp;search_scope=EVERYTHING&amp;vid=01CRU&amp;lang=en_US&amp;offset=0&amp;query=any,contains,991000809869702656","Catalog Record")</f>
        <v/>
      </c>
      <c r="AT2975">
        <f>HYPERLINK("http://www.worldcat.org/oclc/13330125","WorldCat Record")</f>
        <v/>
      </c>
      <c r="AU2975" t="inlineStr">
        <is>
          <t>836625685:eng</t>
        </is>
      </c>
      <c r="AV2975" t="inlineStr">
        <is>
          <t>13330125</t>
        </is>
      </c>
      <c r="AW2975" t="inlineStr">
        <is>
          <t>991000809869702656</t>
        </is>
      </c>
      <c r="AX2975" t="inlineStr">
        <is>
          <t>991000809869702656</t>
        </is>
      </c>
      <c r="AY2975" t="inlineStr">
        <is>
          <t>2266156010002656</t>
        </is>
      </c>
      <c r="AZ2975" t="inlineStr">
        <is>
          <t>BOOK</t>
        </is>
      </c>
      <c r="BB2975" t="inlineStr">
        <is>
          <t>9780195041118</t>
        </is>
      </c>
      <c r="BC2975" t="inlineStr">
        <is>
          <t>32285001624906</t>
        </is>
      </c>
      <c r="BD2975" t="inlineStr">
        <is>
          <t>893771985</t>
        </is>
      </c>
    </row>
    <row r="2976">
      <c r="A2976" t="inlineStr">
        <is>
          <t>No</t>
        </is>
      </c>
      <c r="B2976" t="inlineStr">
        <is>
          <t>HQ809.3.U5 R68 1988</t>
        </is>
      </c>
      <c r="C2976" t="inlineStr">
        <is>
          <t>0                      HQ 0809300U  5                  R  68          1988</t>
        </is>
      </c>
      <c r="D2976" t="inlineStr">
        <is>
          <t>Children in the crossfire : violence in the home--how does it affect our children? / by Maria Roy.</t>
        </is>
      </c>
      <c r="F2976" t="inlineStr">
        <is>
          <t>No</t>
        </is>
      </c>
      <c r="G2976" t="inlineStr">
        <is>
          <t>1</t>
        </is>
      </c>
      <c r="H2976" t="inlineStr">
        <is>
          <t>No</t>
        </is>
      </c>
      <c r="I2976" t="inlineStr">
        <is>
          <t>No</t>
        </is>
      </c>
      <c r="J2976" t="inlineStr">
        <is>
          <t>0</t>
        </is>
      </c>
      <c r="K2976" t="inlineStr">
        <is>
          <t>Roy, Maria.</t>
        </is>
      </c>
      <c r="L2976" t="inlineStr">
        <is>
          <t>Deerfield, Fla. : Health Communications, Inc., 1988.</t>
        </is>
      </c>
      <c r="M2976" t="inlineStr">
        <is>
          <t>1988</t>
        </is>
      </c>
      <c r="O2976" t="inlineStr">
        <is>
          <t>eng</t>
        </is>
      </c>
      <c r="P2976" t="inlineStr">
        <is>
          <t>flu</t>
        </is>
      </c>
      <c r="R2976" t="inlineStr">
        <is>
          <t xml:space="preserve">HQ </t>
        </is>
      </c>
      <c r="S2976" t="n">
        <v>22</v>
      </c>
      <c r="T2976" t="n">
        <v>22</v>
      </c>
      <c r="U2976" t="inlineStr">
        <is>
          <t>1998-04-28</t>
        </is>
      </c>
      <c r="V2976" t="inlineStr">
        <is>
          <t>1998-04-28</t>
        </is>
      </c>
      <c r="W2976" t="inlineStr">
        <is>
          <t>1991-09-16</t>
        </is>
      </c>
      <c r="X2976" t="inlineStr">
        <is>
          <t>1991-09-16</t>
        </is>
      </c>
      <c r="Y2976" t="n">
        <v>332</v>
      </c>
      <c r="Z2976" t="n">
        <v>285</v>
      </c>
      <c r="AA2976" t="n">
        <v>293</v>
      </c>
      <c r="AB2976" t="n">
        <v>2</v>
      </c>
      <c r="AC2976" t="n">
        <v>2</v>
      </c>
      <c r="AD2976" t="n">
        <v>8</v>
      </c>
      <c r="AE2976" t="n">
        <v>8</v>
      </c>
      <c r="AF2976" t="n">
        <v>5</v>
      </c>
      <c r="AG2976" t="n">
        <v>5</v>
      </c>
      <c r="AH2976" t="n">
        <v>1</v>
      </c>
      <c r="AI2976" t="n">
        <v>1</v>
      </c>
      <c r="AJ2976" t="n">
        <v>4</v>
      </c>
      <c r="AK2976" t="n">
        <v>4</v>
      </c>
      <c r="AL2976" t="n">
        <v>1</v>
      </c>
      <c r="AM2976" t="n">
        <v>1</v>
      </c>
      <c r="AN2976" t="n">
        <v>0</v>
      </c>
      <c r="AO2976" t="n">
        <v>0</v>
      </c>
      <c r="AP2976" t="inlineStr">
        <is>
          <t>No</t>
        </is>
      </c>
      <c r="AQ2976" t="inlineStr">
        <is>
          <t>Yes</t>
        </is>
      </c>
      <c r="AR2976">
        <f>HYPERLINK("http://catalog.hathitrust.org/Record/007130667","HathiTrust Record")</f>
        <v/>
      </c>
      <c r="AS2976">
        <f>HYPERLINK("https://creighton-primo.hosted.exlibrisgroup.com/primo-explore/search?tab=default_tab&amp;search_scope=EVERYTHING&amp;vid=01CRU&amp;lang=en_US&amp;offset=0&amp;query=any,contains,991001249629702656","Catalog Record")</f>
        <v/>
      </c>
      <c r="AT2976">
        <f>HYPERLINK("http://www.worldcat.org/oclc/17674598","WorldCat Record")</f>
        <v/>
      </c>
      <c r="AU2976" t="inlineStr">
        <is>
          <t>15781831:eng</t>
        </is>
      </c>
      <c r="AV2976" t="inlineStr">
        <is>
          <t>17674598</t>
        </is>
      </c>
      <c r="AW2976" t="inlineStr">
        <is>
          <t>991001249629702656</t>
        </is>
      </c>
      <c r="AX2976" t="inlineStr">
        <is>
          <t>991001249629702656</t>
        </is>
      </c>
      <c r="AY2976" t="inlineStr">
        <is>
          <t>2263697580002656</t>
        </is>
      </c>
      <c r="AZ2976" t="inlineStr">
        <is>
          <t>BOOK</t>
        </is>
      </c>
      <c r="BB2976" t="inlineStr">
        <is>
          <t>9780932194718</t>
        </is>
      </c>
      <c r="BC2976" t="inlineStr">
        <is>
          <t>32285000758259</t>
        </is>
      </c>
      <c r="BD2976" t="inlineStr">
        <is>
          <t>893407991</t>
        </is>
      </c>
    </row>
    <row r="2977">
      <c r="A2977" t="inlineStr">
        <is>
          <t>No</t>
        </is>
      </c>
      <c r="B2977" t="inlineStr">
        <is>
          <t>HQ809.3.U5 S58 1987</t>
        </is>
      </c>
      <c r="C2977" t="inlineStr">
        <is>
          <t>0                      HQ 0809300U  5                  S  58          1987</t>
        </is>
      </c>
      <c r="D2977" t="inlineStr">
        <is>
          <t>Violent men, violent couples : the dynamics of domestic violence / Anson Shupe, William A. Stacey, Lonnie R. Hazlewood.</t>
        </is>
      </c>
      <c r="F2977" t="inlineStr">
        <is>
          <t>No</t>
        </is>
      </c>
      <c r="G2977" t="inlineStr">
        <is>
          <t>1</t>
        </is>
      </c>
      <c r="H2977" t="inlineStr">
        <is>
          <t>No</t>
        </is>
      </c>
      <c r="I2977" t="inlineStr">
        <is>
          <t>No</t>
        </is>
      </c>
      <c r="J2977" t="inlineStr">
        <is>
          <t>0</t>
        </is>
      </c>
      <c r="K2977" t="inlineStr">
        <is>
          <t>Shupe, Anson D.</t>
        </is>
      </c>
      <c r="L2977" t="inlineStr">
        <is>
          <t>Lexington, Mass. : Lexington Books, c1987.</t>
        </is>
      </c>
      <c r="M2977" t="inlineStr">
        <is>
          <t>1987</t>
        </is>
      </c>
      <c r="O2977" t="inlineStr">
        <is>
          <t>eng</t>
        </is>
      </c>
      <c r="P2977" t="inlineStr">
        <is>
          <t>mau</t>
        </is>
      </c>
      <c r="R2977" t="inlineStr">
        <is>
          <t xml:space="preserve">HQ </t>
        </is>
      </c>
      <c r="S2977" t="n">
        <v>24</v>
      </c>
      <c r="T2977" t="n">
        <v>24</v>
      </c>
      <c r="U2977" t="inlineStr">
        <is>
          <t>2001-11-12</t>
        </is>
      </c>
      <c r="V2977" t="inlineStr">
        <is>
          <t>2001-11-12</t>
        </is>
      </c>
      <c r="W2977" t="inlineStr">
        <is>
          <t>1991-09-16</t>
        </is>
      </c>
      <c r="X2977" t="inlineStr">
        <is>
          <t>1991-09-16</t>
        </is>
      </c>
      <c r="Y2977" t="n">
        <v>960</v>
      </c>
      <c r="Z2977" t="n">
        <v>861</v>
      </c>
      <c r="AA2977" t="n">
        <v>863</v>
      </c>
      <c r="AB2977" t="n">
        <v>8</v>
      </c>
      <c r="AC2977" t="n">
        <v>8</v>
      </c>
      <c r="AD2977" t="n">
        <v>32</v>
      </c>
      <c r="AE2977" t="n">
        <v>32</v>
      </c>
      <c r="AF2977" t="n">
        <v>10</v>
      </c>
      <c r="AG2977" t="n">
        <v>10</v>
      </c>
      <c r="AH2977" t="n">
        <v>5</v>
      </c>
      <c r="AI2977" t="n">
        <v>5</v>
      </c>
      <c r="AJ2977" t="n">
        <v>15</v>
      </c>
      <c r="AK2977" t="n">
        <v>15</v>
      </c>
      <c r="AL2977" t="n">
        <v>7</v>
      </c>
      <c r="AM2977" t="n">
        <v>7</v>
      </c>
      <c r="AN2977" t="n">
        <v>2</v>
      </c>
      <c r="AO2977" t="n">
        <v>2</v>
      </c>
      <c r="AP2977" t="inlineStr">
        <is>
          <t>No</t>
        </is>
      </c>
      <c r="AQ2977" t="inlineStr">
        <is>
          <t>Yes</t>
        </is>
      </c>
      <c r="AR2977">
        <f>HYPERLINK("http://catalog.hathitrust.org/Record/000556476","HathiTrust Record")</f>
        <v/>
      </c>
      <c r="AS2977">
        <f>HYPERLINK("https://creighton-primo.hosted.exlibrisgroup.com/primo-explore/search?tab=default_tab&amp;search_scope=EVERYTHING&amp;vid=01CRU&amp;lang=en_US&amp;offset=0&amp;query=any,contains,991000893829702656","Catalog Record")</f>
        <v/>
      </c>
      <c r="AT2977">
        <f>HYPERLINK("http://www.worldcat.org/oclc/13947307","WorldCat Record")</f>
        <v/>
      </c>
      <c r="AU2977" t="inlineStr">
        <is>
          <t>196506197:eng</t>
        </is>
      </c>
      <c r="AV2977" t="inlineStr">
        <is>
          <t>13947307</t>
        </is>
      </c>
      <c r="AW2977" t="inlineStr">
        <is>
          <t>991000893829702656</t>
        </is>
      </c>
      <c r="AX2977" t="inlineStr">
        <is>
          <t>991000893829702656</t>
        </is>
      </c>
      <c r="AY2977" t="inlineStr">
        <is>
          <t>2255717010002656</t>
        </is>
      </c>
      <c r="AZ2977" t="inlineStr">
        <is>
          <t>BOOK</t>
        </is>
      </c>
      <c r="BB2977" t="inlineStr">
        <is>
          <t>9780669137064</t>
        </is>
      </c>
      <c r="BC2977" t="inlineStr">
        <is>
          <t>32285000758242</t>
        </is>
      </c>
      <c r="BD2977" t="inlineStr">
        <is>
          <t>893589834</t>
        </is>
      </c>
    </row>
    <row r="2978">
      <c r="A2978" t="inlineStr">
        <is>
          <t>No</t>
        </is>
      </c>
      <c r="B2978" t="inlineStr">
        <is>
          <t>HQ809.3.U5 S66 1985</t>
        </is>
      </c>
      <c r="C2978" t="inlineStr">
        <is>
          <t>0                      HQ 0809300U  5                  S  66          1985</t>
        </is>
      </c>
      <c r="D2978" t="inlineStr">
        <is>
          <t>The male batterer : a treatment approach / Daniel Jay Sonkin, Del Martin, Lenore E. Auerbach Walker.</t>
        </is>
      </c>
      <c r="F2978" t="inlineStr">
        <is>
          <t>No</t>
        </is>
      </c>
      <c r="G2978" t="inlineStr">
        <is>
          <t>1</t>
        </is>
      </c>
      <c r="H2978" t="inlineStr">
        <is>
          <t>No</t>
        </is>
      </c>
      <c r="I2978" t="inlineStr">
        <is>
          <t>No</t>
        </is>
      </c>
      <c r="J2978" t="inlineStr">
        <is>
          <t>0</t>
        </is>
      </c>
      <c r="K2978" t="inlineStr">
        <is>
          <t>Sonkin, Daniel Jay.</t>
        </is>
      </c>
      <c r="L2978" t="inlineStr">
        <is>
          <t>New York : Springer Pub. Co., c1985.</t>
        </is>
      </c>
      <c r="M2978" t="inlineStr">
        <is>
          <t>1985</t>
        </is>
      </c>
      <c r="O2978" t="inlineStr">
        <is>
          <t>eng</t>
        </is>
      </c>
      <c r="P2978" t="inlineStr">
        <is>
          <t>nyu</t>
        </is>
      </c>
      <c r="Q2978" t="inlineStr">
        <is>
          <t>Springer series, focus on men ; v. 4</t>
        </is>
      </c>
      <c r="R2978" t="inlineStr">
        <is>
          <t xml:space="preserve">HQ </t>
        </is>
      </c>
      <c r="S2978" t="n">
        <v>15</v>
      </c>
      <c r="T2978" t="n">
        <v>15</v>
      </c>
      <c r="U2978" t="inlineStr">
        <is>
          <t>1995-11-29</t>
        </is>
      </c>
      <c r="V2978" t="inlineStr">
        <is>
          <t>1995-11-29</t>
        </is>
      </c>
      <c r="W2978" t="inlineStr">
        <is>
          <t>1991-11-19</t>
        </is>
      </c>
      <c r="X2978" t="inlineStr">
        <is>
          <t>1991-11-19</t>
        </is>
      </c>
      <c r="Y2978" t="n">
        <v>755</v>
      </c>
      <c r="Z2978" t="n">
        <v>667</v>
      </c>
      <c r="AA2978" t="n">
        <v>675</v>
      </c>
      <c r="AB2978" t="n">
        <v>7</v>
      </c>
      <c r="AC2978" t="n">
        <v>7</v>
      </c>
      <c r="AD2978" t="n">
        <v>26</v>
      </c>
      <c r="AE2978" t="n">
        <v>26</v>
      </c>
      <c r="AF2978" t="n">
        <v>10</v>
      </c>
      <c r="AG2978" t="n">
        <v>10</v>
      </c>
      <c r="AH2978" t="n">
        <v>6</v>
      </c>
      <c r="AI2978" t="n">
        <v>6</v>
      </c>
      <c r="AJ2978" t="n">
        <v>11</v>
      </c>
      <c r="AK2978" t="n">
        <v>11</v>
      </c>
      <c r="AL2978" t="n">
        <v>6</v>
      </c>
      <c r="AM2978" t="n">
        <v>6</v>
      </c>
      <c r="AN2978" t="n">
        <v>0</v>
      </c>
      <c r="AO2978" t="n">
        <v>0</v>
      </c>
      <c r="AP2978" t="inlineStr">
        <is>
          <t>No</t>
        </is>
      </c>
      <c r="AQ2978" t="inlineStr">
        <is>
          <t>Yes</t>
        </is>
      </c>
      <c r="AR2978">
        <f>HYPERLINK("http://catalog.hathitrust.org/Record/000576719","HathiTrust Record")</f>
        <v/>
      </c>
      <c r="AS2978">
        <f>HYPERLINK("https://creighton-primo.hosted.exlibrisgroup.com/primo-explore/search?tab=default_tab&amp;search_scope=EVERYTHING&amp;vid=01CRU&amp;lang=en_US&amp;offset=0&amp;query=any,contains,991000643319702656","Catalog Record")</f>
        <v/>
      </c>
      <c r="AT2978">
        <f>HYPERLINK("http://www.worldcat.org/oclc/12107860","WorldCat Record")</f>
        <v/>
      </c>
      <c r="AU2978" t="inlineStr">
        <is>
          <t>967295:eng</t>
        </is>
      </c>
      <c r="AV2978" t="inlineStr">
        <is>
          <t>12107860</t>
        </is>
      </c>
      <c r="AW2978" t="inlineStr">
        <is>
          <t>991000643319702656</t>
        </is>
      </c>
      <c r="AX2978" t="inlineStr">
        <is>
          <t>991000643319702656</t>
        </is>
      </c>
      <c r="AY2978" t="inlineStr">
        <is>
          <t>2268388160002656</t>
        </is>
      </c>
      <c r="AZ2978" t="inlineStr">
        <is>
          <t>BOOK</t>
        </is>
      </c>
      <c r="BB2978" t="inlineStr">
        <is>
          <t>9780826150905</t>
        </is>
      </c>
      <c r="BC2978" t="inlineStr">
        <is>
          <t>32285000841063</t>
        </is>
      </c>
      <c r="BD2978" t="inlineStr">
        <is>
          <t>893243439</t>
        </is>
      </c>
    </row>
    <row r="2979">
      <c r="A2979" t="inlineStr">
        <is>
          <t>No</t>
        </is>
      </c>
      <c r="B2979" t="inlineStr">
        <is>
          <t>HQ809.3.U5 S77 1983</t>
        </is>
      </c>
      <c r="C2979" t="inlineStr">
        <is>
          <t>0                      HQ 0809300U  5                  S  77          1983</t>
        </is>
      </c>
      <c r="D2979" t="inlineStr">
        <is>
          <t>The family secret : domestic violence in America / William Stacey, Anson Shupe.</t>
        </is>
      </c>
      <c r="F2979" t="inlineStr">
        <is>
          <t>No</t>
        </is>
      </c>
      <c r="G2979" t="inlineStr">
        <is>
          <t>1</t>
        </is>
      </c>
      <c r="H2979" t="inlineStr">
        <is>
          <t>No</t>
        </is>
      </c>
      <c r="I2979" t="inlineStr">
        <is>
          <t>No</t>
        </is>
      </c>
      <c r="J2979" t="inlineStr">
        <is>
          <t>0</t>
        </is>
      </c>
      <c r="K2979" t="inlineStr">
        <is>
          <t>Stacey, William A.</t>
        </is>
      </c>
      <c r="L2979" t="inlineStr">
        <is>
          <t>Boston : Beacon Press, c1983.</t>
        </is>
      </c>
      <c r="M2979" t="inlineStr">
        <is>
          <t>1983</t>
        </is>
      </c>
      <c r="O2979" t="inlineStr">
        <is>
          <t>eng</t>
        </is>
      </c>
      <c r="P2979" t="inlineStr">
        <is>
          <t>mau</t>
        </is>
      </c>
      <c r="R2979" t="inlineStr">
        <is>
          <t xml:space="preserve">HQ </t>
        </is>
      </c>
      <c r="S2979" t="n">
        <v>11</v>
      </c>
      <c r="T2979" t="n">
        <v>11</v>
      </c>
      <c r="U2979" t="inlineStr">
        <is>
          <t>2001-11-12</t>
        </is>
      </c>
      <c r="V2979" t="inlineStr">
        <is>
          <t>2001-11-12</t>
        </is>
      </c>
      <c r="W2979" t="inlineStr">
        <is>
          <t>1990-04-09</t>
        </is>
      </c>
      <c r="X2979" t="inlineStr">
        <is>
          <t>1990-04-09</t>
        </is>
      </c>
      <c r="Y2979" t="n">
        <v>1194</v>
      </c>
      <c r="Z2979" t="n">
        <v>1109</v>
      </c>
      <c r="AA2979" t="n">
        <v>1122</v>
      </c>
      <c r="AB2979" t="n">
        <v>15</v>
      </c>
      <c r="AC2979" t="n">
        <v>15</v>
      </c>
      <c r="AD2979" t="n">
        <v>39</v>
      </c>
      <c r="AE2979" t="n">
        <v>39</v>
      </c>
      <c r="AF2979" t="n">
        <v>13</v>
      </c>
      <c r="AG2979" t="n">
        <v>13</v>
      </c>
      <c r="AH2979" t="n">
        <v>8</v>
      </c>
      <c r="AI2979" t="n">
        <v>8</v>
      </c>
      <c r="AJ2979" t="n">
        <v>12</v>
      </c>
      <c r="AK2979" t="n">
        <v>12</v>
      </c>
      <c r="AL2979" t="n">
        <v>8</v>
      </c>
      <c r="AM2979" t="n">
        <v>8</v>
      </c>
      <c r="AN2979" t="n">
        <v>4</v>
      </c>
      <c r="AO2979" t="n">
        <v>4</v>
      </c>
      <c r="AP2979" t="inlineStr">
        <is>
          <t>No</t>
        </is>
      </c>
      <c r="AQ2979" t="inlineStr">
        <is>
          <t>Yes</t>
        </is>
      </c>
      <c r="AR2979">
        <f>HYPERLINK("http://catalog.hathitrust.org/Record/000784545","HathiTrust Record")</f>
        <v/>
      </c>
      <c r="AS2979">
        <f>HYPERLINK("https://creighton-primo.hosted.exlibrisgroup.com/primo-explore/search?tab=default_tab&amp;search_scope=EVERYTHING&amp;vid=01CRU&amp;lang=en_US&amp;offset=0&amp;query=any,contains,991000170049702656","Catalog Record")</f>
        <v/>
      </c>
      <c r="AT2979">
        <f>HYPERLINK("http://www.worldcat.org/oclc/9323345","WorldCat Record")</f>
        <v/>
      </c>
      <c r="AU2979" t="inlineStr">
        <is>
          <t>198557057:eng</t>
        </is>
      </c>
      <c r="AV2979" t="inlineStr">
        <is>
          <t>9323345</t>
        </is>
      </c>
      <c r="AW2979" t="inlineStr">
        <is>
          <t>991000170049702656</t>
        </is>
      </c>
      <c r="AX2979" t="inlineStr">
        <is>
          <t>991000170049702656</t>
        </is>
      </c>
      <c r="AY2979" t="inlineStr">
        <is>
          <t>2257774690002656</t>
        </is>
      </c>
      <c r="AZ2979" t="inlineStr">
        <is>
          <t>BOOK</t>
        </is>
      </c>
      <c r="BB2979" t="inlineStr">
        <is>
          <t>9780807041451</t>
        </is>
      </c>
      <c r="BC2979" t="inlineStr">
        <is>
          <t>32285000112655</t>
        </is>
      </c>
      <c r="BD2979" t="inlineStr">
        <is>
          <t>893351450</t>
        </is>
      </c>
    </row>
    <row r="2980">
      <c r="A2980" t="inlineStr">
        <is>
          <t>No</t>
        </is>
      </c>
      <c r="B2980" t="inlineStr">
        <is>
          <t>HQ809.3.U5 S777 1983</t>
        </is>
      </c>
      <c r="C2980" t="inlineStr">
        <is>
          <t>0                      HQ 0809300U  5                  S  777         1983</t>
        </is>
      </c>
      <c r="D2980" t="inlineStr">
        <is>
          <t>Helping the abuser : intervening effectively in family violence / Barbara Star.</t>
        </is>
      </c>
      <c r="F2980" t="inlineStr">
        <is>
          <t>No</t>
        </is>
      </c>
      <c r="G2980" t="inlineStr">
        <is>
          <t>1</t>
        </is>
      </c>
      <c r="H2980" t="inlineStr">
        <is>
          <t>No</t>
        </is>
      </c>
      <c r="I2980" t="inlineStr">
        <is>
          <t>No</t>
        </is>
      </c>
      <c r="J2980" t="inlineStr">
        <is>
          <t>0</t>
        </is>
      </c>
      <c r="K2980" t="inlineStr">
        <is>
          <t>Star, Barbara.</t>
        </is>
      </c>
      <c r="L2980" t="inlineStr">
        <is>
          <t>New York : Family Service Association of America, c1983.</t>
        </is>
      </c>
      <c r="M2980" t="inlineStr">
        <is>
          <t>1983</t>
        </is>
      </c>
      <c r="O2980" t="inlineStr">
        <is>
          <t>eng</t>
        </is>
      </c>
      <c r="P2980" t="inlineStr">
        <is>
          <t>nyu</t>
        </is>
      </c>
      <c r="R2980" t="inlineStr">
        <is>
          <t xml:space="preserve">HQ </t>
        </is>
      </c>
      <c r="S2980" t="n">
        <v>14</v>
      </c>
      <c r="T2980" t="n">
        <v>14</v>
      </c>
      <c r="U2980" t="inlineStr">
        <is>
          <t>1997-02-26</t>
        </is>
      </c>
      <c r="V2980" t="inlineStr">
        <is>
          <t>1997-02-26</t>
        </is>
      </c>
      <c r="W2980" t="inlineStr">
        <is>
          <t>1991-09-16</t>
        </is>
      </c>
      <c r="X2980" t="inlineStr">
        <is>
          <t>1991-09-16</t>
        </is>
      </c>
      <c r="Y2980" t="n">
        <v>710</v>
      </c>
      <c r="Z2980" t="n">
        <v>637</v>
      </c>
      <c r="AA2980" t="n">
        <v>639</v>
      </c>
      <c r="AB2980" t="n">
        <v>4</v>
      </c>
      <c r="AC2980" t="n">
        <v>4</v>
      </c>
      <c r="AD2980" t="n">
        <v>22</v>
      </c>
      <c r="AE2980" t="n">
        <v>22</v>
      </c>
      <c r="AF2980" t="n">
        <v>10</v>
      </c>
      <c r="AG2980" t="n">
        <v>10</v>
      </c>
      <c r="AH2980" t="n">
        <v>4</v>
      </c>
      <c r="AI2980" t="n">
        <v>4</v>
      </c>
      <c r="AJ2980" t="n">
        <v>10</v>
      </c>
      <c r="AK2980" t="n">
        <v>10</v>
      </c>
      <c r="AL2980" t="n">
        <v>3</v>
      </c>
      <c r="AM2980" t="n">
        <v>3</v>
      </c>
      <c r="AN2980" t="n">
        <v>0</v>
      </c>
      <c r="AO2980" t="n">
        <v>0</v>
      </c>
      <c r="AP2980" t="inlineStr">
        <is>
          <t>No</t>
        </is>
      </c>
      <c r="AQ2980" t="inlineStr">
        <is>
          <t>Yes</t>
        </is>
      </c>
      <c r="AR2980">
        <f>HYPERLINK("http://catalog.hathitrust.org/Record/000205187","HathiTrust Record")</f>
        <v/>
      </c>
      <c r="AS2980">
        <f>HYPERLINK("https://creighton-primo.hosted.exlibrisgroup.com/primo-explore/search?tab=default_tab&amp;search_scope=EVERYTHING&amp;vid=01CRU&amp;lang=en_US&amp;offset=0&amp;query=any,contains,991000257639702656","Catalog Record")</f>
        <v/>
      </c>
      <c r="AT2980">
        <f>HYPERLINK("http://www.worldcat.org/oclc/9784100","WorldCat Record")</f>
        <v/>
      </c>
      <c r="AU2980" t="inlineStr">
        <is>
          <t>196505382:eng</t>
        </is>
      </c>
      <c r="AV2980" t="inlineStr">
        <is>
          <t>9784100</t>
        </is>
      </c>
      <c r="AW2980" t="inlineStr">
        <is>
          <t>991000257639702656</t>
        </is>
      </c>
      <c r="AX2980" t="inlineStr">
        <is>
          <t>991000257639702656</t>
        </is>
      </c>
      <c r="AY2980" t="inlineStr">
        <is>
          <t>2268557480002656</t>
        </is>
      </c>
      <c r="AZ2980" t="inlineStr">
        <is>
          <t>BOOK</t>
        </is>
      </c>
      <c r="BB2980" t="inlineStr">
        <is>
          <t>9780873042024</t>
        </is>
      </c>
      <c r="BC2980" t="inlineStr">
        <is>
          <t>32285000758234</t>
        </is>
      </c>
      <c r="BD2980" t="inlineStr">
        <is>
          <t>893601618</t>
        </is>
      </c>
    </row>
    <row r="2981">
      <c r="A2981" t="inlineStr">
        <is>
          <t>No</t>
        </is>
      </c>
      <c r="B2981" t="inlineStr">
        <is>
          <t>HQ809.3.U5 S83 1988</t>
        </is>
      </c>
      <c r="C2981" t="inlineStr">
        <is>
          <t>0                      HQ 0809300U  5                  S  83          1988</t>
        </is>
      </c>
      <c r="D2981" t="inlineStr">
        <is>
          <t>Domestic violence and control / Jan E. Stets.</t>
        </is>
      </c>
      <c r="F2981" t="inlineStr">
        <is>
          <t>No</t>
        </is>
      </c>
      <c r="G2981" t="inlineStr">
        <is>
          <t>1</t>
        </is>
      </c>
      <c r="H2981" t="inlineStr">
        <is>
          <t>No</t>
        </is>
      </c>
      <c r="I2981" t="inlineStr">
        <is>
          <t>No</t>
        </is>
      </c>
      <c r="J2981" t="inlineStr">
        <is>
          <t>0</t>
        </is>
      </c>
      <c r="K2981" t="inlineStr">
        <is>
          <t>Stets, Jan E.</t>
        </is>
      </c>
      <c r="L2981" t="inlineStr">
        <is>
          <t>New York : Springer-Verlag, c1988.</t>
        </is>
      </c>
      <c r="M2981" t="inlineStr">
        <is>
          <t>1988</t>
        </is>
      </c>
      <c r="O2981" t="inlineStr">
        <is>
          <t>eng</t>
        </is>
      </c>
      <c r="P2981" t="inlineStr">
        <is>
          <t>nyu</t>
        </is>
      </c>
      <c r="R2981" t="inlineStr">
        <is>
          <t xml:space="preserve">HQ </t>
        </is>
      </c>
      <c r="S2981" t="n">
        <v>28</v>
      </c>
      <c r="T2981" t="n">
        <v>28</v>
      </c>
      <c r="U2981" t="inlineStr">
        <is>
          <t>2003-11-18</t>
        </is>
      </c>
      <c r="V2981" t="inlineStr">
        <is>
          <t>2003-11-18</t>
        </is>
      </c>
      <c r="W2981" t="inlineStr">
        <is>
          <t>1990-03-06</t>
        </is>
      </c>
      <c r="X2981" t="inlineStr">
        <is>
          <t>1990-03-06</t>
        </is>
      </c>
      <c r="Y2981" t="n">
        <v>544</v>
      </c>
      <c r="Z2981" t="n">
        <v>449</v>
      </c>
      <c r="AA2981" t="n">
        <v>470</v>
      </c>
      <c r="AB2981" t="n">
        <v>4</v>
      </c>
      <c r="AC2981" t="n">
        <v>4</v>
      </c>
      <c r="AD2981" t="n">
        <v>21</v>
      </c>
      <c r="AE2981" t="n">
        <v>24</v>
      </c>
      <c r="AF2981" t="n">
        <v>7</v>
      </c>
      <c r="AG2981" t="n">
        <v>10</v>
      </c>
      <c r="AH2981" t="n">
        <v>4</v>
      </c>
      <c r="AI2981" t="n">
        <v>5</v>
      </c>
      <c r="AJ2981" t="n">
        <v>13</v>
      </c>
      <c r="AK2981" t="n">
        <v>14</v>
      </c>
      <c r="AL2981" t="n">
        <v>3</v>
      </c>
      <c r="AM2981" t="n">
        <v>3</v>
      </c>
      <c r="AN2981" t="n">
        <v>0</v>
      </c>
      <c r="AO2981" t="n">
        <v>0</v>
      </c>
      <c r="AP2981" t="inlineStr">
        <is>
          <t>No</t>
        </is>
      </c>
      <c r="AQ2981" t="inlineStr">
        <is>
          <t>Yes</t>
        </is>
      </c>
      <c r="AR2981">
        <f>HYPERLINK("http://catalog.hathitrust.org/Record/000913278","HathiTrust Record")</f>
        <v/>
      </c>
      <c r="AS2981">
        <f>HYPERLINK("https://creighton-primo.hosted.exlibrisgroup.com/primo-explore/search?tab=default_tab&amp;search_scope=EVERYTHING&amp;vid=01CRU&amp;lang=en_US&amp;offset=0&amp;query=any,contains,991001132759702656","Catalog Record")</f>
        <v/>
      </c>
      <c r="AT2981">
        <f>HYPERLINK("http://www.worldcat.org/oclc/16684635","WorldCat Record")</f>
        <v/>
      </c>
      <c r="AU2981" t="inlineStr">
        <is>
          <t>12671536:eng</t>
        </is>
      </c>
      <c r="AV2981" t="inlineStr">
        <is>
          <t>16684635</t>
        </is>
      </c>
      <c r="AW2981" t="inlineStr">
        <is>
          <t>991001132759702656</t>
        </is>
      </c>
      <c r="AX2981" t="inlineStr">
        <is>
          <t>991001132759702656</t>
        </is>
      </c>
      <c r="AY2981" t="inlineStr">
        <is>
          <t>2271454050002656</t>
        </is>
      </c>
      <c r="AZ2981" t="inlineStr">
        <is>
          <t>BOOK</t>
        </is>
      </c>
      <c r="BB2981" t="inlineStr">
        <is>
          <t>9780387966281</t>
        </is>
      </c>
      <c r="BC2981" t="inlineStr">
        <is>
          <t>32285000065416</t>
        </is>
      </c>
      <c r="BD2981" t="inlineStr">
        <is>
          <t>893778583</t>
        </is>
      </c>
    </row>
    <row r="2982">
      <c r="A2982" t="inlineStr">
        <is>
          <t>No</t>
        </is>
      </c>
      <c r="B2982" t="inlineStr">
        <is>
          <t>HQ809.3.U5 S873 1990</t>
        </is>
      </c>
      <c r="C2982" t="inlineStr">
        <is>
          <t>0                      HQ 0809300U  5                  S  873         1990</t>
        </is>
      </c>
      <c r="D2982" t="inlineStr">
        <is>
          <t>Physical violence in American families : risk factors and adaptations to violence in 8,145 families / Murray A. Straus and Richard J. Gelles ; edited with the assistance of Christine Smith.</t>
        </is>
      </c>
      <c r="F2982" t="inlineStr">
        <is>
          <t>No</t>
        </is>
      </c>
      <c r="G2982" t="inlineStr">
        <is>
          <t>1</t>
        </is>
      </c>
      <c r="H2982" t="inlineStr">
        <is>
          <t>No</t>
        </is>
      </c>
      <c r="I2982" t="inlineStr">
        <is>
          <t>No</t>
        </is>
      </c>
      <c r="J2982" t="inlineStr">
        <is>
          <t>0</t>
        </is>
      </c>
      <c r="K2982" t="inlineStr">
        <is>
          <t>Straus, Murray A. (Murray Arnold), 1926-</t>
        </is>
      </c>
      <c r="L2982" t="inlineStr">
        <is>
          <t>New Brunswick, N.J., U.S.A. : Transaction Publishers, c1990.</t>
        </is>
      </c>
      <c r="M2982" t="inlineStr">
        <is>
          <t>1990</t>
        </is>
      </c>
      <c r="O2982" t="inlineStr">
        <is>
          <t>eng</t>
        </is>
      </c>
      <c r="P2982" t="inlineStr">
        <is>
          <t>nju</t>
        </is>
      </c>
      <c r="R2982" t="inlineStr">
        <is>
          <t xml:space="preserve">HQ </t>
        </is>
      </c>
      <c r="S2982" t="n">
        <v>26</v>
      </c>
      <c r="T2982" t="n">
        <v>26</v>
      </c>
      <c r="U2982" t="inlineStr">
        <is>
          <t>2007-02-28</t>
        </is>
      </c>
      <c r="V2982" t="inlineStr">
        <is>
          <t>2007-02-28</t>
        </is>
      </c>
      <c r="W2982" t="inlineStr">
        <is>
          <t>1990-05-03</t>
        </is>
      </c>
      <c r="X2982" t="inlineStr">
        <is>
          <t>1990-05-03</t>
        </is>
      </c>
      <c r="Y2982" t="n">
        <v>682</v>
      </c>
      <c r="Z2982" t="n">
        <v>604</v>
      </c>
      <c r="AA2982" t="n">
        <v>709</v>
      </c>
      <c r="AB2982" t="n">
        <v>8</v>
      </c>
      <c r="AC2982" t="n">
        <v>8</v>
      </c>
      <c r="AD2982" t="n">
        <v>39</v>
      </c>
      <c r="AE2982" t="n">
        <v>39</v>
      </c>
      <c r="AF2982" t="n">
        <v>13</v>
      </c>
      <c r="AG2982" t="n">
        <v>13</v>
      </c>
      <c r="AH2982" t="n">
        <v>9</v>
      </c>
      <c r="AI2982" t="n">
        <v>9</v>
      </c>
      <c r="AJ2982" t="n">
        <v>19</v>
      </c>
      <c r="AK2982" t="n">
        <v>19</v>
      </c>
      <c r="AL2982" t="n">
        <v>7</v>
      </c>
      <c r="AM2982" t="n">
        <v>7</v>
      </c>
      <c r="AN2982" t="n">
        <v>1</v>
      </c>
      <c r="AO2982" t="n">
        <v>1</v>
      </c>
      <c r="AP2982" t="inlineStr">
        <is>
          <t>No</t>
        </is>
      </c>
      <c r="AQ2982" t="inlineStr">
        <is>
          <t>No</t>
        </is>
      </c>
      <c r="AS2982">
        <f>HYPERLINK("https://creighton-primo.hosted.exlibrisgroup.com/primo-explore/search?tab=default_tab&amp;search_scope=EVERYTHING&amp;vid=01CRU&amp;lang=en_US&amp;offset=0&amp;query=any,contains,991001352379702656","Catalog Record")</f>
        <v/>
      </c>
      <c r="AT2982">
        <f>HYPERLINK("http://www.worldcat.org/oclc/18442656","WorldCat Record")</f>
        <v/>
      </c>
      <c r="AU2982" t="inlineStr">
        <is>
          <t>329529301:eng</t>
        </is>
      </c>
      <c r="AV2982" t="inlineStr">
        <is>
          <t>18442656</t>
        </is>
      </c>
      <c r="AW2982" t="inlineStr">
        <is>
          <t>991001352379702656</t>
        </is>
      </c>
      <c r="AX2982" t="inlineStr">
        <is>
          <t>991001352379702656</t>
        </is>
      </c>
      <c r="AY2982" t="inlineStr">
        <is>
          <t>2267103130002656</t>
        </is>
      </c>
      <c r="AZ2982" t="inlineStr">
        <is>
          <t>BOOK</t>
        </is>
      </c>
      <c r="BB2982" t="inlineStr">
        <is>
          <t>9780887382635</t>
        </is>
      </c>
      <c r="BC2982" t="inlineStr">
        <is>
          <t>32285000117951</t>
        </is>
      </c>
      <c r="BD2982" t="inlineStr">
        <is>
          <t>893528896</t>
        </is>
      </c>
    </row>
    <row r="2983">
      <c r="A2983" t="inlineStr">
        <is>
          <t>No</t>
        </is>
      </c>
      <c r="B2983" t="inlineStr">
        <is>
          <t>HQ809.3.U5 S88</t>
        </is>
      </c>
      <c r="C2983" t="inlineStr">
        <is>
          <t>0                      HQ 0809300U  5                  S  88</t>
        </is>
      </c>
      <c r="D2983" t="inlineStr">
        <is>
          <t>The Social causes of husband-wife violence / Murray A. Straus and Gerald T. Hotaling, editors.</t>
        </is>
      </c>
      <c r="F2983" t="inlineStr">
        <is>
          <t>No</t>
        </is>
      </c>
      <c r="G2983" t="inlineStr">
        <is>
          <t>1</t>
        </is>
      </c>
      <c r="H2983" t="inlineStr">
        <is>
          <t>Yes</t>
        </is>
      </c>
      <c r="I2983" t="inlineStr">
        <is>
          <t>No</t>
        </is>
      </c>
      <c r="J2983" t="inlineStr">
        <is>
          <t>0</t>
        </is>
      </c>
      <c r="L2983" t="inlineStr">
        <is>
          <t>Minneapolis : University of Minnesota Press, c1980.</t>
        </is>
      </c>
      <c r="M2983" t="inlineStr">
        <is>
          <t>1980</t>
        </is>
      </c>
      <c r="O2983" t="inlineStr">
        <is>
          <t>eng</t>
        </is>
      </c>
      <c r="P2983" t="inlineStr">
        <is>
          <t>mnu</t>
        </is>
      </c>
      <c r="R2983" t="inlineStr">
        <is>
          <t xml:space="preserve">HQ </t>
        </is>
      </c>
      <c r="S2983" t="n">
        <v>19</v>
      </c>
      <c r="T2983" t="n">
        <v>23</v>
      </c>
      <c r="U2983" t="inlineStr">
        <is>
          <t>1995-01-26</t>
        </is>
      </c>
      <c r="V2983" t="inlineStr">
        <is>
          <t>1995-01-26</t>
        </is>
      </c>
      <c r="W2983" t="inlineStr">
        <is>
          <t>1990-03-06</t>
        </is>
      </c>
      <c r="X2983" t="inlineStr">
        <is>
          <t>1990-03-06</t>
        </is>
      </c>
      <c r="Y2983" t="n">
        <v>572</v>
      </c>
      <c r="Z2983" t="n">
        <v>483</v>
      </c>
      <c r="AA2983" t="n">
        <v>484</v>
      </c>
      <c r="AB2983" t="n">
        <v>6</v>
      </c>
      <c r="AC2983" t="n">
        <v>6</v>
      </c>
      <c r="AD2983" t="n">
        <v>21</v>
      </c>
      <c r="AE2983" t="n">
        <v>21</v>
      </c>
      <c r="AF2983" t="n">
        <v>5</v>
      </c>
      <c r="AG2983" t="n">
        <v>5</v>
      </c>
      <c r="AH2983" t="n">
        <v>4</v>
      </c>
      <c r="AI2983" t="n">
        <v>4</v>
      </c>
      <c r="AJ2983" t="n">
        <v>8</v>
      </c>
      <c r="AK2983" t="n">
        <v>8</v>
      </c>
      <c r="AL2983" t="n">
        <v>3</v>
      </c>
      <c r="AM2983" t="n">
        <v>3</v>
      </c>
      <c r="AN2983" t="n">
        <v>3</v>
      </c>
      <c r="AO2983" t="n">
        <v>3</v>
      </c>
      <c r="AP2983" t="inlineStr">
        <is>
          <t>No</t>
        </is>
      </c>
      <c r="AQ2983" t="inlineStr">
        <is>
          <t>No</t>
        </is>
      </c>
      <c r="AS2983">
        <f>HYPERLINK("https://creighton-primo.hosted.exlibrisgroup.com/primo-explore/search?tab=default_tab&amp;search_scope=EVERYTHING&amp;vid=01CRU&amp;lang=en_US&amp;offset=0&amp;query=any,contains,991001757639702656","Catalog Record")</f>
        <v/>
      </c>
      <c r="AT2983">
        <f>HYPERLINK("http://www.worldcat.org/oclc/5892839","WorldCat Record")</f>
        <v/>
      </c>
      <c r="AU2983" t="inlineStr">
        <is>
          <t>350120980:eng</t>
        </is>
      </c>
      <c r="AV2983" t="inlineStr">
        <is>
          <t>5892839</t>
        </is>
      </c>
      <c r="AW2983" t="inlineStr">
        <is>
          <t>991001757639702656</t>
        </is>
      </c>
      <c r="AX2983" t="inlineStr">
        <is>
          <t>991001757639702656</t>
        </is>
      </c>
      <c r="AY2983" t="inlineStr">
        <is>
          <t>2264728160002656</t>
        </is>
      </c>
      <c r="AZ2983" t="inlineStr">
        <is>
          <t>BOOK</t>
        </is>
      </c>
      <c r="BB2983" t="inlineStr">
        <is>
          <t>9780816608867</t>
        </is>
      </c>
      <c r="BC2983" t="inlineStr">
        <is>
          <t>32285000065408</t>
        </is>
      </c>
      <c r="BD2983" t="inlineStr">
        <is>
          <t>893772886</t>
        </is>
      </c>
    </row>
    <row r="2984">
      <c r="A2984" t="inlineStr">
        <is>
          <t>No</t>
        </is>
      </c>
      <c r="B2984" t="inlineStr">
        <is>
          <t>HQ809.3.U5 T48</t>
        </is>
      </c>
      <c r="C2984" t="inlineStr">
        <is>
          <t>0                      HQ 0809300U  5                  T  48</t>
        </is>
      </c>
      <c r="D2984" t="inlineStr">
        <is>
          <t>Family violence / by George Thorman.</t>
        </is>
      </c>
      <c r="F2984" t="inlineStr">
        <is>
          <t>No</t>
        </is>
      </c>
      <c r="G2984" t="inlineStr">
        <is>
          <t>1</t>
        </is>
      </c>
      <c r="H2984" t="inlineStr">
        <is>
          <t>No</t>
        </is>
      </c>
      <c r="I2984" t="inlineStr">
        <is>
          <t>No</t>
        </is>
      </c>
      <c r="J2984" t="inlineStr">
        <is>
          <t>0</t>
        </is>
      </c>
      <c r="K2984" t="inlineStr">
        <is>
          <t>Thorman, George.</t>
        </is>
      </c>
      <c r="L2984" t="inlineStr">
        <is>
          <t>Springfield, Ill. : C. C. Thomas, c1980.</t>
        </is>
      </c>
      <c r="M2984" t="inlineStr">
        <is>
          <t>1980</t>
        </is>
      </c>
      <c r="O2984" t="inlineStr">
        <is>
          <t>eng</t>
        </is>
      </c>
      <c r="P2984" t="inlineStr">
        <is>
          <t>ilu</t>
        </is>
      </c>
      <c r="R2984" t="inlineStr">
        <is>
          <t xml:space="preserve">HQ </t>
        </is>
      </c>
      <c r="S2984" t="n">
        <v>20</v>
      </c>
      <c r="T2984" t="n">
        <v>20</v>
      </c>
      <c r="U2984" t="inlineStr">
        <is>
          <t>2003-11-24</t>
        </is>
      </c>
      <c r="V2984" t="inlineStr">
        <is>
          <t>2003-11-24</t>
        </is>
      </c>
      <c r="W2984" t="inlineStr">
        <is>
          <t>1991-12-05</t>
        </is>
      </c>
      <c r="X2984" t="inlineStr">
        <is>
          <t>1991-12-05</t>
        </is>
      </c>
      <c r="Y2984" t="n">
        <v>411</v>
      </c>
      <c r="Z2984" t="n">
        <v>356</v>
      </c>
      <c r="AA2984" t="n">
        <v>358</v>
      </c>
      <c r="AB2984" t="n">
        <v>2</v>
      </c>
      <c r="AC2984" t="n">
        <v>2</v>
      </c>
      <c r="AD2984" t="n">
        <v>10</v>
      </c>
      <c r="AE2984" t="n">
        <v>10</v>
      </c>
      <c r="AF2984" t="n">
        <v>4</v>
      </c>
      <c r="AG2984" t="n">
        <v>4</v>
      </c>
      <c r="AH2984" t="n">
        <v>2</v>
      </c>
      <c r="AI2984" t="n">
        <v>2</v>
      </c>
      <c r="AJ2984" t="n">
        <v>2</v>
      </c>
      <c r="AK2984" t="n">
        <v>2</v>
      </c>
      <c r="AL2984" t="n">
        <v>1</v>
      </c>
      <c r="AM2984" t="n">
        <v>1</v>
      </c>
      <c r="AN2984" t="n">
        <v>2</v>
      </c>
      <c r="AO2984" t="n">
        <v>2</v>
      </c>
      <c r="AP2984" t="inlineStr">
        <is>
          <t>No</t>
        </is>
      </c>
      <c r="AQ2984" t="inlineStr">
        <is>
          <t>Yes</t>
        </is>
      </c>
      <c r="AR2984">
        <f>HYPERLINK("http://catalog.hathitrust.org/Record/000262301","HathiTrust Record")</f>
        <v/>
      </c>
      <c r="AS2984">
        <f>HYPERLINK("https://creighton-primo.hosted.exlibrisgroup.com/primo-explore/search?tab=default_tab&amp;search_scope=EVERYTHING&amp;vid=01CRU&amp;lang=en_US&amp;offset=0&amp;query=any,contains,991004782899702656","Catalog Record")</f>
        <v/>
      </c>
      <c r="AT2984">
        <f>HYPERLINK("http://www.worldcat.org/oclc/5126096","WorldCat Record")</f>
        <v/>
      </c>
      <c r="AU2984" t="inlineStr">
        <is>
          <t>16529480:eng</t>
        </is>
      </c>
      <c r="AV2984" t="inlineStr">
        <is>
          <t>5126096</t>
        </is>
      </c>
      <c r="AW2984" t="inlineStr">
        <is>
          <t>991004782899702656</t>
        </is>
      </c>
      <c r="AX2984" t="inlineStr">
        <is>
          <t>991004782899702656</t>
        </is>
      </c>
      <c r="AY2984" t="inlineStr">
        <is>
          <t>2267976680002656</t>
        </is>
      </c>
      <c r="AZ2984" t="inlineStr">
        <is>
          <t>BOOK</t>
        </is>
      </c>
      <c r="BB2984" t="inlineStr">
        <is>
          <t>9780398039530</t>
        </is>
      </c>
      <c r="BC2984" t="inlineStr">
        <is>
          <t>32285000848225</t>
        </is>
      </c>
      <c r="BD2984" t="inlineStr">
        <is>
          <t>893628361</t>
        </is>
      </c>
    </row>
    <row r="2985">
      <c r="A2985" t="inlineStr">
        <is>
          <t>No</t>
        </is>
      </c>
      <c r="B2985" t="inlineStr">
        <is>
          <t>HQ809.3.U5 U832 1994</t>
        </is>
      </c>
      <c r="C2985" t="inlineStr">
        <is>
          <t>0                      HQ 0809300U  5                  U  832         1994</t>
        </is>
      </c>
      <c r="D2985" t="inlineStr">
        <is>
          <t>Violence, abuse, and neglect : the American home / Myron R. Utech.</t>
        </is>
      </c>
      <c r="F2985" t="inlineStr">
        <is>
          <t>No</t>
        </is>
      </c>
      <c r="G2985" t="inlineStr">
        <is>
          <t>1</t>
        </is>
      </c>
      <c r="H2985" t="inlineStr">
        <is>
          <t>No</t>
        </is>
      </c>
      <c r="I2985" t="inlineStr">
        <is>
          <t>No</t>
        </is>
      </c>
      <c r="J2985" t="inlineStr">
        <is>
          <t>0</t>
        </is>
      </c>
      <c r="K2985" t="inlineStr">
        <is>
          <t>Utech, Myron R.</t>
        </is>
      </c>
      <c r="L2985" t="inlineStr">
        <is>
          <t>Dix Hills, N.Y. : General Hall, c1994.</t>
        </is>
      </c>
      <c r="M2985" t="inlineStr">
        <is>
          <t>1994</t>
        </is>
      </c>
      <c r="O2985" t="inlineStr">
        <is>
          <t>eng</t>
        </is>
      </c>
      <c r="P2985" t="inlineStr">
        <is>
          <t>nyu</t>
        </is>
      </c>
      <c r="Q2985" t="inlineStr">
        <is>
          <t>The Reynolds series in sociology</t>
        </is>
      </c>
      <c r="R2985" t="inlineStr">
        <is>
          <t xml:space="preserve">HQ </t>
        </is>
      </c>
      <c r="S2985" t="n">
        <v>20</v>
      </c>
      <c r="T2985" t="n">
        <v>20</v>
      </c>
      <c r="U2985" t="inlineStr">
        <is>
          <t>2003-11-24</t>
        </is>
      </c>
      <c r="V2985" t="inlineStr">
        <is>
          <t>2003-11-24</t>
        </is>
      </c>
      <c r="W2985" t="inlineStr">
        <is>
          <t>1993-11-01</t>
        </is>
      </c>
      <c r="X2985" t="inlineStr">
        <is>
          <t>1993-11-01</t>
        </is>
      </c>
      <c r="Y2985" t="n">
        <v>47</v>
      </c>
      <c r="Z2985" t="n">
        <v>46</v>
      </c>
      <c r="AA2985" t="n">
        <v>46</v>
      </c>
      <c r="AB2985" t="n">
        <v>1</v>
      </c>
      <c r="AC2985" t="n">
        <v>1</v>
      </c>
      <c r="AD2985" t="n">
        <v>2</v>
      </c>
      <c r="AE2985" t="n">
        <v>2</v>
      </c>
      <c r="AF2985" t="n">
        <v>1</v>
      </c>
      <c r="AG2985" t="n">
        <v>1</v>
      </c>
      <c r="AH2985" t="n">
        <v>0</v>
      </c>
      <c r="AI2985" t="n">
        <v>0</v>
      </c>
      <c r="AJ2985" t="n">
        <v>1</v>
      </c>
      <c r="AK2985" t="n">
        <v>1</v>
      </c>
      <c r="AL2985" t="n">
        <v>0</v>
      </c>
      <c r="AM2985" t="n">
        <v>0</v>
      </c>
      <c r="AN2985" t="n">
        <v>0</v>
      </c>
      <c r="AO2985" t="n">
        <v>0</v>
      </c>
      <c r="AP2985" t="inlineStr">
        <is>
          <t>No</t>
        </is>
      </c>
      <c r="AQ2985" t="inlineStr">
        <is>
          <t>No</t>
        </is>
      </c>
      <c r="AS2985">
        <f>HYPERLINK("https://creighton-primo.hosted.exlibrisgroup.com/primo-explore/search?tab=default_tab&amp;search_scope=EVERYTHING&amp;vid=01CRU&amp;lang=en_US&amp;offset=0&amp;query=any,contains,991002253769702656","Catalog Record")</f>
        <v/>
      </c>
      <c r="AT2985">
        <f>HYPERLINK("http://www.worldcat.org/oclc/29192371","WorldCat Record")</f>
        <v/>
      </c>
      <c r="AU2985" t="inlineStr">
        <is>
          <t>1122620567:eng</t>
        </is>
      </c>
      <c r="AV2985" t="inlineStr">
        <is>
          <t>29192371</t>
        </is>
      </c>
      <c r="AW2985" t="inlineStr">
        <is>
          <t>991002253769702656</t>
        </is>
      </c>
      <c r="AX2985" t="inlineStr">
        <is>
          <t>991002253769702656</t>
        </is>
      </c>
      <c r="AY2985" t="inlineStr">
        <is>
          <t>2263212420002656</t>
        </is>
      </c>
      <c r="AZ2985" t="inlineStr">
        <is>
          <t>BOOK</t>
        </is>
      </c>
      <c r="BB2985" t="inlineStr">
        <is>
          <t>9780930390198</t>
        </is>
      </c>
      <c r="BC2985" t="inlineStr">
        <is>
          <t>32285001415131</t>
        </is>
      </c>
      <c r="BD2985" t="inlineStr">
        <is>
          <t>893414998</t>
        </is>
      </c>
    </row>
    <row r="2986">
      <c r="A2986" t="inlineStr">
        <is>
          <t>No</t>
        </is>
      </c>
      <c r="B2986" t="inlineStr">
        <is>
          <t>HQ809.3.U5 V56</t>
        </is>
      </c>
      <c r="C2986" t="inlineStr">
        <is>
          <t>0                      HQ 0809300U  5                  V  56</t>
        </is>
      </c>
      <c r="D2986" t="inlineStr">
        <is>
          <t>Violence and the family / edited by Maurice R. Green.</t>
        </is>
      </c>
      <c r="F2986" t="inlineStr">
        <is>
          <t>No</t>
        </is>
      </c>
      <c r="G2986" t="inlineStr">
        <is>
          <t>1</t>
        </is>
      </c>
      <c r="H2986" t="inlineStr">
        <is>
          <t>No</t>
        </is>
      </c>
      <c r="I2986" t="inlineStr">
        <is>
          <t>No</t>
        </is>
      </c>
      <c r="J2986" t="inlineStr">
        <is>
          <t>0</t>
        </is>
      </c>
      <c r="L2986" t="inlineStr">
        <is>
          <t>Boulder, Colo. : Published by Westview Press for the American Association for the Advancement of Science, 1980.</t>
        </is>
      </c>
      <c r="M2986" t="inlineStr">
        <is>
          <t>1980</t>
        </is>
      </c>
      <c r="O2986" t="inlineStr">
        <is>
          <t>eng</t>
        </is>
      </c>
      <c r="P2986" t="inlineStr">
        <is>
          <t>cou</t>
        </is>
      </c>
      <c r="Q2986" t="inlineStr">
        <is>
          <t>AAAS selected symposium ; 47</t>
        </is>
      </c>
      <c r="R2986" t="inlineStr">
        <is>
          <t xml:space="preserve">HQ </t>
        </is>
      </c>
      <c r="S2986" t="n">
        <v>17</v>
      </c>
      <c r="T2986" t="n">
        <v>17</v>
      </c>
      <c r="U2986" t="inlineStr">
        <is>
          <t>1995-10-22</t>
        </is>
      </c>
      <c r="V2986" t="inlineStr">
        <is>
          <t>1995-10-22</t>
        </is>
      </c>
      <c r="W2986" t="inlineStr">
        <is>
          <t>1991-11-25</t>
        </is>
      </c>
      <c r="X2986" t="inlineStr">
        <is>
          <t>1991-11-25</t>
        </is>
      </c>
      <c r="Y2986" t="n">
        <v>515</v>
      </c>
      <c r="Z2986" t="n">
        <v>424</v>
      </c>
      <c r="AA2986" t="n">
        <v>433</v>
      </c>
      <c r="AB2986" t="n">
        <v>7</v>
      </c>
      <c r="AC2986" t="n">
        <v>7</v>
      </c>
      <c r="AD2986" t="n">
        <v>20</v>
      </c>
      <c r="AE2986" t="n">
        <v>20</v>
      </c>
      <c r="AF2986" t="n">
        <v>3</v>
      </c>
      <c r="AG2986" t="n">
        <v>3</v>
      </c>
      <c r="AH2986" t="n">
        <v>5</v>
      </c>
      <c r="AI2986" t="n">
        <v>5</v>
      </c>
      <c r="AJ2986" t="n">
        <v>8</v>
      </c>
      <c r="AK2986" t="n">
        <v>8</v>
      </c>
      <c r="AL2986" t="n">
        <v>6</v>
      </c>
      <c r="AM2986" t="n">
        <v>6</v>
      </c>
      <c r="AN2986" t="n">
        <v>0</v>
      </c>
      <c r="AO2986" t="n">
        <v>0</v>
      </c>
      <c r="AP2986" t="inlineStr">
        <is>
          <t>No</t>
        </is>
      </c>
      <c r="AQ2986" t="inlineStr">
        <is>
          <t>Yes</t>
        </is>
      </c>
      <c r="AR2986">
        <f>HYPERLINK("http://catalog.hathitrust.org/Record/007116516","HathiTrust Record")</f>
        <v/>
      </c>
      <c r="AS2986">
        <f>HYPERLINK("https://creighton-primo.hosted.exlibrisgroup.com/primo-explore/search?tab=default_tab&amp;search_scope=EVERYTHING&amp;vid=01CRU&amp;lang=en_US&amp;offset=0&amp;query=any,contains,991004974429702656","Catalog Record")</f>
        <v/>
      </c>
      <c r="AT2986">
        <f>HYPERLINK("http://www.worldcat.org/oclc/6378977","WorldCat Record")</f>
        <v/>
      </c>
      <c r="AU2986" t="inlineStr">
        <is>
          <t>54386366:eng</t>
        </is>
      </c>
      <c r="AV2986" t="inlineStr">
        <is>
          <t>6378977</t>
        </is>
      </c>
      <c r="AW2986" t="inlineStr">
        <is>
          <t>991004974429702656</t>
        </is>
      </c>
      <c r="AX2986" t="inlineStr">
        <is>
          <t>991004974429702656</t>
        </is>
      </c>
      <c r="AY2986" t="inlineStr">
        <is>
          <t>2268874040002656</t>
        </is>
      </c>
      <c r="AZ2986" t="inlineStr">
        <is>
          <t>BOOK</t>
        </is>
      </c>
      <c r="BB2986" t="inlineStr">
        <is>
          <t>9780891588412</t>
        </is>
      </c>
      <c r="BC2986" t="inlineStr">
        <is>
          <t>32285000845064</t>
        </is>
      </c>
      <c r="BD2986" t="inlineStr">
        <is>
          <t>893263535</t>
        </is>
      </c>
    </row>
    <row r="2987">
      <c r="A2987" t="inlineStr">
        <is>
          <t>No</t>
        </is>
      </c>
      <c r="B2987" t="inlineStr">
        <is>
          <t>HQ809.3.U5 V566 1990</t>
        </is>
      </c>
      <c r="C2987" t="inlineStr">
        <is>
          <t>0                      HQ 0809300U  5                  V  566         1990</t>
        </is>
      </c>
      <c r="D2987" t="inlineStr">
        <is>
          <t>Violence hits home : comprehensive treatment approaches to domestic violence / Sandra M. Stith, Mary Beth Williams, Karen H. Rosen, editors.</t>
        </is>
      </c>
      <c r="F2987" t="inlineStr">
        <is>
          <t>No</t>
        </is>
      </c>
      <c r="G2987" t="inlineStr">
        <is>
          <t>1</t>
        </is>
      </c>
      <c r="H2987" t="inlineStr">
        <is>
          <t>No</t>
        </is>
      </c>
      <c r="I2987" t="inlineStr">
        <is>
          <t>No</t>
        </is>
      </c>
      <c r="J2987" t="inlineStr">
        <is>
          <t>0</t>
        </is>
      </c>
      <c r="L2987" t="inlineStr">
        <is>
          <t>New York : Springer Pub. Co., c1990.</t>
        </is>
      </c>
      <c r="M2987" t="inlineStr">
        <is>
          <t>1990</t>
        </is>
      </c>
      <c r="O2987" t="inlineStr">
        <is>
          <t>eng</t>
        </is>
      </c>
      <c r="P2987" t="inlineStr">
        <is>
          <t>nyu</t>
        </is>
      </c>
      <c r="Q2987" t="inlineStr">
        <is>
          <t>Springer series on social work ; vol. 19</t>
        </is>
      </c>
      <c r="R2987" t="inlineStr">
        <is>
          <t xml:space="preserve">HQ </t>
        </is>
      </c>
      <c r="S2987" t="n">
        <v>27</v>
      </c>
      <c r="T2987" t="n">
        <v>27</v>
      </c>
      <c r="U2987" t="inlineStr">
        <is>
          <t>2003-11-24</t>
        </is>
      </c>
      <c r="V2987" t="inlineStr">
        <is>
          <t>2003-11-24</t>
        </is>
      </c>
      <c r="W2987" t="inlineStr">
        <is>
          <t>1992-03-11</t>
        </is>
      </c>
      <c r="X2987" t="inlineStr">
        <is>
          <t>1992-03-11</t>
        </is>
      </c>
      <c r="Y2987" t="n">
        <v>438</v>
      </c>
      <c r="Z2987" t="n">
        <v>381</v>
      </c>
      <c r="AA2987" t="n">
        <v>390</v>
      </c>
      <c r="AB2987" t="n">
        <v>4</v>
      </c>
      <c r="AC2987" t="n">
        <v>4</v>
      </c>
      <c r="AD2987" t="n">
        <v>19</v>
      </c>
      <c r="AE2987" t="n">
        <v>19</v>
      </c>
      <c r="AF2987" t="n">
        <v>9</v>
      </c>
      <c r="AG2987" t="n">
        <v>9</v>
      </c>
      <c r="AH2987" t="n">
        <v>4</v>
      </c>
      <c r="AI2987" t="n">
        <v>4</v>
      </c>
      <c r="AJ2987" t="n">
        <v>8</v>
      </c>
      <c r="AK2987" t="n">
        <v>8</v>
      </c>
      <c r="AL2987" t="n">
        <v>3</v>
      </c>
      <c r="AM2987" t="n">
        <v>3</v>
      </c>
      <c r="AN2987" t="n">
        <v>0</v>
      </c>
      <c r="AO2987" t="n">
        <v>0</v>
      </c>
      <c r="AP2987" t="inlineStr">
        <is>
          <t>No</t>
        </is>
      </c>
      <c r="AQ2987" t="inlineStr">
        <is>
          <t>Yes</t>
        </is>
      </c>
      <c r="AR2987">
        <f>HYPERLINK("http://catalog.hathitrust.org/Record/002460759","HathiTrust Record")</f>
        <v/>
      </c>
      <c r="AS2987">
        <f>HYPERLINK("https://creighton-primo.hosted.exlibrisgroup.com/primo-explore/search?tab=default_tab&amp;search_scope=EVERYTHING&amp;vid=01CRU&amp;lang=en_US&amp;offset=0&amp;query=any,contains,991001642969702656","Catalog Record")</f>
        <v/>
      </c>
      <c r="AT2987">
        <f>HYPERLINK("http://www.worldcat.org/oclc/21038087","WorldCat Record")</f>
        <v/>
      </c>
      <c r="AU2987" t="inlineStr">
        <is>
          <t>891178507:eng</t>
        </is>
      </c>
      <c r="AV2987" t="inlineStr">
        <is>
          <t>21038087</t>
        </is>
      </c>
      <c r="AW2987" t="inlineStr">
        <is>
          <t>991001642969702656</t>
        </is>
      </c>
      <c r="AX2987" t="inlineStr">
        <is>
          <t>991001642969702656</t>
        </is>
      </c>
      <c r="AY2987" t="inlineStr">
        <is>
          <t>2255240520002656</t>
        </is>
      </c>
      <c r="AZ2987" t="inlineStr">
        <is>
          <t>BOOK</t>
        </is>
      </c>
      <c r="BB2987" t="inlineStr">
        <is>
          <t>9780826172709</t>
        </is>
      </c>
      <c r="BC2987" t="inlineStr">
        <is>
          <t>32285000939107</t>
        </is>
      </c>
      <c r="BD2987" t="inlineStr">
        <is>
          <t>893797711</t>
        </is>
      </c>
    </row>
    <row r="2988">
      <c r="A2988" t="inlineStr">
        <is>
          <t>No</t>
        </is>
      </c>
      <c r="B2988" t="inlineStr">
        <is>
          <t>HQ809.3.U5 V57 1986</t>
        </is>
      </c>
      <c r="C2988" t="inlineStr">
        <is>
          <t>0                      HQ 0809300U  5                  V  57          1986</t>
        </is>
      </c>
      <c r="D2988" t="inlineStr">
        <is>
          <t>Violence in the home : interdisciplinary perspectives / edited by Mary Lystad.</t>
        </is>
      </c>
      <c r="F2988" t="inlineStr">
        <is>
          <t>No</t>
        </is>
      </c>
      <c r="G2988" t="inlineStr">
        <is>
          <t>1</t>
        </is>
      </c>
      <c r="H2988" t="inlineStr">
        <is>
          <t>No</t>
        </is>
      </c>
      <c r="I2988" t="inlineStr">
        <is>
          <t>No</t>
        </is>
      </c>
      <c r="J2988" t="inlineStr">
        <is>
          <t>0</t>
        </is>
      </c>
      <c r="L2988" t="inlineStr">
        <is>
          <t>New York : Brunner/Mazel, c1986.</t>
        </is>
      </c>
      <c r="M2988" t="inlineStr">
        <is>
          <t>1986</t>
        </is>
      </c>
      <c r="O2988" t="inlineStr">
        <is>
          <t>eng</t>
        </is>
      </c>
      <c r="P2988" t="inlineStr">
        <is>
          <t>nyu</t>
        </is>
      </c>
      <c r="R2988" t="inlineStr">
        <is>
          <t xml:space="preserve">HQ </t>
        </is>
      </c>
      <c r="S2988" t="n">
        <v>17</v>
      </c>
      <c r="T2988" t="n">
        <v>17</v>
      </c>
      <c r="U2988" t="inlineStr">
        <is>
          <t>1997-11-02</t>
        </is>
      </c>
      <c r="V2988" t="inlineStr">
        <is>
          <t>1997-11-02</t>
        </is>
      </c>
      <c r="W2988" t="inlineStr">
        <is>
          <t>1993-04-23</t>
        </is>
      </c>
      <c r="X2988" t="inlineStr">
        <is>
          <t>1993-04-23</t>
        </is>
      </c>
      <c r="Y2988" t="n">
        <v>721</v>
      </c>
      <c r="Z2988" t="n">
        <v>607</v>
      </c>
      <c r="AA2988" t="n">
        <v>611</v>
      </c>
      <c r="AB2988" t="n">
        <v>6</v>
      </c>
      <c r="AC2988" t="n">
        <v>6</v>
      </c>
      <c r="AD2988" t="n">
        <v>32</v>
      </c>
      <c r="AE2988" t="n">
        <v>32</v>
      </c>
      <c r="AF2988" t="n">
        <v>12</v>
      </c>
      <c r="AG2988" t="n">
        <v>12</v>
      </c>
      <c r="AH2988" t="n">
        <v>6</v>
      </c>
      <c r="AI2988" t="n">
        <v>6</v>
      </c>
      <c r="AJ2988" t="n">
        <v>16</v>
      </c>
      <c r="AK2988" t="n">
        <v>16</v>
      </c>
      <c r="AL2988" t="n">
        <v>5</v>
      </c>
      <c r="AM2988" t="n">
        <v>5</v>
      </c>
      <c r="AN2988" t="n">
        <v>2</v>
      </c>
      <c r="AO2988" t="n">
        <v>2</v>
      </c>
      <c r="AP2988" t="inlineStr">
        <is>
          <t>No</t>
        </is>
      </c>
      <c r="AQ2988" t="inlineStr">
        <is>
          <t>No</t>
        </is>
      </c>
      <c r="AS2988">
        <f>HYPERLINK("https://creighton-primo.hosted.exlibrisgroup.com/primo-explore/search?tab=default_tab&amp;search_scope=EVERYTHING&amp;vid=01CRU&amp;lang=en_US&amp;offset=0&amp;query=any,contains,991000725769702656","Catalog Record")</f>
        <v/>
      </c>
      <c r="AT2988">
        <f>HYPERLINK("http://www.worldcat.org/oclc/12695543","WorldCat Record")</f>
        <v/>
      </c>
      <c r="AU2988" t="inlineStr">
        <is>
          <t>894530207:eng</t>
        </is>
      </c>
      <c r="AV2988" t="inlineStr">
        <is>
          <t>12695543</t>
        </is>
      </c>
      <c r="AW2988" t="inlineStr">
        <is>
          <t>991000725769702656</t>
        </is>
      </c>
      <c r="AX2988" t="inlineStr">
        <is>
          <t>991000725769702656</t>
        </is>
      </c>
      <c r="AY2988" t="inlineStr">
        <is>
          <t>2254749240002656</t>
        </is>
      </c>
      <c r="AZ2988" t="inlineStr">
        <is>
          <t>BOOK</t>
        </is>
      </c>
      <c r="BB2988" t="inlineStr">
        <is>
          <t>9780876304167</t>
        </is>
      </c>
      <c r="BC2988" t="inlineStr">
        <is>
          <t>32285001624914</t>
        </is>
      </c>
      <c r="BD2988" t="inlineStr">
        <is>
          <t>893438539</t>
        </is>
      </c>
    </row>
    <row r="2989">
      <c r="A2989" t="inlineStr">
        <is>
          <t>No</t>
        </is>
      </c>
      <c r="B2989" t="inlineStr">
        <is>
          <t>HQ809.3.U5 V58 1988</t>
        </is>
      </c>
      <c r="C2989" t="inlineStr">
        <is>
          <t>0                      HQ 0809300U  5                  V  58          1988</t>
        </is>
      </c>
      <c r="D2989" t="inlineStr">
        <is>
          <t>The Violent family : victimization of women, children and elders / [editor], Nancy Hutchings.</t>
        </is>
      </c>
      <c r="F2989" t="inlineStr">
        <is>
          <t>No</t>
        </is>
      </c>
      <c r="G2989" t="inlineStr">
        <is>
          <t>1</t>
        </is>
      </c>
      <c r="H2989" t="inlineStr">
        <is>
          <t>No</t>
        </is>
      </c>
      <c r="I2989" t="inlineStr">
        <is>
          <t>No</t>
        </is>
      </c>
      <c r="J2989" t="inlineStr">
        <is>
          <t>0</t>
        </is>
      </c>
      <c r="L2989" t="inlineStr">
        <is>
          <t>New York, N.Y. : Human Sciences Press, 1988.</t>
        </is>
      </c>
      <c r="M2989" t="inlineStr">
        <is>
          <t>1988</t>
        </is>
      </c>
      <c r="O2989" t="inlineStr">
        <is>
          <t>eng</t>
        </is>
      </c>
      <c r="P2989" t="inlineStr">
        <is>
          <t>nyu</t>
        </is>
      </c>
      <c r="R2989" t="inlineStr">
        <is>
          <t xml:space="preserve">HQ </t>
        </is>
      </c>
      <c r="S2989" t="n">
        <v>6</v>
      </c>
      <c r="T2989" t="n">
        <v>6</v>
      </c>
      <c r="U2989" t="inlineStr">
        <is>
          <t>2003-11-24</t>
        </is>
      </c>
      <c r="V2989" t="inlineStr">
        <is>
          <t>2003-11-24</t>
        </is>
      </c>
      <c r="W2989" t="inlineStr">
        <is>
          <t>1995-11-27</t>
        </is>
      </c>
      <c r="X2989" t="inlineStr">
        <is>
          <t>1995-11-27</t>
        </is>
      </c>
      <c r="Y2989" t="n">
        <v>554</v>
      </c>
      <c r="Z2989" t="n">
        <v>494</v>
      </c>
      <c r="AA2989" t="n">
        <v>497</v>
      </c>
      <c r="AB2989" t="n">
        <v>3</v>
      </c>
      <c r="AC2989" t="n">
        <v>3</v>
      </c>
      <c r="AD2989" t="n">
        <v>23</v>
      </c>
      <c r="AE2989" t="n">
        <v>23</v>
      </c>
      <c r="AF2989" t="n">
        <v>5</v>
      </c>
      <c r="AG2989" t="n">
        <v>5</v>
      </c>
      <c r="AH2989" t="n">
        <v>5</v>
      </c>
      <c r="AI2989" t="n">
        <v>5</v>
      </c>
      <c r="AJ2989" t="n">
        <v>11</v>
      </c>
      <c r="AK2989" t="n">
        <v>11</v>
      </c>
      <c r="AL2989" t="n">
        <v>2</v>
      </c>
      <c r="AM2989" t="n">
        <v>2</v>
      </c>
      <c r="AN2989" t="n">
        <v>5</v>
      </c>
      <c r="AO2989" t="n">
        <v>5</v>
      </c>
      <c r="AP2989" t="inlineStr">
        <is>
          <t>No</t>
        </is>
      </c>
      <c r="AQ2989" t="inlineStr">
        <is>
          <t>Yes</t>
        </is>
      </c>
      <c r="AR2989">
        <f>HYPERLINK("http://catalog.hathitrust.org/Record/000925060","HathiTrust Record")</f>
        <v/>
      </c>
      <c r="AS2989">
        <f>HYPERLINK("https://creighton-primo.hosted.exlibrisgroup.com/primo-explore/search?tab=default_tab&amp;search_scope=EVERYTHING&amp;vid=01CRU&amp;lang=en_US&amp;offset=0&amp;query=any,contains,991001048659702656","Catalog Record")</f>
        <v/>
      </c>
      <c r="AT2989">
        <f>HYPERLINK("http://www.worldcat.org/oclc/15630964","WorldCat Record")</f>
        <v/>
      </c>
      <c r="AU2989" t="inlineStr">
        <is>
          <t>54959417:eng</t>
        </is>
      </c>
      <c r="AV2989" t="inlineStr">
        <is>
          <t>15630964</t>
        </is>
      </c>
      <c r="AW2989" t="inlineStr">
        <is>
          <t>991001048659702656</t>
        </is>
      </c>
      <c r="AX2989" t="inlineStr">
        <is>
          <t>991001048659702656</t>
        </is>
      </c>
      <c r="AY2989" t="inlineStr">
        <is>
          <t>2262430790002656</t>
        </is>
      </c>
      <c r="AZ2989" t="inlineStr">
        <is>
          <t>BOOK</t>
        </is>
      </c>
      <c r="BB2989" t="inlineStr">
        <is>
          <t>9780898853834</t>
        </is>
      </c>
      <c r="BC2989" t="inlineStr">
        <is>
          <t>32285002106192</t>
        </is>
      </c>
      <c r="BD2989" t="inlineStr">
        <is>
          <t>893321590</t>
        </is>
      </c>
    </row>
    <row r="2990">
      <c r="A2990" t="inlineStr">
        <is>
          <t>No</t>
        </is>
      </c>
      <c r="B2990" t="inlineStr">
        <is>
          <t>HQ814 .A43 1987</t>
        </is>
      </c>
      <c r="C2990" t="inlineStr">
        <is>
          <t>0                      HQ 0814000A  43          1987</t>
        </is>
      </c>
      <c r="D2990" t="inlineStr">
        <is>
          <t>Divorced families : a multidisciplinary developmental view / Constance R. Ahrons, Roy H. Rodgers.</t>
        </is>
      </c>
      <c r="F2990" t="inlineStr">
        <is>
          <t>No</t>
        </is>
      </c>
      <c r="G2990" t="inlineStr">
        <is>
          <t>1</t>
        </is>
      </c>
      <c r="H2990" t="inlineStr">
        <is>
          <t>No</t>
        </is>
      </c>
      <c r="I2990" t="inlineStr">
        <is>
          <t>No</t>
        </is>
      </c>
      <c r="J2990" t="inlineStr">
        <is>
          <t>0</t>
        </is>
      </c>
      <c r="K2990" t="inlineStr">
        <is>
          <t>Ahrons, Constance R.</t>
        </is>
      </c>
      <c r="L2990" t="inlineStr">
        <is>
          <t>New York : W.W. Norton, c1987.</t>
        </is>
      </c>
      <c r="M2990" t="inlineStr">
        <is>
          <t>1987</t>
        </is>
      </c>
      <c r="N2990" t="inlineStr">
        <is>
          <t>1st ed.</t>
        </is>
      </c>
      <c r="O2990" t="inlineStr">
        <is>
          <t>eng</t>
        </is>
      </c>
      <c r="P2990" t="inlineStr">
        <is>
          <t>nyu</t>
        </is>
      </c>
      <c r="R2990" t="inlineStr">
        <is>
          <t xml:space="preserve">HQ </t>
        </is>
      </c>
      <c r="S2990" t="n">
        <v>15</v>
      </c>
      <c r="T2990" t="n">
        <v>15</v>
      </c>
      <c r="U2990" t="inlineStr">
        <is>
          <t>2008-11-19</t>
        </is>
      </c>
      <c r="V2990" t="inlineStr">
        <is>
          <t>2008-11-19</t>
        </is>
      </c>
      <c r="W2990" t="inlineStr">
        <is>
          <t>1990-03-27</t>
        </is>
      </c>
      <c r="X2990" t="inlineStr">
        <is>
          <t>1990-03-27</t>
        </is>
      </c>
      <c r="Y2990" t="n">
        <v>567</v>
      </c>
      <c r="Z2990" t="n">
        <v>465</v>
      </c>
      <c r="AA2990" t="n">
        <v>467</v>
      </c>
      <c r="AB2990" t="n">
        <v>5</v>
      </c>
      <c r="AC2990" t="n">
        <v>5</v>
      </c>
      <c r="AD2990" t="n">
        <v>23</v>
      </c>
      <c r="AE2990" t="n">
        <v>23</v>
      </c>
      <c r="AF2990" t="n">
        <v>6</v>
      </c>
      <c r="AG2990" t="n">
        <v>6</v>
      </c>
      <c r="AH2990" t="n">
        <v>5</v>
      </c>
      <c r="AI2990" t="n">
        <v>5</v>
      </c>
      <c r="AJ2990" t="n">
        <v>13</v>
      </c>
      <c r="AK2990" t="n">
        <v>13</v>
      </c>
      <c r="AL2990" t="n">
        <v>4</v>
      </c>
      <c r="AM2990" t="n">
        <v>4</v>
      </c>
      <c r="AN2990" t="n">
        <v>0</v>
      </c>
      <c r="AO2990" t="n">
        <v>0</v>
      </c>
      <c r="AP2990" t="inlineStr">
        <is>
          <t>No</t>
        </is>
      </c>
      <c r="AQ2990" t="inlineStr">
        <is>
          <t>No</t>
        </is>
      </c>
      <c r="AS2990">
        <f>HYPERLINK("https://creighton-primo.hosted.exlibrisgroup.com/primo-explore/search?tab=default_tab&amp;search_scope=EVERYTHING&amp;vid=01CRU&amp;lang=en_US&amp;offset=0&amp;query=any,contains,991000914299702656","Catalog Record")</f>
        <v/>
      </c>
      <c r="AT2990">
        <f>HYPERLINK("http://www.worldcat.org/oclc/14165849","WorldCat Record")</f>
        <v/>
      </c>
      <c r="AU2990" t="inlineStr">
        <is>
          <t>836669166:eng</t>
        </is>
      </c>
      <c r="AV2990" t="inlineStr">
        <is>
          <t>14165849</t>
        </is>
      </c>
      <c r="AW2990" t="inlineStr">
        <is>
          <t>991000914299702656</t>
        </is>
      </c>
      <c r="AX2990" t="inlineStr">
        <is>
          <t>991000914299702656</t>
        </is>
      </c>
      <c r="AY2990" t="inlineStr">
        <is>
          <t>2270052110002656</t>
        </is>
      </c>
      <c r="AZ2990" t="inlineStr">
        <is>
          <t>BOOK</t>
        </is>
      </c>
      <c r="BB2990" t="inlineStr">
        <is>
          <t>9780393700305</t>
        </is>
      </c>
      <c r="BC2990" t="inlineStr">
        <is>
          <t>32285000097575</t>
        </is>
      </c>
      <c r="BD2990" t="inlineStr">
        <is>
          <t>893897333</t>
        </is>
      </c>
    </row>
    <row r="2991">
      <c r="A2991" t="inlineStr">
        <is>
          <t>No</t>
        </is>
      </c>
      <c r="B2991" t="inlineStr">
        <is>
          <t>HQ814 .B46</t>
        </is>
      </c>
      <c r="C2991" t="inlineStr">
        <is>
          <t>0                      HQ 0814000B  46</t>
        </is>
      </c>
      <c r="D2991" t="inlineStr">
        <is>
          <t>Games divorced people play / Melvyn A. Berke and Joanne Grant.</t>
        </is>
      </c>
      <c r="F2991" t="inlineStr">
        <is>
          <t>No</t>
        </is>
      </c>
      <c r="G2991" t="inlineStr">
        <is>
          <t>1</t>
        </is>
      </c>
      <c r="H2991" t="inlineStr">
        <is>
          <t>No</t>
        </is>
      </c>
      <c r="I2991" t="inlineStr">
        <is>
          <t>No</t>
        </is>
      </c>
      <c r="J2991" t="inlineStr">
        <is>
          <t>0</t>
        </is>
      </c>
      <c r="K2991" t="inlineStr">
        <is>
          <t>Berke, Melvyn A., 1937-</t>
        </is>
      </c>
      <c r="L2991" t="inlineStr">
        <is>
          <t>Englewood Cliffs, N.J. : Prentice-Hall, c1981.</t>
        </is>
      </c>
      <c r="M2991" t="inlineStr">
        <is>
          <t>1981</t>
        </is>
      </c>
      <c r="O2991" t="inlineStr">
        <is>
          <t>eng</t>
        </is>
      </c>
      <c r="P2991" t="inlineStr">
        <is>
          <t>nju</t>
        </is>
      </c>
      <c r="R2991" t="inlineStr">
        <is>
          <t xml:space="preserve">HQ </t>
        </is>
      </c>
      <c r="S2991" t="n">
        <v>7</v>
      </c>
      <c r="T2991" t="n">
        <v>7</v>
      </c>
      <c r="U2991" t="inlineStr">
        <is>
          <t>1995-03-26</t>
        </is>
      </c>
      <c r="V2991" t="inlineStr">
        <is>
          <t>1995-03-26</t>
        </is>
      </c>
      <c r="W2991" t="inlineStr">
        <is>
          <t>1990-04-25</t>
        </is>
      </c>
      <c r="X2991" t="inlineStr">
        <is>
          <t>1990-04-25</t>
        </is>
      </c>
      <c r="Y2991" t="n">
        <v>216</v>
      </c>
      <c r="Z2991" t="n">
        <v>198</v>
      </c>
      <c r="AA2991" t="n">
        <v>209</v>
      </c>
      <c r="AB2991" t="n">
        <v>3</v>
      </c>
      <c r="AC2991" t="n">
        <v>3</v>
      </c>
      <c r="AD2991" t="n">
        <v>4</v>
      </c>
      <c r="AE2991" t="n">
        <v>4</v>
      </c>
      <c r="AF2991" t="n">
        <v>2</v>
      </c>
      <c r="AG2991" t="n">
        <v>2</v>
      </c>
      <c r="AH2991" t="n">
        <v>0</v>
      </c>
      <c r="AI2991" t="n">
        <v>0</v>
      </c>
      <c r="AJ2991" t="n">
        <v>1</v>
      </c>
      <c r="AK2991" t="n">
        <v>1</v>
      </c>
      <c r="AL2991" t="n">
        <v>2</v>
      </c>
      <c r="AM2991" t="n">
        <v>2</v>
      </c>
      <c r="AN2991" t="n">
        <v>0</v>
      </c>
      <c r="AO2991" t="n">
        <v>0</v>
      </c>
      <c r="AP2991" t="inlineStr">
        <is>
          <t>No</t>
        </is>
      </c>
      <c r="AQ2991" t="inlineStr">
        <is>
          <t>No</t>
        </is>
      </c>
      <c r="AS2991">
        <f>HYPERLINK("https://creighton-primo.hosted.exlibrisgroup.com/primo-explore/search?tab=default_tab&amp;search_scope=EVERYTHING&amp;vid=01CRU&amp;lang=en_US&amp;offset=0&amp;query=any,contains,991005029339702656","Catalog Record")</f>
        <v/>
      </c>
      <c r="AT2991">
        <f>HYPERLINK("http://www.worldcat.org/oclc/6708822","WorldCat Record")</f>
        <v/>
      </c>
      <c r="AU2991" t="inlineStr">
        <is>
          <t>8106361:eng</t>
        </is>
      </c>
      <c r="AV2991" t="inlineStr">
        <is>
          <t>6708822</t>
        </is>
      </c>
      <c r="AW2991" t="inlineStr">
        <is>
          <t>991005029339702656</t>
        </is>
      </c>
      <c r="AX2991" t="inlineStr">
        <is>
          <t>991005029339702656</t>
        </is>
      </c>
      <c r="AY2991" t="inlineStr">
        <is>
          <t>2254771910002656</t>
        </is>
      </c>
      <c r="AZ2991" t="inlineStr">
        <is>
          <t>BOOK</t>
        </is>
      </c>
      <c r="BB2991" t="inlineStr">
        <is>
          <t>9780133462050</t>
        </is>
      </c>
      <c r="BC2991" t="inlineStr">
        <is>
          <t>32285000133065</t>
        </is>
      </c>
      <c r="BD2991" t="inlineStr">
        <is>
          <t>893870397</t>
        </is>
      </c>
    </row>
    <row r="2992">
      <c r="A2992" t="inlineStr">
        <is>
          <t>No</t>
        </is>
      </c>
      <c r="B2992" t="inlineStr">
        <is>
          <t>HQ814 .C45</t>
        </is>
      </c>
      <c r="C2992" t="inlineStr">
        <is>
          <t>0                      HQ 0814000C  45</t>
        </is>
      </c>
      <c r="D2992" t="inlineStr">
        <is>
          <t>Divorce and the Roman dogma of nullity / by R.H. Charles.</t>
        </is>
      </c>
      <c r="F2992" t="inlineStr">
        <is>
          <t>No</t>
        </is>
      </c>
      <c r="G2992" t="inlineStr">
        <is>
          <t>1</t>
        </is>
      </c>
      <c r="H2992" t="inlineStr">
        <is>
          <t>No</t>
        </is>
      </c>
      <c r="I2992" t="inlineStr">
        <is>
          <t>No</t>
        </is>
      </c>
      <c r="J2992" t="inlineStr">
        <is>
          <t>0</t>
        </is>
      </c>
      <c r="K2992" t="inlineStr">
        <is>
          <t>Charles, R. H. (Robert Henry), 1855-1931.</t>
        </is>
      </c>
      <c r="L2992" t="inlineStr">
        <is>
          <t>Edinburgh : T. &amp; T. Clark, 1927.</t>
        </is>
      </c>
      <c r="M2992" t="inlineStr">
        <is>
          <t>1927</t>
        </is>
      </c>
      <c r="O2992" t="inlineStr">
        <is>
          <t>eng</t>
        </is>
      </c>
      <c r="P2992" t="inlineStr">
        <is>
          <t xml:space="preserve">xx </t>
        </is>
      </c>
      <c r="R2992" t="inlineStr">
        <is>
          <t xml:space="preserve">HQ </t>
        </is>
      </c>
      <c r="S2992" t="n">
        <v>5</v>
      </c>
      <c r="T2992" t="n">
        <v>5</v>
      </c>
      <c r="U2992" t="inlineStr">
        <is>
          <t>2004-04-05</t>
        </is>
      </c>
      <c r="V2992" t="inlineStr">
        <is>
          <t>2004-04-05</t>
        </is>
      </c>
      <c r="W2992" t="inlineStr">
        <is>
          <t>1995-05-01</t>
        </is>
      </c>
      <c r="X2992" t="inlineStr">
        <is>
          <t>1995-05-01</t>
        </is>
      </c>
      <c r="Y2992" t="n">
        <v>77</v>
      </c>
      <c r="Z2992" t="n">
        <v>55</v>
      </c>
      <c r="AA2992" t="n">
        <v>55</v>
      </c>
      <c r="AB2992" t="n">
        <v>1</v>
      </c>
      <c r="AC2992" t="n">
        <v>1</v>
      </c>
      <c r="AD2992" t="n">
        <v>0</v>
      </c>
      <c r="AE2992" t="n">
        <v>0</v>
      </c>
      <c r="AF2992" t="n">
        <v>0</v>
      </c>
      <c r="AG2992" t="n">
        <v>0</v>
      </c>
      <c r="AH2992" t="n">
        <v>0</v>
      </c>
      <c r="AI2992" t="n">
        <v>0</v>
      </c>
      <c r="AJ2992" t="n">
        <v>0</v>
      </c>
      <c r="AK2992" t="n">
        <v>0</v>
      </c>
      <c r="AL2992" t="n">
        <v>0</v>
      </c>
      <c r="AM2992" t="n">
        <v>0</v>
      </c>
      <c r="AN2992" t="n">
        <v>0</v>
      </c>
      <c r="AO2992" t="n">
        <v>0</v>
      </c>
      <c r="AP2992" t="inlineStr">
        <is>
          <t>No</t>
        </is>
      </c>
      <c r="AQ2992" t="inlineStr">
        <is>
          <t>No</t>
        </is>
      </c>
      <c r="AS2992">
        <f>HYPERLINK("https://creighton-primo.hosted.exlibrisgroup.com/primo-explore/search?tab=default_tab&amp;search_scope=EVERYTHING&amp;vid=01CRU&amp;lang=en_US&amp;offset=0&amp;query=any,contains,991003159059702656","Catalog Record")</f>
        <v/>
      </c>
      <c r="AT2992">
        <f>HYPERLINK("http://www.worldcat.org/oclc/698107","WorldCat Record")</f>
        <v/>
      </c>
      <c r="AU2992" t="inlineStr">
        <is>
          <t>1825600:eng</t>
        </is>
      </c>
      <c r="AV2992" t="inlineStr">
        <is>
          <t>698107</t>
        </is>
      </c>
      <c r="AW2992" t="inlineStr">
        <is>
          <t>991003159059702656</t>
        </is>
      </c>
      <c r="AX2992" t="inlineStr">
        <is>
          <t>991003159059702656</t>
        </is>
      </c>
      <c r="AY2992" t="inlineStr">
        <is>
          <t>2265025520002656</t>
        </is>
      </c>
      <c r="AZ2992" t="inlineStr">
        <is>
          <t>BOOK</t>
        </is>
      </c>
      <c r="BC2992" t="inlineStr">
        <is>
          <t>32285002029907</t>
        </is>
      </c>
      <c r="BD2992" t="inlineStr">
        <is>
          <t>893511611</t>
        </is>
      </c>
    </row>
    <row r="2993">
      <c r="A2993" t="inlineStr">
        <is>
          <t>No</t>
        </is>
      </c>
      <c r="B2993" t="inlineStr">
        <is>
          <t>HQ814 .C665 1999</t>
        </is>
      </c>
      <c r="C2993" t="inlineStr">
        <is>
          <t>0                      HQ 0814000C  665         1999</t>
        </is>
      </c>
      <c r="D2993" t="inlineStr">
        <is>
          <t>Coping with divorce, single parenting, and remarriage : a risk and resiliency perspective / edited by E. Mavis Hetherington.</t>
        </is>
      </c>
      <c r="F2993" t="inlineStr">
        <is>
          <t>No</t>
        </is>
      </c>
      <c r="G2993" t="inlineStr">
        <is>
          <t>1</t>
        </is>
      </c>
      <c r="H2993" t="inlineStr">
        <is>
          <t>No</t>
        </is>
      </c>
      <c r="I2993" t="inlineStr">
        <is>
          <t>No</t>
        </is>
      </c>
      <c r="J2993" t="inlineStr">
        <is>
          <t>0</t>
        </is>
      </c>
      <c r="L2993" t="inlineStr">
        <is>
          <t>Mahwah, N.J. : Lawrence Erlbaum Associates, 1999.</t>
        </is>
      </c>
      <c r="M2993" t="inlineStr">
        <is>
          <t>1999</t>
        </is>
      </c>
      <c r="O2993" t="inlineStr">
        <is>
          <t>eng</t>
        </is>
      </c>
      <c r="P2993" t="inlineStr">
        <is>
          <t>nju</t>
        </is>
      </c>
      <c r="R2993" t="inlineStr">
        <is>
          <t xml:space="preserve">HQ </t>
        </is>
      </c>
      <c r="S2993" t="n">
        <v>9</v>
      </c>
      <c r="T2993" t="n">
        <v>9</v>
      </c>
      <c r="U2993" t="inlineStr">
        <is>
          <t>2009-10-07</t>
        </is>
      </c>
      <c r="V2993" t="inlineStr">
        <is>
          <t>2009-10-07</t>
        </is>
      </c>
      <c r="W2993" t="inlineStr">
        <is>
          <t>2001-10-04</t>
        </is>
      </c>
      <c r="X2993" t="inlineStr">
        <is>
          <t>2001-10-04</t>
        </is>
      </c>
      <c r="Y2993" t="n">
        <v>422</v>
      </c>
      <c r="Z2993" t="n">
        <v>338</v>
      </c>
      <c r="AA2993" t="n">
        <v>1388</v>
      </c>
      <c r="AB2993" t="n">
        <v>5</v>
      </c>
      <c r="AC2993" t="n">
        <v>7</v>
      </c>
      <c r="AD2993" t="n">
        <v>22</v>
      </c>
      <c r="AE2993" t="n">
        <v>35</v>
      </c>
      <c r="AF2993" t="n">
        <v>7</v>
      </c>
      <c r="AG2993" t="n">
        <v>15</v>
      </c>
      <c r="AH2993" t="n">
        <v>6</v>
      </c>
      <c r="AI2993" t="n">
        <v>10</v>
      </c>
      <c r="AJ2993" t="n">
        <v>10</v>
      </c>
      <c r="AK2993" t="n">
        <v>14</v>
      </c>
      <c r="AL2993" t="n">
        <v>4</v>
      </c>
      <c r="AM2993" t="n">
        <v>5</v>
      </c>
      <c r="AN2993" t="n">
        <v>0</v>
      </c>
      <c r="AO2993" t="n">
        <v>0</v>
      </c>
      <c r="AP2993" t="inlineStr">
        <is>
          <t>No</t>
        </is>
      </c>
      <c r="AQ2993" t="inlineStr">
        <is>
          <t>No</t>
        </is>
      </c>
      <c r="AS2993">
        <f>HYPERLINK("https://creighton-primo.hosted.exlibrisgroup.com/primo-explore/search?tab=default_tab&amp;search_scope=EVERYTHING&amp;vid=01CRU&amp;lang=en_US&amp;offset=0&amp;query=any,contains,991003622899702656","Catalog Record")</f>
        <v/>
      </c>
      <c r="AT2993">
        <f>HYPERLINK("http://www.worldcat.org/oclc/39639986","WorldCat Record")</f>
        <v/>
      </c>
      <c r="AU2993" t="inlineStr">
        <is>
          <t>799861229:eng</t>
        </is>
      </c>
      <c r="AV2993" t="inlineStr">
        <is>
          <t>39639986</t>
        </is>
      </c>
      <c r="AW2993" t="inlineStr">
        <is>
          <t>991003622899702656</t>
        </is>
      </c>
      <c r="AX2993" t="inlineStr">
        <is>
          <t>991003622899702656</t>
        </is>
      </c>
      <c r="AY2993" t="inlineStr">
        <is>
          <t>2263181730002656</t>
        </is>
      </c>
      <c r="AZ2993" t="inlineStr">
        <is>
          <t>BOOK</t>
        </is>
      </c>
      <c r="BB2993" t="inlineStr">
        <is>
          <t>9780805830828</t>
        </is>
      </c>
      <c r="BC2993" t="inlineStr">
        <is>
          <t>32285004395579</t>
        </is>
      </c>
      <c r="BD2993" t="inlineStr">
        <is>
          <t>893435200</t>
        </is>
      </c>
    </row>
    <row r="2994">
      <c r="A2994" t="inlineStr">
        <is>
          <t>No</t>
        </is>
      </c>
      <c r="B2994" t="inlineStr">
        <is>
          <t>HQ814 .E26 1994</t>
        </is>
      </c>
      <c r="C2994" t="inlineStr">
        <is>
          <t>0                      HQ 0814000E  26          1994</t>
        </is>
      </c>
      <c r="D2994" t="inlineStr">
        <is>
          <t>The Economics of divorce : the effects on parents and children / Craig A. Everett, editor.</t>
        </is>
      </c>
      <c r="F2994" t="inlineStr">
        <is>
          <t>No</t>
        </is>
      </c>
      <c r="G2994" t="inlineStr">
        <is>
          <t>1</t>
        </is>
      </c>
      <c r="H2994" t="inlineStr">
        <is>
          <t>No</t>
        </is>
      </c>
      <c r="I2994" t="inlineStr">
        <is>
          <t>No</t>
        </is>
      </c>
      <c r="J2994" t="inlineStr">
        <is>
          <t>0</t>
        </is>
      </c>
      <c r="L2994" t="inlineStr">
        <is>
          <t>New York : Haworth Press, c1994.</t>
        </is>
      </c>
      <c r="M2994" t="inlineStr">
        <is>
          <t>1994</t>
        </is>
      </c>
      <c r="O2994" t="inlineStr">
        <is>
          <t>eng</t>
        </is>
      </c>
      <c r="P2994" t="inlineStr">
        <is>
          <t>nyu</t>
        </is>
      </c>
      <c r="R2994" t="inlineStr">
        <is>
          <t xml:space="preserve">HQ </t>
        </is>
      </c>
      <c r="S2994" t="n">
        <v>18</v>
      </c>
      <c r="T2994" t="n">
        <v>18</v>
      </c>
      <c r="U2994" t="inlineStr">
        <is>
          <t>2004-12-06</t>
        </is>
      </c>
      <c r="V2994" t="inlineStr">
        <is>
          <t>2004-12-06</t>
        </is>
      </c>
      <c r="W2994" t="inlineStr">
        <is>
          <t>1995-07-23</t>
        </is>
      </c>
      <c r="X2994" t="inlineStr">
        <is>
          <t>1995-07-23</t>
        </is>
      </c>
      <c r="Y2994" t="n">
        <v>152</v>
      </c>
      <c r="Z2994" t="n">
        <v>125</v>
      </c>
      <c r="AA2994" t="n">
        <v>164</v>
      </c>
      <c r="AB2994" t="n">
        <v>2</v>
      </c>
      <c r="AC2994" t="n">
        <v>2</v>
      </c>
      <c r="AD2994" t="n">
        <v>5</v>
      </c>
      <c r="AE2994" t="n">
        <v>5</v>
      </c>
      <c r="AF2994" t="n">
        <v>1</v>
      </c>
      <c r="AG2994" t="n">
        <v>1</v>
      </c>
      <c r="AH2994" t="n">
        <v>1</v>
      </c>
      <c r="AI2994" t="n">
        <v>1</v>
      </c>
      <c r="AJ2994" t="n">
        <v>3</v>
      </c>
      <c r="AK2994" t="n">
        <v>3</v>
      </c>
      <c r="AL2994" t="n">
        <v>1</v>
      </c>
      <c r="AM2994" t="n">
        <v>1</v>
      </c>
      <c r="AN2994" t="n">
        <v>0</v>
      </c>
      <c r="AO2994" t="n">
        <v>0</v>
      </c>
      <c r="AP2994" t="inlineStr">
        <is>
          <t>No</t>
        </is>
      </c>
      <c r="AQ2994" t="inlineStr">
        <is>
          <t>No</t>
        </is>
      </c>
      <c r="AS2994">
        <f>HYPERLINK("https://creighton-primo.hosted.exlibrisgroup.com/primo-explore/search?tab=default_tab&amp;search_scope=EVERYTHING&amp;vid=01CRU&amp;lang=en_US&amp;offset=0&amp;query=any,contains,991002370879702656","Catalog Record")</f>
        <v/>
      </c>
      <c r="AT2994">
        <f>HYPERLINK("http://www.worldcat.org/oclc/30813169","WorldCat Record")</f>
        <v/>
      </c>
      <c r="AU2994" t="inlineStr">
        <is>
          <t>32734044:eng</t>
        </is>
      </c>
      <c r="AV2994" t="inlineStr">
        <is>
          <t>30813169</t>
        </is>
      </c>
      <c r="AW2994" t="inlineStr">
        <is>
          <t>991002370879702656</t>
        </is>
      </c>
      <c r="AX2994" t="inlineStr">
        <is>
          <t>991002370879702656</t>
        </is>
      </c>
      <c r="AY2994" t="inlineStr">
        <is>
          <t>2268290810002656</t>
        </is>
      </c>
      <c r="AZ2994" t="inlineStr">
        <is>
          <t>BOOK</t>
        </is>
      </c>
      <c r="BB2994" t="inlineStr">
        <is>
          <t>9781560246947</t>
        </is>
      </c>
      <c r="BC2994" t="inlineStr">
        <is>
          <t>32285002075926</t>
        </is>
      </c>
      <c r="BD2994" t="inlineStr">
        <is>
          <t>893798503</t>
        </is>
      </c>
    </row>
    <row r="2995">
      <c r="A2995" t="inlineStr">
        <is>
          <t>No</t>
        </is>
      </c>
      <c r="B2995" t="inlineStr">
        <is>
          <t>HQ814 .E9 1972</t>
        </is>
      </c>
      <c r="C2995" t="inlineStr">
        <is>
          <t>0                      HQ 0814000E  9           1972</t>
        </is>
      </c>
      <c r="D2995" t="inlineStr">
        <is>
          <t>Explaining divorce to children / edited by Earl A. Grollman ; with an introd. by Louise Bates Ames.</t>
        </is>
      </c>
      <c r="F2995" t="inlineStr">
        <is>
          <t>No</t>
        </is>
      </c>
      <c r="G2995" t="inlineStr">
        <is>
          <t>1</t>
        </is>
      </c>
      <c r="H2995" t="inlineStr">
        <is>
          <t>No</t>
        </is>
      </c>
      <c r="I2995" t="inlineStr">
        <is>
          <t>No</t>
        </is>
      </c>
      <c r="J2995" t="inlineStr">
        <is>
          <t>0</t>
        </is>
      </c>
      <c r="L2995" t="inlineStr">
        <is>
          <t>Boston : Beacon Press, 1972, c1969.</t>
        </is>
      </c>
      <c r="M2995" t="inlineStr">
        <is>
          <t>1972</t>
        </is>
      </c>
      <c r="O2995" t="inlineStr">
        <is>
          <t>eng</t>
        </is>
      </c>
      <c r="P2995" t="inlineStr">
        <is>
          <t>mau</t>
        </is>
      </c>
      <c r="Q2995" t="inlineStr">
        <is>
          <t>Beacon paperback ; 419</t>
        </is>
      </c>
      <c r="R2995" t="inlineStr">
        <is>
          <t xml:space="preserve">HQ </t>
        </is>
      </c>
      <c r="S2995" t="n">
        <v>28</v>
      </c>
      <c r="T2995" t="n">
        <v>28</v>
      </c>
      <c r="U2995" t="inlineStr">
        <is>
          <t>2001-02-04</t>
        </is>
      </c>
      <c r="V2995" t="inlineStr">
        <is>
          <t>2001-02-04</t>
        </is>
      </c>
      <c r="W2995" t="inlineStr">
        <is>
          <t>1992-04-14</t>
        </is>
      </c>
      <c r="X2995" t="inlineStr">
        <is>
          <t>1992-04-14</t>
        </is>
      </c>
      <c r="Y2995" t="n">
        <v>102</v>
      </c>
      <c r="Z2995" t="n">
        <v>84</v>
      </c>
      <c r="AA2995" t="n">
        <v>538</v>
      </c>
      <c r="AB2995" t="n">
        <v>2</v>
      </c>
      <c r="AC2995" t="n">
        <v>6</v>
      </c>
      <c r="AD2995" t="n">
        <v>2</v>
      </c>
      <c r="AE2995" t="n">
        <v>15</v>
      </c>
      <c r="AF2995" t="n">
        <v>1</v>
      </c>
      <c r="AG2995" t="n">
        <v>6</v>
      </c>
      <c r="AH2995" t="n">
        <v>0</v>
      </c>
      <c r="AI2995" t="n">
        <v>2</v>
      </c>
      <c r="AJ2995" t="n">
        <v>0</v>
      </c>
      <c r="AK2995" t="n">
        <v>3</v>
      </c>
      <c r="AL2995" t="n">
        <v>1</v>
      </c>
      <c r="AM2995" t="n">
        <v>5</v>
      </c>
      <c r="AN2995" t="n">
        <v>0</v>
      </c>
      <c r="AO2995" t="n">
        <v>1</v>
      </c>
      <c r="AP2995" t="inlineStr">
        <is>
          <t>No</t>
        </is>
      </c>
      <c r="AQ2995" t="inlineStr">
        <is>
          <t>Yes</t>
        </is>
      </c>
      <c r="AR2995">
        <f>HYPERLINK("http://catalog.hathitrust.org/Record/008316178","HathiTrust Record")</f>
        <v/>
      </c>
      <c r="AS2995">
        <f>HYPERLINK("https://creighton-primo.hosted.exlibrisgroup.com/primo-explore/search?tab=default_tab&amp;search_scope=EVERYTHING&amp;vid=01CRU&amp;lang=en_US&amp;offset=0&amp;query=any,contains,991004224269702656","Catalog Record")</f>
        <v/>
      </c>
      <c r="AT2995">
        <f>HYPERLINK("http://www.worldcat.org/oclc/2723045","WorldCat Record")</f>
        <v/>
      </c>
      <c r="AU2995" t="inlineStr">
        <is>
          <t>53434909:eng</t>
        </is>
      </c>
      <c r="AV2995" t="inlineStr">
        <is>
          <t>2723045</t>
        </is>
      </c>
      <c r="AW2995" t="inlineStr">
        <is>
          <t>991004224269702656</t>
        </is>
      </c>
      <c r="AX2995" t="inlineStr">
        <is>
          <t>991004224269702656</t>
        </is>
      </c>
      <c r="AY2995" t="inlineStr">
        <is>
          <t>2257215300002656</t>
        </is>
      </c>
      <c r="AZ2995" t="inlineStr">
        <is>
          <t>BOOK</t>
        </is>
      </c>
      <c r="BB2995" t="inlineStr">
        <is>
          <t>9780807023877</t>
        </is>
      </c>
      <c r="BC2995" t="inlineStr">
        <is>
          <t>32285001036705</t>
        </is>
      </c>
      <c r="BD2995" t="inlineStr">
        <is>
          <t>893612095</t>
        </is>
      </c>
    </row>
    <row r="2996">
      <c r="A2996" t="inlineStr">
        <is>
          <t>No</t>
        </is>
      </c>
      <c r="B2996" t="inlineStr">
        <is>
          <t>HQ814 .G6</t>
        </is>
      </c>
      <c r="C2996" t="inlineStr">
        <is>
          <t>0                      HQ 0814000G  6</t>
        </is>
      </c>
      <c r="D2996" t="inlineStr">
        <is>
          <t>Women in divorce / by William J. Goode.</t>
        </is>
      </c>
      <c r="F2996" t="inlineStr">
        <is>
          <t>No</t>
        </is>
      </c>
      <c r="G2996" t="inlineStr">
        <is>
          <t>1</t>
        </is>
      </c>
      <c r="H2996" t="inlineStr">
        <is>
          <t>No</t>
        </is>
      </c>
      <c r="I2996" t="inlineStr">
        <is>
          <t>No</t>
        </is>
      </c>
      <c r="J2996" t="inlineStr">
        <is>
          <t>0</t>
        </is>
      </c>
      <c r="K2996" t="inlineStr">
        <is>
          <t>Goode, William Josiah.</t>
        </is>
      </c>
      <c r="L2996" t="inlineStr">
        <is>
          <t>New York : Free Press, 1965, c1956.</t>
        </is>
      </c>
      <c r="M2996" t="inlineStr">
        <is>
          <t>1965</t>
        </is>
      </c>
      <c r="N2996" t="inlineStr">
        <is>
          <t>1st Free Press pbk. ed.</t>
        </is>
      </c>
      <c r="O2996" t="inlineStr">
        <is>
          <t>eng</t>
        </is>
      </c>
      <c r="P2996" t="inlineStr">
        <is>
          <t>nyu</t>
        </is>
      </c>
      <c r="R2996" t="inlineStr">
        <is>
          <t xml:space="preserve">HQ </t>
        </is>
      </c>
      <c r="S2996" t="n">
        <v>10</v>
      </c>
      <c r="T2996" t="n">
        <v>10</v>
      </c>
      <c r="U2996" t="inlineStr">
        <is>
          <t>1996-03-26</t>
        </is>
      </c>
      <c r="V2996" t="inlineStr">
        <is>
          <t>1996-03-26</t>
        </is>
      </c>
      <c r="W2996" t="inlineStr">
        <is>
          <t>1992-06-11</t>
        </is>
      </c>
      <c r="X2996" t="inlineStr">
        <is>
          <t>1992-06-11</t>
        </is>
      </c>
      <c r="Y2996" t="n">
        <v>367</v>
      </c>
      <c r="Z2996" t="n">
        <v>305</v>
      </c>
      <c r="AA2996" t="n">
        <v>502</v>
      </c>
      <c r="AB2996" t="n">
        <v>3</v>
      </c>
      <c r="AC2996" t="n">
        <v>3</v>
      </c>
      <c r="AD2996" t="n">
        <v>12</v>
      </c>
      <c r="AE2996" t="n">
        <v>20</v>
      </c>
      <c r="AF2996" t="n">
        <v>3</v>
      </c>
      <c r="AG2996" t="n">
        <v>7</v>
      </c>
      <c r="AH2996" t="n">
        <v>2</v>
      </c>
      <c r="AI2996" t="n">
        <v>3</v>
      </c>
      <c r="AJ2996" t="n">
        <v>3</v>
      </c>
      <c r="AK2996" t="n">
        <v>8</v>
      </c>
      <c r="AL2996" t="n">
        <v>2</v>
      </c>
      <c r="AM2996" t="n">
        <v>2</v>
      </c>
      <c r="AN2996" t="n">
        <v>3</v>
      </c>
      <c r="AO2996" t="n">
        <v>4</v>
      </c>
      <c r="AP2996" t="inlineStr">
        <is>
          <t>No</t>
        </is>
      </c>
      <c r="AQ2996" t="inlineStr">
        <is>
          <t>Yes</t>
        </is>
      </c>
      <c r="AR2996">
        <f>HYPERLINK("http://catalog.hathitrust.org/Record/000737698","HathiTrust Record")</f>
        <v/>
      </c>
      <c r="AS2996">
        <f>HYPERLINK("https://creighton-primo.hosted.exlibrisgroup.com/primo-explore/search?tab=default_tab&amp;search_scope=EVERYTHING&amp;vid=01CRU&amp;lang=en_US&amp;offset=0&amp;query=any,contains,991002963239702656","Catalog Record")</f>
        <v/>
      </c>
      <c r="AT2996">
        <f>HYPERLINK("http://www.worldcat.org/oclc/544959","WorldCat Record")</f>
        <v/>
      </c>
      <c r="AU2996" t="inlineStr">
        <is>
          <t>1102529497:eng</t>
        </is>
      </c>
      <c r="AV2996" t="inlineStr">
        <is>
          <t>544959</t>
        </is>
      </c>
      <c r="AW2996" t="inlineStr">
        <is>
          <t>991002963239702656</t>
        </is>
      </c>
      <c r="AX2996" t="inlineStr">
        <is>
          <t>991002963239702656</t>
        </is>
      </c>
      <c r="AY2996" t="inlineStr">
        <is>
          <t>2268031780002656</t>
        </is>
      </c>
      <c r="AZ2996" t="inlineStr">
        <is>
          <t>BOOK</t>
        </is>
      </c>
      <c r="BC2996" t="inlineStr">
        <is>
          <t>32285001128601</t>
        </is>
      </c>
      <c r="BD2996" t="inlineStr">
        <is>
          <t>893498776</t>
        </is>
      </c>
    </row>
    <row r="2997">
      <c r="A2997" t="inlineStr">
        <is>
          <t>No</t>
        </is>
      </c>
      <c r="B2997" t="inlineStr">
        <is>
          <t>HQ814 .G94 1993</t>
        </is>
      </c>
      <c r="C2997" t="inlineStr">
        <is>
          <t>0                      HQ 0814000G  94          1993</t>
        </is>
      </c>
      <c r="D2997" t="inlineStr">
        <is>
          <t>Divorce in psychosocial perspective : theory and research / by Joseph Guttmann.</t>
        </is>
      </c>
      <c r="F2997" t="inlineStr">
        <is>
          <t>No</t>
        </is>
      </c>
      <c r="G2997" t="inlineStr">
        <is>
          <t>1</t>
        </is>
      </c>
      <c r="H2997" t="inlineStr">
        <is>
          <t>No</t>
        </is>
      </c>
      <c r="I2997" t="inlineStr">
        <is>
          <t>No</t>
        </is>
      </c>
      <c r="J2997" t="inlineStr">
        <is>
          <t>0</t>
        </is>
      </c>
      <c r="K2997" t="inlineStr">
        <is>
          <t>Guttmann, Josef.</t>
        </is>
      </c>
      <c r="L2997" t="inlineStr">
        <is>
          <t>Hillsdale, N.J. : L. Erlbaum Associates, c1993.</t>
        </is>
      </c>
      <c r="M2997" t="inlineStr">
        <is>
          <t>1993</t>
        </is>
      </c>
      <c r="O2997" t="inlineStr">
        <is>
          <t>eng</t>
        </is>
      </c>
      <c r="P2997" t="inlineStr">
        <is>
          <t>nju</t>
        </is>
      </c>
      <c r="R2997" t="inlineStr">
        <is>
          <t xml:space="preserve">HQ </t>
        </is>
      </c>
      <c r="S2997" t="n">
        <v>23</v>
      </c>
      <c r="T2997" t="n">
        <v>23</v>
      </c>
      <c r="U2997" t="inlineStr">
        <is>
          <t>2005-03-29</t>
        </is>
      </c>
      <c r="V2997" t="inlineStr">
        <is>
          <t>2005-03-29</t>
        </is>
      </c>
      <c r="W2997" t="inlineStr">
        <is>
          <t>1996-12-11</t>
        </is>
      </c>
      <c r="X2997" t="inlineStr">
        <is>
          <t>1996-12-11</t>
        </is>
      </c>
      <c r="Y2997" t="n">
        <v>567</v>
      </c>
      <c r="Z2997" t="n">
        <v>495</v>
      </c>
      <c r="AA2997" t="n">
        <v>781</v>
      </c>
      <c r="AB2997" t="n">
        <v>5</v>
      </c>
      <c r="AC2997" t="n">
        <v>6</v>
      </c>
      <c r="AD2997" t="n">
        <v>27</v>
      </c>
      <c r="AE2997" t="n">
        <v>34</v>
      </c>
      <c r="AF2997" t="n">
        <v>11</v>
      </c>
      <c r="AG2997" t="n">
        <v>16</v>
      </c>
      <c r="AH2997" t="n">
        <v>4</v>
      </c>
      <c r="AI2997" t="n">
        <v>5</v>
      </c>
      <c r="AJ2997" t="n">
        <v>13</v>
      </c>
      <c r="AK2997" t="n">
        <v>18</v>
      </c>
      <c r="AL2997" t="n">
        <v>4</v>
      </c>
      <c r="AM2997" t="n">
        <v>4</v>
      </c>
      <c r="AN2997" t="n">
        <v>0</v>
      </c>
      <c r="AO2997" t="n">
        <v>0</v>
      </c>
      <c r="AP2997" t="inlineStr">
        <is>
          <t>No</t>
        </is>
      </c>
      <c r="AQ2997" t="inlineStr">
        <is>
          <t>No</t>
        </is>
      </c>
      <c r="AS2997">
        <f>HYPERLINK("https://creighton-primo.hosted.exlibrisgroup.com/primo-explore/search?tab=default_tab&amp;search_scope=EVERYTHING&amp;vid=01CRU&amp;lang=en_US&amp;offset=0&amp;query=any,contains,991002095339702656","Catalog Record")</f>
        <v/>
      </c>
      <c r="AT2997">
        <f>HYPERLINK("http://www.worldcat.org/oclc/26858072","WorldCat Record")</f>
        <v/>
      </c>
      <c r="AU2997" t="inlineStr">
        <is>
          <t>799882270:eng</t>
        </is>
      </c>
      <c r="AV2997" t="inlineStr">
        <is>
          <t>26858072</t>
        </is>
      </c>
      <c r="AW2997" t="inlineStr">
        <is>
          <t>991002095339702656</t>
        </is>
      </c>
      <c r="AX2997" t="inlineStr">
        <is>
          <t>991002095339702656</t>
        </is>
      </c>
      <c r="AY2997" t="inlineStr">
        <is>
          <t>2268362900002656</t>
        </is>
      </c>
      <c r="AZ2997" t="inlineStr">
        <is>
          <t>BOOK</t>
        </is>
      </c>
      <c r="BB2997" t="inlineStr">
        <is>
          <t>9780805803471</t>
        </is>
      </c>
      <c r="BC2997" t="inlineStr">
        <is>
          <t>32285001785145</t>
        </is>
      </c>
      <c r="BD2997" t="inlineStr">
        <is>
          <t>893497719</t>
        </is>
      </c>
    </row>
    <row r="2998">
      <c r="A2998" t="inlineStr">
        <is>
          <t>No</t>
        </is>
      </c>
      <c r="B2998" t="inlineStr">
        <is>
          <t>HQ814 .H25 1980</t>
        </is>
      </c>
      <c r="C2998" t="inlineStr">
        <is>
          <t>0                      HQ 0814000H  25          1980</t>
        </is>
      </c>
      <c r="D2998" t="inlineStr">
        <is>
          <t>Divorce reform : changing legal and social perspectives / Lynne Carol Halem.</t>
        </is>
      </c>
      <c r="F2998" t="inlineStr">
        <is>
          <t>No</t>
        </is>
      </c>
      <c r="G2998" t="inlineStr">
        <is>
          <t>1</t>
        </is>
      </c>
      <c r="H2998" t="inlineStr">
        <is>
          <t>No</t>
        </is>
      </c>
      <c r="I2998" t="inlineStr">
        <is>
          <t>No</t>
        </is>
      </c>
      <c r="J2998" t="inlineStr">
        <is>
          <t>0</t>
        </is>
      </c>
      <c r="K2998" t="inlineStr">
        <is>
          <t>Halem, Lynne Carol.</t>
        </is>
      </c>
      <c r="L2998" t="inlineStr">
        <is>
          <t>New York : Free Press ; London : Collier Macmillan, c1980.</t>
        </is>
      </c>
      <c r="M2998" t="inlineStr">
        <is>
          <t>1980</t>
        </is>
      </c>
      <c r="O2998" t="inlineStr">
        <is>
          <t>eng</t>
        </is>
      </c>
      <c r="P2998" t="inlineStr">
        <is>
          <t>nyu</t>
        </is>
      </c>
      <c r="R2998" t="inlineStr">
        <is>
          <t xml:space="preserve">HQ </t>
        </is>
      </c>
      <c r="S2998" t="n">
        <v>6</v>
      </c>
      <c r="T2998" t="n">
        <v>6</v>
      </c>
      <c r="U2998" t="inlineStr">
        <is>
          <t>1995-06-18</t>
        </is>
      </c>
      <c r="V2998" t="inlineStr">
        <is>
          <t>1995-06-18</t>
        </is>
      </c>
      <c r="W2998" t="inlineStr">
        <is>
          <t>1990-03-26</t>
        </is>
      </c>
      <c r="X2998" t="inlineStr">
        <is>
          <t>1990-03-26</t>
        </is>
      </c>
      <c r="Y2998" t="n">
        <v>499</v>
      </c>
      <c r="Z2998" t="n">
        <v>433</v>
      </c>
      <c r="AA2998" t="n">
        <v>435</v>
      </c>
      <c r="AB2998" t="n">
        <v>4</v>
      </c>
      <c r="AC2998" t="n">
        <v>4</v>
      </c>
      <c r="AD2998" t="n">
        <v>26</v>
      </c>
      <c r="AE2998" t="n">
        <v>26</v>
      </c>
      <c r="AF2998" t="n">
        <v>0</v>
      </c>
      <c r="AG2998" t="n">
        <v>0</v>
      </c>
      <c r="AH2998" t="n">
        <v>3</v>
      </c>
      <c r="AI2998" t="n">
        <v>3</v>
      </c>
      <c r="AJ2998" t="n">
        <v>3</v>
      </c>
      <c r="AK2998" t="n">
        <v>3</v>
      </c>
      <c r="AL2998" t="n">
        <v>2</v>
      </c>
      <c r="AM2998" t="n">
        <v>2</v>
      </c>
      <c r="AN2998" t="n">
        <v>19</v>
      </c>
      <c r="AO2998" t="n">
        <v>19</v>
      </c>
      <c r="AP2998" t="inlineStr">
        <is>
          <t>No</t>
        </is>
      </c>
      <c r="AQ2998" t="inlineStr">
        <is>
          <t>Yes</t>
        </is>
      </c>
      <c r="AR2998">
        <f>HYPERLINK("http://catalog.hathitrust.org/Record/000225041","HathiTrust Record")</f>
        <v/>
      </c>
      <c r="AS2998">
        <f>HYPERLINK("https://creighton-primo.hosted.exlibrisgroup.com/primo-explore/search?tab=default_tab&amp;search_scope=EVERYTHING&amp;vid=01CRU&amp;lang=en_US&amp;offset=0&amp;query=any,contains,991004901209702656","Catalog Record")</f>
        <v/>
      </c>
      <c r="AT2998">
        <f>HYPERLINK("http://www.worldcat.org/oclc/5939281","WorldCat Record")</f>
        <v/>
      </c>
      <c r="AU2998" t="inlineStr">
        <is>
          <t>426559959:eng</t>
        </is>
      </c>
      <c r="AV2998" t="inlineStr">
        <is>
          <t>5939281</t>
        </is>
      </c>
      <c r="AW2998" t="inlineStr">
        <is>
          <t>991004901209702656</t>
        </is>
      </c>
      <c r="AX2998" t="inlineStr">
        <is>
          <t>991004901209702656</t>
        </is>
      </c>
      <c r="AY2998" t="inlineStr">
        <is>
          <t>2255656010002656</t>
        </is>
      </c>
      <c r="AZ2998" t="inlineStr">
        <is>
          <t>BOOK</t>
        </is>
      </c>
      <c r="BB2998" t="inlineStr">
        <is>
          <t>9780029135709</t>
        </is>
      </c>
      <c r="BC2998" t="inlineStr">
        <is>
          <t>32285000096718</t>
        </is>
      </c>
      <c r="BD2998" t="inlineStr">
        <is>
          <t>893688331</t>
        </is>
      </c>
    </row>
    <row r="2999">
      <c r="A2999" t="inlineStr">
        <is>
          <t>No</t>
        </is>
      </c>
      <c r="B2999" t="inlineStr">
        <is>
          <t>HQ814 .J32 1983</t>
        </is>
      </c>
      <c r="C2999" t="inlineStr">
        <is>
          <t>0                      HQ 0814000J  32          1983</t>
        </is>
      </c>
      <c r="D2999" t="inlineStr">
        <is>
          <t>The multiple crises of marital separation and divorce / Gerald F. Jacobson.</t>
        </is>
      </c>
      <c r="F2999" t="inlineStr">
        <is>
          <t>No</t>
        </is>
      </c>
      <c r="G2999" t="inlineStr">
        <is>
          <t>1</t>
        </is>
      </c>
      <c r="H2999" t="inlineStr">
        <is>
          <t>No</t>
        </is>
      </c>
      <c r="I2999" t="inlineStr">
        <is>
          <t>No</t>
        </is>
      </c>
      <c r="J2999" t="inlineStr">
        <is>
          <t>0</t>
        </is>
      </c>
      <c r="K2999" t="inlineStr">
        <is>
          <t>Jacobson, Gerald F., 1922-</t>
        </is>
      </c>
      <c r="L2999" t="inlineStr">
        <is>
          <t>New York : Grune &amp; Stratton, c1983.</t>
        </is>
      </c>
      <c r="M2999" t="inlineStr">
        <is>
          <t>1983</t>
        </is>
      </c>
      <c r="O2999" t="inlineStr">
        <is>
          <t>eng</t>
        </is>
      </c>
      <c r="P2999" t="inlineStr">
        <is>
          <t>nyu</t>
        </is>
      </c>
      <c r="Q2999" t="inlineStr">
        <is>
          <t>Seminars in psychiatry</t>
        </is>
      </c>
      <c r="R2999" t="inlineStr">
        <is>
          <t xml:space="preserve">HQ </t>
        </is>
      </c>
      <c r="S2999" t="n">
        <v>15</v>
      </c>
      <c r="T2999" t="n">
        <v>15</v>
      </c>
      <c r="U2999" t="inlineStr">
        <is>
          <t>2003-04-28</t>
        </is>
      </c>
      <c r="V2999" t="inlineStr">
        <is>
          <t>2003-04-28</t>
        </is>
      </c>
      <c r="W2999" t="inlineStr">
        <is>
          <t>1990-03-27</t>
        </is>
      </c>
      <c r="X2999" t="inlineStr">
        <is>
          <t>1990-03-27</t>
        </is>
      </c>
      <c r="Y2999" t="n">
        <v>362</v>
      </c>
      <c r="Z2999" t="n">
        <v>275</v>
      </c>
      <c r="AA2999" t="n">
        <v>277</v>
      </c>
      <c r="AB2999" t="n">
        <v>4</v>
      </c>
      <c r="AC2999" t="n">
        <v>4</v>
      </c>
      <c r="AD2999" t="n">
        <v>12</v>
      </c>
      <c r="AE2999" t="n">
        <v>12</v>
      </c>
      <c r="AF2999" t="n">
        <v>2</v>
      </c>
      <c r="AG2999" t="n">
        <v>2</v>
      </c>
      <c r="AH2999" t="n">
        <v>3</v>
      </c>
      <c r="AI2999" t="n">
        <v>3</v>
      </c>
      <c r="AJ2999" t="n">
        <v>5</v>
      </c>
      <c r="AK2999" t="n">
        <v>5</v>
      </c>
      <c r="AL2999" t="n">
        <v>2</v>
      </c>
      <c r="AM2999" t="n">
        <v>2</v>
      </c>
      <c r="AN2999" t="n">
        <v>1</v>
      </c>
      <c r="AO2999" t="n">
        <v>1</v>
      </c>
      <c r="AP2999" t="inlineStr">
        <is>
          <t>No</t>
        </is>
      </c>
      <c r="AQ2999" t="inlineStr">
        <is>
          <t>Yes</t>
        </is>
      </c>
      <c r="AR2999">
        <f>HYPERLINK("http://catalog.hathitrust.org/Record/000109101","HathiTrust Record")</f>
        <v/>
      </c>
      <c r="AS2999">
        <f>HYPERLINK("https://creighton-primo.hosted.exlibrisgroup.com/primo-explore/search?tab=default_tab&amp;search_scope=EVERYTHING&amp;vid=01CRU&amp;lang=en_US&amp;offset=0&amp;query=any,contains,991000080829702656","Catalog Record")</f>
        <v/>
      </c>
      <c r="AT2999">
        <f>HYPERLINK("http://www.worldcat.org/oclc/8827884","WorldCat Record")</f>
        <v/>
      </c>
      <c r="AU2999" t="inlineStr">
        <is>
          <t>180899576:eng</t>
        </is>
      </c>
      <c r="AV2999" t="inlineStr">
        <is>
          <t>8827884</t>
        </is>
      </c>
      <c r="AW2999" t="inlineStr">
        <is>
          <t>991000080829702656</t>
        </is>
      </c>
      <c r="AX2999" t="inlineStr">
        <is>
          <t>991000080829702656</t>
        </is>
      </c>
      <c r="AY2999" t="inlineStr">
        <is>
          <t>2266566830002656</t>
        </is>
      </c>
      <c r="AZ2999" t="inlineStr">
        <is>
          <t>BOOK</t>
        </is>
      </c>
      <c r="BB2999" t="inlineStr">
        <is>
          <t>9780808914839</t>
        </is>
      </c>
      <c r="BC2999" t="inlineStr">
        <is>
          <t>32285000097583</t>
        </is>
      </c>
      <c r="BD2999" t="inlineStr">
        <is>
          <t>893796387</t>
        </is>
      </c>
    </row>
    <row r="3000">
      <c r="A3000" t="inlineStr">
        <is>
          <t>No</t>
        </is>
      </c>
      <c r="B3000" t="inlineStr">
        <is>
          <t>HQ814 .K37 1987</t>
        </is>
      </c>
      <c r="C3000" t="inlineStr">
        <is>
          <t>0                      HQ 0814000K  37          1987</t>
        </is>
      </c>
      <c r="D3000" t="inlineStr">
        <is>
          <t>The dynamics of divorce : a life cycle perspective / by Florence W. Kaslow and Lita Linzer Schwartz.</t>
        </is>
      </c>
      <c r="F3000" t="inlineStr">
        <is>
          <t>No</t>
        </is>
      </c>
      <c r="G3000" t="inlineStr">
        <is>
          <t>1</t>
        </is>
      </c>
      <c r="H3000" t="inlineStr">
        <is>
          <t>No</t>
        </is>
      </c>
      <c r="I3000" t="inlineStr">
        <is>
          <t>No</t>
        </is>
      </c>
      <c r="J3000" t="inlineStr">
        <is>
          <t>0</t>
        </is>
      </c>
      <c r="K3000" t="inlineStr">
        <is>
          <t>Kaslow, Florence Whiteman.</t>
        </is>
      </c>
      <c r="L3000" t="inlineStr">
        <is>
          <t>New York : Brunner/Mazel, c1987.</t>
        </is>
      </c>
      <c r="M3000" t="inlineStr">
        <is>
          <t>1987</t>
        </is>
      </c>
      <c r="O3000" t="inlineStr">
        <is>
          <t>eng</t>
        </is>
      </c>
      <c r="P3000" t="inlineStr">
        <is>
          <t>nyu</t>
        </is>
      </c>
      <c r="Q3000" t="inlineStr">
        <is>
          <t>Frontiers in couples and family therapy</t>
        </is>
      </c>
      <c r="R3000" t="inlineStr">
        <is>
          <t xml:space="preserve">HQ </t>
        </is>
      </c>
      <c r="S3000" t="n">
        <v>18</v>
      </c>
      <c r="T3000" t="n">
        <v>18</v>
      </c>
      <c r="U3000" t="inlineStr">
        <is>
          <t>1996-05-29</t>
        </is>
      </c>
      <c r="V3000" t="inlineStr">
        <is>
          <t>1996-05-29</t>
        </is>
      </c>
      <c r="W3000" t="inlineStr">
        <is>
          <t>1990-04-20</t>
        </is>
      </c>
      <c r="X3000" t="inlineStr">
        <is>
          <t>1990-04-20</t>
        </is>
      </c>
      <c r="Y3000" t="n">
        <v>399</v>
      </c>
      <c r="Z3000" t="n">
        <v>323</v>
      </c>
      <c r="AA3000" t="n">
        <v>331</v>
      </c>
      <c r="AB3000" t="n">
        <v>4</v>
      </c>
      <c r="AC3000" t="n">
        <v>4</v>
      </c>
      <c r="AD3000" t="n">
        <v>15</v>
      </c>
      <c r="AE3000" t="n">
        <v>15</v>
      </c>
      <c r="AF3000" t="n">
        <v>6</v>
      </c>
      <c r="AG3000" t="n">
        <v>6</v>
      </c>
      <c r="AH3000" t="n">
        <v>2</v>
      </c>
      <c r="AI3000" t="n">
        <v>2</v>
      </c>
      <c r="AJ3000" t="n">
        <v>8</v>
      </c>
      <c r="AK3000" t="n">
        <v>8</v>
      </c>
      <c r="AL3000" t="n">
        <v>3</v>
      </c>
      <c r="AM3000" t="n">
        <v>3</v>
      </c>
      <c r="AN3000" t="n">
        <v>0</v>
      </c>
      <c r="AO3000" t="n">
        <v>0</v>
      </c>
      <c r="AP3000" t="inlineStr">
        <is>
          <t>No</t>
        </is>
      </c>
      <c r="AQ3000" t="inlineStr">
        <is>
          <t>Yes</t>
        </is>
      </c>
      <c r="AR3000">
        <f>HYPERLINK("http://catalog.hathitrust.org/Record/000828740","HathiTrust Record")</f>
        <v/>
      </c>
      <c r="AS3000">
        <f>HYPERLINK("https://creighton-primo.hosted.exlibrisgroup.com/primo-explore/search?tab=default_tab&amp;search_scope=EVERYTHING&amp;vid=01CRU&amp;lang=en_US&amp;offset=0&amp;query=any,contains,991000994719702656","Catalog Record")</f>
        <v/>
      </c>
      <c r="AT3000">
        <f>HYPERLINK("http://www.worldcat.org/oclc/15132344","WorldCat Record")</f>
        <v/>
      </c>
      <c r="AU3000" t="inlineStr">
        <is>
          <t>144022155:eng</t>
        </is>
      </c>
      <c r="AV3000" t="inlineStr">
        <is>
          <t>15132344</t>
        </is>
      </c>
      <c r="AW3000" t="inlineStr">
        <is>
          <t>991000994719702656</t>
        </is>
      </c>
      <c r="AX3000" t="inlineStr">
        <is>
          <t>991000994719702656</t>
        </is>
      </c>
      <c r="AY3000" t="inlineStr">
        <is>
          <t>2255169340002656</t>
        </is>
      </c>
      <c r="AZ3000" t="inlineStr">
        <is>
          <t>BOOK</t>
        </is>
      </c>
      <c r="BB3000" t="inlineStr">
        <is>
          <t>9780876304556</t>
        </is>
      </c>
      <c r="BC3000" t="inlineStr">
        <is>
          <t>32285000124171</t>
        </is>
      </c>
      <c r="BD3000" t="inlineStr">
        <is>
          <t>893784719</t>
        </is>
      </c>
    </row>
    <row r="3001">
      <c r="A3001" t="inlineStr">
        <is>
          <t>No</t>
        </is>
      </c>
      <c r="B3001" t="inlineStr">
        <is>
          <t>HQ814 .K7</t>
        </is>
      </c>
      <c r="C3001" t="inlineStr">
        <is>
          <t>0                      HQ 0814000K  7</t>
        </is>
      </c>
      <c r="D3001" t="inlineStr">
        <is>
          <t>Creative divorce : a new opportunity for personal growth.</t>
        </is>
      </c>
      <c r="F3001" t="inlineStr">
        <is>
          <t>No</t>
        </is>
      </c>
      <c r="G3001" t="inlineStr">
        <is>
          <t>1</t>
        </is>
      </c>
      <c r="H3001" t="inlineStr">
        <is>
          <t>No</t>
        </is>
      </c>
      <c r="I3001" t="inlineStr">
        <is>
          <t>No</t>
        </is>
      </c>
      <c r="J3001" t="inlineStr">
        <is>
          <t>0</t>
        </is>
      </c>
      <c r="K3001" t="inlineStr">
        <is>
          <t>Krantzler, Mel.</t>
        </is>
      </c>
      <c r="L3001" t="inlineStr">
        <is>
          <t>New York : M. Evans ; [distributed by Lippincott, Philadelphia, 1973, c1974]</t>
        </is>
      </c>
      <c r="M3001" t="inlineStr">
        <is>
          <t>1973</t>
        </is>
      </c>
      <c r="O3001" t="inlineStr">
        <is>
          <t>eng</t>
        </is>
      </c>
      <c r="P3001" t="inlineStr">
        <is>
          <t>nyu</t>
        </is>
      </c>
      <c r="R3001" t="inlineStr">
        <is>
          <t xml:space="preserve">HQ </t>
        </is>
      </c>
      <c r="S3001" t="n">
        <v>8</v>
      </c>
      <c r="T3001" t="n">
        <v>8</v>
      </c>
      <c r="U3001" t="inlineStr">
        <is>
          <t>1996-03-26</t>
        </is>
      </c>
      <c r="V3001" t="inlineStr">
        <is>
          <t>1996-03-26</t>
        </is>
      </c>
      <c r="W3001" t="inlineStr">
        <is>
          <t>1992-02-04</t>
        </is>
      </c>
      <c r="X3001" t="inlineStr">
        <is>
          <t>1992-02-04</t>
        </is>
      </c>
      <c r="Y3001" t="n">
        <v>896</v>
      </c>
      <c r="Z3001" t="n">
        <v>841</v>
      </c>
      <c r="AA3001" t="n">
        <v>1124</v>
      </c>
      <c r="AB3001" t="n">
        <v>9</v>
      </c>
      <c r="AC3001" t="n">
        <v>9</v>
      </c>
      <c r="AD3001" t="n">
        <v>21</v>
      </c>
      <c r="AE3001" t="n">
        <v>24</v>
      </c>
      <c r="AF3001" t="n">
        <v>10</v>
      </c>
      <c r="AG3001" t="n">
        <v>13</v>
      </c>
      <c r="AH3001" t="n">
        <v>2</v>
      </c>
      <c r="AI3001" t="n">
        <v>3</v>
      </c>
      <c r="AJ3001" t="n">
        <v>8</v>
      </c>
      <c r="AK3001" t="n">
        <v>8</v>
      </c>
      <c r="AL3001" t="n">
        <v>3</v>
      </c>
      <c r="AM3001" t="n">
        <v>3</v>
      </c>
      <c r="AN3001" t="n">
        <v>2</v>
      </c>
      <c r="AO3001" t="n">
        <v>2</v>
      </c>
      <c r="AP3001" t="inlineStr">
        <is>
          <t>No</t>
        </is>
      </c>
      <c r="AQ3001" t="inlineStr">
        <is>
          <t>No</t>
        </is>
      </c>
      <c r="AS3001">
        <f>HYPERLINK("https://creighton-primo.hosted.exlibrisgroup.com/primo-explore/search?tab=default_tab&amp;search_scope=EVERYTHING&amp;vid=01CRU&amp;lang=en_US&amp;offset=0&amp;query=any,contains,991003261959702656","Catalog Record")</f>
        <v/>
      </c>
      <c r="AT3001">
        <f>HYPERLINK("http://www.worldcat.org/oclc/788343","WorldCat Record")</f>
        <v/>
      </c>
      <c r="AU3001" t="inlineStr">
        <is>
          <t>582342:eng</t>
        </is>
      </c>
      <c r="AV3001" t="inlineStr">
        <is>
          <t>788343</t>
        </is>
      </c>
      <c r="AW3001" t="inlineStr">
        <is>
          <t>991003261959702656</t>
        </is>
      </c>
      <c r="AX3001" t="inlineStr">
        <is>
          <t>991003261959702656</t>
        </is>
      </c>
      <c r="AY3001" t="inlineStr">
        <is>
          <t>2266271880002656</t>
        </is>
      </c>
      <c r="AZ3001" t="inlineStr">
        <is>
          <t>BOOK</t>
        </is>
      </c>
      <c r="BC3001" t="inlineStr">
        <is>
          <t>32285000934371</t>
        </is>
      </c>
      <c r="BD3001" t="inlineStr">
        <is>
          <t>893262686</t>
        </is>
      </c>
    </row>
    <row r="3002">
      <c r="A3002" t="inlineStr">
        <is>
          <t>No</t>
        </is>
      </c>
      <c r="B3002" t="inlineStr">
        <is>
          <t>HQ814 .L68</t>
        </is>
      </c>
      <c r="C3002" t="inlineStr">
        <is>
          <t>0                      HQ 0814000L  68</t>
        </is>
      </c>
      <c r="D3002" t="inlineStr">
        <is>
          <t>Divorce : a social interpretation / by J.P. Lichtenberger.</t>
        </is>
      </c>
      <c r="F3002" t="inlineStr">
        <is>
          <t>No</t>
        </is>
      </c>
      <c r="G3002" t="inlineStr">
        <is>
          <t>1</t>
        </is>
      </c>
      <c r="H3002" t="inlineStr">
        <is>
          <t>No</t>
        </is>
      </c>
      <c r="I3002" t="inlineStr">
        <is>
          <t>No</t>
        </is>
      </c>
      <c r="J3002" t="inlineStr">
        <is>
          <t>0</t>
        </is>
      </c>
      <c r="K3002" t="inlineStr">
        <is>
          <t>Lichtenberger, James P. (James Pendleton), 1870-1953.</t>
        </is>
      </c>
      <c r="L3002" t="inlineStr">
        <is>
          <t>New York ; London : Whittlesey house, McGraw-Hill book company, inc., 1931.</t>
        </is>
      </c>
      <c r="M3002" t="inlineStr">
        <is>
          <t>1931</t>
        </is>
      </c>
      <c r="N3002" t="inlineStr">
        <is>
          <t>[1st ed.]</t>
        </is>
      </c>
      <c r="O3002" t="inlineStr">
        <is>
          <t>eng</t>
        </is>
      </c>
      <c r="P3002" t="inlineStr">
        <is>
          <t>nyu</t>
        </is>
      </c>
      <c r="R3002" t="inlineStr">
        <is>
          <t xml:space="preserve">HQ </t>
        </is>
      </c>
      <c r="S3002" t="n">
        <v>10</v>
      </c>
      <c r="T3002" t="n">
        <v>10</v>
      </c>
      <c r="U3002" t="inlineStr">
        <is>
          <t>2003-05-01</t>
        </is>
      </c>
      <c r="V3002" t="inlineStr">
        <is>
          <t>2003-05-01</t>
        </is>
      </c>
      <c r="W3002" t="inlineStr">
        <is>
          <t>1990-11-19</t>
        </is>
      </c>
      <c r="X3002" t="inlineStr">
        <is>
          <t>1990-11-19</t>
        </is>
      </c>
      <c r="Y3002" t="n">
        <v>230</v>
      </c>
      <c r="Z3002" t="n">
        <v>210</v>
      </c>
      <c r="AA3002" t="n">
        <v>390</v>
      </c>
      <c r="AB3002" t="n">
        <v>3</v>
      </c>
      <c r="AC3002" t="n">
        <v>6</v>
      </c>
      <c r="AD3002" t="n">
        <v>7</v>
      </c>
      <c r="AE3002" t="n">
        <v>20</v>
      </c>
      <c r="AF3002" t="n">
        <v>2</v>
      </c>
      <c r="AG3002" t="n">
        <v>3</v>
      </c>
      <c r="AH3002" t="n">
        <v>2</v>
      </c>
      <c r="AI3002" t="n">
        <v>2</v>
      </c>
      <c r="AJ3002" t="n">
        <v>1</v>
      </c>
      <c r="AK3002" t="n">
        <v>3</v>
      </c>
      <c r="AL3002" t="n">
        <v>2</v>
      </c>
      <c r="AM3002" t="n">
        <v>4</v>
      </c>
      <c r="AN3002" t="n">
        <v>0</v>
      </c>
      <c r="AO3002" t="n">
        <v>8</v>
      </c>
      <c r="AP3002" t="inlineStr">
        <is>
          <t>Yes</t>
        </is>
      </c>
      <c r="AQ3002" t="inlineStr">
        <is>
          <t>No</t>
        </is>
      </c>
      <c r="AR3002">
        <f>HYPERLINK("http://catalog.hathitrust.org/Record/002368635","HathiTrust Record")</f>
        <v/>
      </c>
      <c r="AS3002">
        <f>HYPERLINK("https://creighton-primo.hosted.exlibrisgroup.com/primo-explore/search?tab=default_tab&amp;search_scope=EVERYTHING&amp;vid=01CRU&amp;lang=en_US&amp;offset=0&amp;query=any,contains,991004023869702656","Catalog Record")</f>
        <v/>
      </c>
      <c r="AT3002">
        <f>HYPERLINK("http://www.worldcat.org/oclc/2129756","WorldCat Record")</f>
        <v/>
      </c>
      <c r="AU3002" t="inlineStr">
        <is>
          <t>3868725247:eng</t>
        </is>
      </c>
      <c r="AV3002" t="inlineStr">
        <is>
          <t>2129756</t>
        </is>
      </c>
      <c r="AW3002" t="inlineStr">
        <is>
          <t>991004023869702656</t>
        </is>
      </c>
      <c r="AX3002" t="inlineStr">
        <is>
          <t>991004023869702656</t>
        </is>
      </c>
      <c r="AY3002" t="inlineStr">
        <is>
          <t>2264772440002656</t>
        </is>
      </c>
      <c r="AZ3002" t="inlineStr">
        <is>
          <t>BOOK</t>
        </is>
      </c>
      <c r="BC3002" t="inlineStr">
        <is>
          <t>32285000397439</t>
        </is>
      </c>
      <c r="BD3002" t="inlineStr">
        <is>
          <t>893240915</t>
        </is>
      </c>
    </row>
    <row r="3003">
      <c r="A3003" t="inlineStr">
        <is>
          <t>No</t>
        </is>
      </c>
      <c r="B3003" t="inlineStr">
        <is>
          <t>HQ814 .P35 1998</t>
        </is>
      </c>
      <c r="C3003" t="inlineStr">
        <is>
          <t>0                      HQ 0814000P  35          1998</t>
        </is>
      </c>
      <c r="D3003" t="inlineStr">
        <is>
          <t>Splitting up : enmeshment and estrangement in the process of divorce / Alvin Pam, Judith Pearson ; foreword by James F. Masterson.</t>
        </is>
      </c>
      <c r="F3003" t="inlineStr">
        <is>
          <t>No</t>
        </is>
      </c>
      <c r="G3003" t="inlineStr">
        <is>
          <t>1</t>
        </is>
      </c>
      <c r="H3003" t="inlineStr">
        <is>
          <t>No</t>
        </is>
      </c>
      <c r="I3003" t="inlineStr">
        <is>
          <t>No</t>
        </is>
      </c>
      <c r="J3003" t="inlineStr">
        <is>
          <t>0</t>
        </is>
      </c>
      <c r="K3003" t="inlineStr">
        <is>
          <t>Pam, Alvin.</t>
        </is>
      </c>
      <c r="L3003" t="inlineStr">
        <is>
          <t>New York : Guilford Press, c1998.</t>
        </is>
      </c>
      <c r="M3003" t="inlineStr">
        <is>
          <t>1998</t>
        </is>
      </c>
      <c r="O3003" t="inlineStr">
        <is>
          <t>eng</t>
        </is>
      </c>
      <c r="P3003" t="inlineStr">
        <is>
          <t>nyu</t>
        </is>
      </c>
      <c r="R3003" t="inlineStr">
        <is>
          <t xml:space="preserve">HQ </t>
        </is>
      </c>
      <c r="S3003" t="n">
        <v>6</v>
      </c>
      <c r="T3003" t="n">
        <v>6</v>
      </c>
      <c r="U3003" t="inlineStr">
        <is>
          <t>2005-03-29</t>
        </is>
      </c>
      <c r="V3003" t="inlineStr">
        <is>
          <t>2005-03-29</t>
        </is>
      </c>
      <c r="W3003" t="inlineStr">
        <is>
          <t>1999-11-01</t>
        </is>
      </c>
      <c r="X3003" t="inlineStr">
        <is>
          <t>1999-11-01</t>
        </is>
      </c>
      <c r="Y3003" t="n">
        <v>438</v>
      </c>
      <c r="Z3003" t="n">
        <v>390</v>
      </c>
      <c r="AA3003" t="n">
        <v>390</v>
      </c>
      <c r="AB3003" t="n">
        <v>4</v>
      </c>
      <c r="AC3003" t="n">
        <v>4</v>
      </c>
      <c r="AD3003" t="n">
        <v>18</v>
      </c>
      <c r="AE3003" t="n">
        <v>18</v>
      </c>
      <c r="AF3003" t="n">
        <v>7</v>
      </c>
      <c r="AG3003" t="n">
        <v>7</v>
      </c>
      <c r="AH3003" t="n">
        <v>3</v>
      </c>
      <c r="AI3003" t="n">
        <v>3</v>
      </c>
      <c r="AJ3003" t="n">
        <v>9</v>
      </c>
      <c r="AK3003" t="n">
        <v>9</v>
      </c>
      <c r="AL3003" t="n">
        <v>3</v>
      </c>
      <c r="AM3003" t="n">
        <v>3</v>
      </c>
      <c r="AN3003" t="n">
        <v>0</v>
      </c>
      <c r="AO3003" t="n">
        <v>0</v>
      </c>
      <c r="AP3003" t="inlineStr">
        <is>
          <t>No</t>
        </is>
      </c>
      <c r="AQ3003" t="inlineStr">
        <is>
          <t>No</t>
        </is>
      </c>
      <c r="AS3003">
        <f>HYPERLINK("https://creighton-primo.hosted.exlibrisgroup.com/primo-explore/search?tab=default_tab&amp;search_scope=EVERYTHING&amp;vid=01CRU&amp;lang=en_US&amp;offset=0&amp;query=any,contains,991002936649702656","Catalog Record")</f>
        <v/>
      </c>
      <c r="AT3003">
        <f>HYPERLINK("http://www.worldcat.org/oclc/39060680","WorldCat Record")</f>
        <v/>
      </c>
      <c r="AU3003" t="inlineStr">
        <is>
          <t>340968223:eng</t>
        </is>
      </c>
      <c r="AV3003" t="inlineStr">
        <is>
          <t>39060680</t>
        </is>
      </c>
      <c r="AW3003" t="inlineStr">
        <is>
          <t>991002936649702656</t>
        </is>
      </c>
      <c r="AX3003" t="inlineStr">
        <is>
          <t>991002936649702656</t>
        </is>
      </c>
      <c r="AY3003" t="inlineStr">
        <is>
          <t>2255788960002656</t>
        </is>
      </c>
      <c r="AZ3003" t="inlineStr">
        <is>
          <t>BOOK</t>
        </is>
      </c>
      <c r="BB3003" t="inlineStr">
        <is>
          <t>9781572303676</t>
        </is>
      </c>
      <c r="BC3003" t="inlineStr">
        <is>
          <t>32285003616082</t>
        </is>
      </c>
      <c r="BD3003" t="inlineStr">
        <is>
          <t>893622926</t>
        </is>
      </c>
    </row>
    <row r="3004">
      <c r="A3004" t="inlineStr">
        <is>
          <t>No</t>
        </is>
      </c>
      <c r="B3004" t="inlineStr">
        <is>
          <t>HQ814 .P37 1992</t>
        </is>
      </c>
      <c r="C3004" t="inlineStr">
        <is>
          <t>0                      HQ 0814000P  37          1992</t>
        </is>
      </c>
      <c r="D3004" t="inlineStr">
        <is>
          <t>No-fault divorce : what went wrong? / Allen M. Parkman.</t>
        </is>
      </c>
      <c r="F3004" t="inlineStr">
        <is>
          <t>No</t>
        </is>
      </c>
      <c r="G3004" t="inlineStr">
        <is>
          <t>1</t>
        </is>
      </c>
      <c r="H3004" t="inlineStr">
        <is>
          <t>Yes</t>
        </is>
      </c>
      <c r="I3004" t="inlineStr">
        <is>
          <t>No</t>
        </is>
      </c>
      <c r="J3004" t="inlineStr">
        <is>
          <t>0</t>
        </is>
      </c>
      <c r="K3004" t="inlineStr">
        <is>
          <t>Parkman, Allen M.</t>
        </is>
      </c>
      <c r="L3004" t="inlineStr">
        <is>
          <t>Boulder, Colo. : Westview Press, 1992.</t>
        </is>
      </c>
      <c r="M3004" t="inlineStr">
        <is>
          <t>1992</t>
        </is>
      </c>
      <c r="O3004" t="inlineStr">
        <is>
          <t>eng</t>
        </is>
      </c>
      <c r="P3004" t="inlineStr">
        <is>
          <t>cou</t>
        </is>
      </c>
      <c r="R3004" t="inlineStr">
        <is>
          <t xml:space="preserve">HQ </t>
        </is>
      </c>
      <c r="S3004" t="n">
        <v>20</v>
      </c>
      <c r="T3004" t="n">
        <v>25</v>
      </c>
      <c r="U3004" t="inlineStr">
        <is>
          <t>2004-09-07</t>
        </is>
      </c>
      <c r="V3004" t="inlineStr">
        <is>
          <t>2004-09-07</t>
        </is>
      </c>
      <c r="W3004" t="inlineStr">
        <is>
          <t>1992-10-13</t>
        </is>
      </c>
      <c r="X3004" t="inlineStr">
        <is>
          <t>1992-10-13</t>
        </is>
      </c>
      <c r="Y3004" t="n">
        <v>324</v>
      </c>
      <c r="Z3004" t="n">
        <v>278</v>
      </c>
      <c r="AA3004" t="n">
        <v>295</v>
      </c>
      <c r="AB3004" t="n">
        <v>4</v>
      </c>
      <c r="AC3004" t="n">
        <v>4</v>
      </c>
      <c r="AD3004" t="n">
        <v>18</v>
      </c>
      <c r="AE3004" t="n">
        <v>18</v>
      </c>
      <c r="AF3004" t="n">
        <v>2</v>
      </c>
      <c r="AG3004" t="n">
        <v>2</v>
      </c>
      <c r="AH3004" t="n">
        <v>1</v>
      </c>
      <c r="AI3004" t="n">
        <v>1</v>
      </c>
      <c r="AJ3004" t="n">
        <v>4</v>
      </c>
      <c r="AK3004" t="n">
        <v>4</v>
      </c>
      <c r="AL3004" t="n">
        <v>2</v>
      </c>
      <c r="AM3004" t="n">
        <v>2</v>
      </c>
      <c r="AN3004" t="n">
        <v>11</v>
      </c>
      <c r="AO3004" t="n">
        <v>11</v>
      </c>
      <c r="AP3004" t="inlineStr">
        <is>
          <t>No</t>
        </is>
      </c>
      <c r="AQ3004" t="inlineStr">
        <is>
          <t>Yes</t>
        </is>
      </c>
      <c r="AR3004">
        <f>HYPERLINK("http://catalog.hathitrust.org/Record/002559653","HathiTrust Record")</f>
        <v/>
      </c>
      <c r="AS3004">
        <f>HYPERLINK("https://creighton-primo.hosted.exlibrisgroup.com/primo-explore/search?tab=default_tab&amp;search_scope=EVERYTHING&amp;vid=01CRU&amp;lang=en_US&amp;offset=0&amp;query=any,contains,991001652569702656","Catalog Record")</f>
        <v/>
      </c>
      <c r="AT3004">
        <f>HYPERLINK("http://www.worldcat.org/oclc/25632154","WorldCat Record")</f>
        <v/>
      </c>
      <c r="AU3004" t="inlineStr">
        <is>
          <t>476286622:eng</t>
        </is>
      </c>
      <c r="AV3004" t="inlineStr">
        <is>
          <t>25632154</t>
        </is>
      </c>
      <c r="AW3004" t="inlineStr">
        <is>
          <t>991001652569702656</t>
        </is>
      </c>
      <c r="AX3004" t="inlineStr">
        <is>
          <t>991001652569702656</t>
        </is>
      </c>
      <c r="AY3004" t="inlineStr">
        <is>
          <t>2268254490002656</t>
        </is>
      </c>
      <c r="AZ3004" t="inlineStr">
        <is>
          <t>BOOK</t>
        </is>
      </c>
      <c r="BB3004" t="inlineStr">
        <is>
          <t>9780813314334</t>
        </is>
      </c>
      <c r="BC3004" t="inlineStr">
        <is>
          <t>32285001317519</t>
        </is>
      </c>
      <c r="BD3004" t="inlineStr">
        <is>
          <t>893232128</t>
        </is>
      </c>
    </row>
    <row r="3005">
      <c r="A3005" t="inlineStr">
        <is>
          <t>No</t>
        </is>
      </c>
      <c r="B3005" t="inlineStr">
        <is>
          <t>HQ814 .R48</t>
        </is>
      </c>
      <c r="C3005" t="inlineStr">
        <is>
          <t>0                      HQ 0814000R  48</t>
        </is>
      </c>
      <c r="D3005" t="inlineStr">
        <is>
          <t>Marriage stability, divorce, and the law.</t>
        </is>
      </c>
      <c r="F3005" t="inlineStr">
        <is>
          <t>No</t>
        </is>
      </c>
      <c r="G3005" t="inlineStr">
        <is>
          <t>1</t>
        </is>
      </c>
      <c r="H3005" t="inlineStr">
        <is>
          <t>Yes</t>
        </is>
      </c>
      <c r="I3005" t="inlineStr">
        <is>
          <t>No</t>
        </is>
      </c>
      <c r="J3005" t="inlineStr">
        <is>
          <t>0</t>
        </is>
      </c>
      <c r="K3005" t="inlineStr">
        <is>
          <t>Rheinstein, Max, 1899-1977.</t>
        </is>
      </c>
      <c r="L3005" t="inlineStr">
        <is>
          <t>Chicago : University of Chicago Press, [1972]</t>
        </is>
      </c>
      <c r="M3005" t="inlineStr">
        <is>
          <t>1972</t>
        </is>
      </c>
      <c r="O3005" t="inlineStr">
        <is>
          <t>eng</t>
        </is>
      </c>
      <c r="P3005" t="inlineStr">
        <is>
          <t>ilu</t>
        </is>
      </c>
      <c r="R3005" t="inlineStr">
        <is>
          <t xml:space="preserve">HQ </t>
        </is>
      </c>
      <c r="S3005" t="n">
        <v>2</v>
      </c>
      <c r="T3005" t="n">
        <v>3</v>
      </c>
      <c r="U3005" t="inlineStr">
        <is>
          <t>2004-03-05</t>
        </is>
      </c>
      <c r="V3005" t="inlineStr">
        <is>
          <t>2004-03-05</t>
        </is>
      </c>
      <c r="W3005" t="inlineStr">
        <is>
          <t>1990-12-13</t>
        </is>
      </c>
      <c r="X3005" t="inlineStr">
        <is>
          <t>1992-07-21</t>
        </is>
      </c>
      <c r="Y3005" t="n">
        <v>798</v>
      </c>
      <c r="Z3005" t="n">
        <v>673</v>
      </c>
      <c r="AA3005" t="n">
        <v>673</v>
      </c>
      <c r="AB3005" t="n">
        <v>6</v>
      </c>
      <c r="AC3005" t="n">
        <v>6</v>
      </c>
      <c r="AD3005" t="n">
        <v>43</v>
      </c>
      <c r="AE3005" t="n">
        <v>43</v>
      </c>
      <c r="AF3005" t="n">
        <v>6</v>
      </c>
      <c r="AG3005" t="n">
        <v>6</v>
      </c>
      <c r="AH3005" t="n">
        <v>7</v>
      </c>
      <c r="AI3005" t="n">
        <v>7</v>
      </c>
      <c r="AJ3005" t="n">
        <v>10</v>
      </c>
      <c r="AK3005" t="n">
        <v>10</v>
      </c>
      <c r="AL3005" t="n">
        <v>2</v>
      </c>
      <c r="AM3005" t="n">
        <v>2</v>
      </c>
      <c r="AN3005" t="n">
        <v>21</v>
      </c>
      <c r="AO3005" t="n">
        <v>21</v>
      </c>
      <c r="AP3005" t="inlineStr">
        <is>
          <t>No</t>
        </is>
      </c>
      <c r="AQ3005" t="inlineStr">
        <is>
          <t>No</t>
        </is>
      </c>
      <c r="AS3005">
        <f>HYPERLINK("https://creighton-primo.hosted.exlibrisgroup.com/primo-explore/search?tab=default_tab&amp;search_scope=EVERYTHING&amp;vid=01CRU&amp;lang=en_US&amp;offset=0&amp;query=any,contains,991001773739702656","Catalog Record")</f>
        <v/>
      </c>
      <c r="AT3005">
        <f>HYPERLINK("http://www.worldcat.org/oclc/2780900","WorldCat Record")</f>
        <v/>
      </c>
      <c r="AU3005" t="inlineStr">
        <is>
          <t>792599100:eng</t>
        </is>
      </c>
      <c r="AV3005" t="inlineStr">
        <is>
          <t>2780900</t>
        </is>
      </c>
      <c r="AW3005" t="inlineStr">
        <is>
          <t>991001773739702656</t>
        </is>
      </c>
      <c r="AX3005" t="inlineStr">
        <is>
          <t>991001773739702656</t>
        </is>
      </c>
      <c r="AY3005" t="inlineStr">
        <is>
          <t>2265542390002656</t>
        </is>
      </c>
      <c r="AZ3005" t="inlineStr">
        <is>
          <t>BOOK</t>
        </is>
      </c>
      <c r="BB3005" t="inlineStr">
        <is>
          <t>9780226717739</t>
        </is>
      </c>
      <c r="BC3005" t="inlineStr">
        <is>
          <t>32285000425396</t>
        </is>
      </c>
      <c r="BD3005" t="inlineStr">
        <is>
          <t>893426854</t>
        </is>
      </c>
    </row>
    <row r="3006">
      <c r="A3006" t="inlineStr">
        <is>
          <t>No</t>
        </is>
      </c>
      <c r="B3006" t="inlineStr">
        <is>
          <t>HQ814 .S483</t>
        </is>
      </c>
      <c r="C3006" t="inlineStr">
        <is>
          <t>0                      HQ 0814000S  483</t>
        </is>
      </c>
      <c r="D3006" t="inlineStr">
        <is>
          <t>Living with divorce / by Kathleen Sheridan.</t>
        </is>
      </c>
      <c r="F3006" t="inlineStr">
        <is>
          <t>No</t>
        </is>
      </c>
      <c r="G3006" t="inlineStr">
        <is>
          <t>1</t>
        </is>
      </c>
      <c r="H3006" t="inlineStr">
        <is>
          <t>No</t>
        </is>
      </c>
      <c r="I3006" t="inlineStr">
        <is>
          <t>No</t>
        </is>
      </c>
      <c r="J3006" t="inlineStr">
        <is>
          <t>0</t>
        </is>
      </c>
      <c r="K3006" t="inlineStr">
        <is>
          <t>Sheridan, Kathleen, J.D., Ph. D.</t>
        </is>
      </c>
      <c r="L3006" t="inlineStr">
        <is>
          <t>Chicago : Thomas More Press, c1977.</t>
        </is>
      </c>
      <c r="M3006" t="inlineStr">
        <is>
          <t>1977</t>
        </is>
      </c>
      <c r="O3006" t="inlineStr">
        <is>
          <t>eng</t>
        </is>
      </c>
      <c r="P3006" t="inlineStr">
        <is>
          <t>ilu</t>
        </is>
      </c>
      <c r="R3006" t="inlineStr">
        <is>
          <t xml:space="preserve">HQ </t>
        </is>
      </c>
      <c r="S3006" t="n">
        <v>9</v>
      </c>
      <c r="T3006" t="n">
        <v>9</v>
      </c>
      <c r="U3006" t="inlineStr">
        <is>
          <t>2002-03-21</t>
        </is>
      </c>
      <c r="V3006" t="inlineStr">
        <is>
          <t>2002-03-21</t>
        </is>
      </c>
      <c r="W3006" t="inlineStr">
        <is>
          <t>1992-05-28</t>
        </is>
      </c>
      <c r="X3006" t="inlineStr">
        <is>
          <t>1992-05-28</t>
        </is>
      </c>
      <c r="Y3006" t="n">
        <v>66</v>
      </c>
      <c r="Z3006" t="n">
        <v>62</v>
      </c>
      <c r="AA3006" t="n">
        <v>141</v>
      </c>
      <c r="AB3006" t="n">
        <v>1</v>
      </c>
      <c r="AC3006" t="n">
        <v>1</v>
      </c>
      <c r="AD3006" t="n">
        <v>2</v>
      </c>
      <c r="AE3006" t="n">
        <v>3</v>
      </c>
      <c r="AF3006" t="n">
        <v>0</v>
      </c>
      <c r="AG3006" t="n">
        <v>0</v>
      </c>
      <c r="AH3006" t="n">
        <v>1</v>
      </c>
      <c r="AI3006" t="n">
        <v>1</v>
      </c>
      <c r="AJ3006" t="n">
        <v>1</v>
      </c>
      <c r="AK3006" t="n">
        <v>2</v>
      </c>
      <c r="AL3006" t="n">
        <v>0</v>
      </c>
      <c r="AM3006" t="n">
        <v>0</v>
      </c>
      <c r="AN3006" t="n">
        <v>0</v>
      </c>
      <c r="AO3006" t="n">
        <v>0</v>
      </c>
      <c r="AP3006" t="inlineStr">
        <is>
          <t>No</t>
        </is>
      </c>
      <c r="AQ3006" t="inlineStr">
        <is>
          <t>No</t>
        </is>
      </c>
      <c r="AS3006">
        <f>HYPERLINK("https://creighton-primo.hosted.exlibrisgroup.com/primo-explore/search?tab=default_tab&amp;search_scope=EVERYTHING&amp;vid=01CRU&amp;lang=en_US&amp;offset=0&amp;query=any,contains,991004408029702656","Catalog Record")</f>
        <v/>
      </c>
      <c r="AT3006">
        <f>HYPERLINK("http://www.worldcat.org/oclc/3328682","WorldCat Record")</f>
        <v/>
      </c>
      <c r="AU3006" t="inlineStr">
        <is>
          <t>252946876:eng</t>
        </is>
      </c>
      <c r="AV3006" t="inlineStr">
        <is>
          <t>3328682</t>
        </is>
      </c>
      <c r="AW3006" t="inlineStr">
        <is>
          <t>991004408029702656</t>
        </is>
      </c>
      <c r="AX3006" t="inlineStr">
        <is>
          <t>991004408029702656</t>
        </is>
      </c>
      <c r="AY3006" t="inlineStr">
        <is>
          <t>2266534710002656</t>
        </is>
      </c>
      <c r="AZ3006" t="inlineStr">
        <is>
          <t>BOOK</t>
        </is>
      </c>
      <c r="BB3006" t="inlineStr">
        <is>
          <t>9780883470763</t>
        </is>
      </c>
      <c r="BC3006" t="inlineStr">
        <is>
          <t>32285001113397</t>
        </is>
      </c>
      <c r="BD3006" t="inlineStr">
        <is>
          <t>893411498</t>
        </is>
      </c>
    </row>
    <row r="3007">
      <c r="A3007" t="inlineStr">
        <is>
          <t>No</t>
        </is>
      </c>
      <c r="B3007" t="inlineStr">
        <is>
          <t>HQ814 .S78</t>
        </is>
      </c>
      <c r="C3007" t="inlineStr">
        <is>
          <t>0                      HQ 0814000S  78</t>
        </is>
      </c>
      <c r="D3007" t="inlineStr">
        <is>
          <t>When parents divorce; a new approach to new relationships.</t>
        </is>
      </c>
      <c r="F3007" t="inlineStr">
        <is>
          <t>No</t>
        </is>
      </c>
      <c r="G3007" t="inlineStr">
        <is>
          <t>1</t>
        </is>
      </c>
      <c r="H3007" t="inlineStr">
        <is>
          <t>No</t>
        </is>
      </c>
      <c r="I3007" t="inlineStr">
        <is>
          <t>No</t>
        </is>
      </c>
      <c r="J3007" t="inlineStr">
        <is>
          <t>0</t>
        </is>
      </c>
      <c r="K3007" t="inlineStr">
        <is>
          <t>Steinzor, Bernard.</t>
        </is>
      </c>
      <c r="L3007" t="inlineStr">
        <is>
          <t>New York, Pantheon Books [1969]</t>
        </is>
      </c>
      <c r="M3007" t="inlineStr">
        <is>
          <t>1969</t>
        </is>
      </c>
      <c r="O3007" t="inlineStr">
        <is>
          <t>eng</t>
        </is>
      </c>
      <c r="P3007" t="inlineStr">
        <is>
          <t>nyu</t>
        </is>
      </c>
      <c r="R3007" t="inlineStr">
        <is>
          <t xml:space="preserve">HQ </t>
        </is>
      </c>
      <c r="S3007" t="n">
        <v>11</v>
      </c>
      <c r="T3007" t="n">
        <v>11</v>
      </c>
      <c r="U3007" t="inlineStr">
        <is>
          <t>1995-03-26</t>
        </is>
      </c>
      <c r="V3007" t="inlineStr">
        <is>
          <t>1995-03-26</t>
        </is>
      </c>
      <c r="W3007" t="inlineStr">
        <is>
          <t>1990-04-10</t>
        </is>
      </c>
      <c r="X3007" t="inlineStr">
        <is>
          <t>1990-04-10</t>
        </is>
      </c>
      <c r="Y3007" t="n">
        <v>508</v>
      </c>
      <c r="Z3007" t="n">
        <v>454</v>
      </c>
      <c r="AA3007" t="n">
        <v>467</v>
      </c>
      <c r="AB3007" t="n">
        <v>4</v>
      </c>
      <c r="AC3007" t="n">
        <v>4</v>
      </c>
      <c r="AD3007" t="n">
        <v>15</v>
      </c>
      <c r="AE3007" t="n">
        <v>15</v>
      </c>
      <c r="AF3007" t="n">
        <v>4</v>
      </c>
      <c r="AG3007" t="n">
        <v>4</v>
      </c>
      <c r="AH3007" t="n">
        <v>4</v>
      </c>
      <c r="AI3007" t="n">
        <v>4</v>
      </c>
      <c r="AJ3007" t="n">
        <v>4</v>
      </c>
      <c r="AK3007" t="n">
        <v>4</v>
      </c>
      <c r="AL3007" t="n">
        <v>3</v>
      </c>
      <c r="AM3007" t="n">
        <v>3</v>
      </c>
      <c r="AN3007" t="n">
        <v>3</v>
      </c>
      <c r="AO3007" t="n">
        <v>3</v>
      </c>
      <c r="AP3007" t="inlineStr">
        <is>
          <t>No</t>
        </is>
      </c>
      <c r="AQ3007" t="inlineStr">
        <is>
          <t>Yes</t>
        </is>
      </c>
      <c r="AR3007">
        <f>HYPERLINK("http://catalog.hathitrust.org/Record/006222635","HathiTrust Record")</f>
        <v/>
      </c>
      <c r="AS3007">
        <f>HYPERLINK("https://creighton-primo.hosted.exlibrisgroup.com/primo-explore/search?tab=default_tab&amp;search_scope=EVERYTHING&amp;vid=01CRU&amp;lang=en_US&amp;offset=0&amp;query=any,contains,991005437509702656","Catalog Record")</f>
        <v/>
      </c>
      <c r="AT3007">
        <f>HYPERLINK("http://www.worldcat.org/oclc/5349","WorldCat Record")</f>
        <v/>
      </c>
      <c r="AU3007" t="inlineStr">
        <is>
          <t>1128724:eng</t>
        </is>
      </c>
      <c r="AV3007" t="inlineStr">
        <is>
          <t>5349</t>
        </is>
      </c>
      <c r="AW3007" t="inlineStr">
        <is>
          <t>991005437509702656</t>
        </is>
      </c>
      <c r="AX3007" t="inlineStr">
        <is>
          <t>991005437509702656</t>
        </is>
      </c>
      <c r="AY3007" t="inlineStr">
        <is>
          <t>2264509520002656</t>
        </is>
      </c>
      <c r="AZ3007" t="inlineStr">
        <is>
          <t>BOOK</t>
        </is>
      </c>
      <c r="BC3007" t="inlineStr">
        <is>
          <t>32285000120260</t>
        </is>
      </c>
      <c r="BD3007" t="inlineStr">
        <is>
          <t>893890240</t>
        </is>
      </c>
    </row>
    <row r="3008">
      <c r="A3008" t="inlineStr">
        <is>
          <t>No</t>
        </is>
      </c>
      <c r="B3008" t="inlineStr">
        <is>
          <t>HQ823 .R79</t>
        </is>
      </c>
      <c r="C3008" t="inlineStr">
        <is>
          <t>0                      HQ 0823000R  79</t>
        </is>
      </c>
      <c r="D3008" t="inlineStr">
        <is>
          <t>A catechism for divorced catholics / by James J. Rue and Louise Shanahan.</t>
        </is>
      </c>
      <c r="F3008" t="inlineStr">
        <is>
          <t>No</t>
        </is>
      </c>
      <c r="G3008" t="inlineStr">
        <is>
          <t>1</t>
        </is>
      </c>
      <c r="H3008" t="inlineStr">
        <is>
          <t>No</t>
        </is>
      </c>
      <c r="I3008" t="inlineStr">
        <is>
          <t>No</t>
        </is>
      </c>
      <c r="J3008" t="inlineStr">
        <is>
          <t>0</t>
        </is>
      </c>
      <c r="K3008" t="inlineStr">
        <is>
          <t>Rue, James J.</t>
        </is>
      </c>
      <c r="L3008" t="inlineStr">
        <is>
          <t>St. Meinrad, Ind. : Abbey Press, 1976.</t>
        </is>
      </c>
      <c r="M3008" t="inlineStr">
        <is>
          <t>1976</t>
        </is>
      </c>
      <c r="O3008" t="inlineStr">
        <is>
          <t>eng</t>
        </is>
      </c>
      <c r="P3008" t="inlineStr">
        <is>
          <t>inu</t>
        </is>
      </c>
      <c r="R3008" t="inlineStr">
        <is>
          <t xml:space="preserve">HQ </t>
        </is>
      </c>
      <c r="S3008" t="n">
        <v>9</v>
      </c>
      <c r="T3008" t="n">
        <v>9</v>
      </c>
      <c r="U3008" t="inlineStr">
        <is>
          <t>1998-12-02</t>
        </is>
      </c>
      <c r="V3008" t="inlineStr">
        <is>
          <t>1998-12-02</t>
        </is>
      </c>
      <c r="W3008" t="inlineStr">
        <is>
          <t>1993-06-18</t>
        </is>
      </c>
      <c r="X3008" t="inlineStr">
        <is>
          <t>1993-06-18</t>
        </is>
      </c>
      <c r="Y3008" t="n">
        <v>40</v>
      </c>
      <c r="Z3008" t="n">
        <v>38</v>
      </c>
      <c r="AA3008" t="n">
        <v>82</v>
      </c>
      <c r="AB3008" t="n">
        <v>2</v>
      </c>
      <c r="AC3008" t="n">
        <v>2</v>
      </c>
      <c r="AD3008" t="n">
        <v>4</v>
      </c>
      <c r="AE3008" t="n">
        <v>9</v>
      </c>
      <c r="AF3008" t="n">
        <v>1</v>
      </c>
      <c r="AG3008" t="n">
        <v>1</v>
      </c>
      <c r="AH3008" t="n">
        <v>0</v>
      </c>
      <c r="AI3008" t="n">
        <v>1</v>
      </c>
      <c r="AJ3008" t="n">
        <v>4</v>
      </c>
      <c r="AK3008" t="n">
        <v>8</v>
      </c>
      <c r="AL3008" t="n">
        <v>0</v>
      </c>
      <c r="AM3008" t="n">
        <v>0</v>
      </c>
      <c r="AN3008" t="n">
        <v>0</v>
      </c>
      <c r="AO3008" t="n">
        <v>0</v>
      </c>
      <c r="AP3008" t="inlineStr">
        <is>
          <t>No</t>
        </is>
      </c>
      <c r="AQ3008" t="inlineStr">
        <is>
          <t>No</t>
        </is>
      </c>
      <c r="AS3008">
        <f>HYPERLINK("https://creighton-primo.hosted.exlibrisgroup.com/primo-explore/search?tab=default_tab&amp;search_scope=EVERYTHING&amp;vid=01CRU&amp;lang=en_US&amp;offset=0&amp;query=any,contains,991004051739702656","Catalog Record")</f>
        <v/>
      </c>
      <c r="AT3008">
        <f>HYPERLINK("http://www.worldcat.org/oclc/2213284","WorldCat Record")</f>
        <v/>
      </c>
      <c r="AU3008" t="inlineStr">
        <is>
          <t>3997024:eng</t>
        </is>
      </c>
      <c r="AV3008" t="inlineStr">
        <is>
          <t>2213284</t>
        </is>
      </c>
      <c r="AW3008" t="inlineStr">
        <is>
          <t>991004051739702656</t>
        </is>
      </c>
      <c r="AX3008" t="inlineStr">
        <is>
          <t>991004051739702656</t>
        </is>
      </c>
      <c r="AY3008" t="inlineStr">
        <is>
          <t>2256125880002656</t>
        </is>
      </c>
      <c r="AZ3008" t="inlineStr">
        <is>
          <t>BOOK</t>
        </is>
      </c>
      <c r="BB3008" t="inlineStr">
        <is>
          <t>9780870290633</t>
        </is>
      </c>
      <c r="BC3008" t="inlineStr">
        <is>
          <t>32285001699007</t>
        </is>
      </c>
      <c r="BD3008" t="inlineStr">
        <is>
          <t>893247101</t>
        </is>
      </c>
    </row>
    <row r="3009">
      <c r="A3009" t="inlineStr">
        <is>
          <t>No</t>
        </is>
      </c>
      <c r="B3009" t="inlineStr">
        <is>
          <t>HQ824 .K9</t>
        </is>
      </c>
      <c r="C3009" t="inlineStr">
        <is>
          <t>0                      HQ 0824000K  9</t>
        </is>
      </c>
      <c r="D3009" t="inlineStr">
        <is>
          <t>The asundered : Biblical teachings on divorce and remarriage / by Myrna and Robert Kysar.</t>
        </is>
      </c>
      <c r="F3009" t="inlineStr">
        <is>
          <t>No</t>
        </is>
      </c>
      <c r="G3009" t="inlineStr">
        <is>
          <t>1</t>
        </is>
      </c>
      <c r="H3009" t="inlineStr">
        <is>
          <t>No</t>
        </is>
      </c>
      <c r="I3009" t="inlineStr">
        <is>
          <t>No</t>
        </is>
      </c>
      <c r="J3009" t="inlineStr">
        <is>
          <t>0</t>
        </is>
      </c>
      <c r="K3009" t="inlineStr">
        <is>
          <t>Kysar, Myrna.</t>
        </is>
      </c>
      <c r="L3009" t="inlineStr">
        <is>
          <t>Atlanta : John Knox Press, c1978.</t>
        </is>
      </c>
      <c r="M3009" t="inlineStr">
        <is>
          <t>1978</t>
        </is>
      </c>
      <c r="O3009" t="inlineStr">
        <is>
          <t>eng</t>
        </is>
      </c>
      <c r="P3009" t="inlineStr">
        <is>
          <t>gau</t>
        </is>
      </c>
      <c r="R3009" t="inlineStr">
        <is>
          <t xml:space="preserve">HQ </t>
        </is>
      </c>
      <c r="S3009" t="n">
        <v>9</v>
      </c>
      <c r="T3009" t="n">
        <v>9</v>
      </c>
      <c r="U3009" t="inlineStr">
        <is>
          <t>1998-11-08</t>
        </is>
      </c>
      <c r="V3009" t="inlineStr">
        <is>
          <t>1998-11-08</t>
        </is>
      </c>
      <c r="W3009" t="inlineStr">
        <is>
          <t>1993-04-23</t>
        </is>
      </c>
      <c r="X3009" t="inlineStr">
        <is>
          <t>1993-04-23</t>
        </is>
      </c>
      <c r="Y3009" t="n">
        <v>343</v>
      </c>
      <c r="Z3009" t="n">
        <v>319</v>
      </c>
      <c r="AA3009" t="n">
        <v>320</v>
      </c>
      <c r="AB3009" t="n">
        <v>3</v>
      </c>
      <c r="AC3009" t="n">
        <v>3</v>
      </c>
      <c r="AD3009" t="n">
        <v>14</v>
      </c>
      <c r="AE3009" t="n">
        <v>14</v>
      </c>
      <c r="AF3009" t="n">
        <v>3</v>
      </c>
      <c r="AG3009" t="n">
        <v>3</v>
      </c>
      <c r="AH3009" t="n">
        <v>4</v>
      </c>
      <c r="AI3009" t="n">
        <v>4</v>
      </c>
      <c r="AJ3009" t="n">
        <v>9</v>
      </c>
      <c r="AK3009" t="n">
        <v>9</v>
      </c>
      <c r="AL3009" t="n">
        <v>2</v>
      </c>
      <c r="AM3009" t="n">
        <v>2</v>
      </c>
      <c r="AN3009" t="n">
        <v>0</v>
      </c>
      <c r="AO3009" t="n">
        <v>0</v>
      </c>
      <c r="AP3009" t="inlineStr">
        <is>
          <t>No</t>
        </is>
      </c>
      <c r="AQ3009" t="inlineStr">
        <is>
          <t>No</t>
        </is>
      </c>
      <c r="AS3009">
        <f>HYPERLINK("https://creighton-primo.hosted.exlibrisgroup.com/primo-explore/search?tab=default_tab&amp;search_scope=EVERYTHING&amp;vid=01CRU&amp;lang=en_US&amp;offset=0&amp;query=any,contains,991004437149702656","Catalog Record")</f>
        <v/>
      </c>
      <c r="AT3009">
        <f>HYPERLINK("http://www.worldcat.org/oclc/3447046","WorldCat Record")</f>
        <v/>
      </c>
      <c r="AU3009" t="inlineStr">
        <is>
          <t>10827338:eng</t>
        </is>
      </c>
      <c r="AV3009" t="inlineStr">
        <is>
          <t>3447046</t>
        </is>
      </c>
      <c r="AW3009" t="inlineStr">
        <is>
          <t>991004437149702656</t>
        </is>
      </c>
      <c r="AX3009" t="inlineStr">
        <is>
          <t>991004437149702656</t>
        </is>
      </c>
      <c r="AY3009" t="inlineStr">
        <is>
          <t>2268751170002656</t>
        </is>
      </c>
      <c r="AZ3009" t="inlineStr">
        <is>
          <t>BOOK</t>
        </is>
      </c>
      <c r="BB3009" t="inlineStr">
        <is>
          <t>9780804210966</t>
        </is>
      </c>
      <c r="BC3009" t="inlineStr">
        <is>
          <t>32285001624922</t>
        </is>
      </c>
      <c r="BD3009" t="inlineStr">
        <is>
          <t>893706419</t>
        </is>
      </c>
    </row>
    <row r="3010">
      <c r="A3010" t="inlineStr">
        <is>
          <t>No</t>
        </is>
      </c>
      <c r="B3010" t="inlineStr">
        <is>
          <t>HQ832 .B46 1991</t>
        </is>
      </c>
      <c r="C3010" t="inlineStr">
        <is>
          <t>0                      HQ 0832000B  46          1991</t>
        </is>
      </c>
      <c r="D3010" t="inlineStr">
        <is>
          <t>Sudden endings : wife rejection in happy marriages / Madeline Bennett.</t>
        </is>
      </c>
      <c r="F3010" t="inlineStr">
        <is>
          <t>No</t>
        </is>
      </c>
      <c r="G3010" t="inlineStr">
        <is>
          <t>1</t>
        </is>
      </c>
      <c r="H3010" t="inlineStr">
        <is>
          <t>No</t>
        </is>
      </c>
      <c r="I3010" t="inlineStr">
        <is>
          <t>No</t>
        </is>
      </c>
      <c r="J3010" t="inlineStr">
        <is>
          <t>0</t>
        </is>
      </c>
      <c r="K3010" t="inlineStr">
        <is>
          <t>Bennett, Madeline.</t>
        </is>
      </c>
      <c r="L3010" t="inlineStr">
        <is>
          <t>New York : Morrow, c1991.</t>
        </is>
      </c>
      <c r="M3010" t="inlineStr">
        <is>
          <t>1991</t>
        </is>
      </c>
      <c r="N3010" t="inlineStr">
        <is>
          <t>1st ed.</t>
        </is>
      </c>
      <c r="O3010" t="inlineStr">
        <is>
          <t>eng</t>
        </is>
      </c>
      <c r="P3010" t="inlineStr">
        <is>
          <t>nyu</t>
        </is>
      </c>
      <c r="R3010" t="inlineStr">
        <is>
          <t xml:space="preserve">HQ </t>
        </is>
      </c>
      <c r="S3010" t="n">
        <v>6</v>
      </c>
      <c r="T3010" t="n">
        <v>6</v>
      </c>
      <c r="U3010" t="inlineStr">
        <is>
          <t>2002-03-19</t>
        </is>
      </c>
      <c r="V3010" t="inlineStr">
        <is>
          <t>2002-03-19</t>
        </is>
      </c>
      <c r="W3010" t="inlineStr">
        <is>
          <t>1992-05-22</t>
        </is>
      </c>
      <c r="X3010" t="inlineStr">
        <is>
          <t>1992-05-22</t>
        </is>
      </c>
      <c r="Y3010" t="n">
        <v>302</v>
      </c>
      <c r="Z3010" t="n">
        <v>284</v>
      </c>
      <c r="AA3010" t="n">
        <v>290</v>
      </c>
      <c r="AB3010" t="n">
        <v>1</v>
      </c>
      <c r="AC3010" t="n">
        <v>1</v>
      </c>
      <c r="AD3010" t="n">
        <v>5</v>
      </c>
      <c r="AE3010" t="n">
        <v>5</v>
      </c>
      <c r="AF3010" t="n">
        <v>2</v>
      </c>
      <c r="AG3010" t="n">
        <v>2</v>
      </c>
      <c r="AH3010" t="n">
        <v>1</v>
      </c>
      <c r="AI3010" t="n">
        <v>1</v>
      </c>
      <c r="AJ3010" t="n">
        <v>3</v>
      </c>
      <c r="AK3010" t="n">
        <v>3</v>
      </c>
      <c r="AL3010" t="n">
        <v>0</v>
      </c>
      <c r="AM3010" t="n">
        <v>0</v>
      </c>
      <c r="AN3010" t="n">
        <v>0</v>
      </c>
      <c r="AO3010" t="n">
        <v>0</v>
      </c>
      <c r="AP3010" t="inlineStr">
        <is>
          <t>No</t>
        </is>
      </c>
      <c r="AQ3010" t="inlineStr">
        <is>
          <t>Yes</t>
        </is>
      </c>
      <c r="AR3010">
        <f>HYPERLINK("http://catalog.hathitrust.org/Record/007110345","HathiTrust Record")</f>
        <v/>
      </c>
      <c r="AS3010">
        <f>HYPERLINK("https://creighton-primo.hosted.exlibrisgroup.com/primo-explore/search?tab=default_tab&amp;search_scope=EVERYTHING&amp;vid=01CRU&amp;lang=en_US&amp;offset=0&amp;query=any,contains,991001808919702656","Catalog Record")</f>
        <v/>
      </c>
      <c r="AT3010">
        <f>HYPERLINK("http://www.worldcat.org/oclc/22731725","WorldCat Record")</f>
        <v/>
      </c>
      <c r="AU3010" t="inlineStr">
        <is>
          <t>292472485:eng</t>
        </is>
      </c>
      <c r="AV3010" t="inlineStr">
        <is>
          <t>22731725</t>
        </is>
      </c>
      <c r="AW3010" t="inlineStr">
        <is>
          <t>991001808919702656</t>
        </is>
      </c>
      <c r="AX3010" t="inlineStr">
        <is>
          <t>991001808919702656</t>
        </is>
      </c>
      <c r="AY3010" t="inlineStr">
        <is>
          <t>2270900060002656</t>
        </is>
      </c>
      <c r="AZ3010" t="inlineStr">
        <is>
          <t>BOOK</t>
        </is>
      </c>
      <c r="BB3010" t="inlineStr">
        <is>
          <t>9780688094287</t>
        </is>
      </c>
      <c r="BC3010" t="inlineStr">
        <is>
          <t>32285001118743</t>
        </is>
      </c>
      <c r="BD3010" t="inlineStr">
        <is>
          <t>893226140</t>
        </is>
      </c>
    </row>
    <row r="3011">
      <c r="A3011" t="inlineStr">
        <is>
          <t>No</t>
        </is>
      </c>
      <c r="B3011" t="inlineStr">
        <is>
          <t>HQ834 .A67 1995</t>
        </is>
      </c>
      <c r="C3011" t="inlineStr">
        <is>
          <t>0                      HQ 0834000A  67          1995</t>
        </is>
      </c>
      <c r="D3011" t="inlineStr">
        <is>
          <t>The good divorce : keeping your family together when your marriage comes apart / Constance Ahrons.</t>
        </is>
      </c>
      <c r="F3011" t="inlineStr">
        <is>
          <t>No</t>
        </is>
      </c>
      <c r="G3011" t="inlineStr">
        <is>
          <t>1</t>
        </is>
      </c>
      <c r="H3011" t="inlineStr">
        <is>
          <t>No</t>
        </is>
      </c>
      <c r="I3011" t="inlineStr">
        <is>
          <t>No</t>
        </is>
      </c>
      <c r="J3011" t="inlineStr">
        <is>
          <t>0</t>
        </is>
      </c>
      <c r="K3011" t="inlineStr">
        <is>
          <t>Ahrons, Constance R.</t>
        </is>
      </c>
      <c r="L3011" t="inlineStr">
        <is>
          <t>New York : HarperPerennial, 1995.</t>
        </is>
      </c>
      <c r="M3011" t="inlineStr">
        <is>
          <t>1995</t>
        </is>
      </c>
      <c r="N3011" t="inlineStr">
        <is>
          <t>1st HarperPerennial ed.</t>
        </is>
      </c>
      <c r="O3011" t="inlineStr">
        <is>
          <t>eng</t>
        </is>
      </c>
      <c r="P3011" t="inlineStr">
        <is>
          <t>nyu</t>
        </is>
      </c>
      <c r="R3011" t="inlineStr">
        <is>
          <t xml:space="preserve">HQ </t>
        </is>
      </c>
      <c r="S3011" t="n">
        <v>13</v>
      </c>
      <c r="T3011" t="n">
        <v>13</v>
      </c>
      <c r="U3011" t="inlineStr">
        <is>
          <t>2007-08-15</t>
        </is>
      </c>
      <c r="V3011" t="inlineStr">
        <is>
          <t>2007-08-15</t>
        </is>
      </c>
      <c r="W3011" t="inlineStr">
        <is>
          <t>1997-09-22</t>
        </is>
      </c>
      <c r="X3011" t="inlineStr">
        <is>
          <t>1997-09-22</t>
        </is>
      </c>
      <c r="Y3011" t="n">
        <v>236</v>
      </c>
      <c r="Z3011" t="n">
        <v>227</v>
      </c>
      <c r="AA3011" t="n">
        <v>934</v>
      </c>
      <c r="AB3011" t="n">
        <v>1</v>
      </c>
      <c r="AC3011" t="n">
        <v>6</v>
      </c>
      <c r="AD3011" t="n">
        <v>4</v>
      </c>
      <c r="AE3011" t="n">
        <v>16</v>
      </c>
      <c r="AF3011" t="n">
        <v>1</v>
      </c>
      <c r="AG3011" t="n">
        <v>4</v>
      </c>
      <c r="AH3011" t="n">
        <v>2</v>
      </c>
      <c r="AI3011" t="n">
        <v>4</v>
      </c>
      <c r="AJ3011" t="n">
        <v>2</v>
      </c>
      <c r="AK3011" t="n">
        <v>6</v>
      </c>
      <c r="AL3011" t="n">
        <v>0</v>
      </c>
      <c r="AM3011" t="n">
        <v>4</v>
      </c>
      <c r="AN3011" t="n">
        <v>0</v>
      </c>
      <c r="AO3011" t="n">
        <v>0</v>
      </c>
      <c r="AP3011" t="inlineStr">
        <is>
          <t>No</t>
        </is>
      </c>
      <c r="AQ3011" t="inlineStr">
        <is>
          <t>No</t>
        </is>
      </c>
      <c r="AS3011">
        <f>HYPERLINK("https://creighton-primo.hosted.exlibrisgroup.com/primo-explore/search?tab=default_tab&amp;search_scope=EVERYTHING&amp;vid=01CRU&amp;lang=en_US&amp;offset=0&amp;query=any,contains,991002535149702656","Catalog Record")</f>
        <v/>
      </c>
      <c r="AT3011">
        <f>HYPERLINK("http://www.worldcat.org/oclc/32965454","WorldCat Record")</f>
        <v/>
      </c>
      <c r="AU3011" t="inlineStr">
        <is>
          <t>9180141:eng</t>
        </is>
      </c>
      <c r="AV3011" t="inlineStr">
        <is>
          <t>32965454</t>
        </is>
      </c>
      <c r="AW3011" t="inlineStr">
        <is>
          <t>991002535149702656</t>
        </is>
      </c>
      <c r="AX3011" t="inlineStr">
        <is>
          <t>991002535149702656</t>
        </is>
      </c>
      <c r="AY3011" t="inlineStr">
        <is>
          <t>2267936540002656</t>
        </is>
      </c>
      <c r="AZ3011" t="inlineStr">
        <is>
          <t>BOOK</t>
        </is>
      </c>
      <c r="BB3011" t="inlineStr">
        <is>
          <t>9780060926342</t>
        </is>
      </c>
      <c r="BC3011" t="inlineStr">
        <is>
          <t>32285003176855</t>
        </is>
      </c>
      <c r="BD3011" t="inlineStr">
        <is>
          <t>893716588</t>
        </is>
      </c>
    </row>
    <row r="3012">
      <c r="A3012" t="inlineStr">
        <is>
          <t>No</t>
        </is>
      </c>
      <c r="B3012" t="inlineStr">
        <is>
          <t>HQ834 .D56</t>
        </is>
      </c>
      <c r="C3012" t="inlineStr">
        <is>
          <t>0                      HQ 0834000D  56</t>
        </is>
      </c>
      <c r="D3012" t="inlineStr">
        <is>
          <t>Divorce and separation : context, causes, and consequences / edited by George Levinger and Oliver C. Moles.</t>
        </is>
      </c>
      <c r="F3012" t="inlineStr">
        <is>
          <t>No</t>
        </is>
      </c>
      <c r="G3012" t="inlineStr">
        <is>
          <t>1</t>
        </is>
      </c>
      <c r="H3012" t="inlineStr">
        <is>
          <t>No</t>
        </is>
      </c>
      <c r="I3012" t="inlineStr">
        <is>
          <t>No</t>
        </is>
      </c>
      <c r="J3012" t="inlineStr">
        <is>
          <t>0</t>
        </is>
      </c>
      <c r="L3012" t="inlineStr">
        <is>
          <t>New York : Basic Books, c1979.</t>
        </is>
      </c>
      <c r="M3012" t="inlineStr">
        <is>
          <t>1979</t>
        </is>
      </c>
      <c r="O3012" t="inlineStr">
        <is>
          <t>eng</t>
        </is>
      </c>
      <c r="P3012" t="inlineStr">
        <is>
          <t>nyu</t>
        </is>
      </c>
      <c r="R3012" t="inlineStr">
        <is>
          <t xml:space="preserve">HQ </t>
        </is>
      </c>
      <c r="S3012" t="n">
        <v>12</v>
      </c>
      <c r="T3012" t="n">
        <v>12</v>
      </c>
      <c r="U3012" t="inlineStr">
        <is>
          <t>1995-10-24</t>
        </is>
      </c>
      <c r="V3012" t="inlineStr">
        <is>
          <t>1995-10-24</t>
        </is>
      </c>
      <c r="W3012" t="inlineStr">
        <is>
          <t>1990-02-22</t>
        </is>
      </c>
      <c r="X3012" t="inlineStr">
        <is>
          <t>1990-02-22</t>
        </is>
      </c>
      <c r="Y3012" t="n">
        <v>750</v>
      </c>
      <c r="Z3012" t="n">
        <v>630</v>
      </c>
      <c r="AA3012" t="n">
        <v>638</v>
      </c>
      <c r="AB3012" t="n">
        <v>6</v>
      </c>
      <c r="AC3012" t="n">
        <v>6</v>
      </c>
      <c r="AD3012" t="n">
        <v>25</v>
      </c>
      <c r="AE3012" t="n">
        <v>25</v>
      </c>
      <c r="AF3012" t="n">
        <v>7</v>
      </c>
      <c r="AG3012" t="n">
        <v>7</v>
      </c>
      <c r="AH3012" t="n">
        <v>4</v>
      </c>
      <c r="AI3012" t="n">
        <v>4</v>
      </c>
      <c r="AJ3012" t="n">
        <v>12</v>
      </c>
      <c r="AK3012" t="n">
        <v>12</v>
      </c>
      <c r="AL3012" t="n">
        <v>3</v>
      </c>
      <c r="AM3012" t="n">
        <v>3</v>
      </c>
      <c r="AN3012" t="n">
        <v>5</v>
      </c>
      <c r="AO3012" t="n">
        <v>5</v>
      </c>
      <c r="AP3012" t="inlineStr">
        <is>
          <t>No</t>
        </is>
      </c>
      <c r="AQ3012" t="inlineStr">
        <is>
          <t>Yes</t>
        </is>
      </c>
      <c r="AR3012">
        <f>HYPERLINK("http://catalog.hathitrust.org/Record/000260166","HathiTrust Record")</f>
        <v/>
      </c>
      <c r="AS3012">
        <f>HYPERLINK("https://creighton-primo.hosted.exlibrisgroup.com/primo-explore/search?tab=default_tab&amp;search_scope=EVERYTHING&amp;vid=01CRU&amp;lang=en_US&amp;offset=0&amp;query=any,contains,991004696369702656","Catalog Record")</f>
        <v/>
      </c>
      <c r="AT3012">
        <f>HYPERLINK("http://www.worldcat.org/oclc/4641944","WorldCat Record")</f>
        <v/>
      </c>
      <c r="AU3012" t="inlineStr">
        <is>
          <t>365727630:eng</t>
        </is>
      </c>
      <c r="AV3012" t="inlineStr">
        <is>
          <t>4641944</t>
        </is>
      </c>
      <c r="AW3012" t="inlineStr">
        <is>
          <t>991004696369702656</t>
        </is>
      </c>
      <c r="AX3012" t="inlineStr">
        <is>
          <t>991004696369702656</t>
        </is>
      </c>
      <c r="AY3012" t="inlineStr">
        <is>
          <t>2257472070002656</t>
        </is>
      </c>
      <c r="AZ3012" t="inlineStr">
        <is>
          <t>BOOK</t>
        </is>
      </c>
      <c r="BB3012" t="inlineStr">
        <is>
          <t>9780465016822</t>
        </is>
      </c>
      <c r="BC3012" t="inlineStr">
        <is>
          <t>32285000049162</t>
        </is>
      </c>
      <c r="BD3012" t="inlineStr">
        <is>
          <t>893612658</t>
        </is>
      </c>
    </row>
    <row r="3013">
      <c r="A3013" t="inlineStr">
        <is>
          <t>No</t>
        </is>
      </c>
      <c r="B3013" t="inlineStr">
        <is>
          <t>HQ834 .D57 1984</t>
        </is>
      </c>
      <c r="C3013" t="inlineStr">
        <is>
          <t>0                      HQ 0834000D  57          1984</t>
        </is>
      </c>
      <c r="D3013" t="inlineStr">
        <is>
          <t>The Divorce book / by Matthew McKay ... [et al.] ; edited by Kirk and Susan Johnson.</t>
        </is>
      </c>
      <c r="F3013" t="inlineStr">
        <is>
          <t>No</t>
        </is>
      </c>
      <c r="G3013" t="inlineStr">
        <is>
          <t>1</t>
        </is>
      </c>
      <c r="H3013" t="inlineStr">
        <is>
          <t>No</t>
        </is>
      </c>
      <c r="I3013" t="inlineStr">
        <is>
          <t>No</t>
        </is>
      </c>
      <c r="J3013" t="inlineStr">
        <is>
          <t>0</t>
        </is>
      </c>
      <c r="L3013" t="inlineStr">
        <is>
          <t>Oakland, CA : New Harbinger Publications, c1984.</t>
        </is>
      </c>
      <c r="M3013" t="inlineStr">
        <is>
          <t>1984</t>
        </is>
      </c>
      <c r="O3013" t="inlineStr">
        <is>
          <t>eng</t>
        </is>
      </c>
      <c r="P3013" t="inlineStr">
        <is>
          <t>cau</t>
        </is>
      </c>
      <c r="R3013" t="inlineStr">
        <is>
          <t xml:space="preserve">HQ </t>
        </is>
      </c>
      <c r="S3013" t="n">
        <v>4</v>
      </c>
      <c r="T3013" t="n">
        <v>4</v>
      </c>
      <c r="U3013" t="inlineStr">
        <is>
          <t>2009-11-02</t>
        </is>
      </c>
      <c r="V3013" t="inlineStr">
        <is>
          <t>2009-11-02</t>
        </is>
      </c>
      <c r="W3013" t="inlineStr">
        <is>
          <t>1996-11-19</t>
        </is>
      </c>
      <c r="X3013" t="inlineStr">
        <is>
          <t>1996-11-19</t>
        </is>
      </c>
      <c r="Y3013" t="n">
        <v>301</v>
      </c>
      <c r="Z3013" t="n">
        <v>287</v>
      </c>
      <c r="AA3013" t="n">
        <v>582</v>
      </c>
      <c r="AB3013" t="n">
        <v>4</v>
      </c>
      <c r="AC3013" t="n">
        <v>8</v>
      </c>
      <c r="AD3013" t="n">
        <v>9</v>
      </c>
      <c r="AE3013" t="n">
        <v>10</v>
      </c>
      <c r="AF3013" t="n">
        <v>2</v>
      </c>
      <c r="AG3013" t="n">
        <v>2</v>
      </c>
      <c r="AH3013" t="n">
        <v>0</v>
      </c>
      <c r="AI3013" t="n">
        <v>0</v>
      </c>
      <c r="AJ3013" t="n">
        <v>5</v>
      </c>
      <c r="AK3013" t="n">
        <v>5</v>
      </c>
      <c r="AL3013" t="n">
        <v>1</v>
      </c>
      <c r="AM3013" t="n">
        <v>2</v>
      </c>
      <c r="AN3013" t="n">
        <v>2</v>
      </c>
      <c r="AO3013" t="n">
        <v>2</v>
      </c>
      <c r="AP3013" t="inlineStr">
        <is>
          <t>No</t>
        </is>
      </c>
      <c r="AQ3013" t="inlineStr">
        <is>
          <t>Yes</t>
        </is>
      </c>
      <c r="AR3013">
        <f>HYPERLINK("http://catalog.hathitrust.org/Record/002805726","HathiTrust Record")</f>
        <v/>
      </c>
      <c r="AS3013">
        <f>HYPERLINK("https://creighton-primo.hosted.exlibrisgroup.com/primo-explore/search?tab=default_tab&amp;search_scope=EVERYTHING&amp;vid=01CRU&amp;lang=en_US&amp;offset=0&amp;query=any,contains,991000468949702656","Catalog Record")</f>
        <v/>
      </c>
      <c r="AT3013">
        <f>HYPERLINK("http://www.worldcat.org/oclc/10996220","WorldCat Record")</f>
        <v/>
      </c>
      <c r="AU3013" t="inlineStr">
        <is>
          <t>1806162176:eng</t>
        </is>
      </c>
      <c r="AV3013" t="inlineStr">
        <is>
          <t>10996220</t>
        </is>
      </c>
      <c r="AW3013" t="inlineStr">
        <is>
          <t>991000468949702656</t>
        </is>
      </c>
      <c r="AX3013" t="inlineStr">
        <is>
          <t>991000468949702656</t>
        </is>
      </c>
      <c r="AY3013" t="inlineStr">
        <is>
          <t>2262175720002656</t>
        </is>
      </c>
      <c r="AZ3013" t="inlineStr">
        <is>
          <t>BOOK</t>
        </is>
      </c>
      <c r="BB3013" t="inlineStr">
        <is>
          <t>9780934986069</t>
        </is>
      </c>
      <c r="BC3013" t="inlineStr">
        <is>
          <t>32285000008853</t>
        </is>
      </c>
      <c r="BD3013" t="inlineStr">
        <is>
          <t>893255446</t>
        </is>
      </c>
    </row>
    <row r="3014">
      <c r="A3014" t="inlineStr">
        <is>
          <t>No</t>
        </is>
      </c>
      <c r="B3014" t="inlineStr">
        <is>
          <t>HQ834 .D58 1977</t>
        </is>
      </c>
      <c r="C3014" t="inlineStr">
        <is>
          <t>0                      HQ 0834000D  58          1977</t>
        </is>
      </c>
      <c r="D3014" t="inlineStr">
        <is>
          <t>Divorce : prevention or survival / by William V. Arnold ... [et al.].</t>
        </is>
      </c>
      <c r="F3014" t="inlineStr">
        <is>
          <t>No</t>
        </is>
      </c>
      <c r="G3014" t="inlineStr">
        <is>
          <t>1</t>
        </is>
      </c>
      <c r="H3014" t="inlineStr">
        <is>
          <t>No</t>
        </is>
      </c>
      <c r="I3014" t="inlineStr">
        <is>
          <t>No</t>
        </is>
      </c>
      <c r="J3014" t="inlineStr">
        <is>
          <t>0</t>
        </is>
      </c>
      <c r="L3014" t="inlineStr">
        <is>
          <t>Philadelphia : Westminster Press, c1977.</t>
        </is>
      </c>
      <c r="M3014" t="inlineStr">
        <is>
          <t>1977</t>
        </is>
      </c>
      <c r="N3014" t="inlineStr">
        <is>
          <t>1st ed.</t>
        </is>
      </c>
      <c r="O3014" t="inlineStr">
        <is>
          <t>eng</t>
        </is>
      </c>
      <c r="P3014" t="inlineStr">
        <is>
          <t>pau</t>
        </is>
      </c>
      <c r="R3014" t="inlineStr">
        <is>
          <t xml:space="preserve">HQ </t>
        </is>
      </c>
      <c r="S3014" t="n">
        <v>31</v>
      </c>
      <c r="T3014" t="n">
        <v>31</v>
      </c>
      <c r="U3014" t="inlineStr">
        <is>
          <t>2000-03-25</t>
        </is>
      </c>
      <c r="V3014" t="inlineStr">
        <is>
          <t>2000-03-25</t>
        </is>
      </c>
      <c r="W3014" t="inlineStr">
        <is>
          <t>1990-05-24</t>
        </is>
      </c>
      <c r="X3014" t="inlineStr">
        <is>
          <t>1990-05-24</t>
        </is>
      </c>
      <c r="Y3014" t="n">
        <v>187</v>
      </c>
      <c r="Z3014" t="n">
        <v>167</v>
      </c>
      <c r="AA3014" t="n">
        <v>168</v>
      </c>
      <c r="AB3014" t="n">
        <v>3</v>
      </c>
      <c r="AC3014" t="n">
        <v>3</v>
      </c>
      <c r="AD3014" t="n">
        <v>5</v>
      </c>
      <c r="AE3014" t="n">
        <v>5</v>
      </c>
      <c r="AF3014" t="n">
        <v>2</v>
      </c>
      <c r="AG3014" t="n">
        <v>2</v>
      </c>
      <c r="AH3014" t="n">
        <v>1</v>
      </c>
      <c r="AI3014" t="n">
        <v>1</v>
      </c>
      <c r="AJ3014" t="n">
        <v>0</v>
      </c>
      <c r="AK3014" t="n">
        <v>0</v>
      </c>
      <c r="AL3014" t="n">
        <v>2</v>
      </c>
      <c r="AM3014" t="n">
        <v>2</v>
      </c>
      <c r="AN3014" t="n">
        <v>0</v>
      </c>
      <c r="AO3014" t="n">
        <v>0</v>
      </c>
      <c r="AP3014" t="inlineStr">
        <is>
          <t>No</t>
        </is>
      </c>
      <c r="AQ3014" t="inlineStr">
        <is>
          <t>No</t>
        </is>
      </c>
      <c r="AS3014">
        <f>HYPERLINK("https://creighton-primo.hosted.exlibrisgroup.com/primo-explore/search?tab=default_tab&amp;search_scope=EVERYTHING&amp;vid=01CRU&amp;lang=en_US&amp;offset=0&amp;query=any,contains,991004363589702656","Catalog Record")</f>
        <v/>
      </c>
      <c r="AT3014">
        <f>HYPERLINK("http://www.worldcat.org/oclc/3168499","WorldCat Record")</f>
        <v/>
      </c>
      <c r="AU3014" t="inlineStr">
        <is>
          <t>861216199:eng</t>
        </is>
      </c>
      <c r="AV3014" t="inlineStr">
        <is>
          <t>3168499</t>
        </is>
      </c>
      <c r="AW3014" t="inlineStr">
        <is>
          <t>991004363589702656</t>
        </is>
      </c>
      <c r="AX3014" t="inlineStr">
        <is>
          <t>991004363589702656</t>
        </is>
      </c>
      <c r="AY3014" t="inlineStr">
        <is>
          <t>2262999310002656</t>
        </is>
      </c>
      <c r="AZ3014" t="inlineStr">
        <is>
          <t>BOOK</t>
        </is>
      </c>
      <c r="BB3014" t="inlineStr">
        <is>
          <t>9780664241421</t>
        </is>
      </c>
      <c r="BC3014" t="inlineStr">
        <is>
          <t>32285000165406</t>
        </is>
      </c>
      <c r="BD3014" t="inlineStr">
        <is>
          <t>893247502</t>
        </is>
      </c>
    </row>
    <row r="3015">
      <c r="A3015" t="inlineStr">
        <is>
          <t>No</t>
        </is>
      </c>
      <c r="B3015" t="inlineStr">
        <is>
          <t>HQ834 .D587 1992</t>
        </is>
      </c>
      <c r="C3015" t="inlineStr">
        <is>
          <t>0                      HQ 0834000D  587         1992</t>
        </is>
      </c>
      <c r="D3015" t="inlineStr">
        <is>
          <t>Divorce shock : perspectives on counseling and therapy / edited by Adrian R. Tiemann, Bruce L. Danto, and Stephen Viton Gullo.</t>
        </is>
      </c>
      <c r="F3015" t="inlineStr">
        <is>
          <t>No</t>
        </is>
      </c>
      <c r="G3015" t="inlineStr">
        <is>
          <t>1</t>
        </is>
      </c>
      <c r="H3015" t="inlineStr">
        <is>
          <t>No</t>
        </is>
      </c>
      <c r="I3015" t="inlineStr">
        <is>
          <t>No</t>
        </is>
      </c>
      <c r="J3015" t="inlineStr">
        <is>
          <t>0</t>
        </is>
      </c>
      <c r="L3015" t="inlineStr">
        <is>
          <t>Philadelphia : Charles Press, c1992.</t>
        </is>
      </c>
      <c r="M3015" t="inlineStr">
        <is>
          <t>1992</t>
        </is>
      </c>
      <c r="O3015" t="inlineStr">
        <is>
          <t>eng</t>
        </is>
      </c>
      <c r="P3015" t="inlineStr">
        <is>
          <t>pau</t>
        </is>
      </c>
      <c r="R3015" t="inlineStr">
        <is>
          <t xml:space="preserve">HQ </t>
        </is>
      </c>
      <c r="S3015" t="n">
        <v>6</v>
      </c>
      <c r="T3015" t="n">
        <v>6</v>
      </c>
      <c r="U3015" t="inlineStr">
        <is>
          <t>2007-08-15</t>
        </is>
      </c>
      <c r="V3015" t="inlineStr">
        <is>
          <t>2007-08-15</t>
        </is>
      </c>
      <c r="W3015" t="inlineStr">
        <is>
          <t>1997-07-02</t>
        </is>
      </c>
      <c r="X3015" t="inlineStr">
        <is>
          <t>1997-07-02</t>
        </is>
      </c>
      <c r="Y3015" t="n">
        <v>195</v>
      </c>
      <c r="Z3015" t="n">
        <v>174</v>
      </c>
      <c r="AA3015" t="n">
        <v>179</v>
      </c>
      <c r="AB3015" t="n">
        <v>4</v>
      </c>
      <c r="AC3015" t="n">
        <v>4</v>
      </c>
      <c r="AD3015" t="n">
        <v>7</v>
      </c>
      <c r="AE3015" t="n">
        <v>7</v>
      </c>
      <c r="AF3015" t="n">
        <v>1</v>
      </c>
      <c r="AG3015" t="n">
        <v>1</v>
      </c>
      <c r="AH3015" t="n">
        <v>0</v>
      </c>
      <c r="AI3015" t="n">
        <v>0</v>
      </c>
      <c r="AJ3015" t="n">
        <v>4</v>
      </c>
      <c r="AK3015" t="n">
        <v>4</v>
      </c>
      <c r="AL3015" t="n">
        <v>3</v>
      </c>
      <c r="AM3015" t="n">
        <v>3</v>
      </c>
      <c r="AN3015" t="n">
        <v>0</v>
      </c>
      <c r="AO3015" t="n">
        <v>0</v>
      </c>
      <c r="AP3015" t="inlineStr">
        <is>
          <t>No</t>
        </is>
      </c>
      <c r="AQ3015" t="inlineStr">
        <is>
          <t>No</t>
        </is>
      </c>
      <c r="AS3015">
        <f>HYPERLINK("https://creighton-primo.hosted.exlibrisgroup.com/primo-explore/search?tab=default_tab&amp;search_scope=EVERYTHING&amp;vid=01CRU&amp;lang=en_US&amp;offset=0&amp;query=any,contains,991002000709702656","Catalog Record")</f>
        <v/>
      </c>
      <c r="AT3015">
        <f>HYPERLINK("http://www.worldcat.org/oclc/25411673","WorldCat Record")</f>
        <v/>
      </c>
      <c r="AU3015" t="inlineStr">
        <is>
          <t>889853573:eng</t>
        </is>
      </c>
      <c r="AV3015" t="inlineStr">
        <is>
          <t>25411673</t>
        </is>
      </c>
      <c r="AW3015" t="inlineStr">
        <is>
          <t>991002000709702656</t>
        </is>
      </c>
      <c r="AX3015" t="inlineStr">
        <is>
          <t>991002000709702656</t>
        </is>
      </c>
      <c r="AY3015" t="inlineStr">
        <is>
          <t>2256672560002656</t>
        </is>
      </c>
      <c r="AZ3015" t="inlineStr">
        <is>
          <t>BOOK</t>
        </is>
      </c>
      <c r="BB3015" t="inlineStr">
        <is>
          <t>9780914783619</t>
        </is>
      </c>
      <c r="BC3015" t="inlineStr">
        <is>
          <t>32285001319507</t>
        </is>
      </c>
      <c r="BD3015" t="inlineStr">
        <is>
          <t>893697232</t>
        </is>
      </c>
    </row>
    <row r="3016">
      <c r="A3016" t="inlineStr">
        <is>
          <t>No</t>
        </is>
      </c>
      <c r="B3016" t="inlineStr">
        <is>
          <t>HQ834 .D65 1991</t>
        </is>
      </c>
      <c r="C3016" t="inlineStr">
        <is>
          <t>0                      HQ 0834000D  65          1991</t>
        </is>
      </c>
      <c r="D3016" t="inlineStr">
        <is>
          <t>Communication, marital dispute, and divorce mediation / William A. Donohue.</t>
        </is>
      </c>
      <c r="F3016" t="inlineStr">
        <is>
          <t>No</t>
        </is>
      </c>
      <c r="G3016" t="inlineStr">
        <is>
          <t>1</t>
        </is>
      </c>
      <c r="H3016" t="inlineStr">
        <is>
          <t>No</t>
        </is>
      </c>
      <c r="I3016" t="inlineStr">
        <is>
          <t>No</t>
        </is>
      </c>
      <c r="J3016" t="inlineStr">
        <is>
          <t>0</t>
        </is>
      </c>
      <c r="K3016" t="inlineStr">
        <is>
          <t>Donohue, William A., 1947-</t>
        </is>
      </c>
      <c r="L3016" t="inlineStr">
        <is>
          <t>Hillsdale, N.J. : Lawrence Erlbaum Associates, 1991.</t>
        </is>
      </c>
      <c r="M3016" t="inlineStr">
        <is>
          <t>1991</t>
        </is>
      </c>
      <c r="O3016" t="inlineStr">
        <is>
          <t>eng</t>
        </is>
      </c>
      <c r="P3016" t="inlineStr">
        <is>
          <t>nju</t>
        </is>
      </c>
      <c r="Q3016" t="inlineStr">
        <is>
          <t>Communication textbook series. Organizational communication</t>
        </is>
      </c>
      <c r="R3016" t="inlineStr">
        <is>
          <t xml:space="preserve">HQ </t>
        </is>
      </c>
      <c r="S3016" t="n">
        <v>15</v>
      </c>
      <c r="T3016" t="n">
        <v>15</v>
      </c>
      <c r="U3016" t="inlineStr">
        <is>
          <t>2000-02-19</t>
        </is>
      </c>
      <c r="V3016" t="inlineStr">
        <is>
          <t>2000-02-19</t>
        </is>
      </c>
      <c r="W3016" t="inlineStr">
        <is>
          <t>1992-03-25</t>
        </is>
      </c>
      <c r="X3016" t="inlineStr">
        <is>
          <t>1992-03-25</t>
        </is>
      </c>
      <c r="Y3016" t="n">
        <v>255</v>
      </c>
      <c r="Z3016" t="n">
        <v>223</v>
      </c>
      <c r="AA3016" t="n">
        <v>230</v>
      </c>
      <c r="AB3016" t="n">
        <v>4</v>
      </c>
      <c r="AC3016" t="n">
        <v>4</v>
      </c>
      <c r="AD3016" t="n">
        <v>16</v>
      </c>
      <c r="AE3016" t="n">
        <v>16</v>
      </c>
      <c r="AF3016" t="n">
        <v>7</v>
      </c>
      <c r="AG3016" t="n">
        <v>7</v>
      </c>
      <c r="AH3016" t="n">
        <v>3</v>
      </c>
      <c r="AI3016" t="n">
        <v>3</v>
      </c>
      <c r="AJ3016" t="n">
        <v>8</v>
      </c>
      <c r="AK3016" t="n">
        <v>8</v>
      </c>
      <c r="AL3016" t="n">
        <v>3</v>
      </c>
      <c r="AM3016" t="n">
        <v>3</v>
      </c>
      <c r="AN3016" t="n">
        <v>0</v>
      </c>
      <c r="AO3016" t="n">
        <v>0</v>
      </c>
      <c r="AP3016" t="inlineStr">
        <is>
          <t>No</t>
        </is>
      </c>
      <c r="AQ3016" t="inlineStr">
        <is>
          <t>Yes</t>
        </is>
      </c>
      <c r="AR3016">
        <f>HYPERLINK("http://catalog.hathitrust.org/Record/002477308","HathiTrust Record")</f>
        <v/>
      </c>
      <c r="AS3016">
        <f>HYPERLINK("https://creighton-primo.hosted.exlibrisgroup.com/primo-explore/search?tab=default_tab&amp;search_scope=EVERYTHING&amp;vid=01CRU&amp;lang=en_US&amp;offset=0&amp;query=any,contains,991001862499702656","Catalog Record")</f>
        <v/>
      </c>
      <c r="AT3016">
        <f>HYPERLINK("http://www.worldcat.org/oclc/23386343","WorldCat Record")</f>
        <v/>
      </c>
      <c r="AU3016" t="inlineStr">
        <is>
          <t>25453677:eng</t>
        </is>
      </c>
      <c r="AV3016" t="inlineStr">
        <is>
          <t>23386343</t>
        </is>
      </c>
      <c r="AW3016" t="inlineStr">
        <is>
          <t>991001862499702656</t>
        </is>
      </c>
      <c r="AX3016" t="inlineStr">
        <is>
          <t>991001862499702656</t>
        </is>
      </c>
      <c r="AY3016" t="inlineStr">
        <is>
          <t>2264604170002656</t>
        </is>
      </c>
      <c r="AZ3016" t="inlineStr">
        <is>
          <t>BOOK</t>
        </is>
      </c>
      <c r="BB3016" t="inlineStr">
        <is>
          <t>9780805803884</t>
        </is>
      </c>
      <c r="BC3016" t="inlineStr">
        <is>
          <t>32285001006294</t>
        </is>
      </c>
      <c r="BD3016" t="inlineStr">
        <is>
          <t>893879248</t>
        </is>
      </c>
    </row>
    <row r="3017">
      <c r="A3017" t="inlineStr">
        <is>
          <t>No</t>
        </is>
      </c>
      <c r="B3017" t="inlineStr">
        <is>
          <t>HQ834 .D68 2006</t>
        </is>
      </c>
      <c r="C3017" t="inlineStr">
        <is>
          <t>0                      HQ 0834000D  68          2006</t>
        </is>
      </c>
      <c r="D3017" t="inlineStr">
        <is>
          <t>Mending broken families : social policies for divorced families : how effective are they? / Emily M. Douglas.</t>
        </is>
      </c>
      <c r="F3017" t="inlineStr">
        <is>
          <t>No</t>
        </is>
      </c>
      <c r="G3017" t="inlineStr">
        <is>
          <t>1</t>
        </is>
      </c>
      <c r="H3017" t="inlineStr">
        <is>
          <t>No</t>
        </is>
      </c>
      <c r="I3017" t="inlineStr">
        <is>
          <t>No</t>
        </is>
      </c>
      <c r="J3017" t="inlineStr">
        <is>
          <t>0</t>
        </is>
      </c>
      <c r="K3017" t="inlineStr">
        <is>
          <t>Douglas, Emily M., 1973-</t>
        </is>
      </c>
      <c r="L3017" t="inlineStr">
        <is>
          <t>Lanham : Rowman &amp; Littlefield Publishers, c2006.</t>
        </is>
      </c>
      <c r="M3017" t="inlineStr">
        <is>
          <t>2006</t>
        </is>
      </c>
      <c r="O3017" t="inlineStr">
        <is>
          <t>eng</t>
        </is>
      </c>
      <c r="P3017" t="inlineStr">
        <is>
          <t>mdu</t>
        </is>
      </c>
      <c r="R3017" t="inlineStr">
        <is>
          <t xml:space="preserve">HQ </t>
        </is>
      </c>
      <c r="S3017" t="n">
        <v>2</v>
      </c>
      <c r="T3017" t="n">
        <v>2</v>
      </c>
      <c r="U3017" t="inlineStr">
        <is>
          <t>2007-08-15</t>
        </is>
      </c>
      <c r="V3017" t="inlineStr">
        <is>
          <t>2007-08-15</t>
        </is>
      </c>
      <c r="W3017" t="inlineStr">
        <is>
          <t>2006-09-13</t>
        </is>
      </c>
      <c r="X3017" t="inlineStr">
        <is>
          <t>2006-09-13</t>
        </is>
      </c>
      <c r="Y3017" t="n">
        <v>303</v>
      </c>
      <c r="Z3017" t="n">
        <v>262</v>
      </c>
      <c r="AA3017" t="n">
        <v>264</v>
      </c>
      <c r="AB3017" t="n">
        <v>1</v>
      </c>
      <c r="AC3017" t="n">
        <v>1</v>
      </c>
      <c r="AD3017" t="n">
        <v>14</v>
      </c>
      <c r="AE3017" t="n">
        <v>14</v>
      </c>
      <c r="AF3017" t="n">
        <v>3</v>
      </c>
      <c r="AG3017" t="n">
        <v>3</v>
      </c>
      <c r="AH3017" t="n">
        <v>3</v>
      </c>
      <c r="AI3017" t="n">
        <v>3</v>
      </c>
      <c r="AJ3017" t="n">
        <v>7</v>
      </c>
      <c r="AK3017" t="n">
        <v>7</v>
      </c>
      <c r="AL3017" t="n">
        <v>0</v>
      </c>
      <c r="AM3017" t="n">
        <v>0</v>
      </c>
      <c r="AN3017" t="n">
        <v>4</v>
      </c>
      <c r="AO3017" t="n">
        <v>4</v>
      </c>
      <c r="AP3017" t="inlineStr">
        <is>
          <t>No</t>
        </is>
      </c>
      <c r="AQ3017" t="inlineStr">
        <is>
          <t>Yes</t>
        </is>
      </c>
      <c r="AR3017">
        <f>HYPERLINK("http://catalog.hathitrust.org/Record/005251566","HathiTrust Record")</f>
        <v/>
      </c>
      <c r="AS3017">
        <f>HYPERLINK("https://creighton-primo.hosted.exlibrisgroup.com/primo-explore/search?tab=default_tab&amp;search_scope=EVERYTHING&amp;vid=01CRU&amp;lang=en_US&amp;offset=0&amp;query=any,contains,991004906809702656","Catalog Record")</f>
        <v/>
      </c>
      <c r="AT3017">
        <f>HYPERLINK("http://www.worldcat.org/oclc/64230270","WorldCat Record")</f>
        <v/>
      </c>
      <c r="AU3017" t="inlineStr">
        <is>
          <t>48217094:eng</t>
        </is>
      </c>
      <c r="AV3017" t="inlineStr">
        <is>
          <t>64230270</t>
        </is>
      </c>
      <c r="AW3017" t="inlineStr">
        <is>
          <t>991004906809702656</t>
        </is>
      </c>
      <c r="AX3017" t="inlineStr">
        <is>
          <t>991004906809702656</t>
        </is>
      </c>
      <c r="AY3017" t="inlineStr">
        <is>
          <t>2260642920002656</t>
        </is>
      </c>
      <c r="AZ3017" t="inlineStr">
        <is>
          <t>BOOK</t>
        </is>
      </c>
      <c r="BB3017" t="inlineStr">
        <is>
          <t>9780742542761</t>
        </is>
      </c>
      <c r="BC3017" t="inlineStr">
        <is>
          <t>32285005222467</t>
        </is>
      </c>
      <c r="BD3017" t="inlineStr">
        <is>
          <t>893700807</t>
        </is>
      </c>
    </row>
    <row r="3018">
      <c r="A3018" t="inlineStr">
        <is>
          <t>No</t>
        </is>
      </c>
      <c r="B3018" t="inlineStr">
        <is>
          <t>HQ834 .F56 1991</t>
        </is>
      </c>
      <c r="C3018" t="inlineStr">
        <is>
          <t>0                      HQ 0834000F  56          1991</t>
        </is>
      </c>
      <c r="D3018" t="inlineStr">
        <is>
          <t>A grief out of season : when your parents divorce in your adult years / Noelle Fintushel and Nancy Hillard.</t>
        </is>
      </c>
      <c r="F3018" t="inlineStr">
        <is>
          <t>No</t>
        </is>
      </c>
      <c r="G3018" t="inlineStr">
        <is>
          <t>1</t>
        </is>
      </c>
      <c r="H3018" t="inlineStr">
        <is>
          <t>No</t>
        </is>
      </c>
      <c r="I3018" t="inlineStr">
        <is>
          <t>No</t>
        </is>
      </c>
      <c r="J3018" t="inlineStr">
        <is>
          <t>0</t>
        </is>
      </c>
      <c r="K3018" t="inlineStr">
        <is>
          <t>Oxenhandler, Noelle, 1952-</t>
        </is>
      </c>
      <c r="L3018" t="inlineStr">
        <is>
          <t>Boston : Little, Brown, 1991.</t>
        </is>
      </c>
      <c r="M3018" t="inlineStr">
        <is>
          <t>1991</t>
        </is>
      </c>
      <c r="N3018" t="inlineStr">
        <is>
          <t>1st ed.</t>
        </is>
      </c>
      <c r="O3018" t="inlineStr">
        <is>
          <t>eng</t>
        </is>
      </c>
      <c r="P3018" t="inlineStr">
        <is>
          <t>mau</t>
        </is>
      </c>
      <c r="R3018" t="inlineStr">
        <is>
          <t xml:space="preserve">HQ </t>
        </is>
      </c>
      <c r="S3018" t="n">
        <v>11</v>
      </c>
      <c r="T3018" t="n">
        <v>11</v>
      </c>
      <c r="U3018" t="inlineStr">
        <is>
          <t>2006-01-12</t>
        </is>
      </c>
      <c r="V3018" t="inlineStr">
        <is>
          <t>2006-01-12</t>
        </is>
      </c>
      <c r="W3018" t="inlineStr">
        <is>
          <t>1992-07-28</t>
        </is>
      </c>
      <c r="X3018" t="inlineStr">
        <is>
          <t>1992-07-28</t>
        </is>
      </c>
      <c r="Y3018" t="n">
        <v>315</v>
      </c>
      <c r="Z3018" t="n">
        <v>301</v>
      </c>
      <c r="AA3018" t="n">
        <v>306</v>
      </c>
      <c r="AB3018" t="n">
        <v>1</v>
      </c>
      <c r="AC3018" t="n">
        <v>1</v>
      </c>
      <c r="AD3018" t="n">
        <v>3</v>
      </c>
      <c r="AE3018" t="n">
        <v>3</v>
      </c>
      <c r="AF3018" t="n">
        <v>1</v>
      </c>
      <c r="AG3018" t="n">
        <v>1</v>
      </c>
      <c r="AH3018" t="n">
        <v>0</v>
      </c>
      <c r="AI3018" t="n">
        <v>0</v>
      </c>
      <c r="AJ3018" t="n">
        <v>3</v>
      </c>
      <c r="AK3018" t="n">
        <v>3</v>
      </c>
      <c r="AL3018" t="n">
        <v>0</v>
      </c>
      <c r="AM3018" t="n">
        <v>0</v>
      </c>
      <c r="AN3018" t="n">
        <v>0</v>
      </c>
      <c r="AO3018" t="n">
        <v>0</v>
      </c>
      <c r="AP3018" t="inlineStr">
        <is>
          <t>No</t>
        </is>
      </c>
      <c r="AQ3018" t="inlineStr">
        <is>
          <t>No</t>
        </is>
      </c>
      <c r="AS3018">
        <f>HYPERLINK("https://creighton-primo.hosted.exlibrisgroup.com/primo-explore/search?tab=default_tab&amp;search_scope=EVERYTHING&amp;vid=01CRU&amp;lang=en_US&amp;offset=0&amp;query=any,contains,991001810139702656","Catalog Record")</f>
        <v/>
      </c>
      <c r="AT3018">
        <f>HYPERLINK("http://www.worldcat.org/oclc/22733395","WorldCat Record")</f>
        <v/>
      </c>
      <c r="AU3018" t="inlineStr">
        <is>
          <t>476010152:eng</t>
        </is>
      </c>
      <c r="AV3018" t="inlineStr">
        <is>
          <t>22733395</t>
        </is>
      </c>
      <c r="AW3018" t="inlineStr">
        <is>
          <t>991001810139702656</t>
        </is>
      </c>
      <c r="AX3018" t="inlineStr">
        <is>
          <t>991001810139702656</t>
        </is>
      </c>
      <c r="AY3018" t="inlineStr">
        <is>
          <t>2267179780002656</t>
        </is>
      </c>
      <c r="AZ3018" t="inlineStr">
        <is>
          <t>BOOK</t>
        </is>
      </c>
      <c r="BB3018" t="inlineStr">
        <is>
          <t>9780316363518</t>
        </is>
      </c>
      <c r="BC3018" t="inlineStr">
        <is>
          <t>32285001195220</t>
        </is>
      </c>
      <c r="BD3018" t="inlineStr">
        <is>
          <t>893590665</t>
        </is>
      </c>
    </row>
    <row r="3019">
      <c r="A3019" t="inlineStr">
        <is>
          <t>No</t>
        </is>
      </c>
      <c r="B3019" t="inlineStr">
        <is>
          <t>HQ834 .G76 1975</t>
        </is>
      </c>
      <c r="C3019" t="inlineStr">
        <is>
          <t>0                      HQ 0834000G  76          1975</t>
        </is>
      </c>
      <c r="D3019" t="inlineStr">
        <is>
          <t>Talking about divorce : a dialogue between parent and child / Earl A. Grollman ; ill. by Alison Cann.</t>
        </is>
      </c>
      <c r="F3019" t="inlineStr">
        <is>
          <t>No</t>
        </is>
      </c>
      <c r="G3019" t="inlineStr">
        <is>
          <t>1</t>
        </is>
      </c>
      <c r="H3019" t="inlineStr">
        <is>
          <t>No</t>
        </is>
      </c>
      <c r="I3019" t="inlineStr">
        <is>
          <t>No</t>
        </is>
      </c>
      <c r="J3019" t="inlineStr">
        <is>
          <t>0</t>
        </is>
      </c>
      <c r="K3019" t="inlineStr">
        <is>
          <t>Grollman, Earl A.</t>
        </is>
      </c>
      <c r="L3019" t="inlineStr">
        <is>
          <t>Boston : Beacon Press, [1975]</t>
        </is>
      </c>
      <c r="M3019" t="inlineStr">
        <is>
          <t>1975</t>
        </is>
      </c>
      <c r="O3019" t="inlineStr">
        <is>
          <t>eng</t>
        </is>
      </c>
      <c r="P3019" t="inlineStr">
        <is>
          <t>mau</t>
        </is>
      </c>
      <c r="R3019" t="inlineStr">
        <is>
          <t xml:space="preserve">HQ </t>
        </is>
      </c>
      <c r="S3019" t="n">
        <v>17</v>
      </c>
      <c r="T3019" t="n">
        <v>17</v>
      </c>
      <c r="U3019" t="inlineStr">
        <is>
          <t>1999-03-28</t>
        </is>
      </c>
      <c r="V3019" t="inlineStr">
        <is>
          <t>1999-03-28</t>
        </is>
      </c>
      <c r="W3019" t="inlineStr">
        <is>
          <t>1990-02-20</t>
        </is>
      </c>
      <c r="X3019" t="inlineStr">
        <is>
          <t>1990-02-20</t>
        </is>
      </c>
      <c r="Y3019" t="n">
        <v>412</v>
      </c>
      <c r="Z3019" t="n">
        <v>392</v>
      </c>
      <c r="AA3019" t="n">
        <v>392</v>
      </c>
      <c r="AB3019" t="n">
        <v>5</v>
      </c>
      <c r="AC3019" t="n">
        <v>5</v>
      </c>
      <c r="AD3019" t="n">
        <v>8</v>
      </c>
      <c r="AE3019" t="n">
        <v>8</v>
      </c>
      <c r="AF3019" t="n">
        <v>3</v>
      </c>
      <c r="AG3019" t="n">
        <v>3</v>
      </c>
      <c r="AH3019" t="n">
        <v>1</v>
      </c>
      <c r="AI3019" t="n">
        <v>1</v>
      </c>
      <c r="AJ3019" t="n">
        <v>4</v>
      </c>
      <c r="AK3019" t="n">
        <v>4</v>
      </c>
      <c r="AL3019" t="n">
        <v>2</v>
      </c>
      <c r="AM3019" t="n">
        <v>2</v>
      </c>
      <c r="AN3019" t="n">
        <v>0</v>
      </c>
      <c r="AO3019" t="n">
        <v>0</v>
      </c>
      <c r="AP3019" t="inlineStr">
        <is>
          <t>No</t>
        </is>
      </c>
      <c r="AQ3019" t="inlineStr">
        <is>
          <t>No</t>
        </is>
      </c>
      <c r="AS3019">
        <f>HYPERLINK("https://creighton-primo.hosted.exlibrisgroup.com/primo-explore/search?tab=default_tab&amp;search_scope=EVERYTHING&amp;vid=01CRU&amp;lang=en_US&amp;offset=0&amp;query=any,contains,991003691529702656","Catalog Record")</f>
        <v/>
      </c>
      <c r="AT3019">
        <f>HYPERLINK("http://www.worldcat.org/oclc/1322768","WorldCat Record")</f>
        <v/>
      </c>
      <c r="AU3019" t="inlineStr">
        <is>
          <t>463356:eng</t>
        </is>
      </c>
      <c r="AV3019" t="inlineStr">
        <is>
          <t>1322768</t>
        </is>
      </c>
      <c r="AW3019" t="inlineStr">
        <is>
          <t>991003691529702656</t>
        </is>
      </c>
      <c r="AX3019" t="inlineStr">
        <is>
          <t>991003691529702656</t>
        </is>
      </c>
      <c r="AY3019" t="inlineStr">
        <is>
          <t>2254850090002656</t>
        </is>
      </c>
      <c r="AZ3019" t="inlineStr">
        <is>
          <t>BOOK</t>
        </is>
      </c>
      <c r="BB3019" t="inlineStr">
        <is>
          <t>9780807023747</t>
        </is>
      </c>
      <c r="BC3019" t="inlineStr">
        <is>
          <t>32285000044288</t>
        </is>
      </c>
      <c r="BD3019" t="inlineStr">
        <is>
          <t>893693038</t>
        </is>
      </c>
    </row>
    <row r="3020">
      <c r="A3020" t="inlineStr">
        <is>
          <t>No</t>
        </is>
      </c>
      <c r="B3020" t="inlineStr">
        <is>
          <t>HQ834 .H39 1981</t>
        </is>
      </c>
      <c r="C3020" t="inlineStr">
        <is>
          <t>0                      HQ 0834000H  39          1981</t>
        </is>
      </c>
      <c r="D3020" t="inlineStr">
        <is>
          <t>Divorce mediation : a practical guide for therapists and counselors / John M. Haynes.</t>
        </is>
      </c>
      <c r="F3020" t="inlineStr">
        <is>
          <t>No</t>
        </is>
      </c>
      <c r="G3020" t="inlineStr">
        <is>
          <t>1</t>
        </is>
      </c>
      <c r="H3020" t="inlineStr">
        <is>
          <t>No</t>
        </is>
      </c>
      <c r="I3020" t="inlineStr">
        <is>
          <t>No</t>
        </is>
      </c>
      <c r="J3020" t="inlineStr">
        <is>
          <t>0</t>
        </is>
      </c>
      <c r="K3020" t="inlineStr">
        <is>
          <t>Haynes, John M.</t>
        </is>
      </c>
      <c r="L3020" t="inlineStr">
        <is>
          <t>New York : Springer Pub. Co., c1981.</t>
        </is>
      </c>
      <c r="M3020" t="inlineStr">
        <is>
          <t>1981</t>
        </is>
      </c>
      <c r="O3020" t="inlineStr">
        <is>
          <t>eng</t>
        </is>
      </c>
      <c r="P3020" t="inlineStr">
        <is>
          <t>nyu</t>
        </is>
      </c>
      <c r="R3020" t="inlineStr">
        <is>
          <t xml:space="preserve">HQ </t>
        </is>
      </c>
      <c r="S3020" t="n">
        <v>3</v>
      </c>
      <c r="T3020" t="n">
        <v>3</v>
      </c>
      <c r="U3020" t="inlineStr">
        <is>
          <t>2000-12-15</t>
        </is>
      </c>
      <c r="V3020" t="inlineStr">
        <is>
          <t>2000-12-15</t>
        </is>
      </c>
      <c r="W3020" t="inlineStr">
        <is>
          <t>1990-04-26</t>
        </is>
      </c>
      <c r="X3020" t="inlineStr">
        <is>
          <t>1990-04-26</t>
        </is>
      </c>
      <c r="Y3020" t="n">
        <v>491</v>
      </c>
      <c r="Z3020" t="n">
        <v>428</v>
      </c>
      <c r="AA3020" t="n">
        <v>432</v>
      </c>
      <c r="AB3020" t="n">
        <v>4</v>
      </c>
      <c r="AC3020" t="n">
        <v>4</v>
      </c>
      <c r="AD3020" t="n">
        <v>15</v>
      </c>
      <c r="AE3020" t="n">
        <v>15</v>
      </c>
      <c r="AF3020" t="n">
        <v>5</v>
      </c>
      <c r="AG3020" t="n">
        <v>5</v>
      </c>
      <c r="AH3020" t="n">
        <v>1</v>
      </c>
      <c r="AI3020" t="n">
        <v>1</v>
      </c>
      <c r="AJ3020" t="n">
        <v>5</v>
      </c>
      <c r="AK3020" t="n">
        <v>5</v>
      </c>
      <c r="AL3020" t="n">
        <v>2</v>
      </c>
      <c r="AM3020" t="n">
        <v>2</v>
      </c>
      <c r="AN3020" t="n">
        <v>3</v>
      </c>
      <c r="AO3020" t="n">
        <v>3</v>
      </c>
      <c r="AP3020" t="inlineStr">
        <is>
          <t>No</t>
        </is>
      </c>
      <c r="AQ3020" t="inlineStr">
        <is>
          <t>Yes</t>
        </is>
      </c>
      <c r="AR3020">
        <f>HYPERLINK("http://catalog.hathitrust.org/Record/000188407","HathiTrust Record")</f>
        <v/>
      </c>
      <c r="AS3020">
        <f>HYPERLINK("https://creighton-primo.hosted.exlibrisgroup.com/primo-explore/search?tab=default_tab&amp;search_scope=EVERYTHING&amp;vid=01CRU&amp;lang=en_US&amp;offset=0&amp;query=any,contains,991005053119702656","Catalog Record")</f>
        <v/>
      </c>
      <c r="AT3020">
        <f>HYPERLINK("http://www.worldcat.org/oclc/6889039","WorldCat Record")</f>
        <v/>
      </c>
      <c r="AU3020" t="inlineStr">
        <is>
          <t>493072:eng</t>
        </is>
      </c>
      <c r="AV3020" t="inlineStr">
        <is>
          <t>6889039</t>
        </is>
      </c>
      <c r="AW3020" t="inlineStr">
        <is>
          <t>991005053119702656</t>
        </is>
      </c>
      <c r="AX3020" t="inlineStr">
        <is>
          <t>991005053119702656</t>
        </is>
      </c>
      <c r="AY3020" t="inlineStr">
        <is>
          <t>2269261050002656</t>
        </is>
      </c>
      <c r="AZ3020" t="inlineStr">
        <is>
          <t>BOOK</t>
        </is>
      </c>
      <c r="BB3020" t="inlineStr">
        <is>
          <t>9780826125903</t>
        </is>
      </c>
      <c r="BC3020" t="inlineStr">
        <is>
          <t>32285000126424</t>
        </is>
      </c>
      <c r="BD3020" t="inlineStr">
        <is>
          <t>893883260</t>
        </is>
      </c>
    </row>
    <row r="3021">
      <c r="A3021" t="inlineStr">
        <is>
          <t>No</t>
        </is>
      </c>
      <c r="B3021" t="inlineStr">
        <is>
          <t>HQ834 .H394 1989</t>
        </is>
      </c>
      <c r="C3021" t="inlineStr">
        <is>
          <t>0                      HQ 0834000H  394         1989</t>
        </is>
      </c>
      <c r="D3021" t="inlineStr">
        <is>
          <t>Mediating divorce : casebook of strategies for successful family negotiations / John M. Haynes, Gretchen L. Haynes.</t>
        </is>
      </c>
      <c r="F3021" t="inlineStr">
        <is>
          <t>No</t>
        </is>
      </c>
      <c r="G3021" t="inlineStr">
        <is>
          <t>1</t>
        </is>
      </c>
      <c r="H3021" t="inlineStr">
        <is>
          <t>No</t>
        </is>
      </c>
      <c r="I3021" t="inlineStr">
        <is>
          <t>No</t>
        </is>
      </c>
      <c r="J3021" t="inlineStr">
        <is>
          <t>0</t>
        </is>
      </c>
      <c r="K3021" t="inlineStr">
        <is>
          <t>Haynes, John M.</t>
        </is>
      </c>
      <c r="L3021" t="inlineStr">
        <is>
          <t>San Francisco : Jossey-Bass, 1989.</t>
        </is>
      </c>
      <c r="M3021" t="inlineStr">
        <is>
          <t>1989</t>
        </is>
      </c>
      <c r="N3021" t="inlineStr">
        <is>
          <t>1st ed.</t>
        </is>
      </c>
      <c r="O3021" t="inlineStr">
        <is>
          <t>eng</t>
        </is>
      </c>
      <c r="P3021" t="inlineStr">
        <is>
          <t>cau</t>
        </is>
      </c>
      <c r="Q3021" t="inlineStr">
        <is>
          <t>The Jossey-Bass social and behavioral science series</t>
        </is>
      </c>
      <c r="R3021" t="inlineStr">
        <is>
          <t xml:space="preserve">HQ </t>
        </is>
      </c>
      <c r="S3021" t="n">
        <v>3</v>
      </c>
      <c r="T3021" t="n">
        <v>3</v>
      </c>
      <c r="U3021" t="inlineStr">
        <is>
          <t>2000-12-15</t>
        </is>
      </c>
      <c r="V3021" t="inlineStr">
        <is>
          <t>2000-12-15</t>
        </is>
      </c>
      <c r="W3021" t="inlineStr">
        <is>
          <t>1990-04-02</t>
        </is>
      </c>
      <c r="X3021" t="inlineStr">
        <is>
          <t>1990-04-02</t>
        </is>
      </c>
      <c r="Y3021" t="n">
        <v>313</v>
      </c>
      <c r="Z3021" t="n">
        <v>255</v>
      </c>
      <c r="AA3021" t="n">
        <v>272</v>
      </c>
      <c r="AB3021" t="n">
        <v>2</v>
      </c>
      <c r="AC3021" t="n">
        <v>2</v>
      </c>
      <c r="AD3021" t="n">
        <v>9</v>
      </c>
      <c r="AE3021" t="n">
        <v>11</v>
      </c>
      <c r="AF3021" t="n">
        <v>2</v>
      </c>
      <c r="AG3021" t="n">
        <v>3</v>
      </c>
      <c r="AH3021" t="n">
        <v>0</v>
      </c>
      <c r="AI3021" t="n">
        <v>1</v>
      </c>
      <c r="AJ3021" t="n">
        <v>5</v>
      </c>
      <c r="AK3021" t="n">
        <v>5</v>
      </c>
      <c r="AL3021" t="n">
        <v>1</v>
      </c>
      <c r="AM3021" t="n">
        <v>1</v>
      </c>
      <c r="AN3021" t="n">
        <v>3</v>
      </c>
      <c r="AO3021" t="n">
        <v>3</v>
      </c>
      <c r="AP3021" t="inlineStr">
        <is>
          <t>No</t>
        </is>
      </c>
      <c r="AQ3021" t="inlineStr">
        <is>
          <t>Yes</t>
        </is>
      </c>
      <c r="AR3021">
        <f>HYPERLINK("http://catalog.hathitrust.org/Record/001820747","HathiTrust Record")</f>
        <v/>
      </c>
      <c r="AS3021">
        <f>HYPERLINK("https://creighton-primo.hosted.exlibrisgroup.com/primo-explore/search?tab=default_tab&amp;search_scope=EVERYTHING&amp;vid=01CRU&amp;lang=en_US&amp;offset=0&amp;query=any,contains,991001528899702656","Catalog Record")</f>
        <v/>
      </c>
      <c r="AT3021">
        <f>HYPERLINK("http://www.worldcat.org/oclc/20014803","WorldCat Record")</f>
        <v/>
      </c>
      <c r="AU3021" t="inlineStr">
        <is>
          <t>889828818:eng</t>
        </is>
      </c>
      <c r="AV3021" t="inlineStr">
        <is>
          <t>20014803</t>
        </is>
      </c>
      <c r="AW3021" t="inlineStr">
        <is>
          <t>991001528899702656</t>
        </is>
      </c>
      <c r="AX3021" t="inlineStr">
        <is>
          <t>991001528899702656</t>
        </is>
      </c>
      <c r="AY3021" t="inlineStr">
        <is>
          <t>2264109420002656</t>
        </is>
      </c>
      <c r="AZ3021" t="inlineStr">
        <is>
          <t>BOOK</t>
        </is>
      </c>
      <c r="BB3021" t="inlineStr">
        <is>
          <t>9781555421816</t>
        </is>
      </c>
      <c r="BC3021" t="inlineStr">
        <is>
          <t>32285000092600</t>
        </is>
      </c>
      <c r="BD3021" t="inlineStr">
        <is>
          <t>893315833</t>
        </is>
      </c>
    </row>
    <row r="3022">
      <c r="A3022" t="inlineStr">
        <is>
          <t>No</t>
        </is>
      </c>
      <c r="B3022" t="inlineStr">
        <is>
          <t>HQ834 .J45 1988</t>
        </is>
      </c>
      <c r="C3022" t="inlineStr">
        <is>
          <t>0                      HQ 0834000J  45          1988</t>
        </is>
      </c>
      <c r="D3022" t="inlineStr">
        <is>
          <t>Impasses of divorce : the dynamics and resolution of family conflict / Janet R. Johnston and Linda E.G. Campbell ; with foreword by Judith S. Wallerstein.</t>
        </is>
      </c>
      <c r="F3022" t="inlineStr">
        <is>
          <t>No</t>
        </is>
      </c>
      <c r="G3022" t="inlineStr">
        <is>
          <t>1</t>
        </is>
      </c>
      <c r="H3022" t="inlineStr">
        <is>
          <t>No</t>
        </is>
      </c>
      <c r="I3022" t="inlineStr">
        <is>
          <t>No</t>
        </is>
      </c>
      <c r="J3022" t="inlineStr">
        <is>
          <t>0</t>
        </is>
      </c>
      <c r="K3022" t="inlineStr">
        <is>
          <t>Johnston, Janet R.</t>
        </is>
      </c>
      <c r="L3022" t="inlineStr">
        <is>
          <t>New York : Free Press, c1988.</t>
        </is>
      </c>
      <c r="M3022" t="inlineStr">
        <is>
          <t>1988</t>
        </is>
      </c>
      <c r="O3022" t="inlineStr">
        <is>
          <t>eng</t>
        </is>
      </c>
      <c r="P3022" t="inlineStr">
        <is>
          <t>nyu</t>
        </is>
      </c>
      <c r="R3022" t="inlineStr">
        <is>
          <t xml:space="preserve">HQ </t>
        </is>
      </c>
      <c r="S3022" t="n">
        <v>23</v>
      </c>
      <c r="T3022" t="n">
        <v>23</v>
      </c>
      <c r="U3022" t="inlineStr">
        <is>
          <t>1998-06-28</t>
        </is>
      </c>
      <c r="V3022" t="inlineStr">
        <is>
          <t>1998-06-28</t>
        </is>
      </c>
      <c r="W3022" t="inlineStr">
        <is>
          <t>1990-03-27</t>
        </is>
      </c>
      <c r="X3022" t="inlineStr">
        <is>
          <t>1990-03-27</t>
        </is>
      </c>
      <c r="Y3022" t="n">
        <v>636</v>
      </c>
      <c r="Z3022" t="n">
        <v>553</v>
      </c>
      <c r="AA3022" t="n">
        <v>573</v>
      </c>
      <c r="AB3022" t="n">
        <v>4</v>
      </c>
      <c r="AC3022" t="n">
        <v>4</v>
      </c>
      <c r="AD3022" t="n">
        <v>24</v>
      </c>
      <c r="AE3022" t="n">
        <v>24</v>
      </c>
      <c r="AF3022" t="n">
        <v>9</v>
      </c>
      <c r="AG3022" t="n">
        <v>9</v>
      </c>
      <c r="AH3022" t="n">
        <v>6</v>
      </c>
      <c r="AI3022" t="n">
        <v>6</v>
      </c>
      <c r="AJ3022" t="n">
        <v>11</v>
      </c>
      <c r="AK3022" t="n">
        <v>11</v>
      </c>
      <c r="AL3022" t="n">
        <v>3</v>
      </c>
      <c r="AM3022" t="n">
        <v>3</v>
      </c>
      <c r="AN3022" t="n">
        <v>3</v>
      </c>
      <c r="AO3022" t="n">
        <v>3</v>
      </c>
      <c r="AP3022" t="inlineStr">
        <is>
          <t>No</t>
        </is>
      </c>
      <c r="AQ3022" t="inlineStr">
        <is>
          <t>Yes</t>
        </is>
      </c>
      <c r="AR3022">
        <f>HYPERLINK("http://catalog.hathitrust.org/Record/000930849","HathiTrust Record")</f>
        <v/>
      </c>
      <c r="AS3022">
        <f>HYPERLINK("https://creighton-primo.hosted.exlibrisgroup.com/primo-explore/search?tab=default_tab&amp;search_scope=EVERYTHING&amp;vid=01CRU&amp;lang=en_US&amp;offset=0&amp;query=any,contains,991001280369702656","Catalog Record")</f>
        <v/>
      </c>
      <c r="AT3022">
        <f>HYPERLINK("http://www.worldcat.org/oclc/17917035","WorldCat Record")</f>
        <v/>
      </c>
      <c r="AU3022" t="inlineStr">
        <is>
          <t>6092268:eng</t>
        </is>
      </c>
      <c r="AV3022" t="inlineStr">
        <is>
          <t>17917035</t>
        </is>
      </c>
      <c r="AW3022" t="inlineStr">
        <is>
          <t>991001280369702656</t>
        </is>
      </c>
      <c r="AX3022" t="inlineStr">
        <is>
          <t>991001280369702656</t>
        </is>
      </c>
      <c r="AY3022" t="inlineStr">
        <is>
          <t>2270109010002656</t>
        </is>
      </c>
      <c r="AZ3022" t="inlineStr">
        <is>
          <t>BOOK</t>
        </is>
      </c>
      <c r="BB3022" t="inlineStr">
        <is>
          <t>9780029166215</t>
        </is>
      </c>
      <c r="BC3022" t="inlineStr">
        <is>
          <t>32285000097591</t>
        </is>
      </c>
      <c r="BD3022" t="inlineStr">
        <is>
          <t>893696634</t>
        </is>
      </c>
    </row>
    <row r="3023">
      <c r="A3023" t="inlineStr">
        <is>
          <t>No</t>
        </is>
      </c>
      <c r="B3023" t="inlineStr">
        <is>
          <t>HQ834 .K47</t>
        </is>
      </c>
      <c r="C3023" t="inlineStr">
        <is>
          <t>0                      HQ 0834000K  47</t>
        </is>
      </c>
      <c r="D3023" t="inlineStr">
        <is>
          <t>The American way of divorce : prescriptions for change / Sheila Kessler.</t>
        </is>
      </c>
      <c r="F3023" t="inlineStr">
        <is>
          <t>No</t>
        </is>
      </c>
      <c r="G3023" t="inlineStr">
        <is>
          <t>1</t>
        </is>
      </c>
      <c r="H3023" t="inlineStr">
        <is>
          <t>No</t>
        </is>
      </c>
      <c r="I3023" t="inlineStr">
        <is>
          <t>No</t>
        </is>
      </c>
      <c r="J3023" t="inlineStr">
        <is>
          <t>0</t>
        </is>
      </c>
      <c r="K3023" t="inlineStr">
        <is>
          <t>Kessler, Sheila.</t>
        </is>
      </c>
      <c r="L3023" t="inlineStr">
        <is>
          <t>Chicago : Nelson-Hall, [1975]</t>
        </is>
      </c>
      <c r="M3023" t="inlineStr">
        <is>
          <t>1975</t>
        </is>
      </c>
      <c r="O3023" t="inlineStr">
        <is>
          <t>eng</t>
        </is>
      </c>
      <c r="P3023" t="inlineStr">
        <is>
          <t>ilu</t>
        </is>
      </c>
      <c r="R3023" t="inlineStr">
        <is>
          <t xml:space="preserve">HQ </t>
        </is>
      </c>
      <c r="S3023" t="n">
        <v>8</v>
      </c>
      <c r="T3023" t="n">
        <v>8</v>
      </c>
      <c r="U3023" t="inlineStr">
        <is>
          <t>2004-01-27</t>
        </is>
      </c>
      <c r="V3023" t="inlineStr">
        <is>
          <t>2004-01-27</t>
        </is>
      </c>
      <c r="W3023" t="inlineStr">
        <is>
          <t>1991-12-12</t>
        </is>
      </c>
      <c r="X3023" t="inlineStr">
        <is>
          <t>1991-12-12</t>
        </is>
      </c>
      <c r="Y3023" t="n">
        <v>393</v>
      </c>
      <c r="Z3023" t="n">
        <v>358</v>
      </c>
      <c r="AA3023" t="n">
        <v>360</v>
      </c>
      <c r="AB3023" t="n">
        <v>3</v>
      </c>
      <c r="AC3023" t="n">
        <v>3</v>
      </c>
      <c r="AD3023" t="n">
        <v>15</v>
      </c>
      <c r="AE3023" t="n">
        <v>15</v>
      </c>
      <c r="AF3023" t="n">
        <v>1</v>
      </c>
      <c r="AG3023" t="n">
        <v>1</v>
      </c>
      <c r="AH3023" t="n">
        <v>2</v>
      </c>
      <c r="AI3023" t="n">
        <v>2</v>
      </c>
      <c r="AJ3023" t="n">
        <v>2</v>
      </c>
      <c r="AK3023" t="n">
        <v>2</v>
      </c>
      <c r="AL3023" t="n">
        <v>2</v>
      </c>
      <c r="AM3023" t="n">
        <v>2</v>
      </c>
      <c r="AN3023" t="n">
        <v>9</v>
      </c>
      <c r="AO3023" t="n">
        <v>9</v>
      </c>
      <c r="AP3023" t="inlineStr">
        <is>
          <t>No</t>
        </is>
      </c>
      <c r="AQ3023" t="inlineStr">
        <is>
          <t>Yes</t>
        </is>
      </c>
      <c r="AR3023">
        <f>HYPERLINK("http://catalog.hathitrust.org/Record/000032714","HathiTrust Record")</f>
        <v/>
      </c>
      <c r="AS3023">
        <f>HYPERLINK("https://creighton-primo.hosted.exlibrisgroup.com/primo-explore/search?tab=default_tab&amp;search_scope=EVERYTHING&amp;vid=01CRU&amp;lang=en_US&amp;offset=0&amp;query=any,contains,991003538459702656","Catalog Record")</f>
        <v/>
      </c>
      <c r="AT3023">
        <f>HYPERLINK("http://www.worldcat.org/oclc/1103317","WorldCat Record")</f>
        <v/>
      </c>
      <c r="AU3023" t="inlineStr">
        <is>
          <t>902150088:eng</t>
        </is>
      </c>
      <c r="AV3023" t="inlineStr">
        <is>
          <t>1103317</t>
        </is>
      </c>
      <c r="AW3023" t="inlineStr">
        <is>
          <t>991003538459702656</t>
        </is>
      </c>
      <c r="AX3023" t="inlineStr">
        <is>
          <t>991003538459702656</t>
        </is>
      </c>
      <c r="AY3023" t="inlineStr">
        <is>
          <t>2267260410002656</t>
        </is>
      </c>
      <c r="AZ3023" t="inlineStr">
        <is>
          <t>BOOK</t>
        </is>
      </c>
      <c r="BB3023" t="inlineStr">
        <is>
          <t>9780882292342</t>
        </is>
      </c>
      <c r="BC3023" t="inlineStr">
        <is>
          <t>32285000887314</t>
        </is>
      </c>
      <c r="BD3023" t="inlineStr">
        <is>
          <t>893793705</t>
        </is>
      </c>
    </row>
    <row r="3024">
      <c r="A3024" t="inlineStr">
        <is>
          <t>No</t>
        </is>
      </c>
      <c r="B3024" t="inlineStr">
        <is>
          <t>HQ834 .K57 1992</t>
        </is>
      </c>
      <c r="C3024" t="inlineStr">
        <is>
          <t>0                      HQ 0834000K  57          1992</t>
        </is>
      </c>
      <c r="D3024" t="inlineStr">
        <is>
          <t>Portrait of divorce : adjustment to marital breakdown / Gay C. Kitson with William M. Holmes.</t>
        </is>
      </c>
      <c r="F3024" t="inlineStr">
        <is>
          <t>No</t>
        </is>
      </c>
      <c r="G3024" t="inlineStr">
        <is>
          <t>1</t>
        </is>
      </c>
      <c r="H3024" t="inlineStr">
        <is>
          <t>No</t>
        </is>
      </c>
      <c r="I3024" t="inlineStr">
        <is>
          <t>No</t>
        </is>
      </c>
      <c r="J3024" t="inlineStr">
        <is>
          <t>0</t>
        </is>
      </c>
      <c r="K3024" t="inlineStr">
        <is>
          <t>Kitson, Gay C.</t>
        </is>
      </c>
      <c r="L3024" t="inlineStr">
        <is>
          <t>New York : Guilford Press, c1992.</t>
        </is>
      </c>
      <c r="M3024" t="inlineStr">
        <is>
          <t>1992</t>
        </is>
      </c>
      <c r="O3024" t="inlineStr">
        <is>
          <t>eng</t>
        </is>
      </c>
      <c r="P3024" t="inlineStr">
        <is>
          <t>nyu</t>
        </is>
      </c>
      <c r="Q3024" t="inlineStr">
        <is>
          <t>Perspectives on marriage and the family</t>
        </is>
      </c>
      <c r="R3024" t="inlineStr">
        <is>
          <t xml:space="preserve">HQ </t>
        </is>
      </c>
      <c r="S3024" t="n">
        <v>9</v>
      </c>
      <c r="T3024" t="n">
        <v>9</v>
      </c>
      <c r="U3024" t="inlineStr">
        <is>
          <t>2003-10-29</t>
        </is>
      </c>
      <c r="V3024" t="inlineStr">
        <is>
          <t>2003-10-29</t>
        </is>
      </c>
      <c r="W3024" t="inlineStr">
        <is>
          <t>1994-12-22</t>
        </is>
      </c>
      <c r="X3024" t="inlineStr">
        <is>
          <t>1994-12-22</t>
        </is>
      </c>
      <c r="Y3024" t="n">
        <v>351</v>
      </c>
      <c r="Z3024" t="n">
        <v>282</v>
      </c>
      <c r="AA3024" t="n">
        <v>283</v>
      </c>
      <c r="AB3024" t="n">
        <v>5</v>
      </c>
      <c r="AC3024" t="n">
        <v>5</v>
      </c>
      <c r="AD3024" t="n">
        <v>17</v>
      </c>
      <c r="AE3024" t="n">
        <v>17</v>
      </c>
      <c r="AF3024" t="n">
        <v>5</v>
      </c>
      <c r="AG3024" t="n">
        <v>5</v>
      </c>
      <c r="AH3024" t="n">
        <v>1</v>
      </c>
      <c r="AI3024" t="n">
        <v>1</v>
      </c>
      <c r="AJ3024" t="n">
        <v>11</v>
      </c>
      <c r="AK3024" t="n">
        <v>11</v>
      </c>
      <c r="AL3024" t="n">
        <v>4</v>
      </c>
      <c r="AM3024" t="n">
        <v>4</v>
      </c>
      <c r="AN3024" t="n">
        <v>1</v>
      </c>
      <c r="AO3024" t="n">
        <v>1</v>
      </c>
      <c r="AP3024" t="inlineStr">
        <is>
          <t>No</t>
        </is>
      </c>
      <c r="AQ3024" t="inlineStr">
        <is>
          <t>No</t>
        </is>
      </c>
      <c r="AS3024">
        <f>HYPERLINK("https://creighton-primo.hosted.exlibrisgroup.com/primo-explore/search?tab=default_tab&amp;search_scope=EVERYTHING&amp;vid=01CRU&amp;lang=en_US&amp;offset=0&amp;query=any,contains,991001980689702656","Catalog Record")</f>
        <v/>
      </c>
      <c r="AT3024">
        <f>HYPERLINK("http://www.worldcat.org/oclc/25131262","WorldCat Record")</f>
        <v/>
      </c>
      <c r="AU3024" t="inlineStr">
        <is>
          <t>43738757:eng</t>
        </is>
      </c>
      <c r="AV3024" t="inlineStr">
        <is>
          <t>25131262</t>
        </is>
      </c>
      <c r="AW3024" t="inlineStr">
        <is>
          <t>991001980689702656</t>
        </is>
      </c>
      <c r="AX3024" t="inlineStr">
        <is>
          <t>991001980689702656</t>
        </is>
      </c>
      <c r="AY3024" t="inlineStr">
        <is>
          <t>2271329980002656</t>
        </is>
      </c>
      <c r="AZ3024" t="inlineStr">
        <is>
          <t>BOOK</t>
        </is>
      </c>
      <c r="BB3024" t="inlineStr">
        <is>
          <t>9780898620818</t>
        </is>
      </c>
      <c r="BC3024" t="inlineStr">
        <is>
          <t>32285001979102</t>
        </is>
      </c>
      <c r="BD3024" t="inlineStr">
        <is>
          <t>893691084</t>
        </is>
      </c>
    </row>
    <row r="3025">
      <c r="A3025" t="inlineStr">
        <is>
          <t>No</t>
        </is>
      </c>
      <c r="B3025" t="inlineStr">
        <is>
          <t>HQ834 .M34</t>
        </is>
      </c>
      <c r="C3025" t="inlineStr">
        <is>
          <t>0                      HQ 0834000M  34</t>
        </is>
      </c>
      <c r="D3025" t="inlineStr">
        <is>
          <t>Divorce : a selected annotated bibliography / by Mary McKenney.</t>
        </is>
      </c>
      <c r="F3025" t="inlineStr">
        <is>
          <t>No</t>
        </is>
      </c>
      <c r="G3025" t="inlineStr">
        <is>
          <t>1</t>
        </is>
      </c>
      <c r="H3025" t="inlineStr">
        <is>
          <t>No</t>
        </is>
      </c>
      <c r="I3025" t="inlineStr">
        <is>
          <t>No</t>
        </is>
      </c>
      <c r="J3025" t="inlineStr">
        <is>
          <t>0</t>
        </is>
      </c>
      <c r="K3025" t="inlineStr">
        <is>
          <t>McKenney, Mary, 1946-</t>
        </is>
      </c>
      <c r="L3025" t="inlineStr">
        <is>
          <t>Metuchen, N.J. : Scarecrow Press, 1975.</t>
        </is>
      </c>
      <c r="M3025" t="inlineStr">
        <is>
          <t>1975</t>
        </is>
      </c>
      <c r="O3025" t="inlineStr">
        <is>
          <t>eng</t>
        </is>
      </c>
      <c r="P3025" t="inlineStr">
        <is>
          <t>nju</t>
        </is>
      </c>
      <c r="R3025" t="inlineStr">
        <is>
          <t xml:space="preserve">HQ </t>
        </is>
      </c>
      <c r="S3025" t="n">
        <v>4</v>
      </c>
      <c r="T3025" t="n">
        <v>4</v>
      </c>
      <c r="U3025" t="inlineStr">
        <is>
          <t>2000-11-12</t>
        </is>
      </c>
      <c r="V3025" t="inlineStr">
        <is>
          <t>2000-11-12</t>
        </is>
      </c>
      <c r="W3025" t="inlineStr">
        <is>
          <t>1991-04-19</t>
        </is>
      </c>
      <c r="X3025" t="inlineStr">
        <is>
          <t>1991-04-19</t>
        </is>
      </c>
      <c r="Y3025" t="n">
        <v>426</v>
      </c>
      <c r="Z3025" t="n">
        <v>366</v>
      </c>
      <c r="AA3025" t="n">
        <v>373</v>
      </c>
      <c r="AB3025" t="n">
        <v>2</v>
      </c>
      <c r="AC3025" t="n">
        <v>2</v>
      </c>
      <c r="AD3025" t="n">
        <v>12</v>
      </c>
      <c r="AE3025" t="n">
        <v>12</v>
      </c>
      <c r="AF3025" t="n">
        <v>4</v>
      </c>
      <c r="AG3025" t="n">
        <v>4</v>
      </c>
      <c r="AH3025" t="n">
        <v>2</v>
      </c>
      <c r="AI3025" t="n">
        <v>2</v>
      </c>
      <c r="AJ3025" t="n">
        <v>5</v>
      </c>
      <c r="AK3025" t="n">
        <v>5</v>
      </c>
      <c r="AL3025" t="n">
        <v>1</v>
      </c>
      <c r="AM3025" t="n">
        <v>1</v>
      </c>
      <c r="AN3025" t="n">
        <v>3</v>
      </c>
      <c r="AO3025" t="n">
        <v>3</v>
      </c>
      <c r="AP3025" t="inlineStr">
        <is>
          <t>No</t>
        </is>
      </c>
      <c r="AQ3025" t="inlineStr">
        <is>
          <t>Yes</t>
        </is>
      </c>
      <c r="AR3025">
        <f>HYPERLINK("http://catalog.hathitrust.org/Record/000706911","HathiTrust Record")</f>
        <v/>
      </c>
      <c r="AS3025">
        <f>HYPERLINK("https://creighton-primo.hosted.exlibrisgroup.com/primo-explore/search?tab=default_tab&amp;search_scope=EVERYTHING&amp;vid=01CRU&amp;lang=en_US&amp;offset=0&amp;query=any,contains,991003523929702656","Catalog Record")</f>
        <v/>
      </c>
      <c r="AT3025">
        <f>HYPERLINK("http://www.worldcat.org/oclc/1085844","WorldCat Record")</f>
        <v/>
      </c>
      <c r="AU3025" t="inlineStr">
        <is>
          <t>2052403:eng</t>
        </is>
      </c>
      <c r="AV3025" t="inlineStr">
        <is>
          <t>1085844</t>
        </is>
      </c>
      <c r="AW3025" t="inlineStr">
        <is>
          <t>991003523929702656</t>
        </is>
      </c>
      <c r="AX3025" t="inlineStr">
        <is>
          <t>991003523929702656</t>
        </is>
      </c>
      <c r="AY3025" t="inlineStr">
        <is>
          <t>2269518580002656</t>
        </is>
      </c>
      <c r="AZ3025" t="inlineStr">
        <is>
          <t>BOOK</t>
        </is>
      </c>
      <c r="BB3025" t="inlineStr">
        <is>
          <t>9780810807778</t>
        </is>
      </c>
      <c r="BC3025" t="inlineStr">
        <is>
          <t>32285000583491</t>
        </is>
      </c>
      <c r="BD3025" t="inlineStr">
        <is>
          <t>893342654</t>
        </is>
      </c>
    </row>
    <row r="3026">
      <c r="A3026" t="inlineStr">
        <is>
          <t>No</t>
        </is>
      </c>
      <c r="B3026" t="inlineStr">
        <is>
          <t>HQ834 .M45 1997</t>
        </is>
      </c>
      <c r="C3026" t="inlineStr">
        <is>
          <t>0                      HQ 0834000M  45          1997</t>
        </is>
      </c>
      <c r="D3026" t="inlineStr">
        <is>
          <t>Men on divorce : the other side of the story / edited by Penny Kaganoff and Susan Spano.</t>
        </is>
      </c>
      <c r="F3026" t="inlineStr">
        <is>
          <t>No</t>
        </is>
      </c>
      <c r="G3026" t="inlineStr">
        <is>
          <t>1</t>
        </is>
      </c>
      <c r="H3026" t="inlineStr">
        <is>
          <t>No</t>
        </is>
      </c>
      <c r="I3026" t="inlineStr">
        <is>
          <t>No</t>
        </is>
      </c>
      <c r="J3026" t="inlineStr">
        <is>
          <t>0</t>
        </is>
      </c>
      <c r="L3026" t="inlineStr">
        <is>
          <t>New York : Harcourt Brace &amp; Co., c1997.</t>
        </is>
      </c>
      <c r="M3026" t="inlineStr">
        <is>
          <t>1997</t>
        </is>
      </c>
      <c r="N3026" t="inlineStr">
        <is>
          <t>1st ed.</t>
        </is>
      </c>
      <c r="O3026" t="inlineStr">
        <is>
          <t>eng</t>
        </is>
      </c>
      <c r="P3026" t="inlineStr">
        <is>
          <t>nyu</t>
        </is>
      </c>
      <c r="R3026" t="inlineStr">
        <is>
          <t xml:space="preserve">HQ </t>
        </is>
      </c>
      <c r="S3026" t="n">
        <v>8</v>
      </c>
      <c r="T3026" t="n">
        <v>8</v>
      </c>
      <c r="U3026" t="inlineStr">
        <is>
          <t>2009-11-02</t>
        </is>
      </c>
      <c r="V3026" t="inlineStr">
        <is>
          <t>2009-11-02</t>
        </is>
      </c>
      <c r="W3026" t="inlineStr">
        <is>
          <t>1997-04-01</t>
        </is>
      </c>
      <c r="X3026" t="inlineStr">
        <is>
          <t>1997-04-01</t>
        </is>
      </c>
      <c r="Y3026" t="n">
        <v>520</v>
      </c>
      <c r="Z3026" t="n">
        <v>473</v>
      </c>
      <c r="AA3026" t="n">
        <v>490</v>
      </c>
      <c r="AB3026" t="n">
        <v>4</v>
      </c>
      <c r="AC3026" t="n">
        <v>4</v>
      </c>
      <c r="AD3026" t="n">
        <v>13</v>
      </c>
      <c r="AE3026" t="n">
        <v>13</v>
      </c>
      <c r="AF3026" t="n">
        <v>3</v>
      </c>
      <c r="AG3026" t="n">
        <v>3</v>
      </c>
      <c r="AH3026" t="n">
        <v>4</v>
      </c>
      <c r="AI3026" t="n">
        <v>4</v>
      </c>
      <c r="AJ3026" t="n">
        <v>8</v>
      </c>
      <c r="AK3026" t="n">
        <v>8</v>
      </c>
      <c r="AL3026" t="n">
        <v>2</v>
      </c>
      <c r="AM3026" t="n">
        <v>2</v>
      </c>
      <c r="AN3026" t="n">
        <v>0</v>
      </c>
      <c r="AO3026" t="n">
        <v>0</v>
      </c>
      <c r="AP3026" t="inlineStr">
        <is>
          <t>No</t>
        </is>
      </c>
      <c r="AQ3026" t="inlineStr">
        <is>
          <t>Yes</t>
        </is>
      </c>
      <c r="AR3026">
        <f>HYPERLINK("http://catalog.hathitrust.org/Record/003132162","HathiTrust Record")</f>
        <v/>
      </c>
      <c r="AS3026">
        <f>HYPERLINK("https://creighton-primo.hosted.exlibrisgroup.com/primo-explore/search?tab=default_tab&amp;search_scope=EVERYTHING&amp;vid=01CRU&amp;lang=en_US&amp;offset=0&amp;query=any,contains,991002740079702656","Catalog Record")</f>
        <v/>
      </c>
      <c r="AT3026">
        <f>HYPERLINK("http://www.worldcat.org/oclc/35986407","WorldCat Record")</f>
        <v/>
      </c>
      <c r="AU3026" t="inlineStr">
        <is>
          <t>341671542:eng</t>
        </is>
      </c>
      <c r="AV3026" t="inlineStr">
        <is>
          <t>35986407</t>
        </is>
      </c>
      <c r="AW3026" t="inlineStr">
        <is>
          <t>991002740079702656</t>
        </is>
      </c>
      <c r="AX3026" t="inlineStr">
        <is>
          <t>991002740079702656</t>
        </is>
      </c>
      <c r="AY3026" t="inlineStr">
        <is>
          <t>2268992510002656</t>
        </is>
      </c>
      <c r="AZ3026" t="inlineStr">
        <is>
          <t>BOOK</t>
        </is>
      </c>
      <c r="BB3026" t="inlineStr">
        <is>
          <t>9780151001156</t>
        </is>
      </c>
      <c r="BC3026" t="inlineStr">
        <is>
          <t>32285002477346</t>
        </is>
      </c>
      <c r="BD3026" t="inlineStr">
        <is>
          <t>893786473</t>
        </is>
      </c>
    </row>
    <row r="3027">
      <c r="A3027" t="inlineStr">
        <is>
          <t>No</t>
        </is>
      </c>
      <c r="B3027" t="inlineStr">
        <is>
          <t>HQ834 .M56 1988</t>
        </is>
      </c>
      <c r="C3027" t="inlineStr">
        <is>
          <t>0                      HQ 0834000M  56          1988</t>
        </is>
      </c>
      <c r="D3027" t="inlineStr">
        <is>
          <t>Minority and ethnic issues in the divorce process / Craig A. Everett, editor.</t>
        </is>
      </c>
      <c r="F3027" t="inlineStr">
        <is>
          <t>No</t>
        </is>
      </c>
      <c r="G3027" t="inlineStr">
        <is>
          <t>1</t>
        </is>
      </c>
      <c r="H3027" t="inlineStr">
        <is>
          <t>No</t>
        </is>
      </c>
      <c r="I3027" t="inlineStr">
        <is>
          <t>No</t>
        </is>
      </c>
      <c r="J3027" t="inlineStr">
        <is>
          <t>0</t>
        </is>
      </c>
      <c r="L3027" t="inlineStr">
        <is>
          <t>New York : Haworth Press, c1988.</t>
        </is>
      </c>
      <c r="M3027" t="inlineStr">
        <is>
          <t>1988</t>
        </is>
      </c>
      <c r="O3027" t="inlineStr">
        <is>
          <t>eng</t>
        </is>
      </c>
      <c r="P3027" t="inlineStr">
        <is>
          <t>nyu</t>
        </is>
      </c>
      <c r="R3027" t="inlineStr">
        <is>
          <t xml:space="preserve">HQ </t>
        </is>
      </c>
      <c r="S3027" t="n">
        <v>4</v>
      </c>
      <c r="T3027" t="n">
        <v>4</v>
      </c>
      <c r="U3027" t="inlineStr">
        <is>
          <t>1994-03-16</t>
        </is>
      </c>
      <c r="V3027" t="inlineStr">
        <is>
          <t>1994-03-16</t>
        </is>
      </c>
      <c r="W3027" t="inlineStr">
        <is>
          <t>1990-06-18</t>
        </is>
      </c>
      <c r="X3027" t="inlineStr">
        <is>
          <t>1990-06-18</t>
        </is>
      </c>
      <c r="Y3027" t="n">
        <v>78</v>
      </c>
      <c r="Z3027" t="n">
        <v>64</v>
      </c>
      <c r="AA3027" t="n">
        <v>69</v>
      </c>
      <c r="AB3027" t="n">
        <v>1</v>
      </c>
      <c r="AC3027" t="n">
        <v>1</v>
      </c>
      <c r="AD3027" t="n">
        <v>1</v>
      </c>
      <c r="AE3027" t="n">
        <v>1</v>
      </c>
      <c r="AF3027" t="n">
        <v>0</v>
      </c>
      <c r="AG3027" t="n">
        <v>0</v>
      </c>
      <c r="AH3027" t="n">
        <v>0</v>
      </c>
      <c r="AI3027" t="n">
        <v>0</v>
      </c>
      <c r="AJ3027" t="n">
        <v>1</v>
      </c>
      <c r="AK3027" t="n">
        <v>1</v>
      </c>
      <c r="AL3027" t="n">
        <v>0</v>
      </c>
      <c r="AM3027" t="n">
        <v>0</v>
      </c>
      <c r="AN3027" t="n">
        <v>0</v>
      </c>
      <c r="AO3027" t="n">
        <v>0</v>
      </c>
      <c r="AP3027" t="inlineStr">
        <is>
          <t>No</t>
        </is>
      </c>
      <c r="AQ3027" t="inlineStr">
        <is>
          <t>No</t>
        </is>
      </c>
      <c r="AS3027">
        <f>HYPERLINK("https://creighton-primo.hosted.exlibrisgroup.com/primo-explore/search?tab=default_tab&amp;search_scope=EVERYTHING&amp;vid=01CRU&amp;lang=en_US&amp;offset=0&amp;query=any,contains,991001207469702656","Catalog Record")</f>
        <v/>
      </c>
      <c r="AT3027">
        <f>HYPERLINK("http://www.worldcat.org/oclc/17354320","WorldCat Record")</f>
        <v/>
      </c>
      <c r="AU3027" t="inlineStr">
        <is>
          <t>9827411191:eng</t>
        </is>
      </c>
      <c r="AV3027" t="inlineStr">
        <is>
          <t>17354320</t>
        </is>
      </c>
      <c r="AW3027" t="inlineStr">
        <is>
          <t>991001207469702656</t>
        </is>
      </c>
      <c r="AX3027" t="inlineStr">
        <is>
          <t>991001207469702656</t>
        </is>
      </c>
      <c r="AY3027" t="inlineStr">
        <is>
          <t>2268045450002656</t>
        </is>
      </c>
      <c r="AZ3027" t="inlineStr">
        <is>
          <t>BOOK</t>
        </is>
      </c>
      <c r="BB3027" t="inlineStr">
        <is>
          <t>9780866567848</t>
        </is>
      </c>
      <c r="BC3027" t="inlineStr">
        <is>
          <t>32285000177658</t>
        </is>
      </c>
      <c r="BD3027" t="inlineStr">
        <is>
          <t>893614867</t>
        </is>
      </c>
    </row>
    <row r="3028">
      <c r="A3028" t="inlineStr">
        <is>
          <t>No</t>
        </is>
      </c>
      <c r="B3028" t="inlineStr">
        <is>
          <t>HQ834 .M674 1991</t>
        </is>
      </c>
      <c r="C3028" t="inlineStr">
        <is>
          <t>0                      HQ 0834000M  674         1991</t>
        </is>
      </c>
      <c r="D3028" t="inlineStr">
        <is>
          <t>After marriage ends : economic consequences for midlife women / Leslie A. Morgan.</t>
        </is>
      </c>
      <c r="F3028" t="inlineStr">
        <is>
          <t>No</t>
        </is>
      </c>
      <c r="G3028" t="inlineStr">
        <is>
          <t>1</t>
        </is>
      </c>
      <c r="H3028" t="inlineStr">
        <is>
          <t>No</t>
        </is>
      </c>
      <c r="I3028" t="inlineStr">
        <is>
          <t>No</t>
        </is>
      </c>
      <c r="J3028" t="inlineStr">
        <is>
          <t>0</t>
        </is>
      </c>
      <c r="K3028" t="inlineStr">
        <is>
          <t>Morgan, Leslie A.</t>
        </is>
      </c>
      <c r="L3028" t="inlineStr">
        <is>
          <t>Newbury Park, Calif. : Sage Publications, c1991.</t>
        </is>
      </c>
      <c r="M3028" t="inlineStr">
        <is>
          <t>1991</t>
        </is>
      </c>
      <c r="O3028" t="inlineStr">
        <is>
          <t>eng</t>
        </is>
      </c>
      <c r="P3028" t="inlineStr">
        <is>
          <t>cau</t>
        </is>
      </c>
      <c r="Q3028" t="inlineStr">
        <is>
          <t>New perspectives on family</t>
        </is>
      </c>
      <c r="R3028" t="inlineStr">
        <is>
          <t xml:space="preserve">HQ </t>
        </is>
      </c>
      <c r="S3028" t="n">
        <v>11</v>
      </c>
      <c r="T3028" t="n">
        <v>11</v>
      </c>
      <c r="U3028" t="inlineStr">
        <is>
          <t>1995-12-03</t>
        </is>
      </c>
      <c r="V3028" t="inlineStr">
        <is>
          <t>1995-12-03</t>
        </is>
      </c>
      <c r="W3028" t="inlineStr">
        <is>
          <t>1991-09-06</t>
        </is>
      </c>
      <c r="X3028" t="inlineStr">
        <is>
          <t>1991-09-06</t>
        </is>
      </c>
      <c r="Y3028" t="n">
        <v>592</v>
      </c>
      <c r="Z3028" t="n">
        <v>490</v>
      </c>
      <c r="AA3028" t="n">
        <v>494</v>
      </c>
      <c r="AB3028" t="n">
        <v>4</v>
      </c>
      <c r="AC3028" t="n">
        <v>4</v>
      </c>
      <c r="AD3028" t="n">
        <v>28</v>
      </c>
      <c r="AE3028" t="n">
        <v>28</v>
      </c>
      <c r="AF3028" t="n">
        <v>10</v>
      </c>
      <c r="AG3028" t="n">
        <v>10</v>
      </c>
      <c r="AH3028" t="n">
        <v>6</v>
      </c>
      <c r="AI3028" t="n">
        <v>6</v>
      </c>
      <c r="AJ3028" t="n">
        <v>13</v>
      </c>
      <c r="AK3028" t="n">
        <v>13</v>
      </c>
      <c r="AL3028" t="n">
        <v>3</v>
      </c>
      <c r="AM3028" t="n">
        <v>3</v>
      </c>
      <c r="AN3028" t="n">
        <v>1</v>
      </c>
      <c r="AO3028" t="n">
        <v>1</v>
      </c>
      <c r="AP3028" t="inlineStr">
        <is>
          <t>No</t>
        </is>
      </c>
      <c r="AQ3028" t="inlineStr">
        <is>
          <t>No</t>
        </is>
      </c>
      <c r="AS3028">
        <f>HYPERLINK("https://creighton-primo.hosted.exlibrisgroup.com/primo-explore/search?tab=default_tab&amp;search_scope=EVERYTHING&amp;vid=01CRU&amp;lang=en_US&amp;offset=0&amp;query=any,contains,991001799309702656","Catalog Record")</f>
        <v/>
      </c>
      <c r="AT3028">
        <f>HYPERLINK("http://www.worldcat.org/oclc/22628967","WorldCat Record")</f>
        <v/>
      </c>
      <c r="AU3028" t="inlineStr">
        <is>
          <t>8488083:eng</t>
        </is>
      </c>
      <c r="AV3028" t="inlineStr">
        <is>
          <t>22628967</t>
        </is>
      </c>
      <c r="AW3028" t="inlineStr">
        <is>
          <t>991001799309702656</t>
        </is>
      </c>
      <c r="AX3028" t="inlineStr">
        <is>
          <t>991001799309702656</t>
        </is>
      </c>
      <c r="AY3028" t="inlineStr">
        <is>
          <t>2269548870002656</t>
        </is>
      </c>
      <c r="AZ3028" t="inlineStr">
        <is>
          <t>BOOK</t>
        </is>
      </c>
      <c r="BB3028" t="inlineStr">
        <is>
          <t>9780803935495</t>
        </is>
      </c>
      <c r="BC3028" t="inlineStr">
        <is>
          <t>32285000703156</t>
        </is>
      </c>
      <c r="BD3028" t="inlineStr">
        <is>
          <t>893439454</t>
        </is>
      </c>
    </row>
    <row r="3029">
      <c r="A3029" t="inlineStr">
        <is>
          <t>No</t>
        </is>
      </c>
      <c r="B3029" t="inlineStr">
        <is>
          <t>HQ834 .P37 2000</t>
        </is>
      </c>
      <c r="C3029" t="inlineStr">
        <is>
          <t>0                      HQ 0834000P  37          2000</t>
        </is>
      </c>
      <c r="D3029" t="inlineStr">
        <is>
          <t>Good intentions gone awry : no-fault divorce and the American family / Allen M. Parkman.</t>
        </is>
      </c>
      <c r="F3029" t="inlineStr">
        <is>
          <t>No</t>
        </is>
      </c>
      <c r="G3029" t="inlineStr">
        <is>
          <t>1</t>
        </is>
      </c>
      <c r="H3029" t="inlineStr">
        <is>
          <t>No</t>
        </is>
      </c>
      <c r="I3029" t="inlineStr">
        <is>
          <t>No</t>
        </is>
      </c>
      <c r="J3029" t="inlineStr">
        <is>
          <t>0</t>
        </is>
      </c>
      <c r="K3029" t="inlineStr">
        <is>
          <t>Parkman, Allen M.</t>
        </is>
      </c>
      <c r="L3029" t="inlineStr">
        <is>
          <t>Lanham, Md. : Rowman &amp; Littlefield, c2000.</t>
        </is>
      </c>
      <c r="M3029" t="inlineStr">
        <is>
          <t>2000</t>
        </is>
      </c>
      <c r="O3029" t="inlineStr">
        <is>
          <t>eng</t>
        </is>
      </c>
      <c r="P3029" t="inlineStr">
        <is>
          <t>mdu</t>
        </is>
      </c>
      <c r="R3029" t="inlineStr">
        <is>
          <t xml:space="preserve">HQ </t>
        </is>
      </c>
      <c r="S3029" t="n">
        <v>4</v>
      </c>
      <c r="T3029" t="n">
        <v>4</v>
      </c>
      <c r="U3029" t="inlineStr">
        <is>
          <t>2010-02-04</t>
        </is>
      </c>
      <c r="V3029" t="inlineStr">
        <is>
          <t>2010-02-04</t>
        </is>
      </c>
      <c r="W3029" t="inlineStr">
        <is>
          <t>2000-04-11</t>
        </is>
      </c>
      <c r="X3029" t="inlineStr">
        <is>
          <t>2000-04-11</t>
        </is>
      </c>
      <c r="Y3029" t="n">
        <v>289</v>
      </c>
      <c r="Z3029" t="n">
        <v>274</v>
      </c>
      <c r="AA3029" t="n">
        <v>276</v>
      </c>
      <c r="AB3029" t="n">
        <v>3</v>
      </c>
      <c r="AC3029" t="n">
        <v>3</v>
      </c>
      <c r="AD3029" t="n">
        <v>17</v>
      </c>
      <c r="AE3029" t="n">
        <v>17</v>
      </c>
      <c r="AF3029" t="n">
        <v>1</v>
      </c>
      <c r="AG3029" t="n">
        <v>1</v>
      </c>
      <c r="AH3029" t="n">
        <v>3</v>
      </c>
      <c r="AI3029" t="n">
        <v>3</v>
      </c>
      <c r="AJ3029" t="n">
        <v>5</v>
      </c>
      <c r="AK3029" t="n">
        <v>5</v>
      </c>
      <c r="AL3029" t="n">
        <v>2</v>
      </c>
      <c r="AM3029" t="n">
        <v>2</v>
      </c>
      <c r="AN3029" t="n">
        <v>7</v>
      </c>
      <c r="AO3029" t="n">
        <v>7</v>
      </c>
      <c r="AP3029" t="inlineStr">
        <is>
          <t>No</t>
        </is>
      </c>
      <c r="AQ3029" t="inlineStr">
        <is>
          <t>Yes</t>
        </is>
      </c>
      <c r="AR3029">
        <f>HYPERLINK("http://catalog.hathitrust.org/Record/102018180","HathiTrust Record")</f>
        <v/>
      </c>
      <c r="AS3029">
        <f>HYPERLINK("https://creighton-primo.hosted.exlibrisgroup.com/primo-explore/search?tab=default_tab&amp;search_scope=EVERYTHING&amp;vid=01CRU&amp;lang=en_US&amp;offset=0&amp;query=any,contains,991003044659702656","Catalog Record")</f>
        <v/>
      </c>
      <c r="AT3029">
        <f>HYPERLINK("http://www.worldcat.org/oclc/42429290","WorldCat Record")</f>
        <v/>
      </c>
      <c r="AU3029" t="inlineStr">
        <is>
          <t>311921377:eng</t>
        </is>
      </c>
      <c r="AV3029" t="inlineStr">
        <is>
          <t>42429290</t>
        </is>
      </c>
      <c r="AW3029" t="inlineStr">
        <is>
          <t>991003044659702656</t>
        </is>
      </c>
      <c r="AX3029" t="inlineStr">
        <is>
          <t>991003044659702656</t>
        </is>
      </c>
      <c r="AY3029" t="inlineStr">
        <is>
          <t>2257151300002656</t>
        </is>
      </c>
      <c r="AZ3029" t="inlineStr">
        <is>
          <t>BOOK</t>
        </is>
      </c>
      <c r="BB3029" t="inlineStr">
        <is>
          <t>9780847698684</t>
        </is>
      </c>
      <c r="BC3029" t="inlineStr">
        <is>
          <t>32285003676946</t>
        </is>
      </c>
      <c r="BD3029" t="inlineStr">
        <is>
          <t>893805377</t>
        </is>
      </c>
    </row>
    <row r="3030">
      <c r="A3030" t="inlineStr">
        <is>
          <t>No</t>
        </is>
      </c>
      <c r="B3030" t="inlineStr">
        <is>
          <t>HQ834 .P75 1988</t>
        </is>
      </c>
      <c r="C3030" t="inlineStr">
        <is>
          <t>0                      HQ 0834000P  75          1988</t>
        </is>
      </c>
      <c r="D3030" t="inlineStr">
        <is>
          <t>Divorce / Sharon J. Price and Patrick C. McKenry.</t>
        </is>
      </c>
      <c r="F3030" t="inlineStr">
        <is>
          <t>No</t>
        </is>
      </c>
      <c r="G3030" t="inlineStr">
        <is>
          <t>1</t>
        </is>
      </c>
      <c r="H3030" t="inlineStr">
        <is>
          <t>No</t>
        </is>
      </c>
      <c r="I3030" t="inlineStr">
        <is>
          <t>No</t>
        </is>
      </c>
      <c r="J3030" t="inlineStr">
        <is>
          <t>0</t>
        </is>
      </c>
      <c r="K3030" t="inlineStr">
        <is>
          <t>Price, Sharon J.</t>
        </is>
      </c>
      <c r="L3030" t="inlineStr">
        <is>
          <t>Beverly Hills, Calif. : Sage Publications, c1988.</t>
        </is>
      </c>
      <c r="M3030" t="inlineStr">
        <is>
          <t>1987</t>
        </is>
      </c>
      <c r="O3030" t="inlineStr">
        <is>
          <t>eng</t>
        </is>
      </c>
      <c r="P3030" t="inlineStr">
        <is>
          <t>cau</t>
        </is>
      </c>
      <c r="Q3030" t="inlineStr">
        <is>
          <t>Family studies text series ; v. 9</t>
        </is>
      </c>
      <c r="R3030" t="inlineStr">
        <is>
          <t xml:space="preserve">HQ </t>
        </is>
      </c>
      <c r="S3030" t="n">
        <v>21</v>
      </c>
      <c r="T3030" t="n">
        <v>21</v>
      </c>
      <c r="U3030" t="inlineStr">
        <is>
          <t>2002-04-06</t>
        </is>
      </c>
      <c r="V3030" t="inlineStr">
        <is>
          <t>2002-04-06</t>
        </is>
      </c>
      <c r="W3030" t="inlineStr">
        <is>
          <t>1990-05-24</t>
        </is>
      </c>
      <c r="X3030" t="inlineStr">
        <is>
          <t>1990-05-24</t>
        </is>
      </c>
      <c r="Y3030" t="n">
        <v>357</v>
      </c>
      <c r="Z3030" t="n">
        <v>267</v>
      </c>
      <c r="AA3030" t="n">
        <v>274</v>
      </c>
      <c r="AB3030" t="n">
        <v>3</v>
      </c>
      <c r="AC3030" t="n">
        <v>3</v>
      </c>
      <c r="AD3030" t="n">
        <v>9</v>
      </c>
      <c r="AE3030" t="n">
        <v>9</v>
      </c>
      <c r="AF3030" t="n">
        <v>2</v>
      </c>
      <c r="AG3030" t="n">
        <v>2</v>
      </c>
      <c r="AH3030" t="n">
        <v>1</v>
      </c>
      <c r="AI3030" t="n">
        <v>1</v>
      </c>
      <c r="AJ3030" t="n">
        <v>4</v>
      </c>
      <c r="AK3030" t="n">
        <v>4</v>
      </c>
      <c r="AL3030" t="n">
        <v>2</v>
      </c>
      <c r="AM3030" t="n">
        <v>2</v>
      </c>
      <c r="AN3030" t="n">
        <v>0</v>
      </c>
      <c r="AO3030" t="n">
        <v>0</v>
      </c>
      <c r="AP3030" t="inlineStr">
        <is>
          <t>No</t>
        </is>
      </c>
      <c r="AQ3030" t="inlineStr">
        <is>
          <t>Yes</t>
        </is>
      </c>
      <c r="AR3030">
        <f>HYPERLINK("http://catalog.hathitrust.org/Record/101879399","HathiTrust Record")</f>
        <v/>
      </c>
      <c r="AS3030">
        <f>HYPERLINK("https://creighton-primo.hosted.exlibrisgroup.com/primo-explore/search?tab=default_tab&amp;search_scope=EVERYTHING&amp;vid=01CRU&amp;lang=en_US&amp;offset=0&amp;query=any,contains,991001154649702656","Catalog Record")</f>
        <v/>
      </c>
      <c r="AT3030">
        <f>HYPERLINK("http://www.worldcat.org/oclc/16833611","WorldCat Record")</f>
        <v/>
      </c>
      <c r="AU3030" t="inlineStr">
        <is>
          <t>13834655:eng</t>
        </is>
      </c>
      <c r="AV3030" t="inlineStr">
        <is>
          <t>16833611</t>
        </is>
      </c>
      <c r="AW3030" t="inlineStr">
        <is>
          <t>991001154649702656</t>
        </is>
      </c>
      <c r="AX3030" t="inlineStr">
        <is>
          <t>991001154649702656</t>
        </is>
      </c>
      <c r="AY3030" t="inlineStr">
        <is>
          <t>2263751390002656</t>
        </is>
      </c>
      <c r="AZ3030" t="inlineStr">
        <is>
          <t>BOOK</t>
        </is>
      </c>
      <c r="BB3030" t="inlineStr">
        <is>
          <t>9780803923577</t>
        </is>
      </c>
      <c r="BC3030" t="inlineStr">
        <is>
          <t>32285000165414</t>
        </is>
      </c>
      <c r="BD3030" t="inlineStr">
        <is>
          <t>893340196</t>
        </is>
      </c>
    </row>
    <row r="3031">
      <c r="A3031" t="inlineStr">
        <is>
          <t>No</t>
        </is>
      </c>
      <c r="B3031" t="inlineStr">
        <is>
          <t>HQ834 .S93 2001</t>
        </is>
      </c>
      <c r="C3031" t="inlineStr">
        <is>
          <t>0                      HQ 0834000S  93          2001</t>
        </is>
      </c>
      <c r="D3031" t="inlineStr">
        <is>
          <t>Breaking apart : a memoir of divorce / Wendy Swallow.</t>
        </is>
      </c>
      <c r="F3031" t="inlineStr">
        <is>
          <t>No</t>
        </is>
      </c>
      <c r="G3031" t="inlineStr">
        <is>
          <t>1</t>
        </is>
      </c>
      <c r="H3031" t="inlineStr">
        <is>
          <t>No</t>
        </is>
      </c>
      <c r="I3031" t="inlineStr">
        <is>
          <t>No</t>
        </is>
      </c>
      <c r="J3031" t="inlineStr">
        <is>
          <t>0</t>
        </is>
      </c>
      <c r="K3031" t="inlineStr">
        <is>
          <t>Swallow, Wendy, 1954-</t>
        </is>
      </c>
      <c r="L3031" t="inlineStr">
        <is>
          <t>New York : Hyperion, c2001.</t>
        </is>
      </c>
      <c r="M3031" t="inlineStr">
        <is>
          <t>2001</t>
        </is>
      </c>
      <c r="N3031" t="inlineStr">
        <is>
          <t>1st ed.</t>
        </is>
      </c>
      <c r="O3031" t="inlineStr">
        <is>
          <t>eng</t>
        </is>
      </c>
      <c r="P3031" t="inlineStr">
        <is>
          <t>nyu</t>
        </is>
      </c>
      <c r="R3031" t="inlineStr">
        <is>
          <t xml:space="preserve">HQ </t>
        </is>
      </c>
      <c r="S3031" t="n">
        <v>2</v>
      </c>
      <c r="T3031" t="n">
        <v>2</v>
      </c>
      <c r="U3031" t="inlineStr">
        <is>
          <t>2006-02-26</t>
        </is>
      </c>
      <c r="V3031" t="inlineStr">
        <is>
          <t>2006-02-26</t>
        </is>
      </c>
      <c r="W3031" t="inlineStr">
        <is>
          <t>2006-02-14</t>
        </is>
      </c>
      <c r="X3031" t="inlineStr">
        <is>
          <t>2006-02-14</t>
        </is>
      </c>
      <c r="Y3031" t="n">
        <v>449</v>
      </c>
      <c r="Z3031" t="n">
        <v>435</v>
      </c>
      <c r="AA3031" t="n">
        <v>445</v>
      </c>
      <c r="AB3031" t="n">
        <v>4</v>
      </c>
      <c r="AC3031" t="n">
        <v>4</v>
      </c>
      <c r="AD3031" t="n">
        <v>5</v>
      </c>
      <c r="AE3031" t="n">
        <v>5</v>
      </c>
      <c r="AF3031" t="n">
        <v>1</v>
      </c>
      <c r="AG3031" t="n">
        <v>1</v>
      </c>
      <c r="AH3031" t="n">
        <v>0</v>
      </c>
      <c r="AI3031" t="n">
        <v>0</v>
      </c>
      <c r="AJ3031" t="n">
        <v>2</v>
      </c>
      <c r="AK3031" t="n">
        <v>2</v>
      </c>
      <c r="AL3031" t="n">
        <v>2</v>
      </c>
      <c r="AM3031" t="n">
        <v>2</v>
      </c>
      <c r="AN3031" t="n">
        <v>0</v>
      </c>
      <c r="AO3031" t="n">
        <v>0</v>
      </c>
      <c r="AP3031" t="inlineStr">
        <is>
          <t>No</t>
        </is>
      </c>
      <c r="AQ3031" t="inlineStr">
        <is>
          <t>No</t>
        </is>
      </c>
      <c r="AS3031">
        <f>HYPERLINK("https://creighton-primo.hosted.exlibrisgroup.com/primo-explore/search?tab=default_tab&amp;search_scope=EVERYTHING&amp;vid=01CRU&amp;lang=en_US&amp;offset=0&amp;query=any,contains,991004739699702656","Catalog Record")</f>
        <v/>
      </c>
      <c r="AT3031">
        <f>HYPERLINK("http://www.worldcat.org/oclc/45102900","WorldCat Record")</f>
        <v/>
      </c>
      <c r="AU3031" t="inlineStr">
        <is>
          <t>1201396011:eng</t>
        </is>
      </c>
      <c r="AV3031" t="inlineStr">
        <is>
          <t>45102900</t>
        </is>
      </c>
      <c r="AW3031" t="inlineStr">
        <is>
          <t>991004739699702656</t>
        </is>
      </c>
      <c r="AX3031" t="inlineStr">
        <is>
          <t>991004739699702656</t>
        </is>
      </c>
      <c r="AY3031" t="inlineStr">
        <is>
          <t>2267839750002656</t>
        </is>
      </c>
      <c r="AZ3031" t="inlineStr">
        <is>
          <t>BOOK</t>
        </is>
      </c>
      <c r="BB3031" t="inlineStr">
        <is>
          <t>9780786865994</t>
        </is>
      </c>
      <c r="BC3031" t="inlineStr">
        <is>
          <t>32285005158752</t>
        </is>
      </c>
      <c r="BD3031" t="inlineStr">
        <is>
          <t>893807411</t>
        </is>
      </c>
    </row>
    <row r="3032">
      <c r="A3032" t="inlineStr">
        <is>
          <t>No</t>
        </is>
      </c>
      <c r="B3032" t="inlineStr">
        <is>
          <t>HQ834 .W358 2004</t>
        </is>
      </c>
      <c r="C3032" t="inlineStr">
        <is>
          <t>0                      HQ 0834000W  358         2004</t>
        </is>
      </c>
      <c r="D3032" t="inlineStr">
        <is>
          <t>Second chances : men, women, and children a decade after divorce / Judith S. Wallerstein and Sandra Blakeslee.</t>
        </is>
      </c>
      <c r="F3032" t="inlineStr">
        <is>
          <t>No</t>
        </is>
      </c>
      <c r="G3032" t="inlineStr">
        <is>
          <t>1</t>
        </is>
      </c>
      <c r="H3032" t="inlineStr">
        <is>
          <t>No</t>
        </is>
      </c>
      <c r="I3032" t="inlineStr">
        <is>
          <t>No</t>
        </is>
      </c>
      <c r="J3032" t="inlineStr">
        <is>
          <t>0</t>
        </is>
      </c>
      <c r="K3032" t="inlineStr">
        <is>
          <t>Wallerstein, Judith S.</t>
        </is>
      </c>
      <c r="L3032" t="inlineStr">
        <is>
          <t>Boston : Houghton Mifflin, c2004.</t>
        </is>
      </c>
      <c r="M3032" t="inlineStr">
        <is>
          <t>2004</t>
        </is>
      </c>
      <c r="N3032" t="inlineStr">
        <is>
          <t>15th-anniversary ed.</t>
        </is>
      </c>
      <c r="O3032" t="inlineStr">
        <is>
          <t>eng</t>
        </is>
      </c>
      <c r="P3032" t="inlineStr">
        <is>
          <t>mau</t>
        </is>
      </c>
      <c r="R3032" t="inlineStr">
        <is>
          <t xml:space="preserve">HQ </t>
        </is>
      </c>
      <c r="S3032" t="n">
        <v>10</v>
      </c>
      <c r="T3032" t="n">
        <v>10</v>
      </c>
      <c r="U3032" t="inlineStr">
        <is>
          <t>2010-09-28</t>
        </is>
      </c>
      <c r="V3032" t="inlineStr">
        <is>
          <t>2010-09-28</t>
        </is>
      </c>
      <c r="W3032" t="inlineStr">
        <is>
          <t>2004-08-16</t>
        </is>
      </c>
      <c r="X3032" t="inlineStr">
        <is>
          <t>2004-08-16</t>
        </is>
      </c>
      <c r="Y3032" t="n">
        <v>107</v>
      </c>
      <c r="Z3032" t="n">
        <v>93</v>
      </c>
      <c r="AA3032" t="n">
        <v>2096</v>
      </c>
      <c r="AB3032" t="n">
        <v>1</v>
      </c>
      <c r="AC3032" t="n">
        <v>16</v>
      </c>
      <c r="AD3032" t="n">
        <v>1</v>
      </c>
      <c r="AE3032" t="n">
        <v>54</v>
      </c>
      <c r="AF3032" t="n">
        <v>1</v>
      </c>
      <c r="AG3032" t="n">
        <v>22</v>
      </c>
      <c r="AH3032" t="n">
        <v>0</v>
      </c>
      <c r="AI3032" t="n">
        <v>9</v>
      </c>
      <c r="AJ3032" t="n">
        <v>0</v>
      </c>
      <c r="AK3032" t="n">
        <v>20</v>
      </c>
      <c r="AL3032" t="n">
        <v>0</v>
      </c>
      <c r="AM3032" t="n">
        <v>10</v>
      </c>
      <c r="AN3032" t="n">
        <v>0</v>
      </c>
      <c r="AO3032" t="n">
        <v>5</v>
      </c>
      <c r="AP3032" t="inlineStr">
        <is>
          <t>No</t>
        </is>
      </c>
      <c r="AQ3032" t="inlineStr">
        <is>
          <t>No</t>
        </is>
      </c>
      <c r="AS3032">
        <f>HYPERLINK("https://creighton-primo.hosted.exlibrisgroup.com/primo-explore/search?tab=default_tab&amp;search_scope=EVERYTHING&amp;vid=01CRU&amp;lang=en_US&amp;offset=0&amp;query=any,contains,991004304649702656","Catalog Record")</f>
        <v/>
      </c>
      <c r="AT3032">
        <f>HYPERLINK("http://www.worldcat.org/oclc/55135978","WorldCat Record")</f>
        <v/>
      </c>
      <c r="AU3032" t="inlineStr">
        <is>
          <t>14349718:eng</t>
        </is>
      </c>
      <c r="AV3032" t="inlineStr">
        <is>
          <t>55135978</t>
        </is>
      </c>
      <c r="AW3032" t="inlineStr">
        <is>
          <t>991004304649702656</t>
        </is>
      </c>
      <c r="AX3032" t="inlineStr">
        <is>
          <t>991004304649702656</t>
        </is>
      </c>
      <c r="AY3032" t="inlineStr">
        <is>
          <t>2260864460002656</t>
        </is>
      </c>
      <c r="AZ3032" t="inlineStr">
        <is>
          <t>BOOK</t>
        </is>
      </c>
      <c r="BB3032" t="inlineStr">
        <is>
          <t>9780618446896</t>
        </is>
      </c>
      <c r="BC3032" t="inlineStr">
        <is>
          <t>32285004981089</t>
        </is>
      </c>
      <c r="BD3032" t="inlineStr">
        <is>
          <t>893700077</t>
        </is>
      </c>
    </row>
    <row r="3033">
      <c r="A3033" t="inlineStr">
        <is>
          <t>No</t>
        </is>
      </c>
      <c r="B3033" t="inlineStr">
        <is>
          <t>HQ834 .W48</t>
        </is>
      </c>
      <c r="C3033" t="inlineStr">
        <is>
          <t>0                      HQ 0834000W  48</t>
        </is>
      </c>
      <c r="D3033" t="inlineStr">
        <is>
          <t>Marital separation / Robert S. Weiss.</t>
        </is>
      </c>
      <c r="F3033" t="inlineStr">
        <is>
          <t>No</t>
        </is>
      </c>
      <c r="G3033" t="inlineStr">
        <is>
          <t>1</t>
        </is>
      </c>
      <c r="H3033" t="inlineStr">
        <is>
          <t>No</t>
        </is>
      </c>
      <c r="I3033" t="inlineStr">
        <is>
          <t>No</t>
        </is>
      </c>
      <c r="J3033" t="inlineStr">
        <is>
          <t>0</t>
        </is>
      </c>
      <c r="K3033" t="inlineStr">
        <is>
          <t>Weiss, Robert Stuart, 1925-</t>
        </is>
      </c>
      <c r="L3033" t="inlineStr">
        <is>
          <t>New York : Basic Books, [1975]</t>
        </is>
      </c>
      <c r="M3033" t="inlineStr">
        <is>
          <t>1975</t>
        </is>
      </c>
      <c r="O3033" t="inlineStr">
        <is>
          <t>eng</t>
        </is>
      </c>
      <c r="P3033" t="inlineStr">
        <is>
          <t>nyu</t>
        </is>
      </c>
      <c r="R3033" t="inlineStr">
        <is>
          <t xml:space="preserve">HQ </t>
        </is>
      </c>
      <c r="S3033" t="n">
        <v>1</v>
      </c>
      <c r="T3033" t="n">
        <v>1</v>
      </c>
      <c r="U3033" t="inlineStr">
        <is>
          <t>1993-03-30</t>
        </is>
      </c>
      <c r="V3033" t="inlineStr">
        <is>
          <t>1993-03-30</t>
        </is>
      </c>
      <c r="W3033" t="inlineStr">
        <is>
          <t>1990-04-18</t>
        </is>
      </c>
      <c r="X3033" t="inlineStr">
        <is>
          <t>1990-04-18</t>
        </is>
      </c>
      <c r="Y3033" t="n">
        <v>1021</v>
      </c>
      <c r="Z3033" t="n">
        <v>888</v>
      </c>
      <c r="AA3033" t="n">
        <v>900</v>
      </c>
      <c r="AB3033" t="n">
        <v>9</v>
      </c>
      <c r="AC3033" t="n">
        <v>9</v>
      </c>
      <c r="AD3033" t="n">
        <v>33</v>
      </c>
      <c r="AE3033" t="n">
        <v>33</v>
      </c>
      <c r="AF3033" t="n">
        <v>11</v>
      </c>
      <c r="AG3033" t="n">
        <v>11</v>
      </c>
      <c r="AH3033" t="n">
        <v>7</v>
      </c>
      <c r="AI3033" t="n">
        <v>7</v>
      </c>
      <c r="AJ3033" t="n">
        <v>17</v>
      </c>
      <c r="AK3033" t="n">
        <v>17</v>
      </c>
      <c r="AL3033" t="n">
        <v>4</v>
      </c>
      <c r="AM3033" t="n">
        <v>4</v>
      </c>
      <c r="AN3033" t="n">
        <v>3</v>
      </c>
      <c r="AO3033" t="n">
        <v>3</v>
      </c>
      <c r="AP3033" t="inlineStr">
        <is>
          <t>No</t>
        </is>
      </c>
      <c r="AQ3033" t="inlineStr">
        <is>
          <t>Yes</t>
        </is>
      </c>
      <c r="AR3033">
        <f>HYPERLINK("http://catalog.hathitrust.org/Record/000044949","HathiTrust Record")</f>
        <v/>
      </c>
      <c r="AS3033">
        <f>HYPERLINK("https://creighton-primo.hosted.exlibrisgroup.com/primo-explore/search?tab=default_tab&amp;search_scope=EVERYTHING&amp;vid=01CRU&amp;lang=en_US&amp;offset=0&amp;query=any,contains,991003802059702656","Catalog Record")</f>
        <v/>
      </c>
      <c r="AT3033">
        <f>HYPERLINK("http://www.worldcat.org/oclc/1528242","WorldCat Record")</f>
        <v/>
      </c>
      <c r="AU3033" t="inlineStr">
        <is>
          <t>487504:eng</t>
        </is>
      </c>
      <c r="AV3033" t="inlineStr">
        <is>
          <t>1528242</t>
        </is>
      </c>
      <c r="AW3033" t="inlineStr">
        <is>
          <t>991003802059702656</t>
        </is>
      </c>
      <c r="AX3033" t="inlineStr">
        <is>
          <t>991003802059702656</t>
        </is>
      </c>
      <c r="AY3033" t="inlineStr">
        <is>
          <t>2257230120002656</t>
        </is>
      </c>
      <c r="AZ3033" t="inlineStr">
        <is>
          <t>BOOK</t>
        </is>
      </c>
      <c r="BB3033" t="inlineStr">
        <is>
          <t>9780465043880</t>
        </is>
      </c>
      <c r="BC3033" t="inlineStr">
        <is>
          <t>32285000116771</t>
        </is>
      </c>
      <c r="BD3033" t="inlineStr">
        <is>
          <t>893416815</t>
        </is>
      </c>
    </row>
    <row r="3034">
      <c r="A3034" t="inlineStr">
        <is>
          <t>No</t>
        </is>
      </c>
      <c r="B3034" t="inlineStr">
        <is>
          <t>HQ834 .W575 1997</t>
        </is>
      </c>
      <c r="C3034" t="inlineStr">
        <is>
          <t>0                      HQ 0834000W  575         1997</t>
        </is>
      </c>
      <c r="D3034" t="inlineStr">
        <is>
          <t>The divorce culture / Barbara Dafoe Whitehead.</t>
        </is>
      </c>
      <c r="F3034" t="inlineStr">
        <is>
          <t>No</t>
        </is>
      </c>
      <c r="G3034" t="inlineStr">
        <is>
          <t>1</t>
        </is>
      </c>
      <c r="H3034" t="inlineStr">
        <is>
          <t>No</t>
        </is>
      </c>
      <c r="I3034" t="inlineStr">
        <is>
          <t>No</t>
        </is>
      </c>
      <c r="J3034" t="inlineStr">
        <is>
          <t>0</t>
        </is>
      </c>
      <c r="K3034" t="inlineStr">
        <is>
          <t>Whitehead, Barbara Dafoe, 1944-</t>
        </is>
      </c>
      <c r="L3034" t="inlineStr">
        <is>
          <t>New York : Alfred A. Knopf : Distributed by Random House, 1997, c1996.</t>
        </is>
      </c>
      <c r="M3034" t="inlineStr">
        <is>
          <t>1997</t>
        </is>
      </c>
      <c r="N3034" t="inlineStr">
        <is>
          <t>1st ed.</t>
        </is>
      </c>
      <c r="O3034" t="inlineStr">
        <is>
          <t>eng</t>
        </is>
      </c>
      <c r="P3034" t="inlineStr">
        <is>
          <t>nyu</t>
        </is>
      </c>
      <c r="R3034" t="inlineStr">
        <is>
          <t xml:space="preserve">HQ </t>
        </is>
      </c>
      <c r="S3034" t="n">
        <v>10</v>
      </c>
      <c r="T3034" t="n">
        <v>10</v>
      </c>
      <c r="U3034" t="inlineStr">
        <is>
          <t>2003-09-22</t>
        </is>
      </c>
      <c r="V3034" t="inlineStr">
        <is>
          <t>2003-09-22</t>
        </is>
      </c>
      <c r="W3034" t="inlineStr">
        <is>
          <t>1997-05-08</t>
        </is>
      </c>
      <c r="X3034" t="inlineStr">
        <is>
          <t>1997-05-08</t>
        </is>
      </c>
      <c r="Y3034" t="n">
        <v>1081</v>
      </c>
      <c r="Z3034" t="n">
        <v>1005</v>
      </c>
      <c r="AA3034" t="n">
        <v>1141</v>
      </c>
      <c r="AB3034" t="n">
        <v>12</v>
      </c>
      <c r="AC3034" t="n">
        <v>14</v>
      </c>
      <c r="AD3034" t="n">
        <v>25</v>
      </c>
      <c r="AE3034" t="n">
        <v>31</v>
      </c>
      <c r="AF3034" t="n">
        <v>10</v>
      </c>
      <c r="AG3034" t="n">
        <v>14</v>
      </c>
      <c r="AH3034" t="n">
        <v>3</v>
      </c>
      <c r="AI3034" t="n">
        <v>3</v>
      </c>
      <c r="AJ3034" t="n">
        <v>12</v>
      </c>
      <c r="AK3034" t="n">
        <v>12</v>
      </c>
      <c r="AL3034" t="n">
        <v>6</v>
      </c>
      <c r="AM3034" t="n">
        <v>8</v>
      </c>
      <c r="AN3034" t="n">
        <v>0</v>
      </c>
      <c r="AO3034" t="n">
        <v>0</v>
      </c>
      <c r="AP3034" t="inlineStr">
        <is>
          <t>No</t>
        </is>
      </c>
      <c r="AQ3034" t="inlineStr">
        <is>
          <t>Yes</t>
        </is>
      </c>
      <c r="AR3034">
        <f>HYPERLINK("http://catalog.hathitrust.org/Record/004537943","HathiTrust Record")</f>
        <v/>
      </c>
      <c r="AS3034">
        <f>HYPERLINK("https://creighton-primo.hosted.exlibrisgroup.com/primo-explore/search?tab=default_tab&amp;search_scope=EVERYTHING&amp;vid=01CRU&amp;lang=en_US&amp;offset=0&amp;query=any,contains,991002694769702656","Catalog Record")</f>
        <v/>
      </c>
      <c r="AT3034">
        <f>HYPERLINK("http://www.worldcat.org/oclc/35192181","WorldCat Record")</f>
        <v/>
      </c>
      <c r="AU3034" t="inlineStr">
        <is>
          <t>20828845:eng</t>
        </is>
      </c>
      <c r="AV3034" t="inlineStr">
        <is>
          <t>35192181</t>
        </is>
      </c>
      <c r="AW3034" t="inlineStr">
        <is>
          <t>991002694769702656</t>
        </is>
      </c>
      <c r="AX3034" t="inlineStr">
        <is>
          <t>991002694769702656</t>
        </is>
      </c>
      <c r="AY3034" t="inlineStr">
        <is>
          <t>2256365520002656</t>
        </is>
      </c>
      <c r="AZ3034" t="inlineStr">
        <is>
          <t>BOOK</t>
        </is>
      </c>
      <c r="BB3034" t="inlineStr">
        <is>
          <t>9780679432302</t>
        </is>
      </c>
      <c r="BC3034" t="inlineStr">
        <is>
          <t>32285002606167</t>
        </is>
      </c>
      <c r="BD3034" t="inlineStr">
        <is>
          <t>893867571</t>
        </is>
      </c>
    </row>
    <row r="3035">
      <c r="A3035" t="inlineStr">
        <is>
          <t>No</t>
        </is>
      </c>
      <c r="B3035" t="inlineStr">
        <is>
          <t>HQ835.C2 M33 1992</t>
        </is>
      </c>
      <c r="C3035" t="inlineStr">
        <is>
          <t>0                      HQ 0835000C  2                  M  33          1992</t>
        </is>
      </c>
      <c r="D3035" t="inlineStr">
        <is>
          <t>Dividing the child : social and legal dilemmas of custody / Eleanor E. Maccoby and Robert H. Mnookin ; with Charlene E. Depner and H. Elizabeth Peters.</t>
        </is>
      </c>
      <c r="F3035" t="inlineStr">
        <is>
          <t>No</t>
        </is>
      </c>
      <c r="G3035" t="inlineStr">
        <is>
          <t>1</t>
        </is>
      </c>
      <c r="H3035" t="inlineStr">
        <is>
          <t>Yes</t>
        </is>
      </c>
      <c r="I3035" t="inlineStr">
        <is>
          <t>No</t>
        </is>
      </c>
      <c r="J3035" t="inlineStr">
        <is>
          <t>0</t>
        </is>
      </c>
      <c r="K3035" t="inlineStr">
        <is>
          <t>Maccoby, Eleanor E., 1917-2018.</t>
        </is>
      </c>
      <c r="L3035" t="inlineStr">
        <is>
          <t>Cambridge, Mass. : Harvard University Press, 1992.</t>
        </is>
      </c>
      <c r="M3035" t="inlineStr">
        <is>
          <t>1992</t>
        </is>
      </c>
      <c r="O3035" t="inlineStr">
        <is>
          <t>eng</t>
        </is>
      </c>
      <c r="P3035" t="inlineStr">
        <is>
          <t>mau</t>
        </is>
      </c>
      <c r="R3035" t="inlineStr">
        <is>
          <t xml:space="preserve">HQ </t>
        </is>
      </c>
      <c r="S3035" t="n">
        <v>16</v>
      </c>
      <c r="T3035" t="n">
        <v>20</v>
      </c>
      <c r="U3035" t="inlineStr">
        <is>
          <t>2006-04-10</t>
        </is>
      </c>
      <c r="V3035" t="inlineStr">
        <is>
          <t>2006-04-10</t>
        </is>
      </c>
      <c r="W3035" t="inlineStr">
        <is>
          <t>1993-10-16</t>
        </is>
      </c>
      <c r="X3035" t="inlineStr">
        <is>
          <t>1993-10-16</t>
        </is>
      </c>
      <c r="Y3035" t="n">
        <v>938</v>
      </c>
      <c r="Z3035" t="n">
        <v>818</v>
      </c>
      <c r="AA3035" t="n">
        <v>826</v>
      </c>
      <c r="AB3035" t="n">
        <v>7</v>
      </c>
      <c r="AC3035" t="n">
        <v>7</v>
      </c>
      <c r="AD3035" t="n">
        <v>53</v>
      </c>
      <c r="AE3035" t="n">
        <v>53</v>
      </c>
      <c r="AF3035" t="n">
        <v>11</v>
      </c>
      <c r="AG3035" t="n">
        <v>11</v>
      </c>
      <c r="AH3035" t="n">
        <v>8</v>
      </c>
      <c r="AI3035" t="n">
        <v>8</v>
      </c>
      <c r="AJ3035" t="n">
        <v>16</v>
      </c>
      <c r="AK3035" t="n">
        <v>16</v>
      </c>
      <c r="AL3035" t="n">
        <v>5</v>
      </c>
      <c r="AM3035" t="n">
        <v>5</v>
      </c>
      <c r="AN3035" t="n">
        <v>21</v>
      </c>
      <c r="AO3035" t="n">
        <v>21</v>
      </c>
      <c r="AP3035" t="inlineStr">
        <is>
          <t>No</t>
        </is>
      </c>
      <c r="AQ3035" t="inlineStr">
        <is>
          <t>Yes</t>
        </is>
      </c>
      <c r="AR3035">
        <f>HYPERLINK("http://catalog.hathitrust.org/Record/002605923","HathiTrust Record")</f>
        <v/>
      </c>
      <c r="AS3035">
        <f>HYPERLINK("https://creighton-primo.hosted.exlibrisgroup.com/primo-explore/search?tab=default_tab&amp;search_scope=EVERYTHING&amp;vid=01CRU&amp;lang=en_US&amp;offset=0&amp;query=any,contains,991001651729702656","Catalog Record")</f>
        <v/>
      </c>
      <c r="AT3035">
        <f>HYPERLINK("http://www.worldcat.org/oclc/25247264","WorldCat Record")</f>
        <v/>
      </c>
      <c r="AU3035" t="inlineStr">
        <is>
          <t>2679414:eng</t>
        </is>
      </c>
      <c r="AV3035" t="inlineStr">
        <is>
          <t>25247264</t>
        </is>
      </c>
      <c r="AW3035" t="inlineStr">
        <is>
          <t>991001651729702656</t>
        </is>
      </c>
      <c r="AX3035" t="inlineStr">
        <is>
          <t>991001651729702656</t>
        </is>
      </c>
      <c r="AY3035" t="inlineStr">
        <is>
          <t>2255753940002656</t>
        </is>
      </c>
      <c r="AZ3035" t="inlineStr">
        <is>
          <t>BOOK</t>
        </is>
      </c>
      <c r="BB3035" t="inlineStr">
        <is>
          <t>9780674212947</t>
        </is>
      </c>
      <c r="BC3035" t="inlineStr">
        <is>
          <t>32285001786473</t>
        </is>
      </c>
      <c r="BD3035" t="inlineStr">
        <is>
          <t>893903508</t>
        </is>
      </c>
    </row>
    <row r="3036">
      <c r="A3036" t="inlineStr">
        <is>
          <t>No</t>
        </is>
      </c>
      <c r="B3036" t="inlineStr">
        <is>
          <t>HQ876 .S728 1993</t>
        </is>
      </c>
      <c r="C3036" t="inlineStr">
        <is>
          <t>0                      HQ 0876000S  728         1993</t>
        </is>
      </c>
      <c r="D3036" t="inlineStr">
        <is>
          <t>Broken lives : separation and divorce in England, 1660-1857 / by Lawrence Stone.</t>
        </is>
      </c>
      <c r="F3036" t="inlineStr">
        <is>
          <t>No</t>
        </is>
      </c>
      <c r="G3036" t="inlineStr">
        <is>
          <t>1</t>
        </is>
      </c>
      <c r="H3036" t="inlineStr">
        <is>
          <t>No</t>
        </is>
      </c>
      <c r="I3036" t="inlineStr">
        <is>
          <t>No</t>
        </is>
      </c>
      <c r="J3036" t="inlineStr">
        <is>
          <t>0</t>
        </is>
      </c>
      <c r="K3036" t="inlineStr">
        <is>
          <t>Stone, Lawrence.</t>
        </is>
      </c>
      <c r="L3036" t="inlineStr">
        <is>
          <t>Oxford ; New York : Oxford University Press, 1993.</t>
        </is>
      </c>
      <c r="M3036" t="inlineStr">
        <is>
          <t>1993</t>
        </is>
      </c>
      <c r="O3036" t="inlineStr">
        <is>
          <t>eng</t>
        </is>
      </c>
      <c r="P3036" t="inlineStr">
        <is>
          <t>nyu</t>
        </is>
      </c>
      <c r="R3036" t="inlineStr">
        <is>
          <t xml:space="preserve">HQ </t>
        </is>
      </c>
      <c r="S3036" t="n">
        <v>1</v>
      </c>
      <c r="T3036" t="n">
        <v>1</v>
      </c>
      <c r="U3036" t="inlineStr">
        <is>
          <t>2003-12-16</t>
        </is>
      </c>
      <c r="V3036" t="inlineStr">
        <is>
          <t>2003-12-16</t>
        </is>
      </c>
      <c r="W3036" t="inlineStr">
        <is>
          <t>2003-12-16</t>
        </is>
      </c>
      <c r="X3036" t="inlineStr">
        <is>
          <t>2003-12-16</t>
        </is>
      </c>
      <c r="Y3036" t="n">
        <v>701</v>
      </c>
      <c r="Z3036" t="n">
        <v>500</v>
      </c>
      <c r="AA3036" t="n">
        <v>531</v>
      </c>
      <c r="AB3036" t="n">
        <v>4</v>
      </c>
      <c r="AC3036" t="n">
        <v>4</v>
      </c>
      <c r="AD3036" t="n">
        <v>31</v>
      </c>
      <c r="AE3036" t="n">
        <v>32</v>
      </c>
      <c r="AF3036" t="n">
        <v>10</v>
      </c>
      <c r="AG3036" t="n">
        <v>10</v>
      </c>
      <c r="AH3036" t="n">
        <v>8</v>
      </c>
      <c r="AI3036" t="n">
        <v>9</v>
      </c>
      <c r="AJ3036" t="n">
        <v>15</v>
      </c>
      <c r="AK3036" t="n">
        <v>15</v>
      </c>
      <c r="AL3036" t="n">
        <v>3</v>
      </c>
      <c r="AM3036" t="n">
        <v>3</v>
      </c>
      <c r="AN3036" t="n">
        <v>6</v>
      </c>
      <c r="AO3036" t="n">
        <v>6</v>
      </c>
      <c r="AP3036" t="inlineStr">
        <is>
          <t>No</t>
        </is>
      </c>
      <c r="AQ3036" t="inlineStr">
        <is>
          <t>Yes</t>
        </is>
      </c>
      <c r="AR3036">
        <f>HYPERLINK("http://catalog.hathitrust.org/Record/002731957","HathiTrust Record")</f>
        <v/>
      </c>
      <c r="AS3036">
        <f>HYPERLINK("https://creighton-primo.hosted.exlibrisgroup.com/primo-explore/search?tab=default_tab&amp;search_scope=EVERYTHING&amp;vid=01CRU&amp;lang=en_US&amp;offset=0&amp;query=any,contains,991004207079702656","Catalog Record")</f>
        <v/>
      </c>
      <c r="AT3036">
        <f>HYPERLINK("http://www.worldcat.org/oclc/26503850","WorldCat Record")</f>
        <v/>
      </c>
      <c r="AU3036" t="inlineStr">
        <is>
          <t>836751176:eng</t>
        </is>
      </c>
      <c r="AV3036" t="inlineStr">
        <is>
          <t>26503850</t>
        </is>
      </c>
      <c r="AW3036" t="inlineStr">
        <is>
          <t>991004207079702656</t>
        </is>
      </c>
      <c r="AX3036" t="inlineStr">
        <is>
          <t>991004207079702656</t>
        </is>
      </c>
      <c r="AY3036" t="inlineStr">
        <is>
          <t>2255856800002656</t>
        </is>
      </c>
      <c r="AZ3036" t="inlineStr">
        <is>
          <t>BOOK</t>
        </is>
      </c>
      <c r="BB3036" t="inlineStr">
        <is>
          <t>9780198202547</t>
        </is>
      </c>
      <c r="BC3036" t="inlineStr">
        <is>
          <t>32285004847553</t>
        </is>
      </c>
      <c r="BD3036" t="inlineStr">
        <is>
          <t>893429783</t>
        </is>
      </c>
    </row>
    <row r="3037">
      <c r="A3037" t="inlineStr">
        <is>
          <t>No</t>
        </is>
      </c>
      <c r="B3037" t="inlineStr">
        <is>
          <t>HQ876 .S73 1990</t>
        </is>
      </c>
      <c r="C3037" t="inlineStr">
        <is>
          <t>0                      HQ 0876000S  73          1990</t>
        </is>
      </c>
      <c r="D3037" t="inlineStr">
        <is>
          <t>Road to divorce : England 1530-1987 / by Lawrence Stone.</t>
        </is>
      </c>
      <c r="F3037" t="inlineStr">
        <is>
          <t>No</t>
        </is>
      </c>
      <c r="G3037" t="inlineStr">
        <is>
          <t>1</t>
        </is>
      </c>
      <c r="H3037" t="inlineStr">
        <is>
          <t>No</t>
        </is>
      </c>
      <c r="I3037" t="inlineStr">
        <is>
          <t>No</t>
        </is>
      </c>
      <c r="J3037" t="inlineStr">
        <is>
          <t>0</t>
        </is>
      </c>
      <c r="K3037" t="inlineStr">
        <is>
          <t>Stone, Lawrence.</t>
        </is>
      </c>
      <c r="L3037" t="inlineStr">
        <is>
          <t>Oxford ; New York : Oxford University Press, 1990.</t>
        </is>
      </c>
      <c r="M3037" t="inlineStr">
        <is>
          <t>1990</t>
        </is>
      </c>
      <c r="O3037" t="inlineStr">
        <is>
          <t>eng</t>
        </is>
      </c>
      <c r="P3037" t="inlineStr">
        <is>
          <t>enk</t>
        </is>
      </c>
      <c r="R3037" t="inlineStr">
        <is>
          <t xml:space="preserve">HQ </t>
        </is>
      </c>
      <c r="S3037" t="n">
        <v>3</v>
      </c>
      <c r="T3037" t="n">
        <v>3</v>
      </c>
      <c r="U3037" t="inlineStr">
        <is>
          <t>2002-09-22</t>
        </is>
      </c>
      <c r="V3037" t="inlineStr">
        <is>
          <t>2002-09-22</t>
        </is>
      </c>
      <c r="W3037" t="inlineStr">
        <is>
          <t>1991-04-05</t>
        </is>
      </c>
      <c r="X3037" t="inlineStr">
        <is>
          <t>1991-04-05</t>
        </is>
      </c>
      <c r="Y3037" t="n">
        <v>996</v>
      </c>
      <c r="Z3037" t="n">
        <v>746</v>
      </c>
      <c r="AA3037" t="n">
        <v>829</v>
      </c>
      <c r="AB3037" t="n">
        <v>6</v>
      </c>
      <c r="AC3037" t="n">
        <v>6</v>
      </c>
      <c r="AD3037" t="n">
        <v>40</v>
      </c>
      <c r="AE3037" t="n">
        <v>45</v>
      </c>
      <c r="AF3037" t="n">
        <v>10</v>
      </c>
      <c r="AG3037" t="n">
        <v>12</v>
      </c>
      <c r="AH3037" t="n">
        <v>7</v>
      </c>
      <c r="AI3037" t="n">
        <v>9</v>
      </c>
      <c r="AJ3037" t="n">
        <v>13</v>
      </c>
      <c r="AK3037" t="n">
        <v>16</v>
      </c>
      <c r="AL3037" t="n">
        <v>5</v>
      </c>
      <c r="AM3037" t="n">
        <v>5</v>
      </c>
      <c r="AN3037" t="n">
        <v>12</v>
      </c>
      <c r="AO3037" t="n">
        <v>12</v>
      </c>
      <c r="AP3037" t="inlineStr">
        <is>
          <t>No</t>
        </is>
      </c>
      <c r="AQ3037" t="inlineStr">
        <is>
          <t>No</t>
        </is>
      </c>
      <c r="AS3037">
        <f>HYPERLINK("https://creighton-primo.hosted.exlibrisgroup.com/primo-explore/search?tab=default_tab&amp;search_scope=EVERYTHING&amp;vid=01CRU&amp;lang=en_US&amp;offset=0&amp;query=any,contains,991001664059702656","Catalog Record")</f>
        <v/>
      </c>
      <c r="AT3037">
        <f>HYPERLINK("http://www.worldcat.org/oclc/21196997","WorldCat Record")</f>
        <v/>
      </c>
      <c r="AU3037" t="inlineStr">
        <is>
          <t>836724268:eng</t>
        </is>
      </c>
      <c r="AV3037" t="inlineStr">
        <is>
          <t>21196997</t>
        </is>
      </c>
      <c r="AW3037" t="inlineStr">
        <is>
          <t>991001664059702656</t>
        </is>
      </c>
      <c r="AX3037" t="inlineStr">
        <is>
          <t>991001664059702656</t>
        </is>
      </c>
      <c r="AY3037" t="inlineStr">
        <is>
          <t>2272257430002656</t>
        </is>
      </c>
      <c r="AZ3037" t="inlineStr">
        <is>
          <t>BOOK</t>
        </is>
      </c>
      <c r="BB3037" t="inlineStr">
        <is>
          <t>9780198226512</t>
        </is>
      </c>
      <c r="BC3037" t="inlineStr">
        <is>
          <t>32285000566017</t>
        </is>
      </c>
      <c r="BD3037" t="inlineStr">
        <is>
          <t>893529094</t>
        </is>
      </c>
    </row>
    <row r="3038">
      <c r="A3038" t="inlineStr">
        <is>
          <t>No</t>
        </is>
      </c>
      <c r="B3038" t="inlineStr">
        <is>
          <t>HQ878 .D55 1993</t>
        </is>
      </c>
      <c r="C3038" t="inlineStr">
        <is>
          <t>0                      HQ 0878000D  55          1993</t>
        </is>
      </c>
      <c r="D3038" t="inlineStr">
        <is>
          <t>Debating divorce : moral conflict in Ireland / Michele Dillon.</t>
        </is>
      </c>
      <c r="F3038" t="inlineStr">
        <is>
          <t>No</t>
        </is>
      </c>
      <c r="G3038" t="inlineStr">
        <is>
          <t>1</t>
        </is>
      </c>
      <c r="H3038" t="inlineStr">
        <is>
          <t>No</t>
        </is>
      </c>
      <c r="I3038" t="inlineStr">
        <is>
          <t>No</t>
        </is>
      </c>
      <c r="J3038" t="inlineStr">
        <is>
          <t>0</t>
        </is>
      </c>
      <c r="K3038" t="inlineStr">
        <is>
          <t>Dillon, Michele, 1960-</t>
        </is>
      </c>
      <c r="L3038" t="inlineStr">
        <is>
          <t>Lexington, Ky. : University Press of Kentucky, c1993.</t>
        </is>
      </c>
      <c r="M3038" t="inlineStr">
        <is>
          <t>1993</t>
        </is>
      </c>
      <c r="O3038" t="inlineStr">
        <is>
          <t>eng</t>
        </is>
      </c>
      <c r="P3038" t="inlineStr">
        <is>
          <t>kyu</t>
        </is>
      </c>
      <c r="R3038" t="inlineStr">
        <is>
          <t xml:space="preserve">HQ </t>
        </is>
      </c>
      <c r="S3038" t="n">
        <v>4</v>
      </c>
      <c r="T3038" t="n">
        <v>4</v>
      </c>
      <c r="U3038" t="inlineStr">
        <is>
          <t>2004-04-05</t>
        </is>
      </c>
      <c r="V3038" t="inlineStr">
        <is>
          <t>2004-04-05</t>
        </is>
      </c>
      <c r="W3038" t="inlineStr">
        <is>
          <t>1993-10-16</t>
        </is>
      </c>
      <c r="X3038" t="inlineStr">
        <is>
          <t>1993-10-16</t>
        </is>
      </c>
      <c r="Y3038" t="n">
        <v>254</v>
      </c>
      <c r="Z3038" t="n">
        <v>210</v>
      </c>
      <c r="AA3038" t="n">
        <v>474</v>
      </c>
      <c r="AB3038" t="n">
        <v>2</v>
      </c>
      <c r="AC3038" t="n">
        <v>5</v>
      </c>
      <c r="AD3038" t="n">
        <v>13</v>
      </c>
      <c r="AE3038" t="n">
        <v>26</v>
      </c>
      <c r="AF3038" t="n">
        <v>3</v>
      </c>
      <c r="AG3038" t="n">
        <v>10</v>
      </c>
      <c r="AH3038" t="n">
        <v>4</v>
      </c>
      <c r="AI3038" t="n">
        <v>8</v>
      </c>
      <c r="AJ3038" t="n">
        <v>7</v>
      </c>
      <c r="AK3038" t="n">
        <v>10</v>
      </c>
      <c r="AL3038" t="n">
        <v>1</v>
      </c>
      <c r="AM3038" t="n">
        <v>3</v>
      </c>
      <c r="AN3038" t="n">
        <v>2</v>
      </c>
      <c r="AO3038" t="n">
        <v>2</v>
      </c>
      <c r="AP3038" t="inlineStr">
        <is>
          <t>No</t>
        </is>
      </c>
      <c r="AQ3038" t="inlineStr">
        <is>
          <t>Yes</t>
        </is>
      </c>
      <c r="AR3038">
        <f>HYPERLINK("http://catalog.hathitrust.org/Record/002630771","HathiTrust Record")</f>
        <v/>
      </c>
      <c r="AS3038">
        <f>HYPERLINK("https://creighton-primo.hosted.exlibrisgroup.com/primo-explore/search?tab=default_tab&amp;search_scope=EVERYTHING&amp;vid=01CRU&amp;lang=en_US&amp;offset=0&amp;query=any,contains,991002108599702656","Catalog Record")</f>
        <v/>
      </c>
      <c r="AT3038">
        <f>HYPERLINK("http://www.worldcat.org/oclc/27035035","WorldCat Record")</f>
        <v/>
      </c>
      <c r="AU3038" t="inlineStr">
        <is>
          <t>396349:eng</t>
        </is>
      </c>
      <c r="AV3038" t="inlineStr">
        <is>
          <t>27035035</t>
        </is>
      </c>
      <c r="AW3038" t="inlineStr">
        <is>
          <t>991002108599702656</t>
        </is>
      </c>
      <c r="AX3038" t="inlineStr">
        <is>
          <t>991002108599702656</t>
        </is>
      </c>
      <c r="AY3038" t="inlineStr">
        <is>
          <t>2270275760002656</t>
        </is>
      </c>
      <c r="AZ3038" t="inlineStr">
        <is>
          <t>BOOK</t>
        </is>
      </c>
      <c r="BC3038" t="inlineStr">
        <is>
          <t>32285001786358</t>
        </is>
      </c>
      <c r="BD3038" t="inlineStr">
        <is>
          <t>893615703</t>
        </is>
      </c>
    </row>
    <row r="3039">
      <c r="A3039" t="inlineStr">
        <is>
          <t>No</t>
        </is>
      </c>
      <c r="B3039" t="inlineStr">
        <is>
          <t>HQ964 .C65</t>
        </is>
      </c>
      <c r="C3039" t="inlineStr">
        <is>
          <t>0                      HQ 0964000C  65</t>
        </is>
      </c>
      <c r="D3039" t="inlineStr">
        <is>
          <t>Group marriage; a study of contemporary multilateral marriage [by] Larry L. and Joan M. Constantine.</t>
        </is>
      </c>
      <c r="F3039" t="inlineStr">
        <is>
          <t>No</t>
        </is>
      </c>
      <c r="G3039" t="inlineStr">
        <is>
          <t>1</t>
        </is>
      </c>
      <c r="H3039" t="inlineStr">
        <is>
          <t>No</t>
        </is>
      </c>
      <c r="I3039" t="inlineStr">
        <is>
          <t>No</t>
        </is>
      </c>
      <c r="J3039" t="inlineStr">
        <is>
          <t>0</t>
        </is>
      </c>
      <c r="K3039" t="inlineStr">
        <is>
          <t>Constantine, Larry L.</t>
        </is>
      </c>
      <c r="L3039" t="inlineStr">
        <is>
          <t>New York, Macmillan [1973]</t>
        </is>
      </c>
      <c r="M3039" t="inlineStr">
        <is>
          <t>1973</t>
        </is>
      </c>
      <c r="O3039" t="inlineStr">
        <is>
          <t>eng</t>
        </is>
      </c>
      <c r="P3039" t="inlineStr">
        <is>
          <t>nyu</t>
        </is>
      </c>
      <c r="R3039" t="inlineStr">
        <is>
          <t xml:space="preserve">HQ </t>
        </is>
      </c>
      <c r="S3039" t="n">
        <v>4</v>
      </c>
      <c r="T3039" t="n">
        <v>4</v>
      </c>
      <c r="U3039" t="inlineStr">
        <is>
          <t>1994-02-24</t>
        </is>
      </c>
      <c r="V3039" t="inlineStr">
        <is>
          <t>1994-02-24</t>
        </is>
      </c>
      <c r="W3039" t="inlineStr">
        <is>
          <t>1992-04-01</t>
        </is>
      </c>
      <c r="X3039" t="inlineStr">
        <is>
          <t>1992-04-01</t>
        </is>
      </c>
      <c r="Y3039" t="n">
        <v>605</v>
      </c>
      <c r="Z3039" t="n">
        <v>528</v>
      </c>
      <c r="AA3039" t="n">
        <v>559</v>
      </c>
      <c r="AB3039" t="n">
        <v>5</v>
      </c>
      <c r="AC3039" t="n">
        <v>5</v>
      </c>
      <c r="AD3039" t="n">
        <v>20</v>
      </c>
      <c r="AE3039" t="n">
        <v>23</v>
      </c>
      <c r="AF3039" t="n">
        <v>8</v>
      </c>
      <c r="AG3039" t="n">
        <v>9</v>
      </c>
      <c r="AH3039" t="n">
        <v>4</v>
      </c>
      <c r="AI3039" t="n">
        <v>6</v>
      </c>
      <c r="AJ3039" t="n">
        <v>8</v>
      </c>
      <c r="AK3039" t="n">
        <v>9</v>
      </c>
      <c r="AL3039" t="n">
        <v>4</v>
      </c>
      <c r="AM3039" t="n">
        <v>4</v>
      </c>
      <c r="AN3039" t="n">
        <v>1</v>
      </c>
      <c r="AO3039" t="n">
        <v>1</v>
      </c>
      <c r="AP3039" t="inlineStr">
        <is>
          <t>No</t>
        </is>
      </c>
      <c r="AQ3039" t="inlineStr">
        <is>
          <t>Yes</t>
        </is>
      </c>
      <c r="AR3039">
        <f>HYPERLINK("http://catalog.hathitrust.org/Record/000978577","HathiTrust Record")</f>
        <v/>
      </c>
      <c r="AS3039">
        <f>HYPERLINK("https://creighton-primo.hosted.exlibrisgroup.com/primo-explore/search?tab=default_tab&amp;search_scope=EVERYTHING&amp;vid=01CRU&amp;lang=en_US&amp;offset=0&amp;query=any,contains,991003049279702656","Catalog Record")</f>
        <v/>
      </c>
      <c r="AT3039">
        <f>HYPERLINK("http://www.worldcat.org/oclc/609342","WorldCat Record")</f>
        <v/>
      </c>
      <c r="AU3039" t="inlineStr">
        <is>
          <t>1636077:eng</t>
        </is>
      </c>
      <c r="AV3039" t="inlineStr">
        <is>
          <t>609342</t>
        </is>
      </c>
      <c r="AW3039" t="inlineStr">
        <is>
          <t>991003049279702656</t>
        </is>
      </c>
      <c r="AX3039" t="inlineStr">
        <is>
          <t>991003049279702656</t>
        </is>
      </c>
      <c r="AY3039" t="inlineStr">
        <is>
          <t>2254969760002656</t>
        </is>
      </c>
      <c r="AZ3039" t="inlineStr">
        <is>
          <t>BOOK</t>
        </is>
      </c>
      <c r="BC3039" t="inlineStr">
        <is>
          <t>32285001050649</t>
        </is>
      </c>
      <c r="BD3039" t="inlineStr">
        <is>
          <t>893258029</t>
        </is>
      </c>
    </row>
    <row r="3040">
      <c r="A3040" t="inlineStr">
        <is>
          <t>No</t>
        </is>
      </c>
      <c r="B3040" t="inlineStr">
        <is>
          <t>HQ967.U6 K47</t>
        </is>
      </c>
      <c r="C3040" t="inlineStr">
        <is>
          <t>0                      HQ 0967000U  6                  K  47</t>
        </is>
      </c>
      <c r="D3040" t="inlineStr">
        <is>
          <t>An ordered love : sex roles and sexuality in Victorian Utopias : the Shakers, the Mormons, and the Oneida Community / by Louis J. Kern.</t>
        </is>
      </c>
      <c r="F3040" t="inlineStr">
        <is>
          <t>No</t>
        </is>
      </c>
      <c r="G3040" t="inlineStr">
        <is>
          <t>1</t>
        </is>
      </c>
      <c r="H3040" t="inlineStr">
        <is>
          <t>No</t>
        </is>
      </c>
      <c r="I3040" t="inlineStr">
        <is>
          <t>No</t>
        </is>
      </c>
      <c r="J3040" t="inlineStr">
        <is>
          <t>0</t>
        </is>
      </c>
      <c r="K3040" t="inlineStr">
        <is>
          <t>Kern, Louis J., 1943-</t>
        </is>
      </c>
      <c r="L3040" t="inlineStr">
        <is>
          <t>Chapel Hill : University of North Carolina Press, c1981.</t>
        </is>
      </c>
      <c r="M3040" t="inlineStr">
        <is>
          <t>1981</t>
        </is>
      </c>
      <c r="O3040" t="inlineStr">
        <is>
          <t>eng</t>
        </is>
      </c>
      <c r="P3040" t="inlineStr">
        <is>
          <t>ncu</t>
        </is>
      </c>
      <c r="R3040" t="inlineStr">
        <is>
          <t xml:space="preserve">HQ </t>
        </is>
      </c>
      <c r="S3040" t="n">
        <v>16</v>
      </c>
      <c r="T3040" t="n">
        <v>16</v>
      </c>
      <c r="U3040" t="inlineStr">
        <is>
          <t>2001-04-25</t>
        </is>
      </c>
      <c r="V3040" t="inlineStr">
        <is>
          <t>2001-04-25</t>
        </is>
      </c>
      <c r="W3040" t="inlineStr">
        <is>
          <t>1992-03-09</t>
        </is>
      </c>
      <c r="X3040" t="inlineStr">
        <is>
          <t>1992-03-09</t>
        </is>
      </c>
      <c r="Y3040" t="n">
        <v>817</v>
      </c>
      <c r="Z3040" t="n">
        <v>732</v>
      </c>
      <c r="AA3040" t="n">
        <v>739</v>
      </c>
      <c r="AB3040" t="n">
        <v>6</v>
      </c>
      <c r="AC3040" t="n">
        <v>6</v>
      </c>
      <c r="AD3040" t="n">
        <v>27</v>
      </c>
      <c r="AE3040" t="n">
        <v>27</v>
      </c>
      <c r="AF3040" t="n">
        <v>11</v>
      </c>
      <c r="AG3040" t="n">
        <v>11</v>
      </c>
      <c r="AH3040" t="n">
        <v>4</v>
      </c>
      <c r="AI3040" t="n">
        <v>4</v>
      </c>
      <c r="AJ3040" t="n">
        <v>16</v>
      </c>
      <c r="AK3040" t="n">
        <v>16</v>
      </c>
      <c r="AL3040" t="n">
        <v>4</v>
      </c>
      <c r="AM3040" t="n">
        <v>4</v>
      </c>
      <c r="AN3040" t="n">
        <v>0</v>
      </c>
      <c r="AO3040" t="n">
        <v>0</v>
      </c>
      <c r="AP3040" t="inlineStr">
        <is>
          <t>No</t>
        </is>
      </c>
      <c r="AQ3040" t="inlineStr">
        <is>
          <t>No</t>
        </is>
      </c>
      <c r="AS3040">
        <f>HYPERLINK("https://creighton-primo.hosted.exlibrisgroup.com/primo-explore/search?tab=default_tab&amp;search_scope=EVERYTHING&amp;vid=01CRU&amp;lang=en_US&amp;offset=0&amp;query=any,contains,991004920109702656","Catalog Record")</f>
        <v/>
      </c>
      <c r="AT3040">
        <f>HYPERLINK("http://www.worldcat.org/oclc/6042789","WorldCat Record")</f>
        <v/>
      </c>
      <c r="AU3040" t="inlineStr">
        <is>
          <t>846567342:eng</t>
        </is>
      </c>
      <c r="AV3040" t="inlineStr">
        <is>
          <t>6042789</t>
        </is>
      </c>
      <c r="AW3040" t="inlineStr">
        <is>
          <t>991004920109702656</t>
        </is>
      </c>
      <c r="AX3040" t="inlineStr">
        <is>
          <t>991004920109702656</t>
        </is>
      </c>
      <c r="AY3040" t="inlineStr">
        <is>
          <t>2256391930002656</t>
        </is>
      </c>
      <c r="AZ3040" t="inlineStr">
        <is>
          <t>BOOK</t>
        </is>
      </c>
      <c r="BB3040" t="inlineStr">
        <is>
          <t>9780807814437</t>
        </is>
      </c>
      <c r="BC3040" t="inlineStr">
        <is>
          <t>32285000994227</t>
        </is>
      </c>
      <c r="BD3040" t="inlineStr">
        <is>
          <t>893520174</t>
        </is>
      </c>
    </row>
    <row r="3041">
      <c r="A3041" t="inlineStr">
        <is>
          <t>No</t>
        </is>
      </c>
      <c r="B3041" t="inlineStr">
        <is>
          <t>HQ971 .Z3</t>
        </is>
      </c>
      <c r="C3041" t="inlineStr">
        <is>
          <t>0                      HQ 0971000Z  3</t>
        </is>
      </c>
      <c r="D3041" t="inlineStr">
        <is>
          <t>Alienation and charisma : a study of contemporary American communes / Benjamin Zablocki.</t>
        </is>
      </c>
      <c r="F3041" t="inlineStr">
        <is>
          <t>No</t>
        </is>
      </c>
      <c r="G3041" t="inlineStr">
        <is>
          <t>1</t>
        </is>
      </c>
      <c r="H3041" t="inlineStr">
        <is>
          <t>No</t>
        </is>
      </c>
      <c r="I3041" t="inlineStr">
        <is>
          <t>No</t>
        </is>
      </c>
      <c r="J3041" t="inlineStr">
        <is>
          <t>0</t>
        </is>
      </c>
      <c r="K3041" t="inlineStr">
        <is>
          <t>Zablocki, Benjamin David, 1941-</t>
        </is>
      </c>
      <c r="L3041" t="inlineStr">
        <is>
          <t>New York : Free Press, c1980.</t>
        </is>
      </c>
      <c r="M3041" t="inlineStr">
        <is>
          <t>1980</t>
        </is>
      </c>
      <c r="O3041" t="inlineStr">
        <is>
          <t>eng</t>
        </is>
      </c>
      <c r="P3041" t="inlineStr">
        <is>
          <t>nyu</t>
        </is>
      </c>
      <c r="R3041" t="inlineStr">
        <is>
          <t xml:space="preserve">HQ </t>
        </is>
      </c>
      <c r="S3041" t="n">
        <v>2</v>
      </c>
      <c r="T3041" t="n">
        <v>2</v>
      </c>
      <c r="U3041" t="inlineStr">
        <is>
          <t>2001-04-29</t>
        </is>
      </c>
      <c r="V3041" t="inlineStr">
        <is>
          <t>2001-04-29</t>
        </is>
      </c>
      <c r="W3041" t="inlineStr">
        <is>
          <t>1993-04-23</t>
        </is>
      </c>
      <c r="X3041" t="inlineStr">
        <is>
          <t>1993-04-23</t>
        </is>
      </c>
      <c r="Y3041" t="n">
        <v>892</v>
      </c>
      <c r="Z3041" t="n">
        <v>790</v>
      </c>
      <c r="AA3041" t="n">
        <v>794</v>
      </c>
      <c r="AB3041" t="n">
        <v>7</v>
      </c>
      <c r="AC3041" t="n">
        <v>7</v>
      </c>
      <c r="AD3041" t="n">
        <v>33</v>
      </c>
      <c r="AE3041" t="n">
        <v>33</v>
      </c>
      <c r="AF3041" t="n">
        <v>15</v>
      </c>
      <c r="AG3041" t="n">
        <v>15</v>
      </c>
      <c r="AH3041" t="n">
        <v>8</v>
      </c>
      <c r="AI3041" t="n">
        <v>8</v>
      </c>
      <c r="AJ3041" t="n">
        <v>14</v>
      </c>
      <c r="AK3041" t="n">
        <v>14</v>
      </c>
      <c r="AL3041" t="n">
        <v>6</v>
      </c>
      <c r="AM3041" t="n">
        <v>6</v>
      </c>
      <c r="AN3041" t="n">
        <v>0</v>
      </c>
      <c r="AO3041" t="n">
        <v>0</v>
      </c>
      <c r="AP3041" t="inlineStr">
        <is>
          <t>No</t>
        </is>
      </c>
      <c r="AQ3041" t="inlineStr">
        <is>
          <t>Yes</t>
        </is>
      </c>
      <c r="AR3041">
        <f>HYPERLINK("http://catalog.hathitrust.org/Record/000129207","HathiTrust Record")</f>
        <v/>
      </c>
      <c r="AS3041">
        <f>HYPERLINK("https://creighton-primo.hosted.exlibrisgroup.com/primo-explore/search?tab=default_tab&amp;search_scope=EVERYTHING&amp;vid=01CRU&amp;lang=en_US&amp;offset=0&amp;query=any,contains,991004968349702656","Catalog Record")</f>
        <v/>
      </c>
      <c r="AT3041">
        <f>HYPERLINK("http://www.worldcat.org/oclc/6355506","WorldCat Record")</f>
        <v/>
      </c>
      <c r="AU3041" t="inlineStr">
        <is>
          <t>899428852:eng</t>
        </is>
      </c>
      <c r="AV3041" t="inlineStr">
        <is>
          <t>6355506</t>
        </is>
      </c>
      <c r="AW3041" t="inlineStr">
        <is>
          <t>991004968349702656</t>
        </is>
      </c>
      <c r="AX3041" t="inlineStr">
        <is>
          <t>991004968349702656</t>
        </is>
      </c>
      <c r="AY3041" t="inlineStr">
        <is>
          <t>2256654950002656</t>
        </is>
      </c>
      <c r="AZ3041" t="inlineStr">
        <is>
          <t>BOOK</t>
        </is>
      </c>
      <c r="BB3041" t="inlineStr">
        <is>
          <t>9780029357804</t>
        </is>
      </c>
      <c r="BC3041" t="inlineStr">
        <is>
          <t>32285001624963</t>
        </is>
      </c>
      <c r="BD3041" t="inlineStr">
        <is>
          <t>893325991</t>
        </is>
      </c>
    </row>
    <row r="3042">
      <c r="A3042" t="inlineStr">
        <is>
          <t>No</t>
        </is>
      </c>
      <c r="B3042" t="inlineStr">
        <is>
          <t>HQ971.5.C2 B47</t>
        </is>
      </c>
      <c r="C3042" t="inlineStr">
        <is>
          <t>0                      HQ 0971500C  2                  B  47</t>
        </is>
      </c>
      <c r="D3042" t="inlineStr">
        <is>
          <t>The Survival of a counterculture : ideological work and everyday life among rural communards / by Bennett M. Berger.</t>
        </is>
      </c>
      <c r="F3042" t="inlineStr">
        <is>
          <t>No</t>
        </is>
      </c>
      <c r="G3042" t="inlineStr">
        <is>
          <t>1</t>
        </is>
      </c>
      <c r="H3042" t="inlineStr">
        <is>
          <t>No</t>
        </is>
      </c>
      <c r="I3042" t="inlineStr">
        <is>
          <t>No</t>
        </is>
      </c>
      <c r="J3042" t="inlineStr">
        <is>
          <t>0</t>
        </is>
      </c>
      <c r="K3042" t="inlineStr">
        <is>
          <t>Berger, Bennett M.</t>
        </is>
      </c>
      <c r="L3042" t="inlineStr">
        <is>
          <t>Berkeley : University of California Press, c1981.</t>
        </is>
      </c>
      <c r="M3042" t="inlineStr">
        <is>
          <t>1981</t>
        </is>
      </c>
      <c r="O3042" t="inlineStr">
        <is>
          <t>eng</t>
        </is>
      </c>
      <c r="P3042" t="inlineStr">
        <is>
          <t>cau</t>
        </is>
      </c>
      <c r="R3042" t="inlineStr">
        <is>
          <t xml:space="preserve">HQ </t>
        </is>
      </c>
      <c r="S3042" t="n">
        <v>2</v>
      </c>
      <c r="T3042" t="n">
        <v>2</v>
      </c>
      <c r="U3042" t="inlineStr">
        <is>
          <t>1993-11-13</t>
        </is>
      </c>
      <c r="V3042" t="inlineStr">
        <is>
          <t>1993-11-13</t>
        </is>
      </c>
      <c r="W3042" t="inlineStr">
        <is>
          <t>1992-08-12</t>
        </is>
      </c>
      <c r="X3042" t="inlineStr">
        <is>
          <t>1992-08-12</t>
        </is>
      </c>
      <c r="Y3042" t="n">
        <v>753</v>
      </c>
      <c r="Z3042" t="n">
        <v>643</v>
      </c>
      <c r="AA3042" t="n">
        <v>683</v>
      </c>
      <c r="AB3042" t="n">
        <v>4</v>
      </c>
      <c r="AC3042" t="n">
        <v>4</v>
      </c>
      <c r="AD3042" t="n">
        <v>29</v>
      </c>
      <c r="AE3042" t="n">
        <v>30</v>
      </c>
      <c r="AF3042" t="n">
        <v>13</v>
      </c>
      <c r="AG3042" t="n">
        <v>13</v>
      </c>
      <c r="AH3042" t="n">
        <v>7</v>
      </c>
      <c r="AI3042" t="n">
        <v>8</v>
      </c>
      <c r="AJ3042" t="n">
        <v>13</v>
      </c>
      <c r="AK3042" t="n">
        <v>13</v>
      </c>
      <c r="AL3042" t="n">
        <v>3</v>
      </c>
      <c r="AM3042" t="n">
        <v>3</v>
      </c>
      <c r="AN3042" t="n">
        <v>0</v>
      </c>
      <c r="AO3042" t="n">
        <v>0</v>
      </c>
      <c r="AP3042" t="inlineStr">
        <is>
          <t>No</t>
        </is>
      </c>
      <c r="AQ3042" t="inlineStr">
        <is>
          <t>No</t>
        </is>
      </c>
      <c r="AS3042">
        <f>HYPERLINK("https://creighton-primo.hosted.exlibrisgroup.com/primo-explore/search?tab=default_tab&amp;search_scope=EVERYTHING&amp;vid=01CRU&amp;lang=en_US&amp;offset=0&amp;query=any,contains,991005015069702656","Catalog Record")</f>
        <v/>
      </c>
      <c r="AT3042">
        <f>HYPERLINK("http://www.worldcat.org/oclc/6625387","WorldCat Record")</f>
        <v/>
      </c>
      <c r="AU3042" t="inlineStr">
        <is>
          <t>500761:eng</t>
        </is>
      </c>
      <c r="AV3042" t="inlineStr">
        <is>
          <t>6625387</t>
        </is>
      </c>
      <c r="AW3042" t="inlineStr">
        <is>
          <t>991005015069702656</t>
        </is>
      </c>
      <c r="AX3042" t="inlineStr">
        <is>
          <t>991005015069702656</t>
        </is>
      </c>
      <c r="AY3042" t="inlineStr">
        <is>
          <t>2255514950002656</t>
        </is>
      </c>
      <c r="AZ3042" t="inlineStr">
        <is>
          <t>BOOK</t>
        </is>
      </c>
      <c r="BB3042" t="inlineStr">
        <is>
          <t>9780520023888</t>
        </is>
      </c>
      <c r="BC3042" t="inlineStr">
        <is>
          <t>32285001253847</t>
        </is>
      </c>
      <c r="BD3042" t="inlineStr">
        <is>
          <t>893533036</t>
        </is>
      </c>
    </row>
    <row r="3043">
      <c r="A3043" t="inlineStr">
        <is>
          <t>No</t>
        </is>
      </c>
      <c r="B3043" t="inlineStr">
        <is>
          <t>HQ981 .A45 1996</t>
        </is>
      </c>
      <c r="C3043" t="inlineStr">
        <is>
          <t>0                      HQ 0981000A  45          1996</t>
        </is>
      </c>
      <c r="D3043" t="inlineStr">
        <is>
          <t>Polygamous families in contemporary society / Irwin Altman, Joseph Ginat.</t>
        </is>
      </c>
      <c r="F3043" t="inlineStr">
        <is>
          <t>No</t>
        </is>
      </c>
      <c r="G3043" t="inlineStr">
        <is>
          <t>1</t>
        </is>
      </c>
      <c r="H3043" t="inlineStr">
        <is>
          <t>No</t>
        </is>
      </c>
      <c r="I3043" t="inlineStr">
        <is>
          <t>No</t>
        </is>
      </c>
      <c r="J3043" t="inlineStr">
        <is>
          <t>0</t>
        </is>
      </c>
      <c r="K3043" t="inlineStr">
        <is>
          <t>Altman, Irwin.</t>
        </is>
      </c>
      <c r="L3043" t="inlineStr">
        <is>
          <t>Cambridge ; New York : Cambridge University Press, 1996.</t>
        </is>
      </c>
      <c r="M3043" t="inlineStr">
        <is>
          <t>1996</t>
        </is>
      </c>
      <c r="O3043" t="inlineStr">
        <is>
          <t>eng</t>
        </is>
      </c>
      <c r="P3043" t="inlineStr">
        <is>
          <t>nyu</t>
        </is>
      </c>
      <c r="R3043" t="inlineStr">
        <is>
          <t xml:space="preserve">HQ </t>
        </is>
      </c>
      <c r="S3043" t="n">
        <v>19</v>
      </c>
      <c r="T3043" t="n">
        <v>19</v>
      </c>
      <c r="U3043" t="inlineStr">
        <is>
          <t>2009-12-01</t>
        </is>
      </c>
      <c r="V3043" t="inlineStr">
        <is>
          <t>2009-12-01</t>
        </is>
      </c>
      <c r="W3043" t="inlineStr">
        <is>
          <t>1997-04-28</t>
        </is>
      </c>
      <c r="X3043" t="inlineStr">
        <is>
          <t>1997-04-28</t>
        </is>
      </c>
      <c r="Y3043" t="n">
        <v>623</v>
      </c>
      <c r="Z3043" t="n">
        <v>501</v>
      </c>
      <c r="AA3043" t="n">
        <v>516</v>
      </c>
      <c r="AB3043" t="n">
        <v>7</v>
      </c>
      <c r="AC3043" t="n">
        <v>7</v>
      </c>
      <c r="AD3043" t="n">
        <v>32</v>
      </c>
      <c r="AE3043" t="n">
        <v>32</v>
      </c>
      <c r="AF3043" t="n">
        <v>10</v>
      </c>
      <c r="AG3043" t="n">
        <v>10</v>
      </c>
      <c r="AH3043" t="n">
        <v>7</v>
      </c>
      <c r="AI3043" t="n">
        <v>7</v>
      </c>
      <c r="AJ3043" t="n">
        <v>17</v>
      </c>
      <c r="AK3043" t="n">
        <v>17</v>
      </c>
      <c r="AL3043" t="n">
        <v>6</v>
      </c>
      <c r="AM3043" t="n">
        <v>6</v>
      </c>
      <c r="AN3043" t="n">
        <v>0</v>
      </c>
      <c r="AO3043" t="n">
        <v>0</v>
      </c>
      <c r="AP3043" t="inlineStr">
        <is>
          <t>No</t>
        </is>
      </c>
      <c r="AQ3043" t="inlineStr">
        <is>
          <t>No</t>
        </is>
      </c>
      <c r="AS3043">
        <f>HYPERLINK("https://creighton-primo.hosted.exlibrisgroup.com/primo-explore/search?tab=default_tab&amp;search_scope=EVERYTHING&amp;vid=01CRU&amp;lang=en_US&amp;offset=0&amp;query=any,contains,991002578989702656","Catalog Record")</f>
        <v/>
      </c>
      <c r="AT3043">
        <f>HYPERLINK("http://www.worldcat.org/oclc/33668273","WorldCat Record")</f>
        <v/>
      </c>
      <c r="AU3043" t="inlineStr">
        <is>
          <t>34836155:eng</t>
        </is>
      </c>
      <c r="AV3043" t="inlineStr">
        <is>
          <t>33668273</t>
        </is>
      </c>
      <c r="AW3043" t="inlineStr">
        <is>
          <t>991002578989702656</t>
        </is>
      </c>
      <c r="AX3043" t="inlineStr">
        <is>
          <t>991002578989702656</t>
        </is>
      </c>
      <c r="AY3043" t="inlineStr">
        <is>
          <t>2256554120002656</t>
        </is>
      </c>
      <c r="AZ3043" t="inlineStr">
        <is>
          <t>BOOK</t>
        </is>
      </c>
      <c r="BB3043" t="inlineStr">
        <is>
          <t>9780521561693</t>
        </is>
      </c>
      <c r="BC3043" t="inlineStr">
        <is>
          <t>32285002541000</t>
        </is>
      </c>
      <c r="BD3043" t="inlineStr">
        <is>
          <t>893804766</t>
        </is>
      </c>
    </row>
    <row r="3044">
      <c r="A3044" t="inlineStr">
        <is>
          <t>No</t>
        </is>
      </c>
      <c r="B3044" t="inlineStr">
        <is>
          <t>HQ981 .G3 1974</t>
        </is>
      </c>
      <c r="C3044" t="inlineStr">
        <is>
          <t>0                      HQ 0981000G  3           1974</t>
        </is>
      </c>
      <c r="D3044" t="inlineStr">
        <is>
          <t>Women under polygamy. London, Holden &amp; Hardingham, 1914.</t>
        </is>
      </c>
      <c r="F3044" t="inlineStr">
        <is>
          <t>No</t>
        </is>
      </c>
      <c r="G3044" t="inlineStr">
        <is>
          <t>1</t>
        </is>
      </c>
      <c r="H3044" t="inlineStr">
        <is>
          <t>No</t>
        </is>
      </c>
      <c r="I3044" t="inlineStr">
        <is>
          <t>No</t>
        </is>
      </c>
      <c r="J3044" t="inlineStr">
        <is>
          <t>0</t>
        </is>
      </c>
      <c r="K3044" t="inlineStr">
        <is>
          <t>Gallichan, Walter M. (Walter Matthew), 1861-1946.</t>
        </is>
      </c>
      <c r="L3044" t="inlineStr">
        <is>
          <t>[New York, AMS Press, 1974]</t>
        </is>
      </c>
      <c r="M3044" t="inlineStr">
        <is>
          <t>1974</t>
        </is>
      </c>
      <c r="O3044" t="inlineStr">
        <is>
          <t>eng</t>
        </is>
      </c>
      <c r="P3044" t="inlineStr">
        <is>
          <t>nyu</t>
        </is>
      </c>
      <c r="R3044" t="inlineStr">
        <is>
          <t xml:space="preserve">HQ </t>
        </is>
      </c>
      <c r="S3044" t="n">
        <v>21</v>
      </c>
      <c r="T3044" t="n">
        <v>21</v>
      </c>
      <c r="U3044" t="inlineStr">
        <is>
          <t>2009-12-01</t>
        </is>
      </c>
      <c r="V3044" t="inlineStr">
        <is>
          <t>2009-12-01</t>
        </is>
      </c>
      <c r="W3044" t="inlineStr">
        <is>
          <t>1997-08-14</t>
        </is>
      </c>
      <c r="X3044" t="inlineStr">
        <is>
          <t>1997-08-14</t>
        </is>
      </c>
      <c r="Y3044" t="n">
        <v>62</v>
      </c>
      <c r="Z3044" t="n">
        <v>48</v>
      </c>
      <c r="AA3044" t="n">
        <v>388</v>
      </c>
      <c r="AB3044" t="n">
        <v>1</v>
      </c>
      <c r="AC3044" t="n">
        <v>3</v>
      </c>
      <c r="AD3044" t="n">
        <v>0</v>
      </c>
      <c r="AE3044" t="n">
        <v>19</v>
      </c>
      <c r="AF3044" t="n">
        <v>0</v>
      </c>
      <c r="AG3044" t="n">
        <v>7</v>
      </c>
      <c r="AH3044" t="n">
        <v>0</v>
      </c>
      <c r="AI3044" t="n">
        <v>3</v>
      </c>
      <c r="AJ3044" t="n">
        <v>0</v>
      </c>
      <c r="AK3044" t="n">
        <v>5</v>
      </c>
      <c r="AL3044" t="n">
        <v>0</v>
      </c>
      <c r="AM3044" t="n">
        <v>2</v>
      </c>
      <c r="AN3044" t="n">
        <v>0</v>
      </c>
      <c r="AO3044" t="n">
        <v>5</v>
      </c>
      <c r="AP3044" t="inlineStr">
        <is>
          <t>No</t>
        </is>
      </c>
      <c r="AQ3044" t="inlineStr">
        <is>
          <t>Yes</t>
        </is>
      </c>
      <c r="AR3044">
        <f>HYPERLINK("http://catalog.hathitrust.org/Record/102296356","HathiTrust Record")</f>
        <v/>
      </c>
      <c r="AS3044">
        <f>HYPERLINK("https://creighton-primo.hosted.exlibrisgroup.com/primo-explore/search?tab=default_tab&amp;search_scope=EVERYTHING&amp;vid=01CRU&amp;lang=en_US&amp;offset=0&amp;query=any,contains,991003484359702656","Catalog Record")</f>
        <v/>
      </c>
      <c r="AT3044">
        <f>HYPERLINK("http://www.worldcat.org/oclc/1032034","WorldCat Record")</f>
        <v/>
      </c>
      <c r="AU3044" t="inlineStr">
        <is>
          <t>4915650199:eng</t>
        </is>
      </c>
      <c r="AV3044" t="inlineStr">
        <is>
          <t>1032034</t>
        </is>
      </c>
      <c r="AW3044" t="inlineStr">
        <is>
          <t>991003484359702656</t>
        </is>
      </c>
      <c r="AX3044" t="inlineStr">
        <is>
          <t>991003484359702656</t>
        </is>
      </c>
      <c r="AY3044" t="inlineStr">
        <is>
          <t>2268111100002656</t>
        </is>
      </c>
      <c r="AZ3044" t="inlineStr">
        <is>
          <t>BOOK</t>
        </is>
      </c>
      <c r="BB3044" t="inlineStr">
        <is>
          <t>9780404574437</t>
        </is>
      </c>
      <c r="BC3044" t="inlineStr">
        <is>
          <t>32285003102992</t>
        </is>
      </c>
      <c r="BD3044" t="inlineStr">
        <is>
          <t>893505626</t>
        </is>
      </c>
    </row>
    <row r="3045">
      <c r="A3045" t="inlineStr">
        <is>
          <t>No</t>
        </is>
      </c>
      <c r="B3045" t="inlineStr">
        <is>
          <t>HQ998 .H37</t>
        </is>
      </c>
      <c r="C3045" t="inlineStr">
        <is>
          <t>0                      HQ 0998000H  37</t>
        </is>
      </c>
      <c r="D3045" t="inlineStr">
        <is>
          <t>Illegitimacy / Shirley Foster Hartley.</t>
        </is>
      </c>
      <c r="F3045" t="inlineStr">
        <is>
          <t>No</t>
        </is>
      </c>
      <c r="G3045" t="inlineStr">
        <is>
          <t>1</t>
        </is>
      </c>
      <c r="H3045" t="inlineStr">
        <is>
          <t>No</t>
        </is>
      </c>
      <c r="I3045" t="inlineStr">
        <is>
          <t>No</t>
        </is>
      </c>
      <c r="J3045" t="inlineStr">
        <is>
          <t>0</t>
        </is>
      </c>
      <c r="K3045" t="inlineStr">
        <is>
          <t>Hartley, Shirley Foster.</t>
        </is>
      </c>
      <c r="L3045" t="inlineStr">
        <is>
          <t>Berkeley : University of California Press, [1975]</t>
        </is>
      </c>
      <c r="M3045" t="inlineStr">
        <is>
          <t>1975</t>
        </is>
      </c>
      <c r="O3045" t="inlineStr">
        <is>
          <t>eng</t>
        </is>
      </c>
      <c r="P3045" t="inlineStr">
        <is>
          <t>cau</t>
        </is>
      </c>
      <c r="R3045" t="inlineStr">
        <is>
          <t xml:space="preserve">HQ </t>
        </is>
      </c>
      <c r="S3045" t="n">
        <v>2</v>
      </c>
      <c r="T3045" t="n">
        <v>2</v>
      </c>
      <c r="U3045" t="inlineStr">
        <is>
          <t>2004-10-27</t>
        </is>
      </c>
      <c r="V3045" t="inlineStr">
        <is>
          <t>2004-10-27</t>
        </is>
      </c>
      <c r="W3045" t="inlineStr">
        <is>
          <t>1993-11-09</t>
        </is>
      </c>
      <c r="X3045" t="inlineStr">
        <is>
          <t>1993-11-09</t>
        </is>
      </c>
      <c r="Y3045" t="n">
        <v>595</v>
      </c>
      <c r="Z3045" t="n">
        <v>484</v>
      </c>
      <c r="AA3045" t="n">
        <v>489</v>
      </c>
      <c r="AB3045" t="n">
        <v>6</v>
      </c>
      <c r="AC3045" t="n">
        <v>6</v>
      </c>
      <c r="AD3045" t="n">
        <v>25</v>
      </c>
      <c r="AE3045" t="n">
        <v>25</v>
      </c>
      <c r="AF3045" t="n">
        <v>8</v>
      </c>
      <c r="AG3045" t="n">
        <v>8</v>
      </c>
      <c r="AH3045" t="n">
        <v>6</v>
      </c>
      <c r="AI3045" t="n">
        <v>6</v>
      </c>
      <c r="AJ3045" t="n">
        <v>14</v>
      </c>
      <c r="AK3045" t="n">
        <v>14</v>
      </c>
      <c r="AL3045" t="n">
        <v>4</v>
      </c>
      <c r="AM3045" t="n">
        <v>4</v>
      </c>
      <c r="AN3045" t="n">
        <v>1</v>
      </c>
      <c r="AO3045" t="n">
        <v>1</v>
      </c>
      <c r="AP3045" t="inlineStr">
        <is>
          <t>No</t>
        </is>
      </c>
      <c r="AQ3045" t="inlineStr">
        <is>
          <t>No</t>
        </is>
      </c>
      <c r="AS3045">
        <f>HYPERLINK("https://creighton-primo.hosted.exlibrisgroup.com/primo-explore/search?tab=default_tab&amp;search_scope=EVERYTHING&amp;vid=01CRU&amp;lang=en_US&amp;offset=0&amp;query=any,contains,991003700279702656","Catalog Record")</f>
        <v/>
      </c>
      <c r="AT3045">
        <f>HYPERLINK("http://www.worldcat.org/oclc/1335896","WorldCat Record")</f>
        <v/>
      </c>
      <c r="AU3045" t="inlineStr">
        <is>
          <t>2223600:eng</t>
        </is>
      </c>
      <c r="AV3045" t="inlineStr">
        <is>
          <t>1335896</t>
        </is>
      </c>
      <c r="AW3045" t="inlineStr">
        <is>
          <t>991003700279702656</t>
        </is>
      </c>
      <c r="AX3045" t="inlineStr">
        <is>
          <t>991003700279702656</t>
        </is>
      </c>
      <c r="AY3045" t="inlineStr">
        <is>
          <t>2259238660002656</t>
        </is>
      </c>
      <c r="AZ3045" t="inlineStr">
        <is>
          <t>BOOK</t>
        </is>
      </c>
      <c r="BB3045" t="inlineStr">
        <is>
          <t>9780520025332</t>
        </is>
      </c>
      <c r="BC3045" t="inlineStr">
        <is>
          <t>32285001797686</t>
        </is>
      </c>
      <c r="BD3045" t="inlineStr">
        <is>
          <t>893904475</t>
        </is>
      </c>
    </row>
    <row r="3046">
      <c r="A3046" t="inlineStr">
        <is>
          <t>No</t>
        </is>
      </c>
      <c r="B3046" t="inlineStr">
        <is>
          <t>HQ999.U6 U55 1974</t>
        </is>
      </c>
      <c r="C3046" t="inlineStr">
        <is>
          <t>0                      HQ 0999000U  6                  U  55          1974</t>
        </is>
      </c>
      <c r="D3046" t="inlineStr">
        <is>
          <t>Illegitimacy as a child-welfare problem, parts 1 and 2 / [by] Emma O. Lundberg and Katharine F. Lenroot.</t>
        </is>
      </c>
      <c r="F3046" t="inlineStr">
        <is>
          <t>No</t>
        </is>
      </c>
      <c r="G3046" t="inlineStr">
        <is>
          <t>1</t>
        </is>
      </c>
      <c r="H3046" t="inlineStr">
        <is>
          <t>No</t>
        </is>
      </c>
      <c r="I3046" t="inlineStr">
        <is>
          <t>No</t>
        </is>
      </c>
      <c r="J3046" t="inlineStr">
        <is>
          <t>0</t>
        </is>
      </c>
      <c r="K3046" t="inlineStr">
        <is>
          <t>United States. Children's Bureau.</t>
        </is>
      </c>
      <c r="L3046" t="inlineStr">
        <is>
          <t>New York : Arno Press, 1974.</t>
        </is>
      </c>
      <c r="M3046" t="inlineStr">
        <is>
          <t>1974</t>
        </is>
      </c>
      <c r="O3046" t="inlineStr">
        <is>
          <t>eng</t>
        </is>
      </c>
      <c r="P3046" t="inlineStr">
        <is>
          <t>nyu</t>
        </is>
      </c>
      <c r="Q3046" t="inlineStr">
        <is>
          <t>Children and youth : social problems and social policy</t>
        </is>
      </c>
      <c r="R3046" t="inlineStr">
        <is>
          <t xml:space="preserve">HQ </t>
        </is>
      </c>
      <c r="S3046" t="n">
        <v>2</v>
      </c>
      <c r="T3046" t="n">
        <v>2</v>
      </c>
      <c r="U3046" t="inlineStr">
        <is>
          <t>1995-02-15</t>
        </is>
      </c>
      <c r="V3046" t="inlineStr">
        <is>
          <t>1995-02-15</t>
        </is>
      </c>
      <c r="W3046" t="inlineStr">
        <is>
          <t>1993-11-09</t>
        </is>
      </c>
      <c r="X3046" t="inlineStr">
        <is>
          <t>1993-11-09</t>
        </is>
      </c>
      <c r="Y3046" t="n">
        <v>103</v>
      </c>
      <c r="Z3046" t="n">
        <v>90</v>
      </c>
      <c r="AA3046" t="n">
        <v>91</v>
      </c>
      <c r="AB3046" t="n">
        <v>2</v>
      </c>
      <c r="AC3046" t="n">
        <v>2</v>
      </c>
      <c r="AD3046" t="n">
        <v>1</v>
      </c>
      <c r="AE3046" t="n">
        <v>1</v>
      </c>
      <c r="AF3046" t="n">
        <v>0</v>
      </c>
      <c r="AG3046" t="n">
        <v>0</v>
      </c>
      <c r="AH3046" t="n">
        <v>0</v>
      </c>
      <c r="AI3046" t="n">
        <v>0</v>
      </c>
      <c r="AJ3046" t="n">
        <v>0</v>
      </c>
      <c r="AK3046" t="n">
        <v>0</v>
      </c>
      <c r="AL3046" t="n">
        <v>0</v>
      </c>
      <c r="AM3046" t="n">
        <v>0</v>
      </c>
      <c r="AN3046" t="n">
        <v>1</v>
      </c>
      <c r="AO3046" t="n">
        <v>1</v>
      </c>
      <c r="AP3046" t="inlineStr">
        <is>
          <t>No</t>
        </is>
      </c>
      <c r="AQ3046" t="inlineStr">
        <is>
          <t>Yes</t>
        </is>
      </c>
      <c r="AR3046">
        <f>HYPERLINK("http://catalog.hathitrust.org/Record/102293953","HathiTrust Record")</f>
        <v/>
      </c>
      <c r="AS3046">
        <f>HYPERLINK("https://creighton-primo.hosted.exlibrisgroup.com/primo-explore/search?tab=default_tab&amp;search_scope=EVERYTHING&amp;vid=01CRU&amp;lang=en_US&amp;offset=0&amp;query=any,contains,991003364689702656","Catalog Record")</f>
        <v/>
      </c>
      <c r="AT3046">
        <f>HYPERLINK("http://www.worldcat.org/oclc/900975","WorldCat Record")</f>
        <v/>
      </c>
      <c r="AU3046" t="inlineStr">
        <is>
          <t>1834512:eng</t>
        </is>
      </c>
      <c r="AV3046" t="inlineStr">
        <is>
          <t>900975</t>
        </is>
      </c>
      <c r="AW3046" t="inlineStr">
        <is>
          <t>991003364689702656</t>
        </is>
      </c>
      <c r="AX3046" t="inlineStr">
        <is>
          <t>991003364689702656</t>
        </is>
      </c>
      <c r="AY3046" t="inlineStr">
        <is>
          <t>2266325500002656</t>
        </is>
      </c>
      <c r="AZ3046" t="inlineStr">
        <is>
          <t>BOOK</t>
        </is>
      </c>
      <c r="BB3046" t="inlineStr">
        <is>
          <t>9780405059728</t>
        </is>
      </c>
      <c r="BC3046" t="inlineStr">
        <is>
          <t>32285001797678</t>
        </is>
      </c>
      <c r="BD3046" t="inlineStr">
        <is>
          <t>893416315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